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comments23.xml" ContentType="application/vnd.openxmlformats-officedocument.spreadsheetml.comments+xml"/>
  <Override PartName="/xl/threadedComments/threadedComment23.xml" ContentType="application/vnd.ms-excel.threadedcomments+xml"/>
  <Override PartName="/xl/comments24.xml" ContentType="application/vnd.openxmlformats-officedocument.spreadsheetml.comments+xml"/>
  <Override PartName="/xl/threadedComments/threadedComment24.xml" ContentType="application/vnd.ms-excel.threadedcomments+xml"/>
  <Override PartName="/xl/comments25.xml" ContentType="application/vnd.openxmlformats-officedocument.spreadsheetml.comments+xml"/>
  <Override PartName="/xl/threadedComments/threadedComment25.xml" ContentType="application/vnd.ms-excel.threadedcomments+xml"/>
  <Override PartName="/xl/comments26.xml" ContentType="application/vnd.openxmlformats-officedocument.spreadsheetml.comments+xml"/>
  <Override PartName="/xl/threadedComments/threadedComment26.xml" ContentType="application/vnd.ms-excel.threadedcomments+xml"/>
  <Override PartName="/xl/comments27.xml" ContentType="application/vnd.openxmlformats-officedocument.spreadsheetml.comments+xml"/>
  <Override PartName="/xl/threadedComments/threadedComment27.xml" ContentType="application/vnd.ms-excel.threadedcomments+xml"/>
  <Override PartName="/xl/drawings/drawing3.xml" ContentType="application/vnd.openxmlformats-officedocument.drawing+xml"/>
  <Override PartName="/xl/comments28.xml" ContentType="application/vnd.openxmlformats-officedocument.spreadsheetml.comments+xml"/>
  <Override PartName="/xl/threadedComments/threadedComment28.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comments29.xml" ContentType="application/vnd.openxmlformats-officedocument.spreadsheetml.comments+xml"/>
  <Override PartName="/xl/threadedComments/threadedComment29.xml" ContentType="application/vnd.ms-excel.threadedcomments+xml"/>
  <Override PartName="/xl/comments30.xml" ContentType="application/vnd.openxmlformats-officedocument.spreadsheetml.comments+xml"/>
  <Override PartName="/xl/threadedComments/threadedComment30.xml" ContentType="application/vnd.ms-excel.threaded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impconsultingllp.sharepoint.com/sites/Clients/Shared Documents/1. Consulting/Hallor Group Inc/7. CFO Admin/CPC Shell RTO/"/>
    </mc:Choice>
  </mc:AlternateContent>
  <xr:revisionPtr revIDLastSave="803" documentId="13_ncr:1_{29F5B264-5AF6-4EAB-A93E-D369F5E9F63C}" xr6:coauthVersionLast="47" xr6:coauthVersionMax="47" xr10:uidLastSave="{48E78EB8-CA93-4872-9AC8-79E52C35DFB1}"/>
  <bookViews>
    <workbookView xWindow="42180" yWindow="0" windowWidth="19356" windowHeight="16656" tabRatio="910" firstSheet="1" activeTab="1" xr2:uid="{28CEF43F-7BA0-4E74-9B88-34F1ACB1B37D}"/>
  </bookViews>
  <sheets>
    <sheet name="Dashboard" sheetId="61" state="hidden" r:id="rId1"/>
    <sheet name="FS.PRO" sheetId="200" r:id="rId2"/>
    <sheet name="FS.1" sheetId="157" state="hidden" r:id="rId3"/>
    <sheet name="Note Disclosures" sheetId="46" state="hidden" r:id="rId4"/>
    <sheet name="Cash Flow Proof" sheetId="3" state="hidden" r:id="rId5"/>
    <sheet name="WASO - 2022" sheetId="93" state="hidden" r:id="rId6"/>
    <sheet name="Prospectus Table" sheetId="154" state="hidden" r:id="rId7"/>
    <sheet name="Assumptions" sheetId="145" state="hidden" r:id="rId8"/>
    <sheet name="EXPORT &gt;&gt;" sheetId="108" r:id="rId9"/>
    <sheet name="PROFORMA" sheetId="202" r:id="rId10"/>
    <sheet name="BS &amp; IS" sheetId="109" state="hidden" r:id="rId11"/>
    <sheet name="SOCE" sheetId="111" state="hidden" r:id="rId12"/>
    <sheet name="SCF" sheetId="112" state="hidden" r:id="rId13"/>
    <sheet name="NOTES - TABLE" sheetId="114" state="hidden" r:id="rId14"/>
    <sheet name="NOTES - TEXT" sheetId="115" state="hidden" r:id="rId15"/>
    <sheet name="MDA" sheetId="130" state="hidden" r:id="rId16"/>
    <sheet name="FIN &gt;&gt;" sheetId="100" r:id="rId17"/>
    <sheet name="BS.PRO" sheetId="198" r:id="rId18"/>
    <sheet name="BS.1 - F25" sheetId="150" state="hidden" r:id="rId19"/>
    <sheet name="IS - F25" sheetId="94" state="hidden" r:id="rId20"/>
    <sheet name="BS.2 - F24" sheetId="158" state="hidden" r:id="rId21"/>
    <sheet name="IS - F24" sheetId="97" state="hidden" r:id="rId22"/>
    <sheet name="IS &gt;&gt;" sheetId="92" state="hidden" r:id="rId23"/>
    <sheet name="FY Current" sheetId="59" state="hidden" r:id="rId24"/>
    <sheet name="COMP SCF - FY21" sheetId="106" state="hidden" r:id="rId25"/>
    <sheet name="SCF &gt;&gt;" sheetId="170" state="hidden" r:id="rId26"/>
    <sheet name="SCF.1 - Dec 31, 2022" sheetId="107" state="hidden" r:id="rId27"/>
    <sheet name="TB.3 - Dec 31, 2022" sheetId="98" state="hidden" r:id="rId28"/>
    <sheet name="Erik - GL June - Dec 2022" sheetId="181" state="hidden" r:id="rId29"/>
    <sheet name="GL Jan - Jun 2023" sheetId="182" state="hidden" r:id="rId30"/>
    <sheet name="AJE - Dec 30, 2022" sheetId="183" state="hidden" r:id="rId31"/>
    <sheet name="Topside AJE's &gt;&gt;" sheetId="74" state="hidden" r:id="rId32"/>
    <sheet name="AJE.1 - F25" sheetId="95" state="hidden" r:id="rId33"/>
    <sheet name="AJE.1B - F25" sheetId="104" state="hidden" r:id="rId34"/>
    <sheet name="AJE.2 - F24" sheetId="86" state="hidden" r:id="rId35"/>
    <sheet name="AJE.2B - F24" sheetId="105" state="hidden" r:id="rId36"/>
    <sheet name="FS Input &gt;&gt; " sheetId="20" r:id="rId37"/>
    <sheet name="TB.PRO" sheetId="199" r:id="rId38"/>
    <sheet name="TB.1 - F25" sheetId="82" state="hidden" r:id="rId39"/>
    <sheet name="TB.2 - F24" sheetId="194" state="hidden" r:id="rId40"/>
    <sheet name="PL.1 - FY24" sheetId="160" state="hidden" r:id="rId41"/>
    <sheet name="TB.2 - FY23" sheetId="149" state="hidden" r:id="rId42"/>
    <sheet name="PL inputs &gt;&gt;" sheetId="101" state="hidden" r:id="rId43"/>
    <sheet name="P&amp;L &gt;&gt;" sheetId="131" state="hidden" r:id="rId44"/>
    <sheet name="Hallor Indus - P&amp;L - July 31" sheetId="147" state="hidden" r:id="rId45"/>
    <sheet name="PL.2 - FY23" sheetId="159" state="hidden" r:id="rId46"/>
    <sheet name="PL.1 - Q3'22" sheetId="103" state="hidden" r:id="rId47"/>
    <sheet name="TB.3 - Acq TB" sheetId="168" state="hidden" r:id="rId48"/>
    <sheet name="ADJ SUPPORT &gt;&gt;" sheetId="161" state="hidden" r:id="rId49"/>
    <sheet name="Asset Acquisition" sheetId="146" state="hidden" r:id="rId50"/>
    <sheet name="DER.V" sheetId="156" state="hidden" r:id="rId51"/>
    <sheet name="O&amp;W.V" sheetId="155" state="hidden" r:id="rId52"/>
    <sheet name="COV.DEBT" sheetId="179" state="hidden" r:id="rId53"/>
    <sheet name="IA.1 - Intangible" sheetId="184" state="hidden" r:id="rId54"/>
    <sheet name="GLs &gt;&gt;" sheetId="180" state="hidden" r:id="rId55"/>
    <sheet name="GL 5510" sheetId="162" state="hidden" r:id="rId56"/>
    <sheet name="GL 5511" sheetId="165" state="hidden" r:id="rId57"/>
    <sheet name="GL 5515" sheetId="163" state="hidden" r:id="rId58"/>
    <sheet name="GL 5520" sheetId="164" state="hidden" r:id="rId59"/>
    <sheet name="GL 6016" sheetId="167" state="hidden" r:id="rId60"/>
    <sheet name="GL 1120" sheetId="169" state="hidden" r:id="rId61"/>
    <sheet name="GL 6013" sheetId="166" state="hidden" r:id="rId62"/>
    <sheet name="Workbook INPUTS &gt;&gt;" sheetId="91" r:id="rId63"/>
    <sheet name="INPUTS" sheetId="26" r:id="rId64"/>
    <sheet name="COA" sheetId="39" r:id="rId65"/>
    <sheet name="TB FORMATTED" sheetId="189" r:id="rId66"/>
    <sheet name="PL FORMATTED" sheetId="190" r:id="rId67"/>
    <sheet name="QBO.S-TB26" sheetId="201" r:id="rId68"/>
    <sheet name="QBO.S-TB25" sheetId="191" r:id="rId69"/>
    <sheet name="QBO.S-TB24" sheetId="195" r:id="rId70"/>
    <sheet name="QBO.S-PL25" sheetId="192" r:id="rId71"/>
    <sheet name="QBO.S-PL24" sheetId="193" r:id="rId72"/>
    <sheet name="QBO.S - PL post acq" sheetId="196" r:id="rId73"/>
    <sheet name="FS NOTES &gt;&gt;" sheetId="19" state="hidden" r:id="rId74"/>
  </sheets>
  <externalReferences>
    <externalReference r:id="rId75"/>
    <externalReference r:id="rId76"/>
  </externalReferences>
  <definedNames>
    <definedName name="_xlnm._FilterDatabase" localSheetId="30" hidden="1">'AJE - Dec 30, 2022'!$A$3:$H$57</definedName>
    <definedName name="_xlnm._FilterDatabase" localSheetId="32" hidden="1">'AJE.1 - F25'!$A$5:$N$185</definedName>
    <definedName name="_xlnm._FilterDatabase" localSheetId="33" hidden="1">'AJE.1B - F25'!$A$4:$U$179</definedName>
    <definedName name="_xlnm._FilterDatabase" localSheetId="34" hidden="1">'AJE.2 - F24'!$A$5:$F$180</definedName>
    <definedName name="_xlnm._FilterDatabase" localSheetId="18" hidden="1">'BS.1 - F25'!$A$7:$I$182</definedName>
    <definedName name="_xlnm._FilterDatabase" localSheetId="20" hidden="1">'BS.2 - F24'!$A$7:$I$182</definedName>
    <definedName name="_xlnm._FilterDatabase" localSheetId="17" hidden="1">BS.PRO!$A$7:$AM$187</definedName>
    <definedName name="_xlnm._FilterDatabase" localSheetId="64" hidden="1">COA!$B$3:$E$179</definedName>
    <definedName name="_xlnm._FilterDatabase" localSheetId="28" hidden="1">'Erik - GL June - Dec 2022'!$B$1:$AA$490</definedName>
    <definedName name="_xlnm._FilterDatabase" localSheetId="23" hidden="1">'FY Current'!$A$4:$K$328</definedName>
    <definedName name="_xlnm._FilterDatabase" localSheetId="44" hidden="1">'Hallor Indus - P&amp;L - July 31'!$A$5:$G$32</definedName>
    <definedName name="_xlnm._FilterDatabase" localSheetId="19" hidden="1">'IS - F25'!$B$6:$P$89</definedName>
    <definedName name="_xlnm._FilterDatabase" localSheetId="40" hidden="1">'PL.1 - FY24'!$A$5:$J$50</definedName>
    <definedName name="_xlnm._FilterDatabase" localSheetId="72" hidden="1">'QBO.S - PL post acq'!$D$3:$G$55</definedName>
    <definedName name="_xlnm._FilterDatabase" localSheetId="70" hidden="1">'QBO.S-PL25'!$D$3:$G$46</definedName>
    <definedName name="_xlnm._FilterDatabase" localSheetId="69" hidden="1">'QBO.S-TB24'!$C$4:$I$103</definedName>
    <definedName name="_xlnm._FilterDatabase" localSheetId="68" hidden="1">'QBO.S-TB25'!$C$4:$I$96</definedName>
    <definedName name="_xlnm._FilterDatabase" localSheetId="26" hidden="1">'SCF.1 - Dec 31, 2022'!$B$4:$I$173</definedName>
    <definedName name="_xlnm._FilterDatabase" localSheetId="65" hidden="1">'TB FORMATTED'!$A$5:$Q$101</definedName>
    <definedName name="_xlnm._FilterDatabase" localSheetId="38" hidden="1">'TB.1 - F25'!$A$5:$H$177</definedName>
    <definedName name="_xlnm._FilterDatabase" localSheetId="39" hidden="1">'TB.2 - F24'!$A$5:$A$177</definedName>
    <definedName name="_xlnm._FilterDatabase" localSheetId="47" hidden="1">'TB.3 - Acq TB'!$A$7:$I$61</definedName>
    <definedName name="averageFX_period">INPUTS!$B$13</definedName>
    <definedName name="BS_descr">INPUTS!$B$12</definedName>
    <definedName name="CFS_Descr">INPUTS!$B$15</definedName>
    <definedName name="comp_period_1">INPUTS!$B$8</definedName>
    <definedName name="comp_period_2">INPUTS!$B$9</definedName>
    <definedName name="company_name">INPUTS!$B$6</definedName>
    <definedName name="currentperiod_end_date">INPUTS!$B$7</definedName>
    <definedName name="currentperiod_year">INPUTS!$B$12</definedName>
    <definedName name="IFRS_adopt">INPUTS!$B$10</definedName>
    <definedName name="IFRS_adoptdate">INPUTS!$B$10</definedName>
    <definedName name="IS_Descr">INPUTS!$B$13</definedName>
    <definedName name="MLNK00d961b8a4d245418f71e0780bba9de5" hidden="1">'NOTES - TABLE'!$1:$1048576</definedName>
    <definedName name="MLNK0a02aad5d25f4c03be60bb334ac79c69" hidden="1">'BS &amp; IS'!$G$2:$L$15</definedName>
    <definedName name="MLNK0b3da7392c6b4bde80560507ba7147a4" hidden="1">'BS &amp; IS'!$M$2:$V$17</definedName>
    <definedName name="MLNK0baf5a1efe564adeb8794585f79a5630" hidden="1">MDA!$1:$1048576</definedName>
    <definedName name="MLNK0bcac56135094f3094eb44dd219ff1a8" hidden="1">'NOTES - TABLE'!$F$2:$K$7</definedName>
    <definedName name="MLNK0bf5c13849b949fb976bf3cc4864018b" hidden="1">'NOTES - TABLE'!$A$2:$E$17</definedName>
    <definedName name="MLNK0d625b0b4c8e46a4b997af8abdaa5a39" hidden="1">'NOTES - TEXT'!$G$47</definedName>
    <definedName name="MLNK0e432618f87348b6bb4e3af1a1399304" hidden="1">'O&amp;W.V'!$D$13</definedName>
    <definedName name="MLNK110b76b98a1f4d4499484965a6fc6496" hidden="1">'NOTES - TEXT'!$G$7</definedName>
    <definedName name="MLNK11de782adeb94e63b523d3f15eb4be06" hidden="1">SCF!$A$2:$E$35</definedName>
    <definedName name="MLNK1414c68deb90467aae2392b108483a8f" hidden="1">'NOTES - TEXT'!$G$12</definedName>
    <definedName name="MLNK164a173ee23f4307b8616a5ffb652a8e" hidden="1">'NOTES - TABLE'!$T$2:$W$9</definedName>
    <definedName name="MLNK18f29a84440947dda4ef188007df042a" hidden="1">'NOTES - TABLE'!$L$2:$R$7</definedName>
    <definedName name="MLNK1d79cd96a1a84ae990c101a4327a9864" hidden="1">PROFORMA!$A$2:$K$27</definedName>
    <definedName name="MLNK1e6e1e7e3a2e4ab8acd7b856efbe80a6" hidden="1">PROFORMA!$M$2:$W$31</definedName>
    <definedName name="MLNK1f0010ee5b85483c88e2fc1507f849f9" hidden="1">'NOTES - TABLE'!$F$2:$K$4</definedName>
    <definedName name="MLNK239cbb26369a4bc89e557971f3e2b2b8" hidden="1">'NOTES - TABLE'!$T$2:$W$6</definedName>
    <definedName name="MLNK279a0dfd3fe64dbbb618cf2954f770c1" hidden="1">'O&amp;W.V'!$D$10</definedName>
    <definedName name="MLNK296159e6c1df4e30821010fbe6656316" hidden="1">SCF!$1:$1048576</definedName>
    <definedName name="MLNK33f6e69fb5b04f5e86e3337085f1a568" hidden="1">MDA!$S$22:$W$37</definedName>
    <definedName name="MLNK3423be7686bf48c4a20beb1d10572b64" hidden="1">'NOTES - TEXT'!$G$8</definedName>
    <definedName name="MLNK3450cf5dca0f4624a9ad3bcf5bbc89bd" hidden="1">'O&amp;W.V'!$C$12</definedName>
    <definedName name="MLNK3611776d789d4d1180bbc254f9786264" hidden="1">'NOTES - TEXT'!$G$32</definedName>
    <definedName name="MLNK381c67c7f25f48b989c409d323e40314" hidden="1">'AJE.1 - F25'!$1:$1048576</definedName>
    <definedName name="MLNK40929a1ec65143c792239330253fd3d0" hidden="1">'O&amp;W.V'!$D$12</definedName>
    <definedName name="MLNK419806f766484a0fa6a12647d67a8dd8" hidden="1">'NOTES - TEXT'!$G$48</definedName>
    <definedName name="MLNK41af45fa24f540c5a9d1aeb34b2afc84" hidden="1">'O&amp;W.V'!$1:$1048576</definedName>
    <definedName name="MLNK43d2506356d444d0b7a0fcadacd77a06" hidden="1">'NOTES - TABLE'!$L$46:$N$60</definedName>
    <definedName name="MLNK46f59f05c50e4d4b8cc7df0603f61933" hidden="1">'NOTES - TEXT'!$G$30</definedName>
    <definedName name="MLNK471137c6837d43b68d988b202ed7bd2d" hidden="1">'O&amp;W.V'!$D$14</definedName>
    <definedName name="MLNK47eba6851d154abf8dcaf0dc1c9592c4" hidden="1">'O&amp;W.V'!$C$36</definedName>
    <definedName name="MLNK4ebd7580a5594dbe951690ecba564cfb" hidden="1">MDA!$G$2:$K$16</definedName>
    <definedName name="MLNK50a25b97b254474c827a2554061d38d6" hidden="1">'NOTES - TEXT'!$G$46</definedName>
    <definedName name="MLNK551aaf54a1f6498bbfc9575e629de5f2" hidden="1">MDA!$L$2:$R$23</definedName>
    <definedName name="MLNK586978110a3946aca9cc88d29e263100" hidden="1">'NOTES - TABLE'!$L$24:$P$39</definedName>
    <definedName name="MLNK5a67f9bc7d114486932680047f2184a0" hidden="1">'NOTES - TEXT'!$G$35</definedName>
    <definedName name="MLNK5d390e4dbebc459a846aa7caf0d7542f" hidden="1">'BS &amp; IS'!$1:$1048576</definedName>
    <definedName name="MLNK626e08a209494b868a91fd9406782095" hidden="1">'BS.1 - F25'!$B$8</definedName>
    <definedName name="MLNK62df2cbb483448c79425ada2fede96e7" hidden="1">'NOTES - TEXT'!$G$21</definedName>
    <definedName name="MLNK6320310e6c5148d6833c202c8423dd16" hidden="1">'NOTES - TEXT'!$G$5</definedName>
    <definedName name="MLNK6ad9f54b0f5c42a696d445f81e0b43e7" hidden="1">'NOTES - TEXT'!$G$43</definedName>
    <definedName name="MLNK6d2cbd9b0b7f448198bc6b70880f58e8" hidden="1">#REF!</definedName>
    <definedName name="MLNK6eb99e844c474fb087647344797e6118" hidden="1">#REF!</definedName>
    <definedName name="MLNK74128b37b020422c8942dda7aa39cd97" hidden="1">'BS &amp; IS'!$G$2:$L$19</definedName>
    <definedName name="MLNK7500b480bfa94d989e63f7d4ead0ffde" hidden="1">'NOTES - TEXT'!$G$11</definedName>
    <definedName name="MLNK7668d8bc1a6a41b6a862314267cf16ba" hidden="1">'NOTES - TEXT'!$G$33</definedName>
    <definedName name="MLNK777bf92eeaaf4c4a8cc51761a3cf4609" hidden="1">'NOTES - TABLE'!$F$58:$G$64</definedName>
    <definedName name="MLNK77d777ad5bcf4e79949ab303cd06b118" hidden="1">'NOTES - TEXT'!$G$6</definedName>
    <definedName name="MLNK78ccd25f5b5143aaa052815093652421" hidden="1">PROFORMA!$AA$2:$AI$14</definedName>
    <definedName name="MLNK7ac33cf017d94ba198b04f62da28e588" hidden="1">#REF!</definedName>
    <definedName name="MLNK7c637199ce294fd0b6edf2a3abb71223" hidden="1">'NOTES - TEXT'!$G$29</definedName>
    <definedName name="MLNK7ca25cef5dca48819f2736a8f4ede69f" hidden="1">'O&amp;W.V'!$D$36</definedName>
    <definedName name="MLNK830323074b60437aabb57788c3f72753" hidden="1">MDA!$S$1:$W$6</definedName>
    <definedName name="MLNK83a89574658749da93efbc1465bf9b32" hidden="1">'NOTES - TEXT'!$G$10</definedName>
    <definedName name="MLNK8561318de1734d4e92b46d1c1c7e7648" hidden="1">'NOTES - TEXT'!$G$9</definedName>
    <definedName name="MLNK85d33686bb4b4be4831d766796c1e1c9" hidden="1">PROFORMA!$AA$2:$AI$15</definedName>
    <definedName name="MLNK8a680ad837ee4eecbe9c11688b0002eb" hidden="1">SOCE!$1:$1048576</definedName>
    <definedName name="MLNK8c4031bd37124e6ea79497f4a3008882" hidden="1">'NOTES - TEXT'!$G$37</definedName>
    <definedName name="MLNK8c577e895cce4b048a15d33b4d39bf06" hidden="1">#REF!</definedName>
    <definedName name="MLNK8d2b3fc62fa84930bcfdb54bccd97a54" hidden="1">'BS &amp; IS'!$W$2:$AD$28</definedName>
    <definedName name="MLNK925f1737b32b4176846f2de5c9ad9df1" hidden="1">#REF!</definedName>
    <definedName name="MLNK963b7c8154c547a6b1b084712b295429" hidden="1">'NOTES - TEXT'!$G$44</definedName>
    <definedName name="MLNK9844339b439d4236a5a0e63a9d506b05" hidden="1">'NOTES - TEXT'!$1:$1048576</definedName>
    <definedName name="MLNK98578bdf2f874b63a2ebd8937a2c2969" hidden="1">'NOTES - TABLE'!$A$24:$E$38</definedName>
    <definedName name="MLNK989dc0ce63114fa2892772c3671ad04f" hidden="1">'NOTES - TABLE'!$F$45:$G$51</definedName>
    <definedName name="MLNK9c79e0d007fb42309bbd3c343a982199" hidden="1">'NOTES - TEXT'!$G$28</definedName>
    <definedName name="MLNK9d3f2b0da5914d0eb0b3b9c9411272b3" hidden="1">'NOTES - TEXT'!$G$38</definedName>
    <definedName name="MLNKa66f385959b545299bf1f03b522319b1" hidden="1">'NOTES - TEXT'!$G$45</definedName>
    <definedName name="MLNKaafa510b3b66427d92a5c3d9f361398c" hidden="1">'NOTES - TEXT'!$G$36</definedName>
    <definedName name="MLNKaf363eedfdb54d1c8398275c174450f2" hidden="1">#REF!</definedName>
    <definedName name="MLNKaf36da0a7d614a10ad7e0513b4838900" hidden="1">'BS &amp; IS'!$W$45:$AD$59</definedName>
    <definedName name="MLNKb0df3011c7ed4063ada35b57ccd52ca0" hidden="1">MDA!$L$2:$R$18</definedName>
    <definedName name="MLNKb25222770a3146d5b3e8b43430c09f0f" hidden="1">SOCE!$A$2:$J$7</definedName>
    <definedName name="MLNKb4ea0cb9893a4e528ab25bde6f26ea17" hidden="1">'NOTES - TABLE'!$L$24:$N$39</definedName>
    <definedName name="MLNKb6aab8d8499a4c3cbda3fb18efa56faa" hidden="1">'NOTES - TABLE'!$A$74:$E$79</definedName>
    <definedName name="MLNKbb56581fb24d4b068b57720a88c7b8da" hidden="1">'NOTES - TEXT'!$G$34</definedName>
    <definedName name="MLNKbc15ce535be24073b30ce46e7f5eda08" hidden="1">'O&amp;W.V'!$C$11</definedName>
    <definedName name="MLNKc4899bcbed034f5e8d1c612e72e4f1d5" hidden="1">'BS.1 - F25'!$1:$1048576</definedName>
    <definedName name="MLNKc49070a3f92b4044892408829b1ed99a" hidden="1">'NOTES - TABLE'!$A$50:$E$53</definedName>
    <definedName name="MLNKc71987ab58194395924d564dbf533d46" hidden="1">'NOTES - TABLE'!$A$74:$C$79</definedName>
    <definedName name="MLNKc755aaec9c494e08adfe95ba38f512cd" hidden="1">'Asset Acquisition'!$G$2:$H$22</definedName>
    <definedName name="MLNKcc10907457fe4f878365c4aa51326c02" hidden="1">#REF!</definedName>
    <definedName name="MLNKcd7daa3d356342cfa666f1d84697f031" hidden="1">'O&amp;W.V'!$D$11</definedName>
    <definedName name="MLNKd27d3a8f20e442f5a204d23d0d7ee5c1" hidden="1">'NOTES - TEXT'!$G$4</definedName>
    <definedName name="MLNKd699101c19df42a88d00c745b8729052" hidden="1">'Asset Acquisition'!$1:$1048576</definedName>
    <definedName name="MLNKd6d30dc8fc864b77adfea21e95dfa43e" hidden="1">'NOTES - TEXT'!$G$49</definedName>
    <definedName name="MLNKdc155577c8ae455eb1c8491d96741aa8" hidden="1">'NOTES - TEXT'!$G$31</definedName>
    <definedName name="MLNKdc7d09d1be134d588bd0f769d62ae085" hidden="1">PROFORMA!$1:$1048576</definedName>
    <definedName name="MLNKdd4a019da5a34706a5dad6ab6008d585" hidden="1">'BS &amp; IS'!$W$2:$AB$28</definedName>
    <definedName name="MLNKe095164fefc84cdf8367a34a8e156cc6" hidden="1" xml:space="preserve">    SOCE!$A$2:$J$9</definedName>
    <definedName name="MLNKe3ffcf6c7a004637bf01d773a0751863" hidden="1">'BS &amp; IS'!$A$2:$F$28</definedName>
    <definedName name="MLNKe6b91ec606fe449bae3c7612166ca197" hidden="1">'O&amp;W.V'!$D$15</definedName>
    <definedName name="MLNKe831265e977049b3b97ede4dd2b2102a" hidden="1">'O&amp;W.V'!$C$10</definedName>
    <definedName name="MLNKe8e723e94e504da092b1050e7c2f4bb4" hidden="1">SOCE!$A$2:$J$9</definedName>
    <definedName name="MLNKebc0a1e1de3f46e5ab8c1211e8e6a33f" hidden="1">'NOTES - TEXT'!$G$13</definedName>
    <definedName name="MLNKede1c608ae71412f8fd6f2e95ca8a107" hidden="1">'O&amp;W.V'!$C$13</definedName>
    <definedName name="MLNKf253b0a4db034a24bba0b2bd8bfa9fba" hidden="1">'O&amp;W.V'!$C$15</definedName>
    <definedName name="MLNKf3b4c5077f284750aed18d680be116aa" hidden="1">MDA!$L$46:$R$62</definedName>
    <definedName name="MLNKf5fc753bc8ea4a069d8d35759268b280" hidden="1">'BS &amp; IS'!$W$45:$AB$59</definedName>
    <definedName name="MLNKf8c0d1cec6164884a2868be2b93c0271" hidden="1">'NOTES - TEXT'!$G$42</definedName>
    <definedName name="MLNKff3186e2b209407cb60ef9132027b771" hidden="1">'O&amp;W.V'!$C$14</definedName>
    <definedName name="period">INPUTS!$B$11</definedName>
    <definedName name="periodend_spotFX">INPUTS!$B$14</definedName>
    <definedName name="priorperiod_end_date">INPUTS!$B$8</definedName>
    <definedName name="proforma_date">INPUTS!$B$10</definedName>
    <definedName name="SOCE_descr">INPUTS!$B$14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5" i="198" l="1"/>
  <c r="M19" i="202"/>
  <c r="M20" i="202"/>
  <c r="M21" i="202"/>
  <c r="M22" i="202"/>
  <c r="M23" i="202"/>
  <c r="M24" i="202"/>
  <c r="M18" i="202"/>
  <c r="M8" i="202" l="1"/>
  <c r="M9" i="202"/>
  <c r="M10" i="202"/>
  <c r="M11" i="202"/>
  <c r="M12" i="202"/>
  <c r="M13" i="202"/>
  <c r="M14" i="202"/>
  <c r="M15" i="202"/>
  <c r="M16" i="202"/>
  <c r="M17" i="202"/>
  <c r="C2" i="202" l="1"/>
  <c r="AE13" i="202"/>
  <c r="AC13" i="202"/>
  <c r="AE11" i="202"/>
  <c r="AC11" i="202"/>
  <c r="AE9" i="202"/>
  <c r="AC9" i="202"/>
  <c r="AE7" i="202"/>
  <c r="AC7" i="202"/>
  <c r="AG4" i="202"/>
  <c r="AE5" i="202"/>
  <c r="AE4" i="202"/>
  <c r="AC5" i="202"/>
  <c r="AA14" i="202"/>
  <c r="AA12" i="202"/>
  <c r="AA10" i="202"/>
  <c r="AA8" i="202"/>
  <c r="AA6" i="202"/>
  <c r="AA5" i="202"/>
  <c r="AA4" i="202"/>
  <c r="A20" i="202" l="1"/>
  <c r="A21" i="202"/>
  <c r="A19" i="202"/>
  <c r="AI18" i="198"/>
  <c r="AC18" i="198"/>
  <c r="W18" i="198"/>
  <c r="Q18" i="198"/>
  <c r="AL84" i="198"/>
  <c r="AM84" i="198" s="1"/>
  <c r="K88" i="198" l="1"/>
  <c r="J74" i="198"/>
  <c r="C200" i="198"/>
  <c r="V133" i="198" s="1"/>
  <c r="C199" i="198"/>
  <c r="P133" i="198" s="1"/>
  <c r="C198" i="198"/>
  <c r="J133" i="198" s="1"/>
  <c r="B198" i="198"/>
  <c r="B199" i="198" s="1"/>
  <c r="B200" i="198" s="1"/>
  <c r="V74" i="198" s="1"/>
  <c r="A202" i="198"/>
  <c r="A200" i="198"/>
  <c r="A201" i="198" s="1"/>
  <c r="A199" i="198"/>
  <c r="P74" i="198" l="1"/>
  <c r="AL178" i="198"/>
  <c r="A18" i="202"/>
  <c r="A17" i="202"/>
  <c r="A16" i="202"/>
  <c r="A11" i="202"/>
  <c r="A10" i="202"/>
  <c r="A7" i="202"/>
  <c r="A6" i="202"/>
  <c r="M7" i="202"/>
  <c r="M27" i="202"/>
  <c r="M29" i="202"/>
  <c r="M30" i="202"/>
  <c r="A25" i="202"/>
  <c r="A24" i="202"/>
  <c r="A23" i="202"/>
  <c r="A13" i="202"/>
  <c r="A12" i="202"/>
  <c r="A9" i="202"/>
  <c r="A8" i="202"/>
  <c r="A5" i="202"/>
  <c r="A2" i="202"/>
  <c r="AA186" i="198"/>
  <c r="O186" i="198"/>
  <c r="W21" i="198" l="1"/>
  <c r="AC21" i="198"/>
  <c r="M8" i="198" l="1"/>
  <c r="N8" i="198"/>
  <c r="AL75" i="198"/>
  <c r="AM75" i="198" s="1"/>
  <c r="AL24" i="198"/>
  <c r="AM24" i="198" s="1"/>
  <c r="AL67" i="198"/>
  <c r="AM67" i="198" s="1"/>
  <c r="AL60" i="198"/>
  <c r="AM60" i="198" s="1"/>
  <c r="AL57" i="198"/>
  <c r="AM57" i="198" s="1"/>
  <c r="AL55" i="198"/>
  <c r="AM55" i="198" s="1"/>
  <c r="AL54" i="198"/>
  <c r="AM54" i="198" s="1"/>
  <c r="AL41" i="198" l="1"/>
  <c r="AM41" i="198" s="1"/>
  <c r="J175" i="198"/>
  <c r="E175" i="198"/>
  <c r="E4" i="198" s="1"/>
  <c r="I53" i="199"/>
  <c r="AI8" i="198"/>
  <c r="AC8" i="198"/>
  <c r="W8" i="198"/>
  <c r="Q8" i="198"/>
  <c r="S14" i="95"/>
  <c r="T14" i="95"/>
  <c r="U14" i="95"/>
  <c r="S15" i="95"/>
  <c r="T15" i="95"/>
  <c r="U15" i="95"/>
  <c r="S16" i="95"/>
  <c r="T16" i="95"/>
  <c r="U16" i="95"/>
  <c r="R16" i="95" s="1"/>
  <c r="S17" i="95"/>
  <c r="T17" i="95"/>
  <c r="U17" i="95"/>
  <c r="R17" i="95" s="1"/>
  <c r="S18" i="95"/>
  <c r="T18" i="95"/>
  <c r="U18" i="95"/>
  <c r="R18" i="95" s="1"/>
  <c r="T19" i="95"/>
  <c r="S20" i="95"/>
  <c r="T20" i="95"/>
  <c r="U20" i="95"/>
  <c r="R20" i="95" s="1"/>
  <c r="S21" i="95"/>
  <c r="T21" i="95"/>
  <c r="U21" i="95"/>
  <c r="U13" i="95"/>
  <c r="T13" i="95"/>
  <c r="S13" i="95"/>
  <c r="R21" i="95"/>
  <c r="R15" i="95"/>
  <c r="R14" i="95"/>
  <c r="Q14" i="95"/>
  <c r="Q15" i="95" s="1"/>
  <c r="Q16" i="95" s="1"/>
  <c r="Q17" i="95" s="1"/>
  <c r="Q18" i="95" s="1"/>
  <c r="Q19" i="95" s="1"/>
  <c r="Q20" i="95" s="1"/>
  <c r="Q21" i="95" s="1"/>
  <c r="R13" i="95"/>
  <c r="A183" i="95"/>
  <c r="A179" i="95"/>
  <c r="A180" i="95"/>
  <c r="A181" i="95"/>
  <c r="A182" i="95"/>
  <c r="A7" i="95"/>
  <c r="A8" i="95"/>
  <c r="A9" i="95"/>
  <c r="A10" i="95"/>
  <c r="A11" i="95"/>
  <c r="A12" i="95"/>
  <c r="A13" i="95"/>
  <c r="A14" i="95"/>
  <c r="A15" i="95"/>
  <c r="A16" i="95"/>
  <c r="A17" i="95"/>
  <c r="A18" i="95"/>
  <c r="A19" i="95"/>
  <c r="A20" i="95"/>
  <c r="A21" i="95"/>
  <c r="A22" i="95"/>
  <c r="A23" i="95"/>
  <c r="A24" i="95"/>
  <c r="A25" i="95"/>
  <c r="A26" i="95"/>
  <c r="A27" i="95"/>
  <c r="A28" i="95"/>
  <c r="A29" i="95"/>
  <c r="A30" i="95"/>
  <c r="A31" i="95"/>
  <c r="A32" i="95"/>
  <c r="A33" i="95"/>
  <c r="A34" i="95"/>
  <c r="A35" i="95"/>
  <c r="A36" i="95"/>
  <c r="A37" i="95"/>
  <c r="A38" i="95"/>
  <c r="A39" i="95"/>
  <c r="A40" i="95"/>
  <c r="A41" i="95"/>
  <c r="A42" i="95"/>
  <c r="A43" i="95"/>
  <c r="A44" i="95"/>
  <c r="A45" i="95"/>
  <c r="A46" i="95"/>
  <c r="A47" i="95"/>
  <c r="A48" i="95"/>
  <c r="A49" i="95"/>
  <c r="A50" i="95"/>
  <c r="A51" i="95"/>
  <c r="A52" i="95"/>
  <c r="A53" i="95"/>
  <c r="A54" i="95"/>
  <c r="A55" i="95"/>
  <c r="A56" i="95"/>
  <c r="A57" i="95"/>
  <c r="A58" i="95"/>
  <c r="A59" i="95"/>
  <c r="A60" i="95"/>
  <c r="A61" i="95"/>
  <c r="A62" i="95"/>
  <c r="A63" i="95"/>
  <c r="A64" i="95"/>
  <c r="A65" i="95"/>
  <c r="A66" i="95"/>
  <c r="A67" i="95"/>
  <c r="A68" i="95"/>
  <c r="A69" i="95"/>
  <c r="A70" i="95"/>
  <c r="A71" i="95"/>
  <c r="A72" i="95"/>
  <c r="A73" i="95"/>
  <c r="A74" i="95"/>
  <c r="A75" i="95"/>
  <c r="A76" i="95"/>
  <c r="A77" i="95"/>
  <c r="A78" i="95"/>
  <c r="A79" i="95"/>
  <c r="A80" i="95"/>
  <c r="A81" i="95"/>
  <c r="A82" i="95"/>
  <c r="A83" i="95"/>
  <c r="A84" i="95"/>
  <c r="A85" i="95"/>
  <c r="A86" i="95"/>
  <c r="A87" i="95"/>
  <c r="A88" i="95"/>
  <c r="A89" i="95"/>
  <c r="A90" i="95"/>
  <c r="A91" i="95"/>
  <c r="A92" i="95"/>
  <c r="A93" i="95"/>
  <c r="A94" i="95"/>
  <c r="A95" i="95"/>
  <c r="A96" i="95"/>
  <c r="A97" i="95"/>
  <c r="A98" i="95"/>
  <c r="A99" i="95"/>
  <c r="A100" i="95"/>
  <c r="A101" i="95"/>
  <c r="A102" i="95"/>
  <c r="A103" i="95"/>
  <c r="A104" i="95"/>
  <c r="A105" i="95"/>
  <c r="A106" i="95"/>
  <c r="A107" i="95"/>
  <c r="A108" i="95"/>
  <c r="A109" i="95"/>
  <c r="A110" i="95"/>
  <c r="A111" i="95"/>
  <c r="A112" i="95"/>
  <c r="A113" i="95"/>
  <c r="A114" i="95"/>
  <c r="A115" i="95"/>
  <c r="A116" i="95"/>
  <c r="A117" i="95"/>
  <c r="A118" i="95"/>
  <c r="A119" i="95"/>
  <c r="A120" i="95"/>
  <c r="A121" i="95"/>
  <c r="A122" i="95"/>
  <c r="A123" i="95"/>
  <c r="A124" i="95"/>
  <c r="A125" i="95"/>
  <c r="A126" i="95"/>
  <c r="A127" i="95"/>
  <c r="A128" i="95"/>
  <c r="A129" i="95"/>
  <c r="A130" i="95"/>
  <c r="A131" i="95"/>
  <c r="A132" i="95"/>
  <c r="A133" i="95"/>
  <c r="A134" i="95"/>
  <c r="A135" i="95"/>
  <c r="A136" i="95"/>
  <c r="A137" i="95"/>
  <c r="A138" i="95"/>
  <c r="A139" i="95"/>
  <c r="A140" i="95"/>
  <c r="A141" i="95"/>
  <c r="A142" i="95"/>
  <c r="A143" i="95"/>
  <c r="A144" i="95"/>
  <c r="A145" i="95"/>
  <c r="A146" i="95"/>
  <c r="A147" i="95"/>
  <c r="A148" i="95"/>
  <c r="A149" i="95"/>
  <c r="A150" i="95"/>
  <c r="A151" i="95"/>
  <c r="A152" i="95"/>
  <c r="A153" i="95"/>
  <c r="A154" i="95"/>
  <c r="A155" i="95"/>
  <c r="A156" i="95"/>
  <c r="A157" i="95"/>
  <c r="A158" i="95"/>
  <c r="A159" i="95"/>
  <c r="A160" i="95"/>
  <c r="A161" i="95"/>
  <c r="A162" i="95"/>
  <c r="A163" i="95"/>
  <c r="A164" i="95"/>
  <c r="A165" i="95"/>
  <c r="A166" i="95"/>
  <c r="A167" i="95"/>
  <c r="A168" i="95"/>
  <c r="A169" i="95"/>
  <c r="A170" i="95"/>
  <c r="A171" i="95"/>
  <c r="A172" i="95"/>
  <c r="A173" i="95"/>
  <c r="A174" i="95"/>
  <c r="A175" i="95"/>
  <c r="A176" i="95"/>
  <c r="A177" i="95"/>
  <c r="A178" i="95"/>
  <c r="A6" i="95"/>
  <c r="A107" i="198"/>
  <c r="E99" i="198"/>
  <c r="A185" i="198"/>
  <c r="AF185" i="198" s="1"/>
  <c r="A101" i="198"/>
  <c r="Y101" i="198" s="1"/>
  <c r="A102" i="198"/>
  <c r="Y102" i="198" s="1"/>
  <c r="A103" i="198"/>
  <c r="A104" i="198"/>
  <c r="Y104" i="198" s="1"/>
  <c r="A105" i="198"/>
  <c r="A106" i="198"/>
  <c r="Y106" i="198" s="1"/>
  <c r="A108" i="198"/>
  <c r="G108" i="198" s="1"/>
  <c r="A109" i="198"/>
  <c r="AE109" i="198" s="1"/>
  <c r="A110" i="198"/>
  <c r="AE110" i="198" s="1"/>
  <c r="A111" i="198"/>
  <c r="A112" i="198"/>
  <c r="Z112" i="198" s="1"/>
  <c r="A113" i="198"/>
  <c r="Z113" i="198" s="1"/>
  <c r="A114" i="198"/>
  <c r="A115" i="198"/>
  <c r="AE115" i="198" s="1"/>
  <c r="A116" i="198"/>
  <c r="Z116" i="198" s="1"/>
  <c r="A117" i="198"/>
  <c r="A118" i="198"/>
  <c r="AE118" i="198" s="1"/>
  <c r="A119" i="198"/>
  <c r="Z119" i="198" s="1"/>
  <c r="A120" i="198"/>
  <c r="AF120" i="198" s="1"/>
  <c r="A121" i="198"/>
  <c r="Y121" i="198" s="1"/>
  <c r="A122" i="198"/>
  <c r="Y122" i="198" s="1"/>
  <c r="A123" i="198"/>
  <c r="A124" i="198"/>
  <c r="A125" i="198"/>
  <c r="A126" i="198"/>
  <c r="Y126" i="198" s="1"/>
  <c r="A127" i="198"/>
  <c r="A128" i="198"/>
  <c r="A129" i="198"/>
  <c r="Z129" i="198" s="1"/>
  <c r="A130" i="198"/>
  <c r="Y130" i="198" s="1"/>
  <c r="A131" i="198"/>
  <c r="AE131" i="198" s="1"/>
  <c r="A132" i="198"/>
  <c r="Y132" i="198" s="1"/>
  <c r="A133" i="198"/>
  <c r="A134" i="198"/>
  <c r="A135" i="198"/>
  <c r="AE135" i="198" s="1"/>
  <c r="A136" i="198"/>
  <c r="Y136" i="198" s="1"/>
  <c r="A137" i="198"/>
  <c r="Y137" i="198" s="1"/>
  <c r="A138" i="198"/>
  <c r="AE138" i="198" s="1"/>
  <c r="A139" i="198"/>
  <c r="AE139" i="198" s="1"/>
  <c r="A140" i="198"/>
  <c r="AE140" i="198" s="1"/>
  <c r="A141" i="198"/>
  <c r="A142" i="198"/>
  <c r="A143" i="198"/>
  <c r="AE143" i="198" s="1"/>
  <c r="A144" i="198"/>
  <c r="Z144" i="198" s="1"/>
  <c r="A145" i="198"/>
  <c r="AE145" i="198" s="1"/>
  <c r="A146" i="198"/>
  <c r="AE146" i="198" s="1"/>
  <c r="A147" i="198"/>
  <c r="AE147" i="198" s="1"/>
  <c r="A148" i="198"/>
  <c r="Y148" i="198" s="1"/>
  <c r="A149" i="198"/>
  <c r="S149" i="198" s="1"/>
  <c r="A150" i="198"/>
  <c r="S150" i="198" s="1"/>
  <c r="A151" i="198"/>
  <c r="AE151" i="198" s="1"/>
  <c r="A152" i="198"/>
  <c r="AE152" i="198" s="1"/>
  <c r="A153" i="198"/>
  <c r="A154" i="198"/>
  <c r="Z154" i="198" s="1"/>
  <c r="A155" i="198"/>
  <c r="Y155" i="198" s="1"/>
  <c r="A156" i="198"/>
  <c r="Z156" i="198" s="1"/>
  <c r="A157" i="198"/>
  <c r="AE157" i="198" s="1"/>
  <c r="A158" i="198"/>
  <c r="AE158" i="198" s="1"/>
  <c r="A159" i="198"/>
  <c r="N159" i="198" s="1"/>
  <c r="A160" i="198"/>
  <c r="A161" i="198"/>
  <c r="A162" i="198"/>
  <c r="A163" i="198"/>
  <c r="AE163" i="198" s="1"/>
  <c r="A164" i="198"/>
  <c r="A165" i="198"/>
  <c r="Y165" i="198" s="1"/>
  <c r="A166" i="198"/>
  <c r="AE166" i="198" s="1"/>
  <c r="A167" i="198"/>
  <c r="A168" i="198"/>
  <c r="A169" i="198"/>
  <c r="Z169" i="198" s="1"/>
  <c r="A170" i="198"/>
  <c r="A171" i="198"/>
  <c r="H171" i="198" s="1"/>
  <c r="A172" i="198"/>
  <c r="AE172" i="198" s="1"/>
  <c r="A173" i="198"/>
  <c r="AE173" i="198" s="1"/>
  <c r="A174" i="198"/>
  <c r="Z174" i="198" s="1"/>
  <c r="A175" i="198"/>
  <c r="Y175" i="198" s="1"/>
  <c r="A176" i="198"/>
  <c r="AF176" i="198" s="1"/>
  <c r="A177" i="198"/>
  <c r="Z177" i="198" s="1"/>
  <c r="A178" i="198"/>
  <c r="S178" i="198" s="1"/>
  <c r="A179" i="198"/>
  <c r="A180" i="198"/>
  <c r="A181" i="198"/>
  <c r="A182" i="198"/>
  <c r="A183" i="198"/>
  <c r="A184" i="198"/>
  <c r="T184" i="198" s="1"/>
  <c r="A98" i="198"/>
  <c r="K98" i="198" s="1"/>
  <c r="A99" i="198"/>
  <c r="W99" i="198" s="1"/>
  <c r="A100" i="198"/>
  <c r="A97" i="198"/>
  <c r="A95" i="198"/>
  <c r="A96" i="198"/>
  <c r="A9" i="198"/>
  <c r="A10" i="198"/>
  <c r="W10" i="198" s="1"/>
  <c r="A11" i="198"/>
  <c r="Q11" i="198" s="1"/>
  <c r="A12" i="198"/>
  <c r="Q12" i="198" s="1"/>
  <c r="A13" i="198"/>
  <c r="AM13" i="198" s="1"/>
  <c r="A14" i="198"/>
  <c r="AI14" i="198" s="1"/>
  <c r="A15" i="198"/>
  <c r="AC15" i="198" s="1"/>
  <c r="A16" i="198"/>
  <c r="A17" i="198"/>
  <c r="Q17" i="198" s="1"/>
  <c r="A18" i="198"/>
  <c r="A19" i="198"/>
  <c r="A20" i="198"/>
  <c r="AI20" i="198" s="1"/>
  <c r="A21" i="198"/>
  <c r="A22" i="198"/>
  <c r="Q22" i="198" s="1"/>
  <c r="A23" i="198"/>
  <c r="AI23" i="198" s="1"/>
  <c r="A24" i="198"/>
  <c r="W24" i="198" s="1"/>
  <c r="A25" i="198"/>
  <c r="AC25" i="198" s="1"/>
  <c r="A26" i="198"/>
  <c r="K26" i="198" s="1"/>
  <c r="A27" i="198"/>
  <c r="A28" i="198"/>
  <c r="Q28" i="198" s="1"/>
  <c r="A29" i="198"/>
  <c r="Q29" i="198" s="1"/>
  <c r="A30" i="198"/>
  <c r="A31" i="198"/>
  <c r="AC31" i="198" s="1"/>
  <c r="A32" i="198"/>
  <c r="K32" i="198" s="1"/>
  <c r="A33" i="198"/>
  <c r="A34" i="198"/>
  <c r="A35" i="198"/>
  <c r="AC35" i="198" s="1"/>
  <c r="A36" i="198"/>
  <c r="AI36" i="198" s="1"/>
  <c r="A37" i="198"/>
  <c r="AI37" i="198" s="1"/>
  <c r="A38" i="198"/>
  <c r="A39" i="198"/>
  <c r="A40" i="198"/>
  <c r="A41" i="198"/>
  <c r="A42" i="198"/>
  <c r="A43" i="198"/>
  <c r="Q43" i="198" s="1"/>
  <c r="A44" i="198"/>
  <c r="A45" i="198"/>
  <c r="W45" i="198" s="1"/>
  <c r="A46" i="198"/>
  <c r="K46" i="198" s="1"/>
  <c r="A47" i="198"/>
  <c r="AI47" i="198" s="1"/>
  <c r="A48" i="198"/>
  <c r="K48" i="198" s="1"/>
  <c r="A49" i="198"/>
  <c r="K49" i="198" s="1"/>
  <c r="A50" i="198"/>
  <c r="A51" i="198"/>
  <c r="AC51" i="198" s="1"/>
  <c r="A52" i="198"/>
  <c r="AC52" i="198" s="1"/>
  <c r="A53" i="198"/>
  <c r="A54" i="198"/>
  <c r="AC54" i="198" s="1"/>
  <c r="A55" i="198"/>
  <c r="A56" i="198"/>
  <c r="A57" i="198"/>
  <c r="A58" i="198"/>
  <c r="AI58" i="198" s="1"/>
  <c r="A59" i="198"/>
  <c r="Q59" i="198" s="1"/>
  <c r="A60" i="198"/>
  <c r="W60" i="198" s="1"/>
  <c r="A61" i="198"/>
  <c r="W61" i="198" s="1"/>
  <c r="A62" i="198"/>
  <c r="W62" i="198" s="1"/>
  <c r="A63" i="198"/>
  <c r="Q63" i="198" s="1"/>
  <c r="A64" i="198"/>
  <c r="W64" i="198" s="1"/>
  <c r="A65" i="198"/>
  <c r="W65" i="198" s="1"/>
  <c r="A66" i="198"/>
  <c r="AC66" i="198" s="1"/>
  <c r="A67" i="198"/>
  <c r="A68" i="198"/>
  <c r="A69" i="198"/>
  <c r="A70" i="198"/>
  <c r="A71" i="198"/>
  <c r="AC71" i="198" s="1"/>
  <c r="A72" i="198"/>
  <c r="A73" i="198"/>
  <c r="Q73" i="198" s="1"/>
  <c r="A74" i="198"/>
  <c r="AI74" i="198" s="1"/>
  <c r="A75" i="198"/>
  <c r="AI75" i="198" s="1"/>
  <c r="A76" i="198"/>
  <c r="W76" i="198" s="1"/>
  <c r="A77" i="198"/>
  <c r="A78" i="198"/>
  <c r="Q78" i="198" s="1"/>
  <c r="A79" i="198"/>
  <c r="K79" i="198" s="1"/>
  <c r="A80" i="198"/>
  <c r="W80" i="198" s="1"/>
  <c r="A81" i="198"/>
  <c r="Q81" i="198" s="1"/>
  <c r="A82" i="198"/>
  <c r="A83" i="198"/>
  <c r="A84" i="198"/>
  <c r="AI84" i="198" s="1"/>
  <c r="A85" i="198"/>
  <c r="A86" i="198"/>
  <c r="A87" i="198"/>
  <c r="AI87" i="198" s="1"/>
  <c r="A88" i="198"/>
  <c r="W88" i="198" s="1"/>
  <c r="A89" i="198"/>
  <c r="K89" i="198" s="1"/>
  <c r="A90" i="198"/>
  <c r="A91" i="198"/>
  <c r="A92" i="198"/>
  <c r="A93" i="198"/>
  <c r="W93" i="198" s="1"/>
  <c r="A94" i="198"/>
  <c r="AC94" i="198" s="1"/>
  <c r="A8" i="198"/>
  <c r="K8" i="198" s="1"/>
  <c r="D181" i="39"/>
  <c r="E93" i="39"/>
  <c r="D93" i="39"/>
  <c r="D92" i="39"/>
  <c r="E39" i="39"/>
  <c r="D39" i="39"/>
  <c r="E40" i="39"/>
  <c r="D40" i="39"/>
  <c r="E4" i="39"/>
  <c r="D4" i="39"/>
  <c r="R83" i="199"/>
  <c r="S96" i="199"/>
  <c r="R96" i="199"/>
  <c r="S95" i="199"/>
  <c r="R95" i="199"/>
  <c r="S94" i="199"/>
  <c r="R94" i="199"/>
  <c r="S93" i="199"/>
  <c r="R93" i="199"/>
  <c r="S92" i="199"/>
  <c r="R92" i="199"/>
  <c r="S91" i="199"/>
  <c r="R91" i="199"/>
  <c r="S90" i="199"/>
  <c r="R90" i="199"/>
  <c r="S89" i="199"/>
  <c r="R89" i="199"/>
  <c r="S88" i="199"/>
  <c r="R88" i="199"/>
  <c r="S87" i="199"/>
  <c r="R87" i="199"/>
  <c r="S86" i="199"/>
  <c r="R86" i="199"/>
  <c r="S85" i="199"/>
  <c r="R85" i="199"/>
  <c r="S84" i="199"/>
  <c r="R84" i="199"/>
  <c r="S83" i="199"/>
  <c r="S82" i="199"/>
  <c r="R82" i="199"/>
  <c r="S81" i="199"/>
  <c r="R81" i="199"/>
  <c r="S80" i="199"/>
  <c r="R80" i="199"/>
  <c r="S79" i="199"/>
  <c r="R79" i="199"/>
  <c r="S78" i="199"/>
  <c r="R78" i="199"/>
  <c r="S77" i="199"/>
  <c r="R77" i="199"/>
  <c r="S76" i="199"/>
  <c r="R76" i="199"/>
  <c r="S75" i="199"/>
  <c r="R75" i="199"/>
  <c r="S74" i="199"/>
  <c r="R74" i="199"/>
  <c r="S73" i="199"/>
  <c r="R73" i="199"/>
  <c r="S72" i="199"/>
  <c r="R72" i="199"/>
  <c r="S71" i="199"/>
  <c r="R71" i="199"/>
  <c r="S70" i="199"/>
  <c r="R70" i="199"/>
  <c r="S69" i="199"/>
  <c r="R69" i="199"/>
  <c r="S68" i="199"/>
  <c r="R68" i="199"/>
  <c r="S67" i="199"/>
  <c r="R67" i="199"/>
  <c r="S66" i="199"/>
  <c r="R66" i="199"/>
  <c r="S65" i="199"/>
  <c r="R65" i="199"/>
  <c r="S64" i="199"/>
  <c r="R64" i="199"/>
  <c r="S63" i="199"/>
  <c r="R63" i="199"/>
  <c r="S62" i="199"/>
  <c r="R62" i="199"/>
  <c r="S61" i="199"/>
  <c r="R61" i="199"/>
  <c r="S60" i="199"/>
  <c r="R60" i="199"/>
  <c r="S59" i="199"/>
  <c r="R59" i="199"/>
  <c r="S58" i="199"/>
  <c r="R58" i="199"/>
  <c r="S57" i="199"/>
  <c r="R57" i="199"/>
  <c r="S56" i="199"/>
  <c r="R56" i="199"/>
  <c r="S55" i="199"/>
  <c r="R55" i="199"/>
  <c r="S54" i="199"/>
  <c r="R54" i="199"/>
  <c r="S53" i="199"/>
  <c r="R53" i="199"/>
  <c r="S52" i="199"/>
  <c r="R52" i="199"/>
  <c r="S51" i="199"/>
  <c r="R51" i="199"/>
  <c r="S50" i="199"/>
  <c r="R50" i="199"/>
  <c r="S49" i="199"/>
  <c r="R49" i="199"/>
  <c r="S48" i="199"/>
  <c r="R48" i="199"/>
  <c r="S47" i="199"/>
  <c r="R47" i="199"/>
  <c r="S46" i="199"/>
  <c r="R46" i="199"/>
  <c r="S45" i="199"/>
  <c r="R45" i="199"/>
  <c r="S44" i="199"/>
  <c r="R44" i="199"/>
  <c r="S43" i="199"/>
  <c r="R43" i="199"/>
  <c r="S42" i="199"/>
  <c r="R42" i="199"/>
  <c r="S41" i="199"/>
  <c r="R41" i="199"/>
  <c r="S40" i="199"/>
  <c r="R40" i="199"/>
  <c r="S39" i="199"/>
  <c r="R39" i="199"/>
  <c r="S38" i="199"/>
  <c r="R38" i="199"/>
  <c r="S37" i="199"/>
  <c r="R37" i="199"/>
  <c r="S36" i="199"/>
  <c r="R36" i="199"/>
  <c r="S35" i="199"/>
  <c r="R35" i="199"/>
  <c r="S34" i="199"/>
  <c r="R34" i="199"/>
  <c r="S33" i="199"/>
  <c r="R33" i="199"/>
  <c r="S32" i="199"/>
  <c r="R32" i="199"/>
  <c r="S31" i="199"/>
  <c r="R31" i="199"/>
  <c r="S30" i="199"/>
  <c r="R30" i="199"/>
  <c r="S29" i="199"/>
  <c r="R29" i="199"/>
  <c r="S28" i="199"/>
  <c r="R28" i="199"/>
  <c r="S27" i="199"/>
  <c r="R27" i="199"/>
  <c r="S26" i="199"/>
  <c r="R26" i="199"/>
  <c r="S25" i="199"/>
  <c r="R25" i="199"/>
  <c r="S24" i="199"/>
  <c r="R24" i="199"/>
  <c r="S23" i="199"/>
  <c r="R23" i="199"/>
  <c r="S22" i="199"/>
  <c r="R22" i="199"/>
  <c r="S21" i="199"/>
  <c r="R21" i="199"/>
  <c r="S20" i="199"/>
  <c r="R20" i="199"/>
  <c r="S19" i="199"/>
  <c r="R19" i="199"/>
  <c r="S18" i="199"/>
  <c r="R18" i="199"/>
  <c r="S17" i="199"/>
  <c r="R17" i="199"/>
  <c r="S16" i="199"/>
  <c r="R16" i="199"/>
  <c r="S15" i="199"/>
  <c r="R15" i="199"/>
  <c r="S14" i="199"/>
  <c r="R14" i="199"/>
  <c r="S13" i="199"/>
  <c r="R13" i="199"/>
  <c r="S12" i="199"/>
  <c r="R12" i="199"/>
  <c r="S11" i="199"/>
  <c r="R11" i="199"/>
  <c r="S10" i="199"/>
  <c r="R10" i="199"/>
  <c r="S9" i="199"/>
  <c r="R9" i="199"/>
  <c r="S8" i="199"/>
  <c r="R8" i="199"/>
  <c r="S7" i="199"/>
  <c r="R7" i="199"/>
  <c r="S6" i="199"/>
  <c r="R6" i="199"/>
  <c r="R1" i="199" s="1"/>
  <c r="S5" i="199"/>
  <c r="S1" i="199" s="1"/>
  <c r="R5" i="199"/>
  <c r="R3" i="199"/>
  <c r="S3" i="199" s="1"/>
  <c r="P96" i="199"/>
  <c r="O96" i="199"/>
  <c r="P95" i="199"/>
  <c r="O95" i="199"/>
  <c r="P94" i="199"/>
  <c r="O94" i="199"/>
  <c r="P93" i="199"/>
  <c r="O93" i="199"/>
  <c r="P92" i="199"/>
  <c r="O92" i="199"/>
  <c r="P91" i="199"/>
  <c r="O91" i="199"/>
  <c r="P90" i="199"/>
  <c r="O90" i="199"/>
  <c r="P89" i="199"/>
  <c r="O89" i="199"/>
  <c r="P88" i="199"/>
  <c r="O88" i="199"/>
  <c r="P87" i="199"/>
  <c r="O87" i="199"/>
  <c r="P86" i="199"/>
  <c r="O86" i="199"/>
  <c r="P85" i="199"/>
  <c r="O85" i="199"/>
  <c r="P84" i="199"/>
  <c r="O84" i="199"/>
  <c r="P83" i="199"/>
  <c r="O83" i="199"/>
  <c r="P82" i="199"/>
  <c r="O82" i="199"/>
  <c r="P81" i="199"/>
  <c r="O81" i="199"/>
  <c r="P80" i="199"/>
  <c r="O80" i="199"/>
  <c r="P79" i="199"/>
  <c r="O79" i="199"/>
  <c r="P78" i="199"/>
  <c r="O78" i="199"/>
  <c r="P77" i="199"/>
  <c r="O77" i="199"/>
  <c r="P76" i="199"/>
  <c r="O76" i="199"/>
  <c r="P75" i="199"/>
  <c r="O75" i="199"/>
  <c r="P74" i="199"/>
  <c r="O74" i="199"/>
  <c r="P73" i="199"/>
  <c r="O73" i="199"/>
  <c r="P72" i="199"/>
  <c r="O72" i="199"/>
  <c r="P71" i="199"/>
  <c r="O71" i="199"/>
  <c r="P70" i="199"/>
  <c r="O70" i="199"/>
  <c r="P69" i="199"/>
  <c r="O69" i="199"/>
  <c r="P68" i="199"/>
  <c r="O68" i="199"/>
  <c r="P67" i="199"/>
  <c r="O67" i="199"/>
  <c r="P66" i="199"/>
  <c r="O66" i="199"/>
  <c r="P65" i="199"/>
  <c r="O65" i="199"/>
  <c r="P64" i="199"/>
  <c r="O64" i="199"/>
  <c r="P63" i="199"/>
  <c r="O63" i="199"/>
  <c r="P62" i="199"/>
  <c r="O62" i="199"/>
  <c r="P61" i="199"/>
  <c r="O61" i="199"/>
  <c r="P60" i="199"/>
  <c r="O60" i="199"/>
  <c r="P59" i="199"/>
  <c r="O59" i="199"/>
  <c r="P58" i="199"/>
  <c r="O58" i="199"/>
  <c r="P57" i="199"/>
  <c r="O57" i="199"/>
  <c r="P56" i="199"/>
  <c r="O56" i="199"/>
  <c r="P55" i="199"/>
  <c r="O55" i="199"/>
  <c r="P54" i="199"/>
  <c r="O54" i="199"/>
  <c r="P53" i="199"/>
  <c r="O53" i="199"/>
  <c r="P52" i="199"/>
  <c r="O52" i="199"/>
  <c r="P51" i="199"/>
  <c r="O51" i="199"/>
  <c r="P50" i="199"/>
  <c r="O50" i="199"/>
  <c r="P49" i="199"/>
  <c r="O49" i="199"/>
  <c r="P48" i="199"/>
  <c r="O48" i="199"/>
  <c r="P47" i="199"/>
  <c r="O47" i="199"/>
  <c r="P46" i="199"/>
  <c r="O46" i="199"/>
  <c r="P45" i="199"/>
  <c r="O45" i="199"/>
  <c r="P44" i="199"/>
  <c r="O44" i="199"/>
  <c r="P43" i="199"/>
  <c r="O43" i="199"/>
  <c r="P42" i="199"/>
  <c r="O42" i="199"/>
  <c r="P41" i="199"/>
  <c r="O41" i="199"/>
  <c r="P40" i="199"/>
  <c r="O40" i="199"/>
  <c r="P39" i="199"/>
  <c r="O39" i="199"/>
  <c r="P38" i="199"/>
  <c r="O38" i="199"/>
  <c r="P37" i="199"/>
  <c r="O37" i="199"/>
  <c r="P36" i="199"/>
  <c r="O36" i="199"/>
  <c r="P35" i="199"/>
  <c r="O35" i="199"/>
  <c r="P34" i="199"/>
  <c r="O34" i="199"/>
  <c r="P33" i="199"/>
  <c r="O33" i="199"/>
  <c r="P32" i="199"/>
  <c r="O32" i="199"/>
  <c r="P31" i="199"/>
  <c r="O31" i="199"/>
  <c r="P30" i="199"/>
  <c r="O30" i="199"/>
  <c r="P29" i="199"/>
  <c r="O29" i="199"/>
  <c r="P28" i="199"/>
  <c r="O28" i="199"/>
  <c r="P27" i="199"/>
  <c r="O27" i="199"/>
  <c r="P26" i="199"/>
  <c r="O26" i="199"/>
  <c r="P25" i="199"/>
  <c r="O25" i="199"/>
  <c r="P24" i="199"/>
  <c r="O24" i="199"/>
  <c r="P23" i="199"/>
  <c r="O23" i="199"/>
  <c r="P22" i="199"/>
  <c r="O22" i="199"/>
  <c r="P21" i="199"/>
  <c r="O21" i="199"/>
  <c r="P20" i="199"/>
  <c r="O20" i="199"/>
  <c r="P19" i="199"/>
  <c r="O19" i="199"/>
  <c r="P18" i="199"/>
  <c r="O18" i="199"/>
  <c r="P17" i="199"/>
  <c r="O17" i="199"/>
  <c r="P16" i="199"/>
  <c r="O16" i="199"/>
  <c r="P15" i="199"/>
  <c r="O15" i="199"/>
  <c r="P14" i="199"/>
  <c r="O14" i="199"/>
  <c r="P13" i="199"/>
  <c r="O13" i="199"/>
  <c r="P12" i="199"/>
  <c r="O12" i="199"/>
  <c r="P11" i="199"/>
  <c r="O11" i="199"/>
  <c r="P10" i="199"/>
  <c r="O10" i="199"/>
  <c r="P9" i="199"/>
  <c r="O9" i="199"/>
  <c r="P8" i="199"/>
  <c r="O8" i="199"/>
  <c r="P7" i="199"/>
  <c r="O7" i="199"/>
  <c r="P6" i="199"/>
  <c r="O6" i="199"/>
  <c r="P5" i="199"/>
  <c r="P1" i="199" s="1"/>
  <c r="O5" i="199"/>
  <c r="O1" i="199" s="1"/>
  <c r="O3" i="199"/>
  <c r="P3" i="199" s="1"/>
  <c r="M96" i="199"/>
  <c r="L96" i="199"/>
  <c r="M95" i="199"/>
  <c r="L95" i="199"/>
  <c r="M94" i="199"/>
  <c r="L94" i="199"/>
  <c r="M93" i="199"/>
  <c r="L93" i="199"/>
  <c r="M92" i="199"/>
  <c r="L92" i="199"/>
  <c r="M91" i="199"/>
  <c r="L91" i="199"/>
  <c r="M90" i="199"/>
  <c r="L90" i="199"/>
  <c r="M89" i="199"/>
  <c r="L89" i="199"/>
  <c r="M88" i="199"/>
  <c r="L88" i="199"/>
  <c r="M87" i="199"/>
  <c r="L87" i="199"/>
  <c r="M86" i="199"/>
  <c r="L86" i="199"/>
  <c r="M85" i="199"/>
  <c r="L85" i="199"/>
  <c r="M84" i="199"/>
  <c r="L84" i="199"/>
  <c r="M83" i="199"/>
  <c r="L83" i="199"/>
  <c r="M82" i="199"/>
  <c r="L82" i="199"/>
  <c r="M81" i="199"/>
  <c r="L81" i="199"/>
  <c r="M80" i="199"/>
  <c r="L80" i="199"/>
  <c r="M79" i="199"/>
  <c r="L79" i="199"/>
  <c r="M78" i="199"/>
  <c r="L78" i="199"/>
  <c r="M77" i="199"/>
  <c r="L77" i="199"/>
  <c r="M76" i="199"/>
  <c r="L76" i="199"/>
  <c r="M75" i="199"/>
  <c r="L75" i="199"/>
  <c r="M74" i="199"/>
  <c r="L74" i="199"/>
  <c r="M73" i="199"/>
  <c r="L73" i="199"/>
  <c r="M72" i="199"/>
  <c r="L72" i="199"/>
  <c r="M71" i="199"/>
  <c r="L71" i="199"/>
  <c r="M70" i="199"/>
  <c r="L70" i="199"/>
  <c r="M69" i="199"/>
  <c r="L69" i="199"/>
  <c r="M68" i="199"/>
  <c r="L68" i="199"/>
  <c r="M67" i="199"/>
  <c r="L67" i="199"/>
  <c r="M66" i="199"/>
  <c r="L66" i="199"/>
  <c r="M65" i="199"/>
  <c r="L65" i="199"/>
  <c r="M64" i="199"/>
  <c r="L64" i="199"/>
  <c r="M63" i="199"/>
  <c r="L63" i="199"/>
  <c r="M62" i="199"/>
  <c r="L62" i="199"/>
  <c r="M61" i="199"/>
  <c r="L61" i="199"/>
  <c r="M60" i="199"/>
  <c r="L60" i="199"/>
  <c r="M59" i="199"/>
  <c r="L59" i="199"/>
  <c r="M58" i="199"/>
  <c r="L58" i="199"/>
  <c r="M57" i="199"/>
  <c r="L57" i="199"/>
  <c r="M56" i="199"/>
  <c r="L56" i="199"/>
  <c r="M55" i="199"/>
  <c r="L55" i="199"/>
  <c r="M54" i="199"/>
  <c r="L54" i="199"/>
  <c r="M53" i="199"/>
  <c r="L53" i="199"/>
  <c r="M52" i="199"/>
  <c r="L52" i="199"/>
  <c r="M51" i="199"/>
  <c r="L51" i="199"/>
  <c r="M50" i="199"/>
  <c r="L50" i="199"/>
  <c r="M49" i="199"/>
  <c r="L49" i="199"/>
  <c r="M48" i="199"/>
  <c r="L48" i="199"/>
  <c r="M47" i="199"/>
  <c r="L47" i="199"/>
  <c r="M46" i="199"/>
  <c r="L46" i="199"/>
  <c r="M45" i="199"/>
  <c r="L45" i="199"/>
  <c r="M44" i="199"/>
  <c r="L44" i="199"/>
  <c r="M43" i="199"/>
  <c r="L43" i="199"/>
  <c r="M42" i="199"/>
  <c r="L42" i="199"/>
  <c r="M41" i="199"/>
  <c r="L41" i="199"/>
  <c r="M40" i="199"/>
  <c r="L40" i="199"/>
  <c r="M39" i="199"/>
  <c r="L39" i="199"/>
  <c r="M38" i="199"/>
  <c r="L38" i="199"/>
  <c r="M37" i="199"/>
  <c r="L37" i="199"/>
  <c r="M36" i="199"/>
  <c r="L36" i="199"/>
  <c r="M35" i="199"/>
  <c r="L35" i="199"/>
  <c r="M34" i="199"/>
  <c r="L34" i="199"/>
  <c r="M33" i="199"/>
  <c r="L33" i="199"/>
  <c r="M32" i="199"/>
  <c r="L32" i="199"/>
  <c r="M31" i="199"/>
  <c r="L31" i="199"/>
  <c r="M30" i="199"/>
  <c r="L30" i="199"/>
  <c r="M29" i="199"/>
  <c r="L29" i="199"/>
  <c r="M28" i="199"/>
  <c r="L28" i="199"/>
  <c r="M27" i="199"/>
  <c r="L27" i="199"/>
  <c r="M26" i="199"/>
  <c r="L26" i="199"/>
  <c r="M25" i="199"/>
  <c r="L25" i="199"/>
  <c r="M24" i="199"/>
  <c r="L24" i="199"/>
  <c r="M23" i="199"/>
  <c r="L23" i="199"/>
  <c r="M22" i="199"/>
  <c r="L22" i="199"/>
  <c r="M21" i="199"/>
  <c r="L21" i="199"/>
  <c r="M20" i="199"/>
  <c r="L20" i="199"/>
  <c r="M19" i="199"/>
  <c r="L19" i="199"/>
  <c r="M18" i="199"/>
  <c r="L18" i="199"/>
  <c r="M17" i="199"/>
  <c r="L17" i="199"/>
  <c r="M16" i="199"/>
  <c r="L16" i="199"/>
  <c r="M15" i="199"/>
  <c r="L15" i="199"/>
  <c r="M14" i="199"/>
  <c r="L14" i="199"/>
  <c r="M13" i="199"/>
  <c r="M1" i="199" s="1"/>
  <c r="L13" i="199"/>
  <c r="L1" i="199" s="1"/>
  <c r="M12" i="199"/>
  <c r="L12" i="199"/>
  <c r="M11" i="199"/>
  <c r="L11" i="199"/>
  <c r="M10" i="199"/>
  <c r="L10" i="199"/>
  <c r="M9" i="199"/>
  <c r="L9" i="199"/>
  <c r="M8" i="199"/>
  <c r="L8" i="199"/>
  <c r="M7" i="199"/>
  <c r="L7" i="199"/>
  <c r="M6" i="199"/>
  <c r="L6" i="199"/>
  <c r="M5" i="199"/>
  <c r="L5" i="199"/>
  <c r="L3" i="199"/>
  <c r="M3" i="199" s="1"/>
  <c r="J96" i="199"/>
  <c r="I95" i="199"/>
  <c r="I6" i="199"/>
  <c r="J6" i="199"/>
  <c r="I7" i="199"/>
  <c r="J7" i="199"/>
  <c r="I8" i="199"/>
  <c r="J8" i="199"/>
  <c r="I9" i="199"/>
  <c r="J9" i="199"/>
  <c r="I10" i="199"/>
  <c r="J10" i="199"/>
  <c r="I11" i="199"/>
  <c r="J11" i="199"/>
  <c r="I12" i="199"/>
  <c r="J12" i="199"/>
  <c r="I13" i="199"/>
  <c r="J13" i="199"/>
  <c r="I14" i="199"/>
  <c r="J14" i="199"/>
  <c r="I15" i="199"/>
  <c r="I1" i="199" s="1"/>
  <c r="J15" i="199"/>
  <c r="I16" i="199"/>
  <c r="J16" i="199"/>
  <c r="I17" i="199"/>
  <c r="J17" i="199"/>
  <c r="I18" i="199"/>
  <c r="J18" i="199"/>
  <c r="I19" i="199"/>
  <c r="J19" i="199"/>
  <c r="I20" i="199"/>
  <c r="J20" i="199"/>
  <c r="I21" i="199"/>
  <c r="J21" i="199"/>
  <c r="I22" i="199"/>
  <c r="J22" i="199"/>
  <c r="I23" i="199"/>
  <c r="J23" i="199"/>
  <c r="I24" i="199"/>
  <c r="J24" i="199"/>
  <c r="I25" i="199"/>
  <c r="J25" i="199"/>
  <c r="I26" i="199"/>
  <c r="J26" i="199"/>
  <c r="I27" i="199"/>
  <c r="J27" i="199"/>
  <c r="I28" i="199"/>
  <c r="J28" i="199"/>
  <c r="I29" i="199"/>
  <c r="J29" i="199"/>
  <c r="I30" i="199"/>
  <c r="J30" i="199"/>
  <c r="I31" i="199"/>
  <c r="J31" i="199"/>
  <c r="I32" i="199"/>
  <c r="J32" i="199"/>
  <c r="I33" i="199"/>
  <c r="J33" i="199"/>
  <c r="I34" i="199"/>
  <c r="J34" i="199"/>
  <c r="I35" i="199"/>
  <c r="J35" i="199"/>
  <c r="I36" i="199"/>
  <c r="J36" i="199"/>
  <c r="I37" i="199"/>
  <c r="J37" i="199"/>
  <c r="I38" i="199"/>
  <c r="J38" i="199"/>
  <c r="I39" i="199"/>
  <c r="J39" i="199"/>
  <c r="I40" i="199"/>
  <c r="J40" i="199"/>
  <c r="I41" i="199"/>
  <c r="J41" i="199"/>
  <c r="I42" i="199"/>
  <c r="J42" i="199"/>
  <c r="I43" i="199"/>
  <c r="J43" i="199"/>
  <c r="I44" i="199"/>
  <c r="J44" i="199"/>
  <c r="I45" i="199"/>
  <c r="J45" i="199"/>
  <c r="I46" i="199"/>
  <c r="J46" i="199"/>
  <c r="I47" i="199"/>
  <c r="J47" i="199"/>
  <c r="I48" i="199"/>
  <c r="J48" i="199"/>
  <c r="I49" i="199"/>
  <c r="J49" i="199"/>
  <c r="I50" i="199"/>
  <c r="J50" i="199"/>
  <c r="I51" i="199"/>
  <c r="J51" i="199"/>
  <c r="I52" i="199"/>
  <c r="J52" i="199"/>
  <c r="J53" i="199"/>
  <c r="I54" i="199"/>
  <c r="J54" i="199"/>
  <c r="I55" i="199"/>
  <c r="J55" i="199"/>
  <c r="I56" i="199"/>
  <c r="J56" i="199"/>
  <c r="I57" i="199"/>
  <c r="J57" i="199"/>
  <c r="I58" i="199"/>
  <c r="J58" i="199"/>
  <c r="I59" i="199"/>
  <c r="J59" i="199"/>
  <c r="I60" i="199"/>
  <c r="J60" i="199"/>
  <c r="I61" i="199"/>
  <c r="J61" i="199"/>
  <c r="I62" i="199"/>
  <c r="J62" i="199"/>
  <c r="I63" i="199"/>
  <c r="J63" i="199"/>
  <c r="I64" i="199"/>
  <c r="J64" i="199"/>
  <c r="I65" i="199"/>
  <c r="J65" i="199"/>
  <c r="I66" i="199"/>
  <c r="J66" i="199"/>
  <c r="I67" i="199"/>
  <c r="J67" i="199"/>
  <c r="I68" i="199"/>
  <c r="J68" i="199"/>
  <c r="I69" i="199"/>
  <c r="J69" i="199"/>
  <c r="I70" i="199"/>
  <c r="J70" i="199"/>
  <c r="I71" i="199"/>
  <c r="J71" i="199"/>
  <c r="I72" i="199"/>
  <c r="J72" i="199"/>
  <c r="I73" i="199"/>
  <c r="J73" i="199"/>
  <c r="I74" i="199"/>
  <c r="J74" i="199"/>
  <c r="I75" i="199"/>
  <c r="J75" i="199"/>
  <c r="I76" i="199"/>
  <c r="J76" i="199"/>
  <c r="I77" i="199"/>
  <c r="J77" i="199"/>
  <c r="I78" i="199"/>
  <c r="J78" i="199"/>
  <c r="I79" i="199"/>
  <c r="J79" i="199"/>
  <c r="I80" i="199"/>
  <c r="J80" i="199"/>
  <c r="I81" i="199"/>
  <c r="J81" i="199"/>
  <c r="I82" i="199"/>
  <c r="J82" i="199"/>
  <c r="I83" i="199"/>
  <c r="J83" i="199"/>
  <c r="I84" i="199"/>
  <c r="J84" i="199"/>
  <c r="I85" i="199"/>
  <c r="J85" i="199"/>
  <c r="I86" i="199"/>
  <c r="J86" i="199"/>
  <c r="I87" i="199"/>
  <c r="J87" i="199"/>
  <c r="I88" i="199"/>
  <c r="J88" i="199"/>
  <c r="I89" i="199"/>
  <c r="J89" i="199"/>
  <c r="I90" i="199"/>
  <c r="J90" i="199"/>
  <c r="I91" i="199"/>
  <c r="J91" i="199"/>
  <c r="I92" i="199"/>
  <c r="J92" i="199"/>
  <c r="I93" i="199"/>
  <c r="J93" i="199"/>
  <c r="I94" i="199"/>
  <c r="J94" i="199"/>
  <c r="J95" i="199"/>
  <c r="I96" i="199"/>
  <c r="J5" i="199"/>
  <c r="I5" i="199"/>
  <c r="I3" i="199"/>
  <c r="J3" i="199"/>
  <c r="F97" i="199"/>
  <c r="G97" i="199"/>
  <c r="F98" i="199"/>
  <c r="G98" i="199"/>
  <c r="F99" i="199"/>
  <c r="G99" i="199"/>
  <c r="F100" i="199"/>
  <c r="G100" i="199"/>
  <c r="F101" i="199"/>
  <c r="G101" i="199"/>
  <c r="F102" i="199"/>
  <c r="G102" i="199"/>
  <c r="F103" i="199"/>
  <c r="G103" i="199"/>
  <c r="F104" i="199"/>
  <c r="G104" i="199"/>
  <c r="F105" i="199"/>
  <c r="G105" i="199"/>
  <c r="F106" i="199"/>
  <c r="G106" i="199"/>
  <c r="F107" i="199"/>
  <c r="G107" i="199"/>
  <c r="F108" i="199"/>
  <c r="G108" i="199"/>
  <c r="F109" i="199"/>
  <c r="G109" i="199"/>
  <c r="F110" i="199"/>
  <c r="G110" i="199"/>
  <c r="F111" i="199"/>
  <c r="G111" i="199"/>
  <c r="F112" i="199"/>
  <c r="G112" i="199"/>
  <c r="F113" i="199"/>
  <c r="G113" i="199"/>
  <c r="F114" i="199"/>
  <c r="G114" i="199"/>
  <c r="F115" i="199"/>
  <c r="G115" i="199"/>
  <c r="F116" i="199"/>
  <c r="G116" i="199"/>
  <c r="F117" i="199"/>
  <c r="G117" i="199"/>
  <c r="F118" i="199"/>
  <c r="G118" i="199"/>
  <c r="F119" i="199"/>
  <c r="G119" i="199"/>
  <c r="F120" i="199"/>
  <c r="G120" i="199"/>
  <c r="F121" i="199"/>
  <c r="G121" i="199"/>
  <c r="F122" i="199"/>
  <c r="G122" i="199"/>
  <c r="F123" i="199"/>
  <c r="G123" i="199"/>
  <c r="F124" i="199"/>
  <c r="G124" i="199"/>
  <c r="F125" i="199"/>
  <c r="G125" i="199"/>
  <c r="F126" i="199"/>
  <c r="G126" i="199"/>
  <c r="F127" i="199"/>
  <c r="G127" i="199"/>
  <c r="F128" i="199"/>
  <c r="G128" i="199"/>
  <c r="F129" i="199"/>
  <c r="G129" i="199"/>
  <c r="F130" i="199"/>
  <c r="G130" i="199"/>
  <c r="F131" i="199"/>
  <c r="G131" i="199"/>
  <c r="F132" i="199"/>
  <c r="G132" i="199"/>
  <c r="F133" i="199"/>
  <c r="G133" i="199"/>
  <c r="F134" i="199"/>
  <c r="G134" i="199"/>
  <c r="F135" i="199"/>
  <c r="G135" i="199"/>
  <c r="F136" i="199"/>
  <c r="G136" i="199"/>
  <c r="F137" i="199"/>
  <c r="G137" i="199"/>
  <c r="F138" i="199"/>
  <c r="G138" i="199"/>
  <c r="F139" i="199"/>
  <c r="G139" i="199"/>
  <c r="F140" i="199"/>
  <c r="G140" i="199"/>
  <c r="F141" i="199"/>
  <c r="G141" i="199"/>
  <c r="F142" i="199"/>
  <c r="G142" i="199"/>
  <c r="F143" i="199"/>
  <c r="G143" i="199"/>
  <c r="F144" i="199"/>
  <c r="G144" i="199"/>
  <c r="F145" i="199"/>
  <c r="G145" i="199"/>
  <c r="F146" i="199"/>
  <c r="G146" i="199"/>
  <c r="F147" i="199"/>
  <c r="G147" i="199"/>
  <c r="F148" i="199"/>
  <c r="G148" i="199"/>
  <c r="F149" i="199"/>
  <c r="G149" i="199"/>
  <c r="F150" i="199"/>
  <c r="G150" i="199"/>
  <c r="F151" i="199"/>
  <c r="G151" i="199"/>
  <c r="F152" i="199"/>
  <c r="G152" i="199"/>
  <c r="F153" i="199"/>
  <c r="G153" i="199"/>
  <c r="F154" i="199"/>
  <c r="G154" i="199"/>
  <c r="F155" i="199"/>
  <c r="G155" i="199"/>
  <c r="F156" i="199"/>
  <c r="G156" i="199"/>
  <c r="F157" i="199"/>
  <c r="G157" i="199"/>
  <c r="F158" i="199"/>
  <c r="G158" i="199"/>
  <c r="F159" i="199"/>
  <c r="G159" i="199"/>
  <c r="F160" i="199"/>
  <c r="G160" i="199"/>
  <c r="F161" i="199"/>
  <c r="G161" i="199"/>
  <c r="F162" i="199"/>
  <c r="G162" i="199"/>
  <c r="F163" i="199"/>
  <c r="G163" i="199"/>
  <c r="F164" i="199"/>
  <c r="G164" i="199"/>
  <c r="F165" i="199"/>
  <c r="G165" i="199"/>
  <c r="F166" i="199"/>
  <c r="G166" i="199"/>
  <c r="F167" i="199"/>
  <c r="G167" i="199"/>
  <c r="F168" i="199"/>
  <c r="G168" i="199"/>
  <c r="F169" i="199"/>
  <c r="G169" i="199"/>
  <c r="F170" i="199"/>
  <c r="G170" i="199"/>
  <c r="F171" i="199"/>
  <c r="G171" i="199"/>
  <c r="F172" i="199"/>
  <c r="G172" i="199"/>
  <c r="F173" i="199"/>
  <c r="G173" i="199"/>
  <c r="F174" i="199"/>
  <c r="G174" i="199"/>
  <c r="F175" i="199"/>
  <c r="G175" i="199"/>
  <c r="F176" i="199"/>
  <c r="G176" i="199"/>
  <c r="F177" i="199"/>
  <c r="G177" i="199"/>
  <c r="F178" i="199"/>
  <c r="G178" i="199"/>
  <c r="F179" i="199"/>
  <c r="G179" i="199"/>
  <c r="F180" i="199"/>
  <c r="G180" i="199"/>
  <c r="F181" i="199"/>
  <c r="G181" i="199"/>
  <c r="F182" i="199"/>
  <c r="G182" i="199"/>
  <c r="F6" i="199"/>
  <c r="G6" i="199"/>
  <c r="F7" i="199"/>
  <c r="G7" i="199"/>
  <c r="F8" i="199"/>
  <c r="G8" i="199"/>
  <c r="F9" i="199"/>
  <c r="G9" i="199"/>
  <c r="F10" i="199"/>
  <c r="G10" i="199"/>
  <c r="F11" i="199"/>
  <c r="G11" i="199"/>
  <c r="F12" i="199"/>
  <c r="G12" i="199"/>
  <c r="F13" i="199"/>
  <c r="G13" i="199"/>
  <c r="F14" i="199"/>
  <c r="G14" i="199"/>
  <c r="F15" i="199"/>
  <c r="G15" i="199"/>
  <c r="F16" i="199"/>
  <c r="G16" i="199"/>
  <c r="F17" i="199"/>
  <c r="G17" i="199"/>
  <c r="F18" i="199"/>
  <c r="G18" i="199"/>
  <c r="F19" i="199"/>
  <c r="G19" i="199"/>
  <c r="F20" i="199"/>
  <c r="G20" i="199"/>
  <c r="F21" i="199"/>
  <c r="G21" i="199"/>
  <c r="F22" i="199"/>
  <c r="G22" i="199"/>
  <c r="F23" i="199"/>
  <c r="G23" i="199"/>
  <c r="F24" i="199"/>
  <c r="G24" i="199"/>
  <c r="F25" i="199"/>
  <c r="G25" i="199"/>
  <c r="F26" i="199"/>
  <c r="G26" i="199"/>
  <c r="F27" i="199"/>
  <c r="G27" i="199"/>
  <c r="F28" i="199"/>
  <c r="G28" i="199"/>
  <c r="F29" i="199"/>
  <c r="G29" i="199"/>
  <c r="F30" i="199"/>
  <c r="G30" i="199"/>
  <c r="F31" i="199"/>
  <c r="G31" i="199"/>
  <c r="F32" i="199"/>
  <c r="G32" i="199"/>
  <c r="F33" i="199"/>
  <c r="G33" i="199"/>
  <c r="F34" i="199"/>
  <c r="G34" i="199"/>
  <c r="F35" i="199"/>
  <c r="G35" i="199"/>
  <c r="F36" i="199"/>
  <c r="G36" i="199"/>
  <c r="F37" i="199"/>
  <c r="G37" i="199"/>
  <c r="F38" i="199"/>
  <c r="G38" i="199"/>
  <c r="F39" i="199"/>
  <c r="G39" i="199"/>
  <c r="F40" i="199"/>
  <c r="G40" i="199"/>
  <c r="F41" i="199"/>
  <c r="G41" i="199"/>
  <c r="F42" i="199"/>
  <c r="G42" i="199"/>
  <c r="F43" i="199"/>
  <c r="G43" i="199"/>
  <c r="F44" i="199"/>
  <c r="G44" i="199"/>
  <c r="F45" i="199"/>
  <c r="G45" i="199"/>
  <c r="F46" i="199"/>
  <c r="G46" i="199"/>
  <c r="F47" i="199"/>
  <c r="G47" i="199"/>
  <c r="F48" i="199"/>
  <c r="G48" i="199"/>
  <c r="F49" i="199"/>
  <c r="G49" i="199"/>
  <c r="F50" i="199"/>
  <c r="G50" i="199"/>
  <c r="F51" i="199"/>
  <c r="G51" i="199"/>
  <c r="F52" i="199"/>
  <c r="G52" i="199"/>
  <c r="F53" i="199"/>
  <c r="G53" i="199"/>
  <c r="F54" i="199"/>
  <c r="G54" i="199"/>
  <c r="F55" i="199"/>
  <c r="G55" i="199"/>
  <c r="F56" i="199"/>
  <c r="G56" i="199"/>
  <c r="F57" i="199"/>
  <c r="G57" i="199"/>
  <c r="F58" i="199"/>
  <c r="G58" i="199"/>
  <c r="F59" i="199"/>
  <c r="G59" i="199"/>
  <c r="F60" i="199"/>
  <c r="G60" i="199"/>
  <c r="F61" i="199"/>
  <c r="G61" i="199"/>
  <c r="F62" i="199"/>
  <c r="G62" i="199"/>
  <c r="F63" i="199"/>
  <c r="G63" i="199"/>
  <c r="F64" i="199"/>
  <c r="G64" i="199"/>
  <c r="F65" i="199"/>
  <c r="G65" i="199"/>
  <c r="F66" i="199"/>
  <c r="G66" i="199"/>
  <c r="F67" i="199"/>
  <c r="G67" i="199"/>
  <c r="F68" i="199"/>
  <c r="G68" i="199"/>
  <c r="F69" i="199"/>
  <c r="G69" i="199"/>
  <c r="F70" i="199"/>
  <c r="G70" i="199"/>
  <c r="F71" i="199"/>
  <c r="G71" i="199"/>
  <c r="F72" i="199"/>
  <c r="G72" i="199"/>
  <c r="F73" i="199"/>
  <c r="G73" i="199"/>
  <c r="F74" i="199"/>
  <c r="G74" i="199"/>
  <c r="F75" i="199"/>
  <c r="G75" i="199"/>
  <c r="F76" i="199"/>
  <c r="G76" i="199"/>
  <c r="F77" i="199"/>
  <c r="G77" i="199"/>
  <c r="F78" i="199"/>
  <c r="G78" i="199"/>
  <c r="F79" i="199"/>
  <c r="G79" i="199"/>
  <c r="F80" i="199"/>
  <c r="G80" i="199"/>
  <c r="F81" i="199"/>
  <c r="G81" i="199"/>
  <c r="F82" i="199"/>
  <c r="G82" i="199"/>
  <c r="F83" i="199"/>
  <c r="G83" i="199"/>
  <c r="F84" i="199"/>
  <c r="G84" i="199"/>
  <c r="F85" i="199"/>
  <c r="G85" i="199"/>
  <c r="F86" i="199"/>
  <c r="G86" i="199"/>
  <c r="F87" i="199"/>
  <c r="G87" i="199"/>
  <c r="F88" i="199"/>
  <c r="G88" i="199"/>
  <c r="F89" i="199"/>
  <c r="G89" i="199"/>
  <c r="F90" i="199"/>
  <c r="G90" i="199"/>
  <c r="F91" i="199"/>
  <c r="G91" i="199"/>
  <c r="F92" i="199"/>
  <c r="G92" i="199"/>
  <c r="F93" i="199"/>
  <c r="G93" i="199"/>
  <c r="F94" i="199"/>
  <c r="G94" i="199"/>
  <c r="F95" i="199"/>
  <c r="G95" i="199"/>
  <c r="F96" i="199"/>
  <c r="G96" i="199"/>
  <c r="G5" i="199"/>
  <c r="F5" i="199"/>
  <c r="C1" i="199"/>
  <c r="B1" i="199"/>
  <c r="N7" i="189"/>
  <c r="O7" i="189"/>
  <c r="P7" i="189"/>
  <c r="Q7" i="189"/>
  <c r="N8" i="189"/>
  <c r="O8" i="189"/>
  <c r="P8" i="189"/>
  <c r="Q8" i="189"/>
  <c r="N9" i="189"/>
  <c r="O9" i="189"/>
  <c r="P9" i="189"/>
  <c r="Q9" i="189"/>
  <c r="N10" i="189"/>
  <c r="O10" i="189"/>
  <c r="O2" i="189" s="1"/>
  <c r="P10" i="189"/>
  <c r="P2" i="189" s="1"/>
  <c r="Q10" i="189"/>
  <c r="N11" i="189"/>
  <c r="O11" i="189"/>
  <c r="P11" i="189"/>
  <c r="Q11" i="189"/>
  <c r="N12" i="189"/>
  <c r="O12" i="189"/>
  <c r="P12" i="189"/>
  <c r="Q12" i="189"/>
  <c r="N13" i="189"/>
  <c r="O13" i="189"/>
  <c r="P13" i="189"/>
  <c r="Q13" i="189"/>
  <c r="N14" i="189"/>
  <c r="O14" i="189"/>
  <c r="P14" i="189"/>
  <c r="Q14" i="189"/>
  <c r="N15" i="189"/>
  <c r="O15" i="189"/>
  <c r="P15" i="189"/>
  <c r="Q15" i="189"/>
  <c r="N16" i="189"/>
  <c r="O16" i="189"/>
  <c r="P16" i="189"/>
  <c r="Q16" i="189"/>
  <c r="N17" i="189"/>
  <c r="O17" i="189"/>
  <c r="P17" i="189"/>
  <c r="Q17" i="189"/>
  <c r="N18" i="189"/>
  <c r="O18" i="189"/>
  <c r="P18" i="189"/>
  <c r="Q18" i="189"/>
  <c r="N19" i="189"/>
  <c r="O19" i="189"/>
  <c r="P19" i="189"/>
  <c r="Q19" i="189"/>
  <c r="N20" i="189"/>
  <c r="O20" i="189"/>
  <c r="P20" i="189"/>
  <c r="Q20" i="189"/>
  <c r="N21" i="189"/>
  <c r="O21" i="189"/>
  <c r="P21" i="189"/>
  <c r="Q21" i="189"/>
  <c r="N22" i="189"/>
  <c r="O22" i="189"/>
  <c r="P22" i="189"/>
  <c r="Q22" i="189"/>
  <c r="N23" i="189"/>
  <c r="O23" i="189"/>
  <c r="P23" i="189"/>
  <c r="Q23" i="189"/>
  <c r="N24" i="189"/>
  <c r="O24" i="189"/>
  <c r="P24" i="189"/>
  <c r="Q24" i="189"/>
  <c r="N25" i="189"/>
  <c r="O25" i="189"/>
  <c r="P25" i="189"/>
  <c r="Q25" i="189"/>
  <c r="N26" i="189"/>
  <c r="O26" i="189"/>
  <c r="P26" i="189"/>
  <c r="Q26" i="189"/>
  <c r="N27" i="189"/>
  <c r="O27" i="189"/>
  <c r="P27" i="189"/>
  <c r="Q27" i="189"/>
  <c r="N28" i="189"/>
  <c r="O28" i="189"/>
  <c r="P28" i="189"/>
  <c r="Q28" i="189"/>
  <c r="N29" i="189"/>
  <c r="O29" i="189"/>
  <c r="P29" i="189"/>
  <c r="Q29" i="189"/>
  <c r="N30" i="189"/>
  <c r="O30" i="189"/>
  <c r="P30" i="189"/>
  <c r="Q30" i="189"/>
  <c r="N31" i="189"/>
  <c r="O31" i="189"/>
  <c r="P31" i="189"/>
  <c r="Q31" i="189"/>
  <c r="N32" i="189"/>
  <c r="O32" i="189"/>
  <c r="P32" i="189"/>
  <c r="Q32" i="189"/>
  <c r="N33" i="189"/>
  <c r="O33" i="189"/>
  <c r="P33" i="189"/>
  <c r="Q33" i="189"/>
  <c r="N34" i="189"/>
  <c r="O34" i="189"/>
  <c r="P34" i="189"/>
  <c r="Q34" i="189"/>
  <c r="N35" i="189"/>
  <c r="O35" i="189"/>
  <c r="P35" i="189"/>
  <c r="Q35" i="189"/>
  <c r="N36" i="189"/>
  <c r="O36" i="189"/>
  <c r="P36" i="189"/>
  <c r="Q36" i="189"/>
  <c r="N37" i="189"/>
  <c r="O37" i="189"/>
  <c r="P37" i="189"/>
  <c r="Q37" i="189"/>
  <c r="N38" i="189"/>
  <c r="O38" i="189"/>
  <c r="P38" i="189"/>
  <c r="Q38" i="189"/>
  <c r="N39" i="189"/>
  <c r="O39" i="189"/>
  <c r="P39" i="189"/>
  <c r="Q39" i="189"/>
  <c r="N40" i="189"/>
  <c r="O40" i="189"/>
  <c r="P40" i="189"/>
  <c r="Q40" i="189"/>
  <c r="N41" i="189"/>
  <c r="O41" i="189"/>
  <c r="P41" i="189"/>
  <c r="Q41" i="189"/>
  <c r="N42" i="189"/>
  <c r="O42" i="189"/>
  <c r="P42" i="189"/>
  <c r="Q42" i="189"/>
  <c r="N43" i="189"/>
  <c r="O43" i="189"/>
  <c r="P43" i="189"/>
  <c r="Q43" i="189"/>
  <c r="N44" i="189"/>
  <c r="O44" i="189"/>
  <c r="P44" i="189"/>
  <c r="Q44" i="189"/>
  <c r="N45" i="189"/>
  <c r="O45" i="189"/>
  <c r="P45" i="189"/>
  <c r="Q45" i="189"/>
  <c r="N46" i="189"/>
  <c r="O46" i="189"/>
  <c r="P46" i="189"/>
  <c r="Q46" i="189"/>
  <c r="N47" i="189"/>
  <c r="O47" i="189"/>
  <c r="P47" i="189"/>
  <c r="Q47" i="189"/>
  <c r="N48" i="189"/>
  <c r="O48" i="189"/>
  <c r="P48" i="189"/>
  <c r="Q48" i="189"/>
  <c r="N49" i="189"/>
  <c r="O49" i="189"/>
  <c r="P49" i="189"/>
  <c r="Q49" i="189"/>
  <c r="N50" i="189"/>
  <c r="O50" i="189"/>
  <c r="P50" i="189"/>
  <c r="Q50" i="189"/>
  <c r="N51" i="189"/>
  <c r="O51" i="189"/>
  <c r="P51" i="189"/>
  <c r="Q51" i="189"/>
  <c r="N52" i="189"/>
  <c r="O52" i="189"/>
  <c r="P52" i="189"/>
  <c r="Q52" i="189"/>
  <c r="N53" i="189"/>
  <c r="O53" i="189"/>
  <c r="P53" i="189"/>
  <c r="Q53" i="189"/>
  <c r="N54" i="189"/>
  <c r="O54" i="189"/>
  <c r="P54" i="189"/>
  <c r="Q54" i="189"/>
  <c r="N55" i="189"/>
  <c r="O55" i="189"/>
  <c r="P55" i="189"/>
  <c r="Q55" i="189"/>
  <c r="N56" i="189"/>
  <c r="O56" i="189"/>
  <c r="P56" i="189"/>
  <c r="Q56" i="189"/>
  <c r="N57" i="189"/>
  <c r="O57" i="189"/>
  <c r="P57" i="189"/>
  <c r="Q57" i="189"/>
  <c r="N58" i="189"/>
  <c r="O58" i="189"/>
  <c r="P58" i="189"/>
  <c r="Q58" i="189"/>
  <c r="N59" i="189"/>
  <c r="O59" i="189"/>
  <c r="P59" i="189"/>
  <c r="Q59" i="189"/>
  <c r="N60" i="189"/>
  <c r="O60" i="189"/>
  <c r="P60" i="189"/>
  <c r="Q60" i="189"/>
  <c r="N61" i="189"/>
  <c r="O61" i="189"/>
  <c r="P61" i="189"/>
  <c r="Q61" i="189"/>
  <c r="N62" i="189"/>
  <c r="O62" i="189"/>
  <c r="P62" i="189"/>
  <c r="Q62" i="189"/>
  <c r="N63" i="189"/>
  <c r="O63" i="189"/>
  <c r="P63" i="189"/>
  <c r="Q63" i="189"/>
  <c r="N64" i="189"/>
  <c r="O64" i="189"/>
  <c r="P64" i="189"/>
  <c r="Q64" i="189"/>
  <c r="N65" i="189"/>
  <c r="O65" i="189"/>
  <c r="P65" i="189"/>
  <c r="Q65" i="189"/>
  <c r="N66" i="189"/>
  <c r="O66" i="189"/>
  <c r="P66" i="189"/>
  <c r="Q66" i="189"/>
  <c r="N67" i="189"/>
  <c r="O67" i="189"/>
  <c r="P67" i="189"/>
  <c r="Q67" i="189"/>
  <c r="N68" i="189"/>
  <c r="O68" i="189"/>
  <c r="P68" i="189"/>
  <c r="Q68" i="189"/>
  <c r="N69" i="189"/>
  <c r="O69" i="189"/>
  <c r="P69" i="189"/>
  <c r="Q69" i="189"/>
  <c r="N70" i="189"/>
  <c r="O70" i="189"/>
  <c r="P70" i="189"/>
  <c r="Q70" i="189"/>
  <c r="N71" i="189"/>
  <c r="O71" i="189"/>
  <c r="P71" i="189"/>
  <c r="Q71" i="189"/>
  <c r="N72" i="189"/>
  <c r="O72" i="189"/>
  <c r="P72" i="189"/>
  <c r="Q72" i="189"/>
  <c r="N73" i="189"/>
  <c r="O73" i="189"/>
  <c r="P73" i="189"/>
  <c r="Q73" i="189"/>
  <c r="N74" i="189"/>
  <c r="O74" i="189"/>
  <c r="P74" i="189"/>
  <c r="Q74" i="189"/>
  <c r="N75" i="189"/>
  <c r="O75" i="189"/>
  <c r="P75" i="189"/>
  <c r="Q75" i="189"/>
  <c r="N76" i="189"/>
  <c r="O76" i="189"/>
  <c r="P76" i="189"/>
  <c r="Q76" i="189"/>
  <c r="N77" i="189"/>
  <c r="O77" i="189"/>
  <c r="P77" i="189"/>
  <c r="Q77" i="189"/>
  <c r="N78" i="189"/>
  <c r="O78" i="189"/>
  <c r="P78" i="189"/>
  <c r="Q78" i="189"/>
  <c r="N79" i="189"/>
  <c r="O79" i="189"/>
  <c r="P79" i="189"/>
  <c r="Q79" i="189"/>
  <c r="N80" i="189"/>
  <c r="O80" i="189"/>
  <c r="P80" i="189"/>
  <c r="Q80" i="189"/>
  <c r="N81" i="189"/>
  <c r="O81" i="189"/>
  <c r="P81" i="189"/>
  <c r="Q81" i="189"/>
  <c r="N82" i="189"/>
  <c r="O82" i="189"/>
  <c r="P82" i="189"/>
  <c r="Q82" i="189"/>
  <c r="N83" i="189"/>
  <c r="O83" i="189"/>
  <c r="P83" i="189"/>
  <c r="Q83" i="189"/>
  <c r="N84" i="189"/>
  <c r="O84" i="189"/>
  <c r="P84" i="189"/>
  <c r="Q84" i="189"/>
  <c r="N85" i="189"/>
  <c r="O85" i="189"/>
  <c r="P85" i="189"/>
  <c r="Q85" i="189"/>
  <c r="O6" i="189"/>
  <c r="P6" i="189"/>
  <c r="Q6" i="189"/>
  <c r="N6" i="189"/>
  <c r="N4" i="189"/>
  <c r="P5" i="189"/>
  <c r="N5" i="189"/>
  <c r="M7" i="189"/>
  <c r="M8" i="189"/>
  <c r="M9" i="189"/>
  <c r="M10" i="189"/>
  <c r="M11" i="189"/>
  <c r="M12" i="189"/>
  <c r="M13" i="189"/>
  <c r="M14" i="189"/>
  <c r="M15" i="189"/>
  <c r="M16" i="189"/>
  <c r="M17" i="189"/>
  <c r="M18" i="189"/>
  <c r="M19" i="189"/>
  <c r="M20" i="189"/>
  <c r="M21" i="189"/>
  <c r="M22" i="189"/>
  <c r="M23" i="189"/>
  <c r="M24" i="189"/>
  <c r="M25" i="189"/>
  <c r="M26" i="189"/>
  <c r="M27" i="189"/>
  <c r="M28" i="189"/>
  <c r="M29" i="189"/>
  <c r="M30" i="189"/>
  <c r="M31" i="189"/>
  <c r="M32" i="189"/>
  <c r="M33" i="189"/>
  <c r="M34" i="189"/>
  <c r="M35" i="189"/>
  <c r="M36" i="189"/>
  <c r="M37" i="189"/>
  <c r="M38" i="189"/>
  <c r="M39" i="189"/>
  <c r="M40" i="189"/>
  <c r="M41" i="189"/>
  <c r="M42" i="189"/>
  <c r="M43" i="189"/>
  <c r="M44" i="189"/>
  <c r="M45" i="189"/>
  <c r="M46" i="189"/>
  <c r="M47" i="189"/>
  <c r="M48" i="189"/>
  <c r="M49" i="189"/>
  <c r="M50" i="189"/>
  <c r="M51" i="189"/>
  <c r="M52" i="189"/>
  <c r="M53" i="189"/>
  <c r="M54" i="189"/>
  <c r="M55" i="189"/>
  <c r="M56" i="189"/>
  <c r="M57" i="189"/>
  <c r="M58" i="189"/>
  <c r="M59" i="189"/>
  <c r="M60" i="189"/>
  <c r="M61" i="189"/>
  <c r="M62" i="189"/>
  <c r="M63" i="189"/>
  <c r="M64" i="189"/>
  <c r="M65" i="189"/>
  <c r="M66" i="189"/>
  <c r="M67" i="189"/>
  <c r="M68" i="189"/>
  <c r="M69" i="189"/>
  <c r="M70" i="189"/>
  <c r="M71" i="189"/>
  <c r="M72" i="189"/>
  <c r="M73" i="189"/>
  <c r="M74" i="189"/>
  <c r="M75" i="189"/>
  <c r="M76" i="189"/>
  <c r="M77" i="189"/>
  <c r="M78" i="189"/>
  <c r="M79" i="189"/>
  <c r="M80" i="189"/>
  <c r="M81" i="189"/>
  <c r="M82" i="189"/>
  <c r="M83" i="189"/>
  <c r="M84" i="189"/>
  <c r="M85" i="189"/>
  <c r="M6" i="189"/>
  <c r="N2" i="189"/>
  <c r="Q2" i="189"/>
  <c r="AL185" i="198" l="1"/>
  <c r="W23" i="198"/>
  <c r="AE129" i="198"/>
  <c r="Q23" i="198"/>
  <c r="W31" i="198"/>
  <c r="W22" i="198"/>
  <c r="Z176" i="198"/>
  <c r="AF131" i="198"/>
  <c r="AF130" i="198"/>
  <c r="AE130" i="198"/>
  <c r="AF129" i="198"/>
  <c r="W43" i="198"/>
  <c r="W52" i="198"/>
  <c r="W59" i="198"/>
  <c r="AC26" i="198"/>
  <c r="Y149" i="198"/>
  <c r="AI15" i="198"/>
  <c r="K23" i="198"/>
  <c r="AI17" i="198"/>
  <c r="K15" i="198"/>
  <c r="AI31" i="198"/>
  <c r="Z120" i="198"/>
  <c r="K87" i="198"/>
  <c r="AI79" i="198"/>
  <c r="Y120" i="198"/>
  <c r="K59" i="198"/>
  <c r="AI88" i="198"/>
  <c r="K52" i="198"/>
  <c r="K51" i="198"/>
  <c r="AF139" i="198"/>
  <c r="Z172" i="198"/>
  <c r="AI46" i="198"/>
  <c r="AI48" i="198"/>
  <c r="Y169" i="198"/>
  <c r="AE119" i="198"/>
  <c r="Z157" i="198"/>
  <c r="Z102" i="198"/>
  <c r="Y157" i="198"/>
  <c r="AE116" i="198"/>
  <c r="K47" i="198"/>
  <c r="W71" i="198"/>
  <c r="Z101" i="198"/>
  <c r="AF115" i="198"/>
  <c r="W84" i="198"/>
  <c r="Z155" i="198"/>
  <c r="W87" i="198"/>
  <c r="AI80" i="198"/>
  <c r="K31" i="198"/>
  <c r="AE174" i="198"/>
  <c r="Y171" i="198"/>
  <c r="AF173" i="198"/>
  <c r="Q31" i="198"/>
  <c r="AC45" i="198"/>
  <c r="S173" i="198"/>
  <c r="Y143" i="198"/>
  <c r="AF145" i="198"/>
  <c r="AC73" i="198"/>
  <c r="AL13" i="198"/>
  <c r="K20" i="198"/>
  <c r="Y174" i="198"/>
  <c r="Y113" i="198"/>
  <c r="AC43" i="198"/>
  <c r="Q64" i="198"/>
  <c r="Y172" i="198"/>
  <c r="Z143" i="198"/>
  <c r="T172" i="198"/>
  <c r="S171" i="198"/>
  <c r="Z130" i="198"/>
  <c r="AF143" i="198"/>
  <c r="Q65" i="198"/>
  <c r="AI10" i="198"/>
  <c r="AI45" i="198"/>
  <c r="Z171" i="198"/>
  <c r="Z147" i="198"/>
  <c r="Y147" i="198"/>
  <c r="AF158" i="198"/>
  <c r="Z146" i="198"/>
  <c r="Y146" i="198"/>
  <c r="AF157" i="198"/>
  <c r="N157" i="198"/>
  <c r="Y177" i="198"/>
  <c r="K24" i="198"/>
  <c r="M38" i="198"/>
  <c r="N38" i="198"/>
  <c r="T38" i="198" s="1"/>
  <c r="N164" i="198"/>
  <c r="O164" i="198"/>
  <c r="AA164" i="198"/>
  <c r="I164" i="198"/>
  <c r="U164" i="198"/>
  <c r="AG164" i="198"/>
  <c r="Q66" i="198"/>
  <c r="Y135" i="198"/>
  <c r="M69" i="198"/>
  <c r="S69" i="198" s="1"/>
  <c r="Y69" i="198" s="1"/>
  <c r="AE69" i="198" s="1"/>
  <c r="N69" i="198"/>
  <c r="T69" i="198" s="1"/>
  <c r="Z69" i="198" s="1"/>
  <c r="AF69" i="198" s="1"/>
  <c r="K41" i="198"/>
  <c r="M41" i="198"/>
  <c r="N41" i="198"/>
  <c r="K13" i="198"/>
  <c r="M13" i="198"/>
  <c r="S13" i="198" s="1"/>
  <c r="Y13" i="198" s="1"/>
  <c r="AE13" i="198" s="1"/>
  <c r="N13" i="198"/>
  <c r="T13" i="198" s="1"/>
  <c r="Z13" i="198" s="1"/>
  <c r="AF13" i="198" s="1"/>
  <c r="I167" i="198"/>
  <c r="AA167" i="198"/>
  <c r="U167" i="198"/>
  <c r="O167" i="198"/>
  <c r="AG167" i="198"/>
  <c r="Y111" i="198"/>
  <c r="U111" i="198"/>
  <c r="AG111" i="198"/>
  <c r="O111" i="198"/>
  <c r="AA111" i="198"/>
  <c r="Z149" i="198"/>
  <c r="W51" i="198"/>
  <c r="M39" i="198"/>
  <c r="N39" i="198"/>
  <c r="T39" i="198" s="1"/>
  <c r="M94" i="198"/>
  <c r="N94" i="198"/>
  <c r="T94" i="198" s="1"/>
  <c r="Z94" i="198" s="1"/>
  <c r="AF94" i="198" s="1"/>
  <c r="AC38" i="198"/>
  <c r="N91" i="198"/>
  <c r="M91" i="198"/>
  <c r="S91" i="198" s="1"/>
  <c r="Y91" i="198" s="1"/>
  <c r="AE91" i="198" s="1"/>
  <c r="N63" i="198"/>
  <c r="T63" i="198" s="1"/>
  <c r="Z63" i="198" s="1"/>
  <c r="AF63" i="198" s="1"/>
  <c r="M63" i="198"/>
  <c r="S63" i="198" s="1"/>
  <c r="Y63" i="198" s="1"/>
  <c r="AE63" i="198" s="1"/>
  <c r="N35" i="198"/>
  <c r="T35" i="198" s="1"/>
  <c r="Z35" i="198" s="1"/>
  <c r="AF35" i="198" s="1"/>
  <c r="M35" i="198"/>
  <c r="S35" i="198" s="1"/>
  <c r="Y35" i="198" s="1"/>
  <c r="AE35" i="198" s="1"/>
  <c r="M95" i="198"/>
  <c r="S95" i="198" s="1"/>
  <c r="Y95" i="198" s="1"/>
  <c r="AE95" i="198" s="1"/>
  <c r="N95" i="198"/>
  <c r="T95" i="198" s="1"/>
  <c r="Z95" i="198" s="1"/>
  <c r="AF95" i="198" s="1"/>
  <c r="AG161" i="198"/>
  <c r="O161" i="198"/>
  <c r="I161" i="198"/>
  <c r="U161" i="198"/>
  <c r="AA161" i="198"/>
  <c r="U104" i="198"/>
  <c r="AM104" i="198"/>
  <c r="AG104" i="198"/>
  <c r="O104" i="198"/>
  <c r="AA104" i="198"/>
  <c r="AF110" i="198"/>
  <c r="K12" i="198"/>
  <c r="W63" i="198"/>
  <c r="AC39" i="198"/>
  <c r="N90" i="198"/>
  <c r="T90" i="198" s="1"/>
  <c r="Z90" i="198" s="1"/>
  <c r="AF90" i="198" s="1"/>
  <c r="M90" i="198"/>
  <c r="S90" i="198" s="1"/>
  <c r="Y90" i="198" s="1"/>
  <c r="AE90" i="198" s="1"/>
  <c r="N62" i="198"/>
  <c r="M62" i="198"/>
  <c r="S62" i="198" s="1"/>
  <c r="Y62" i="198" s="1"/>
  <c r="AE62" i="198" s="1"/>
  <c r="M34" i="198"/>
  <c r="N34" i="198"/>
  <c r="H97" i="198"/>
  <c r="M97" i="198"/>
  <c r="S97" i="198" s="1"/>
  <c r="Y97" i="198" s="1"/>
  <c r="AE97" i="198" s="1"/>
  <c r="N97" i="198"/>
  <c r="AG160" i="198"/>
  <c r="O160" i="198"/>
  <c r="U160" i="198"/>
  <c r="I160" i="198"/>
  <c r="AA160" i="198"/>
  <c r="Z132" i="198"/>
  <c r="AA132" i="198"/>
  <c r="O132" i="198"/>
  <c r="U132" i="198"/>
  <c r="AG132" i="198"/>
  <c r="I132" i="198"/>
  <c r="O103" i="198"/>
  <c r="U103" i="198"/>
  <c r="AG103" i="198"/>
  <c r="AA103" i="198"/>
  <c r="K11" i="198"/>
  <c r="K37" i="198"/>
  <c r="AI90" i="198"/>
  <c r="M89" i="198"/>
  <c r="S89" i="198" s="1"/>
  <c r="Y89" i="198" s="1"/>
  <c r="AE89" i="198" s="1"/>
  <c r="N89" i="198"/>
  <c r="T89" i="198" s="1"/>
  <c r="Z89" i="198" s="1"/>
  <c r="AF89" i="198" s="1"/>
  <c r="M61" i="198"/>
  <c r="S61" i="198" s="1"/>
  <c r="Y61" i="198" s="1"/>
  <c r="AE61" i="198" s="1"/>
  <c r="N61" i="198"/>
  <c r="T61" i="198" s="1"/>
  <c r="Z61" i="198" s="1"/>
  <c r="AF61" i="198" s="1"/>
  <c r="M33" i="198"/>
  <c r="S33" i="198" s="1"/>
  <c r="Y33" i="198" s="1"/>
  <c r="AE33" i="198" s="1"/>
  <c r="N33" i="198"/>
  <c r="AG100" i="198"/>
  <c r="AA100" i="198"/>
  <c r="O100" i="198"/>
  <c r="U100" i="198"/>
  <c r="AG159" i="198"/>
  <c r="AA159" i="198"/>
  <c r="U159" i="198"/>
  <c r="O159" i="198"/>
  <c r="I159" i="198"/>
  <c r="AA131" i="198"/>
  <c r="U131" i="198"/>
  <c r="AG131" i="198"/>
  <c r="O131" i="198"/>
  <c r="I131" i="198"/>
  <c r="H102" i="198"/>
  <c r="AA102" i="198"/>
  <c r="O102" i="198"/>
  <c r="U102" i="198"/>
  <c r="AL102" i="198"/>
  <c r="AG102" i="198"/>
  <c r="AF138" i="198"/>
  <c r="Q79" i="198"/>
  <c r="AI93" i="198"/>
  <c r="M88" i="198"/>
  <c r="N88" i="198"/>
  <c r="M60" i="198"/>
  <c r="N60" i="198"/>
  <c r="M32" i="198"/>
  <c r="N32" i="198"/>
  <c r="M99" i="198"/>
  <c r="N99" i="198"/>
  <c r="O158" i="198"/>
  <c r="I158" i="198"/>
  <c r="AG158" i="198"/>
  <c r="AA158" i="198"/>
  <c r="U158" i="198"/>
  <c r="Y109" i="198"/>
  <c r="AF163" i="198"/>
  <c r="AF108" i="198"/>
  <c r="Q80" i="198"/>
  <c r="W66" i="198"/>
  <c r="AI94" i="198"/>
  <c r="H87" i="198"/>
  <c r="M87" i="198"/>
  <c r="S87" i="198" s="1"/>
  <c r="Y87" i="198" s="1"/>
  <c r="AE87" i="198" s="1"/>
  <c r="N87" i="198"/>
  <c r="T87" i="198" s="1"/>
  <c r="Z87" i="198" s="1"/>
  <c r="AF87" i="198" s="1"/>
  <c r="M59" i="198"/>
  <c r="S59" i="198" s="1"/>
  <c r="Y59" i="198" s="1"/>
  <c r="AE59" i="198" s="1"/>
  <c r="N59" i="198"/>
  <c r="T59" i="198" s="1"/>
  <c r="Z59" i="198" s="1"/>
  <c r="AF59" i="198" s="1"/>
  <c r="M31" i="198"/>
  <c r="S31" i="198" s="1"/>
  <c r="Y31" i="198" s="1"/>
  <c r="AE31" i="198" s="1"/>
  <c r="N31" i="198"/>
  <c r="T31" i="198" s="1"/>
  <c r="Z31" i="198" s="1"/>
  <c r="AF31" i="198" s="1"/>
  <c r="AK98" i="198"/>
  <c r="M98" i="198"/>
  <c r="S98" i="198" s="1"/>
  <c r="Y98" i="198" s="1"/>
  <c r="AE98" i="198" s="1"/>
  <c r="N98" i="198"/>
  <c r="T98" i="198" s="1"/>
  <c r="Z98" i="198" s="1"/>
  <c r="AF98" i="198" s="1"/>
  <c r="AA129" i="198"/>
  <c r="U129" i="198"/>
  <c r="O129" i="198"/>
  <c r="AG129" i="198"/>
  <c r="I129" i="198"/>
  <c r="S185" i="198"/>
  <c r="AG185" i="198"/>
  <c r="AA185" i="198"/>
  <c r="Z137" i="198"/>
  <c r="Z108" i="198"/>
  <c r="AE137" i="198"/>
  <c r="AE108" i="198"/>
  <c r="K95" i="198"/>
  <c r="AI32" i="198"/>
  <c r="W86" i="198"/>
  <c r="N86" i="198"/>
  <c r="T86" i="198" s="1"/>
  <c r="Z86" i="198" s="1"/>
  <c r="AF86" i="198" s="1"/>
  <c r="M86" i="198"/>
  <c r="S86" i="198" s="1"/>
  <c r="Y86" i="198" s="1"/>
  <c r="AE86" i="198" s="1"/>
  <c r="Q58" i="198"/>
  <c r="N58" i="198"/>
  <c r="T58" i="198" s="1"/>
  <c r="Z58" i="198" s="1"/>
  <c r="AF58" i="198" s="1"/>
  <c r="M58" i="198"/>
  <c r="S58" i="198" s="1"/>
  <c r="Y58" i="198" s="1"/>
  <c r="AE58" i="198" s="1"/>
  <c r="AI30" i="198"/>
  <c r="M30" i="198"/>
  <c r="S30" i="198" s="1"/>
  <c r="Y30" i="198" s="1"/>
  <c r="AE30" i="198" s="1"/>
  <c r="N30" i="198"/>
  <c r="T30" i="198" s="1"/>
  <c r="Z30" i="198" s="1"/>
  <c r="AF30" i="198" s="1"/>
  <c r="O184" i="198"/>
  <c r="U184" i="198"/>
  <c r="AG184" i="198"/>
  <c r="I184" i="198"/>
  <c r="AA184" i="198"/>
  <c r="AE156" i="198"/>
  <c r="AG156" i="198"/>
  <c r="O156" i="198"/>
  <c r="I156" i="198"/>
  <c r="AA156" i="198"/>
  <c r="U156" i="198"/>
  <c r="Z128" i="198"/>
  <c r="AA128" i="198"/>
  <c r="U128" i="198"/>
  <c r="AG128" i="198"/>
  <c r="O128" i="198"/>
  <c r="I128" i="198"/>
  <c r="Y108" i="198"/>
  <c r="AF160" i="198"/>
  <c r="AF136" i="198"/>
  <c r="AF106" i="198"/>
  <c r="K94" i="198"/>
  <c r="Q10" i="198"/>
  <c r="Q87" i="198"/>
  <c r="AI34" i="198"/>
  <c r="M85" i="198"/>
  <c r="S85" i="198" s="1"/>
  <c r="Y85" i="198" s="1"/>
  <c r="AE85" i="198" s="1"/>
  <c r="N85" i="198"/>
  <c r="T85" i="198" s="1"/>
  <c r="Z85" i="198" s="1"/>
  <c r="AF85" i="198" s="1"/>
  <c r="M57" i="198"/>
  <c r="N57" i="198"/>
  <c r="AI29" i="198"/>
  <c r="N29" i="198"/>
  <c r="T29" i="198" s="1"/>
  <c r="Z29" i="198" s="1"/>
  <c r="AF29" i="198" s="1"/>
  <c r="M29" i="198"/>
  <c r="S29" i="198" s="1"/>
  <c r="Y29" i="198" s="1"/>
  <c r="AE29" i="198" s="1"/>
  <c r="AG155" i="198"/>
  <c r="O155" i="198"/>
  <c r="AA155" i="198"/>
  <c r="U155" i="198"/>
  <c r="Z127" i="198"/>
  <c r="I127" i="198"/>
  <c r="AA127" i="198"/>
  <c r="AG127" i="198"/>
  <c r="U127" i="198"/>
  <c r="O127" i="198"/>
  <c r="U107" i="198"/>
  <c r="AG107" i="198"/>
  <c r="O107" i="198"/>
  <c r="AA107" i="198"/>
  <c r="Z136" i="198"/>
  <c r="Z106" i="198"/>
  <c r="AE160" i="198"/>
  <c r="AE136" i="198"/>
  <c r="K93" i="198"/>
  <c r="Q93" i="198"/>
  <c r="W79" i="198"/>
  <c r="AC58" i="198"/>
  <c r="M84" i="198"/>
  <c r="S84" i="198" s="1"/>
  <c r="Y84" i="198" s="1"/>
  <c r="AE84" i="198" s="1"/>
  <c r="N84" i="198"/>
  <c r="M56" i="198"/>
  <c r="S56" i="198" s="1"/>
  <c r="Y56" i="198" s="1"/>
  <c r="AE56" i="198" s="1"/>
  <c r="N56" i="198"/>
  <c r="W28" i="198"/>
  <c r="N28" i="198"/>
  <c r="T28" i="198" s="1"/>
  <c r="Z28" i="198" s="1"/>
  <c r="AF28" i="198" s="1"/>
  <c r="M28" i="198"/>
  <c r="S28" i="198" s="1"/>
  <c r="Y28" i="198" s="1"/>
  <c r="AE28" i="198" s="1"/>
  <c r="AF182" i="198"/>
  <c r="U182" i="198"/>
  <c r="AG182" i="198"/>
  <c r="O182" i="198"/>
  <c r="I182" i="198"/>
  <c r="AA182" i="198"/>
  <c r="I154" i="198"/>
  <c r="AG154" i="198"/>
  <c r="O154" i="198"/>
  <c r="AA154" i="198"/>
  <c r="U154" i="198"/>
  <c r="Z126" i="198"/>
  <c r="AA126" i="198"/>
  <c r="I126" i="198"/>
  <c r="U126" i="198"/>
  <c r="O126" i="198"/>
  <c r="AG126" i="198"/>
  <c r="Z164" i="198"/>
  <c r="AF159" i="198"/>
  <c r="AF135" i="198"/>
  <c r="K91" i="198"/>
  <c r="Q94" i="198"/>
  <c r="AC59" i="198"/>
  <c r="Q68" i="198"/>
  <c r="N68" i="198"/>
  <c r="T68" i="198" s="1"/>
  <c r="Z68" i="198" s="1"/>
  <c r="AF68" i="198" s="1"/>
  <c r="M68" i="198"/>
  <c r="S68" i="198" s="1"/>
  <c r="Y68" i="198" s="1"/>
  <c r="AE68" i="198" s="1"/>
  <c r="M67" i="198"/>
  <c r="S67" i="198" s="1"/>
  <c r="Y67" i="198" s="1"/>
  <c r="AE67" i="198" s="1"/>
  <c r="N67" i="198"/>
  <c r="T67" i="198" s="1"/>
  <c r="Z67" i="198" s="1"/>
  <c r="AF67" i="198" s="1"/>
  <c r="I165" i="198"/>
  <c r="AA165" i="198"/>
  <c r="U165" i="198"/>
  <c r="AG165" i="198"/>
  <c r="O165" i="198"/>
  <c r="H37" i="198"/>
  <c r="M37" i="198"/>
  <c r="S37" i="198" s="1"/>
  <c r="Y37" i="198" s="1"/>
  <c r="AE37" i="198" s="1"/>
  <c r="N37" i="198"/>
  <c r="T37" i="198" s="1"/>
  <c r="Z37" i="198" s="1"/>
  <c r="AF37" i="198" s="1"/>
  <c r="AC37" i="198"/>
  <c r="M92" i="198"/>
  <c r="S92" i="198" s="1"/>
  <c r="Y92" i="198" s="1"/>
  <c r="AE92" i="198" s="1"/>
  <c r="N92" i="198"/>
  <c r="T92" i="198" s="1"/>
  <c r="Z92" i="198" s="1"/>
  <c r="AF92" i="198" s="1"/>
  <c r="AA134" i="198"/>
  <c r="U134" i="198"/>
  <c r="O134" i="198"/>
  <c r="I134" i="198"/>
  <c r="AG134" i="198"/>
  <c r="Q67" i="198"/>
  <c r="AE165" i="198"/>
  <c r="AF164" i="198"/>
  <c r="Z109" i="198"/>
  <c r="AE164" i="198"/>
  <c r="K10" i="198"/>
  <c r="AI24" i="198"/>
  <c r="M83" i="198"/>
  <c r="S83" i="198" s="1"/>
  <c r="Y83" i="198" s="1"/>
  <c r="AE83" i="198" s="1"/>
  <c r="N83" i="198"/>
  <c r="T83" i="198" s="1"/>
  <c r="Z83" i="198" s="1"/>
  <c r="AF83" i="198" s="1"/>
  <c r="N55" i="198"/>
  <c r="M55" i="198"/>
  <c r="Q27" i="198"/>
  <c r="M27" i="198"/>
  <c r="N27" i="198"/>
  <c r="AE181" i="198"/>
  <c r="U181" i="198"/>
  <c r="AG181" i="198"/>
  <c r="O181" i="198"/>
  <c r="I181" i="198"/>
  <c r="AA181" i="198"/>
  <c r="AE153" i="198"/>
  <c r="AG153" i="198"/>
  <c r="O153" i="198"/>
  <c r="I153" i="198"/>
  <c r="AA153" i="198"/>
  <c r="U153" i="198"/>
  <c r="I125" i="198"/>
  <c r="AA125" i="198"/>
  <c r="U125" i="198"/>
  <c r="AG125" i="198"/>
  <c r="O125" i="198"/>
  <c r="H160" i="198"/>
  <c r="Y164" i="198"/>
  <c r="Z135" i="198"/>
  <c r="Z104" i="198"/>
  <c r="AE159" i="198"/>
  <c r="K90" i="198"/>
  <c r="AC63" i="198"/>
  <c r="AI38" i="198"/>
  <c r="AA166" i="198"/>
  <c r="I166" i="198"/>
  <c r="U166" i="198"/>
  <c r="O166" i="198"/>
  <c r="AG166" i="198"/>
  <c r="N65" i="198"/>
  <c r="T65" i="198" s="1"/>
  <c r="Z65" i="198" s="1"/>
  <c r="AF65" i="198" s="1"/>
  <c r="M65" i="198"/>
  <c r="S65" i="198" s="1"/>
  <c r="Y65" i="198" s="1"/>
  <c r="AE65" i="198" s="1"/>
  <c r="AE106" i="198"/>
  <c r="U106" i="198"/>
  <c r="AG106" i="198"/>
  <c r="O106" i="198"/>
  <c r="AA106" i="198"/>
  <c r="AC65" i="198"/>
  <c r="N52" i="198"/>
  <c r="T52" i="198" s="1"/>
  <c r="Z52" i="198" s="1"/>
  <c r="AF52" i="198" s="1"/>
  <c r="M52" i="198"/>
  <c r="S52" i="198" s="1"/>
  <c r="Y52" i="198" s="1"/>
  <c r="AE52" i="198" s="1"/>
  <c r="M51" i="198"/>
  <c r="S51" i="198" s="1"/>
  <c r="Y51" i="198" s="1"/>
  <c r="AE51" i="198" s="1"/>
  <c r="N51" i="198"/>
  <c r="T51" i="198" s="1"/>
  <c r="Z51" i="198" s="1"/>
  <c r="AF51" i="198" s="1"/>
  <c r="S121" i="198"/>
  <c r="AG121" i="198"/>
  <c r="O121" i="198"/>
  <c r="AA121" i="198"/>
  <c r="I121" i="198"/>
  <c r="U121" i="198"/>
  <c r="N77" i="198"/>
  <c r="T77" i="198" s="1"/>
  <c r="Z77" i="198" s="1"/>
  <c r="AF77" i="198" s="1"/>
  <c r="M77" i="198"/>
  <c r="S77" i="198" s="1"/>
  <c r="Y77" i="198" s="1"/>
  <c r="AE77" i="198" s="1"/>
  <c r="W33" i="198"/>
  <c r="M9" i="198"/>
  <c r="N9" i="198"/>
  <c r="N163" i="198"/>
  <c r="U163" i="198"/>
  <c r="O163" i="198"/>
  <c r="I163" i="198"/>
  <c r="AA163" i="198"/>
  <c r="AG163" i="198"/>
  <c r="U135" i="198"/>
  <c r="O135" i="198"/>
  <c r="AG135" i="198"/>
  <c r="I135" i="198"/>
  <c r="AA135" i="198"/>
  <c r="M64" i="198"/>
  <c r="N64" i="198"/>
  <c r="Y134" i="198"/>
  <c r="M24" i="198"/>
  <c r="S24" i="198" s="1"/>
  <c r="Y24" i="198" s="1"/>
  <c r="AE24" i="198" s="1"/>
  <c r="N24" i="198"/>
  <c r="T24" i="198" s="1"/>
  <c r="Z24" i="198" s="1"/>
  <c r="AF24" i="198" s="1"/>
  <c r="AC67" i="198"/>
  <c r="N40" i="198"/>
  <c r="T40" i="198" s="1"/>
  <c r="M40" i="198"/>
  <c r="M66" i="198"/>
  <c r="S66" i="198" s="1"/>
  <c r="Y66" i="198" s="1"/>
  <c r="AE66" i="198" s="1"/>
  <c r="N66" i="198"/>
  <c r="T66" i="198" s="1"/>
  <c r="Z66" i="198" s="1"/>
  <c r="AF66" i="198" s="1"/>
  <c r="N10" i="198"/>
  <c r="T10" i="198" s="1"/>
  <c r="Z10" i="198" s="1"/>
  <c r="AF10" i="198" s="1"/>
  <c r="M10" i="198"/>
  <c r="S10" i="198" s="1"/>
  <c r="Y10" i="198" s="1"/>
  <c r="AE10" i="198" s="1"/>
  <c r="AF166" i="198"/>
  <c r="U105" i="198"/>
  <c r="AG105" i="198"/>
  <c r="O105" i="198"/>
  <c r="AA105" i="198"/>
  <c r="M82" i="198"/>
  <c r="S82" i="198" s="1"/>
  <c r="Y82" i="198" s="1"/>
  <c r="AE82" i="198" s="1"/>
  <c r="N82" i="198"/>
  <c r="T82" i="198" s="1"/>
  <c r="Z82" i="198" s="1"/>
  <c r="AF82" i="198" s="1"/>
  <c r="M26" i="198"/>
  <c r="S26" i="198" s="1"/>
  <c r="Y26" i="198" s="1"/>
  <c r="AE26" i="198" s="1"/>
  <c r="N26" i="198"/>
  <c r="T26" i="198" s="1"/>
  <c r="Z26" i="198" s="1"/>
  <c r="AF26" i="198" s="1"/>
  <c r="AA124" i="198"/>
  <c r="I124" i="198"/>
  <c r="U124" i="198"/>
  <c r="AG124" i="198"/>
  <c r="O124" i="198"/>
  <c r="M163" i="198"/>
  <c r="Z163" i="198"/>
  <c r="N81" i="198"/>
  <c r="M81" i="198"/>
  <c r="M80" i="198"/>
  <c r="S80" i="198" s="1"/>
  <c r="Y80" i="198" s="1"/>
  <c r="AE80" i="198" s="1"/>
  <c r="N80" i="198"/>
  <c r="T80" i="198" s="1"/>
  <c r="Z80" i="198" s="1"/>
  <c r="AF80" i="198" s="1"/>
  <c r="Q24" i="198"/>
  <c r="W94" i="198"/>
  <c r="AI52" i="198"/>
  <c r="N20" i="198"/>
  <c r="T20" i="198" s="1"/>
  <c r="Z20" i="198" s="1"/>
  <c r="AF20" i="198" s="1"/>
  <c r="M20" i="198"/>
  <c r="S20" i="198" s="1"/>
  <c r="Y20" i="198" s="1"/>
  <c r="AE20" i="198" s="1"/>
  <c r="U146" i="198"/>
  <c r="AG146" i="198"/>
  <c r="O146" i="198"/>
  <c r="AA146" i="198"/>
  <c r="I146" i="198"/>
  <c r="AC10" i="198"/>
  <c r="AF150" i="198"/>
  <c r="AI59" i="198"/>
  <c r="N17" i="198"/>
  <c r="T17" i="198" s="1"/>
  <c r="Z17" i="198" s="1"/>
  <c r="AF17" i="198" s="1"/>
  <c r="M17" i="198"/>
  <c r="S17" i="198" s="1"/>
  <c r="Y17" i="198" s="1"/>
  <c r="AE17" i="198" s="1"/>
  <c r="AM64" i="198"/>
  <c r="M12" i="198"/>
  <c r="N12" i="198"/>
  <c r="T12" i="198" s="1"/>
  <c r="Z12" i="198" s="1"/>
  <c r="AF12" i="198" s="1"/>
  <c r="M11" i="198"/>
  <c r="S11" i="198" s="1"/>
  <c r="Y11" i="198" s="1"/>
  <c r="AE11" i="198" s="1"/>
  <c r="N11" i="198"/>
  <c r="T11" i="198" s="1"/>
  <c r="Z11" i="198" s="1"/>
  <c r="AF11" i="198" s="1"/>
  <c r="M93" i="198"/>
  <c r="S93" i="198" s="1"/>
  <c r="Y93" i="198" s="1"/>
  <c r="AE93" i="198" s="1"/>
  <c r="N93" i="198"/>
  <c r="T93" i="198" s="1"/>
  <c r="Z93" i="198" s="1"/>
  <c r="AF93" i="198" s="1"/>
  <c r="AC64" i="198"/>
  <c r="M79" i="198"/>
  <c r="S79" i="198" s="1"/>
  <c r="Y79" i="198" s="1"/>
  <c r="AE79" i="198" s="1"/>
  <c r="N79" i="198"/>
  <c r="T79" i="198" s="1"/>
  <c r="Z79" i="198" s="1"/>
  <c r="AF79" i="198" s="1"/>
  <c r="U177" i="198"/>
  <c r="AG177" i="198"/>
  <c r="O177" i="198"/>
  <c r="I177" i="198"/>
  <c r="AA177" i="198"/>
  <c r="K80" i="198"/>
  <c r="W78" i="198"/>
  <c r="M78" i="198"/>
  <c r="S78" i="198" s="1"/>
  <c r="Y78" i="198" s="1"/>
  <c r="AE78" i="198" s="1"/>
  <c r="N78" i="198"/>
  <c r="T78" i="198" s="1"/>
  <c r="Z78" i="198" s="1"/>
  <c r="AF78" i="198" s="1"/>
  <c r="K69" i="198"/>
  <c r="AL62" i="198"/>
  <c r="AI76" i="198"/>
  <c r="M76" i="198"/>
  <c r="S76" i="198" s="1"/>
  <c r="Y76" i="198" s="1"/>
  <c r="AE76" i="198" s="1"/>
  <c r="N76" i="198"/>
  <c r="T76" i="198" s="1"/>
  <c r="Z76" i="198" s="1"/>
  <c r="AF76" i="198" s="1"/>
  <c r="M48" i="198"/>
  <c r="S48" i="198" s="1"/>
  <c r="Y48" i="198" s="1"/>
  <c r="AE48" i="198" s="1"/>
  <c r="N48" i="198"/>
  <c r="AA174" i="198"/>
  <c r="O174" i="198"/>
  <c r="U174" i="198"/>
  <c r="AG174" i="198"/>
  <c r="I174" i="198"/>
  <c r="AG118" i="198"/>
  <c r="O118" i="198"/>
  <c r="AA118" i="198"/>
  <c r="U118" i="198"/>
  <c r="AC79" i="198"/>
  <c r="W37" i="198"/>
  <c r="AC11" i="198"/>
  <c r="AK64" i="198"/>
  <c r="M74" i="198"/>
  <c r="S74" i="198" s="1"/>
  <c r="Y74" i="198" s="1"/>
  <c r="AE74" i="198" s="1"/>
  <c r="N74" i="198"/>
  <c r="T74" i="198" s="1"/>
  <c r="Z74" i="198" s="1"/>
  <c r="AF74" i="198" s="1"/>
  <c r="M46" i="198"/>
  <c r="S46" i="198" s="1"/>
  <c r="Y46" i="198" s="1"/>
  <c r="AE46" i="198" s="1"/>
  <c r="N46" i="198"/>
  <c r="T46" i="198" s="1"/>
  <c r="Z46" i="198" s="1"/>
  <c r="AF46" i="198" s="1"/>
  <c r="AG172" i="198"/>
  <c r="AA172" i="198"/>
  <c r="O172" i="198"/>
  <c r="U172" i="198"/>
  <c r="I172" i="198"/>
  <c r="U144" i="198"/>
  <c r="O144" i="198"/>
  <c r="AA144" i="198"/>
  <c r="AG144" i="198"/>
  <c r="I144" i="198"/>
  <c r="O116" i="198"/>
  <c r="AG116" i="198"/>
  <c r="AA116" i="198"/>
  <c r="U116" i="198"/>
  <c r="Z153" i="198"/>
  <c r="AE150" i="198"/>
  <c r="Q51" i="198"/>
  <c r="AL64" i="198"/>
  <c r="M73" i="198"/>
  <c r="S73" i="198" s="1"/>
  <c r="Y73" i="198" s="1"/>
  <c r="AE73" i="198" s="1"/>
  <c r="N73" i="198"/>
  <c r="T73" i="198" s="1"/>
  <c r="Z73" i="198" s="1"/>
  <c r="AF73" i="198" s="1"/>
  <c r="AA171" i="198"/>
  <c r="AG171" i="198"/>
  <c r="U171" i="198"/>
  <c r="O171" i="198"/>
  <c r="I171" i="198"/>
  <c r="AG115" i="198"/>
  <c r="AJ115" i="198" s="1"/>
  <c r="O115" i="198"/>
  <c r="AA115" i="198"/>
  <c r="U115" i="198"/>
  <c r="Y153" i="198"/>
  <c r="AE178" i="198"/>
  <c r="AF122" i="198"/>
  <c r="K65" i="198"/>
  <c r="Q52" i="198"/>
  <c r="AC82" i="198"/>
  <c r="M72" i="198"/>
  <c r="S72" i="198" s="1"/>
  <c r="Y72" i="198" s="1"/>
  <c r="AE72" i="198" s="1"/>
  <c r="N72" i="198"/>
  <c r="T72" i="198" s="1"/>
  <c r="Z72" i="198" s="1"/>
  <c r="AF72" i="198" s="1"/>
  <c r="Q44" i="198"/>
  <c r="N44" i="198"/>
  <c r="M44" i="198"/>
  <c r="S44" i="198" s="1"/>
  <c r="Y44" i="198" s="1"/>
  <c r="AE44" i="198" s="1"/>
  <c r="M16" i="198"/>
  <c r="S16" i="198" s="1"/>
  <c r="Y16" i="198" s="1"/>
  <c r="AE16" i="198" s="1"/>
  <c r="N16" i="198"/>
  <c r="T16" i="198" s="1"/>
  <c r="Z16" i="198" s="1"/>
  <c r="AF16" i="198" s="1"/>
  <c r="AG142" i="198"/>
  <c r="I142" i="198"/>
  <c r="U142" i="198"/>
  <c r="O142" i="198"/>
  <c r="AA142" i="198"/>
  <c r="AE114" i="198"/>
  <c r="O114" i="198"/>
  <c r="AG114" i="198"/>
  <c r="AA114" i="198"/>
  <c r="U114" i="198"/>
  <c r="Y185" i="198"/>
  <c r="Z151" i="198"/>
  <c r="Z122" i="198"/>
  <c r="AF177" i="198"/>
  <c r="AE149" i="198"/>
  <c r="AE122" i="198"/>
  <c r="K63" i="198"/>
  <c r="Q55" i="198"/>
  <c r="AC17" i="198"/>
  <c r="AC83" i="198"/>
  <c r="AI65" i="198"/>
  <c r="U138" i="198"/>
  <c r="AG138" i="198"/>
  <c r="O138" i="198"/>
  <c r="I138" i="198"/>
  <c r="AA138" i="198"/>
  <c r="M96" i="198"/>
  <c r="S96" i="198" s="1"/>
  <c r="Y96" i="198" s="1"/>
  <c r="AE96" i="198" s="1"/>
  <c r="N96" i="198"/>
  <c r="T96" i="198" s="1"/>
  <c r="Z96" i="198" s="1"/>
  <c r="AF96" i="198" s="1"/>
  <c r="K53" i="198"/>
  <c r="N53" i="198"/>
  <c r="T53" i="198" s="1"/>
  <c r="Z53" i="198" s="1"/>
  <c r="AF53" i="198" s="1"/>
  <c r="M53" i="198"/>
  <c r="S53" i="198" s="1"/>
  <c r="Y53" i="198" s="1"/>
  <c r="AE53" i="198" s="1"/>
  <c r="Q25" i="198"/>
  <c r="N25" i="198"/>
  <c r="T25" i="198" s="1"/>
  <c r="Z25" i="198" s="1"/>
  <c r="AF25" i="198" s="1"/>
  <c r="M25" i="198"/>
  <c r="S25" i="198" s="1"/>
  <c r="Y25" i="198" s="1"/>
  <c r="AE25" i="198" s="1"/>
  <c r="I179" i="198"/>
  <c r="U179" i="198"/>
  <c r="AG179" i="198"/>
  <c r="O179" i="198"/>
  <c r="AA179" i="198"/>
  <c r="O123" i="198"/>
  <c r="I123" i="198"/>
  <c r="AA123" i="198"/>
  <c r="U123" i="198"/>
  <c r="AG123" i="198"/>
  <c r="Y163" i="198"/>
  <c r="K82" i="198"/>
  <c r="N23" i="198"/>
  <c r="T23" i="198" s="1"/>
  <c r="Z23" i="198" s="1"/>
  <c r="AF23" i="198" s="1"/>
  <c r="M23" i="198"/>
  <c r="S23" i="198" s="1"/>
  <c r="Y23" i="198" s="1"/>
  <c r="AE23" i="198" s="1"/>
  <c r="AK13" i="198"/>
  <c r="Q50" i="198"/>
  <c r="M50" i="198"/>
  <c r="S50" i="198" s="1"/>
  <c r="Y50" i="198" s="1"/>
  <c r="AE50" i="198" s="1"/>
  <c r="N50" i="198"/>
  <c r="T50" i="198" s="1"/>
  <c r="Z50" i="198" s="1"/>
  <c r="AF50" i="198" s="1"/>
  <c r="M22" i="198"/>
  <c r="S22" i="198" s="1"/>
  <c r="Y22" i="198" s="1"/>
  <c r="AE22" i="198" s="1"/>
  <c r="N22" i="198"/>
  <c r="T22" i="198" s="1"/>
  <c r="Z22" i="198" s="1"/>
  <c r="AF22" i="198" s="1"/>
  <c r="Z148" i="198"/>
  <c r="U148" i="198"/>
  <c r="AG148" i="198"/>
  <c r="O148" i="198"/>
  <c r="I148" i="198"/>
  <c r="AA148" i="198"/>
  <c r="AF152" i="198"/>
  <c r="AK62" i="198"/>
  <c r="Q49" i="198"/>
  <c r="N49" i="198"/>
  <c r="T49" i="198" s="1"/>
  <c r="Z49" i="198" s="1"/>
  <c r="AF49" i="198" s="1"/>
  <c r="M49" i="198"/>
  <c r="S49" i="198" s="1"/>
  <c r="Y49" i="198" s="1"/>
  <c r="AE49" i="198" s="1"/>
  <c r="N21" i="198"/>
  <c r="M21" i="198"/>
  <c r="S21" i="198" s="1"/>
  <c r="Y21" i="198" s="1"/>
  <c r="AE21" i="198" s="1"/>
  <c r="O175" i="198"/>
  <c r="I175" i="198"/>
  <c r="U175" i="198"/>
  <c r="AG175" i="198"/>
  <c r="AA175" i="198"/>
  <c r="Y119" i="198"/>
  <c r="AG119" i="198"/>
  <c r="AA119" i="198"/>
  <c r="O119" i="198"/>
  <c r="U119" i="198"/>
  <c r="I119" i="198"/>
  <c r="M75" i="198"/>
  <c r="S75" i="198" s="1"/>
  <c r="Y75" i="198" s="1"/>
  <c r="AE75" i="198" s="1"/>
  <c r="N75" i="198"/>
  <c r="T75" i="198" s="1"/>
  <c r="Z75" i="198" s="1"/>
  <c r="AF75" i="198" s="1"/>
  <c r="N19" i="198"/>
  <c r="T19" i="198" s="1"/>
  <c r="Z19" i="198" s="1"/>
  <c r="AF19" i="198" s="1"/>
  <c r="M19" i="198"/>
  <c r="S19" i="198" s="1"/>
  <c r="Y19" i="198" s="1"/>
  <c r="AE19" i="198" s="1"/>
  <c r="AA173" i="198"/>
  <c r="U173" i="198"/>
  <c r="O173" i="198"/>
  <c r="AG173" i="198"/>
  <c r="I173" i="198"/>
  <c r="U145" i="198"/>
  <c r="AG145" i="198"/>
  <c r="O145" i="198"/>
  <c r="AA145" i="198"/>
  <c r="I145" i="198"/>
  <c r="AF181" i="198"/>
  <c r="AF124" i="198"/>
  <c r="K67" i="198"/>
  <c r="AC80" i="198"/>
  <c r="N18" i="198"/>
  <c r="M18" i="198"/>
  <c r="S18" i="198" s="1"/>
  <c r="Y18" i="198" s="1"/>
  <c r="AE18" i="198" s="1"/>
  <c r="AC81" i="198"/>
  <c r="N71" i="198"/>
  <c r="T71" i="198" s="1"/>
  <c r="Z71" i="198" s="1"/>
  <c r="AF71" i="198" s="1"/>
  <c r="M71" i="198"/>
  <c r="S71" i="198" s="1"/>
  <c r="Y71" i="198" s="1"/>
  <c r="AE71" i="198" s="1"/>
  <c r="M43" i="198"/>
  <c r="S43" i="198" s="1"/>
  <c r="Y43" i="198" s="1"/>
  <c r="AE43" i="198" s="1"/>
  <c r="N43" i="198"/>
  <c r="T43" i="198" s="1"/>
  <c r="Z43" i="198" s="1"/>
  <c r="AF43" i="198" s="1"/>
  <c r="M15" i="198"/>
  <c r="S15" i="198" s="1"/>
  <c r="Y15" i="198" s="1"/>
  <c r="AE15" i="198" s="1"/>
  <c r="N15" i="198"/>
  <c r="T15" i="198" s="1"/>
  <c r="Z15" i="198" s="1"/>
  <c r="AF15" i="198" s="1"/>
  <c r="AA169" i="198"/>
  <c r="U169" i="198"/>
  <c r="AG169" i="198"/>
  <c r="O169" i="198"/>
  <c r="I169" i="198"/>
  <c r="U141" i="198"/>
  <c r="I141" i="198"/>
  <c r="AG141" i="198"/>
  <c r="O141" i="198"/>
  <c r="AA141" i="198"/>
  <c r="U113" i="198"/>
  <c r="AG113" i="198"/>
  <c r="O113" i="198"/>
  <c r="AA113" i="198"/>
  <c r="Z178" i="198"/>
  <c r="Z150" i="198"/>
  <c r="AE177" i="198"/>
  <c r="AF148" i="198"/>
  <c r="AF121" i="198"/>
  <c r="K61" i="198"/>
  <c r="Q56" i="198"/>
  <c r="W46" i="198"/>
  <c r="AC23" i="198"/>
  <c r="AC87" i="198"/>
  <c r="AI66" i="198"/>
  <c r="M36" i="198"/>
  <c r="S36" i="198" s="1"/>
  <c r="Y36" i="198" s="1"/>
  <c r="AE36" i="198" s="1"/>
  <c r="N36" i="198"/>
  <c r="T36" i="198" s="1"/>
  <c r="Z36" i="198" s="1"/>
  <c r="AF36" i="198" s="1"/>
  <c r="M54" i="198"/>
  <c r="S54" i="198" s="1"/>
  <c r="Y54" i="198" s="1"/>
  <c r="AE54" i="198" s="1"/>
  <c r="N54" i="198"/>
  <c r="S122" i="198"/>
  <c r="I122" i="198"/>
  <c r="AA122" i="198"/>
  <c r="O122" i="198"/>
  <c r="U122" i="198"/>
  <c r="AG122" i="198"/>
  <c r="O120" i="198"/>
  <c r="AA120" i="198"/>
  <c r="AG120" i="198"/>
  <c r="I120" i="198"/>
  <c r="U120" i="198"/>
  <c r="AI51" i="198"/>
  <c r="Y129" i="198"/>
  <c r="AE185" i="198"/>
  <c r="AE125" i="198"/>
  <c r="K68" i="198"/>
  <c r="Q37" i="198"/>
  <c r="W34" i="198"/>
  <c r="AM62" i="198"/>
  <c r="M47" i="198"/>
  <c r="S47" i="198" s="1"/>
  <c r="Y47" i="198" s="1"/>
  <c r="AE47" i="198" s="1"/>
  <c r="N47" i="198"/>
  <c r="T47" i="198" s="1"/>
  <c r="Z47" i="198" s="1"/>
  <c r="AF47" i="198" s="1"/>
  <c r="AG117" i="198"/>
  <c r="O117" i="198"/>
  <c r="AA117" i="198"/>
  <c r="U117" i="198"/>
  <c r="Z125" i="198"/>
  <c r="AF178" i="198"/>
  <c r="AE124" i="198"/>
  <c r="K66" i="198"/>
  <c r="W38" i="198"/>
  <c r="AC13" i="198"/>
  <c r="AI63" i="198"/>
  <c r="M45" i="198"/>
  <c r="N45" i="198"/>
  <c r="T45" i="198" s="1"/>
  <c r="Z45" i="198" s="1"/>
  <c r="AF45" i="198" s="1"/>
  <c r="U143" i="198"/>
  <c r="AG143" i="198"/>
  <c r="O143" i="198"/>
  <c r="I143" i="198"/>
  <c r="AA143" i="198"/>
  <c r="Z185" i="198"/>
  <c r="Y123" i="198"/>
  <c r="AF149" i="198"/>
  <c r="AI64" i="198"/>
  <c r="AC70" i="198"/>
  <c r="M70" i="198"/>
  <c r="S70" i="198" s="1"/>
  <c r="Y70" i="198" s="1"/>
  <c r="AE70" i="198" s="1"/>
  <c r="N70" i="198"/>
  <c r="T70" i="198" s="1"/>
  <c r="Z70" i="198" s="1"/>
  <c r="AF70" i="198" s="1"/>
  <c r="AC42" i="198"/>
  <c r="M42" i="198"/>
  <c r="S42" i="198" s="1"/>
  <c r="Y42" i="198" s="1"/>
  <c r="AE42" i="198" s="1"/>
  <c r="N42" i="198"/>
  <c r="T42" i="198" s="1"/>
  <c r="Z42" i="198" s="1"/>
  <c r="AF42" i="198" s="1"/>
  <c r="K14" i="198"/>
  <c r="N14" i="198"/>
  <c r="T14" i="198" s="1"/>
  <c r="Z14" i="198" s="1"/>
  <c r="AF14" i="198" s="1"/>
  <c r="M14" i="198"/>
  <c r="S14" i="198" s="1"/>
  <c r="Y14" i="198" s="1"/>
  <c r="AE14" i="198" s="1"/>
  <c r="I168" i="198"/>
  <c r="AA168" i="198"/>
  <c r="U168" i="198"/>
  <c r="AG168" i="198"/>
  <c r="O168" i="198"/>
  <c r="AE112" i="198"/>
  <c r="O112" i="198"/>
  <c r="U112" i="198"/>
  <c r="AA112" i="198"/>
  <c r="AG112" i="198"/>
  <c r="Y178" i="198"/>
  <c r="Y150" i="198"/>
  <c r="Z121" i="198"/>
  <c r="AF174" i="198"/>
  <c r="AE121" i="198"/>
  <c r="K60" i="198"/>
  <c r="Q57" i="198"/>
  <c r="W48" i="198"/>
  <c r="AC24" i="198"/>
  <c r="AC93" i="198"/>
  <c r="AI71" i="198"/>
  <c r="G44" i="198"/>
  <c r="K44" i="198"/>
  <c r="G72" i="198"/>
  <c r="K72" i="198"/>
  <c r="Q72" i="198"/>
  <c r="AC72" i="198"/>
  <c r="G16" i="198"/>
  <c r="H170" i="198"/>
  <c r="Y170" i="198"/>
  <c r="AF170" i="198"/>
  <c r="G142" i="198"/>
  <c r="Y142" i="198"/>
  <c r="AE182" i="198"/>
  <c r="Y154" i="198"/>
  <c r="Q13" i="198"/>
  <c r="Q16" i="198"/>
  <c r="T170" i="198"/>
  <c r="AI70" i="198"/>
  <c r="AI69" i="198"/>
  <c r="W69" i="198"/>
  <c r="AI13" i="198"/>
  <c r="W13" i="198"/>
  <c r="T167" i="198"/>
  <c r="G167" i="198"/>
  <c r="H167" i="198"/>
  <c r="Y167" i="198"/>
  <c r="Z167" i="198"/>
  <c r="T139" i="198"/>
  <c r="AE111" i="198"/>
  <c r="Z111" i="198"/>
  <c r="K16" i="198"/>
  <c r="W16" i="198"/>
  <c r="AI16" i="198"/>
  <c r="T126" i="198"/>
  <c r="AF114" i="198"/>
  <c r="W70" i="198"/>
  <c r="AC69" i="198"/>
  <c r="AF156" i="198"/>
  <c r="W29" i="198"/>
  <c r="W72" i="198"/>
  <c r="AC28" i="198"/>
  <c r="AI28" i="198"/>
  <c r="AI96" i="198"/>
  <c r="AC96" i="198"/>
  <c r="W96" i="198"/>
  <c r="Q34" i="198"/>
  <c r="AC34" i="198"/>
  <c r="W30" i="198"/>
  <c r="K92" i="198"/>
  <c r="Q92" i="198"/>
  <c r="W92" i="198"/>
  <c r="K64" i="198"/>
  <c r="K36" i="198"/>
  <c r="W36" i="198"/>
  <c r="Q36" i="198"/>
  <c r="AC36" i="198"/>
  <c r="AE162" i="198"/>
  <c r="AF162" i="198"/>
  <c r="AE134" i="198"/>
  <c r="AF134" i="198"/>
  <c r="Z134" i="198"/>
  <c r="AF105" i="198"/>
  <c r="AC27" i="198"/>
  <c r="AI72" i="198"/>
  <c r="Q91" i="198"/>
  <c r="W91" i="198"/>
  <c r="W35" i="198"/>
  <c r="AI35" i="198"/>
  <c r="K35" i="198"/>
  <c r="Q35" i="198"/>
  <c r="AI95" i="198"/>
  <c r="W95" i="198"/>
  <c r="AC95" i="198"/>
  <c r="AF161" i="198"/>
  <c r="AE161" i="198"/>
  <c r="Z161" i="198"/>
  <c r="AF133" i="198"/>
  <c r="Y133" i="198"/>
  <c r="Z133" i="198"/>
  <c r="G104" i="198"/>
  <c r="Q90" i="198"/>
  <c r="AC90" i="198"/>
  <c r="Q62" i="198"/>
  <c r="AC62" i="198"/>
  <c r="K62" i="198"/>
  <c r="AI62" i="198"/>
  <c r="H103" i="198"/>
  <c r="Y103" i="198"/>
  <c r="Z103" i="198"/>
  <c r="AE133" i="198"/>
  <c r="AF111" i="198"/>
  <c r="Q69" i="198"/>
  <c r="AC29" i="198"/>
  <c r="Q89" i="198"/>
  <c r="AI89" i="198"/>
  <c r="AC89" i="198"/>
  <c r="W89" i="198"/>
  <c r="Q61" i="198"/>
  <c r="AI61" i="198"/>
  <c r="AC61" i="198"/>
  <c r="Q33" i="198"/>
  <c r="AI33" i="198"/>
  <c r="AC33" i="198"/>
  <c r="M100" i="198"/>
  <c r="Y100" i="198"/>
  <c r="AE100" i="198"/>
  <c r="AF100" i="198"/>
  <c r="Z100" i="198"/>
  <c r="Y159" i="198"/>
  <c r="Z159" i="198"/>
  <c r="Y131" i="198"/>
  <c r="Z131" i="198"/>
  <c r="Z105" i="198"/>
  <c r="AF153" i="198"/>
  <c r="AF132" i="198"/>
  <c r="W77" i="198"/>
  <c r="AC30" i="198"/>
  <c r="G88" i="198"/>
  <c r="AC88" i="198"/>
  <c r="Q60" i="198"/>
  <c r="AC60" i="198"/>
  <c r="AI60" i="198"/>
  <c r="Q32" i="198"/>
  <c r="AC32" i="198"/>
  <c r="K99" i="198"/>
  <c r="AI99" i="198"/>
  <c r="H158" i="198"/>
  <c r="Y158" i="198"/>
  <c r="Z158" i="198"/>
  <c r="M101" i="198"/>
  <c r="AF101" i="198"/>
  <c r="Z170" i="198"/>
  <c r="Y105" i="198"/>
  <c r="AE175" i="198"/>
  <c r="AE132" i="198"/>
  <c r="K96" i="198"/>
  <c r="K50" i="198"/>
  <c r="Q77" i="198"/>
  <c r="W32" i="198"/>
  <c r="G114" i="198"/>
  <c r="Y114" i="198"/>
  <c r="G85" i="198"/>
  <c r="K85" i="198"/>
  <c r="G57" i="198"/>
  <c r="K57" i="198"/>
  <c r="AC57" i="198"/>
  <c r="W57" i="198"/>
  <c r="AI57" i="198"/>
  <c r="G183" i="198"/>
  <c r="AF183" i="198"/>
  <c r="AE183" i="198"/>
  <c r="Y183" i="198"/>
  <c r="Z183" i="198"/>
  <c r="G155" i="198"/>
  <c r="H155" i="198"/>
  <c r="AF155" i="198"/>
  <c r="AE155" i="198"/>
  <c r="M155" i="198"/>
  <c r="N107" i="198"/>
  <c r="Y107" i="198"/>
  <c r="Z107" i="198"/>
  <c r="AI85" i="198"/>
  <c r="G84" i="198"/>
  <c r="J84" i="198" s="1"/>
  <c r="K84" i="198"/>
  <c r="Q84" i="198"/>
  <c r="G56" i="198"/>
  <c r="K56" i="198"/>
  <c r="AC56" i="198"/>
  <c r="W56" i="198"/>
  <c r="G28" i="198"/>
  <c r="K28" i="198"/>
  <c r="G182" i="198"/>
  <c r="G154" i="198"/>
  <c r="AF154" i="198"/>
  <c r="AE154" i="198"/>
  <c r="G126" i="198"/>
  <c r="S126" i="198"/>
  <c r="AF126" i="198"/>
  <c r="AE126" i="198"/>
  <c r="AF107" i="198"/>
  <c r="W85" i="198"/>
  <c r="AC84" i="198"/>
  <c r="AI86" i="198"/>
  <c r="AC85" i="198"/>
  <c r="G83" i="198"/>
  <c r="W83" i="198"/>
  <c r="AI83" i="198"/>
  <c r="W55" i="198"/>
  <c r="AI55" i="198"/>
  <c r="K55" i="198"/>
  <c r="W27" i="198"/>
  <c r="AI27" i="198"/>
  <c r="AE107" i="198"/>
  <c r="Q83" i="198"/>
  <c r="W42" i="198"/>
  <c r="G70" i="198"/>
  <c r="K70" i="198"/>
  <c r="Q70" i="198"/>
  <c r="G42" i="198"/>
  <c r="K42" i="198"/>
  <c r="AI42" i="198"/>
  <c r="G14" i="198"/>
  <c r="Q14" i="198"/>
  <c r="AC14" i="198"/>
  <c r="G168" i="198"/>
  <c r="AF168" i="198"/>
  <c r="Z168" i="198"/>
  <c r="G140" i="198"/>
  <c r="AF140" i="198"/>
  <c r="G112" i="198"/>
  <c r="AF112" i="198"/>
  <c r="Y112" i="198"/>
  <c r="W14" i="198"/>
  <c r="AC16" i="198"/>
  <c r="G86" i="198"/>
  <c r="K86" i="198"/>
  <c r="G58" i="198"/>
  <c r="K58" i="198"/>
  <c r="W58" i="198"/>
  <c r="G30" i="198"/>
  <c r="K30" i="198"/>
  <c r="Q30" i="198"/>
  <c r="G184" i="198"/>
  <c r="Y184" i="198"/>
  <c r="AF184" i="198"/>
  <c r="AE184" i="198"/>
  <c r="Z184" i="198"/>
  <c r="G156" i="198"/>
  <c r="Y156" i="198"/>
  <c r="S156" i="198"/>
  <c r="G128" i="198"/>
  <c r="Y128" i="198"/>
  <c r="G29" i="198"/>
  <c r="K29" i="198"/>
  <c r="G127" i="198"/>
  <c r="AF127" i="198"/>
  <c r="AE127" i="198"/>
  <c r="Y127" i="198"/>
  <c r="M127" i="198"/>
  <c r="Y168" i="198"/>
  <c r="H128" i="198"/>
  <c r="AE170" i="198"/>
  <c r="Q85" i="198"/>
  <c r="AC86" i="198"/>
  <c r="W53" i="198"/>
  <c r="AI53" i="198"/>
  <c r="Q53" i="198"/>
  <c r="AF151" i="198"/>
  <c r="Y151" i="198"/>
  <c r="H127" i="198"/>
  <c r="Z162" i="198"/>
  <c r="Z142" i="198"/>
  <c r="AE167" i="198"/>
  <c r="AE104" i="198"/>
  <c r="K83" i="198"/>
  <c r="Q42" i="198"/>
  <c r="AC49" i="198"/>
  <c r="AC92" i="198"/>
  <c r="AI92" i="198"/>
  <c r="AF179" i="198"/>
  <c r="AE179" i="198"/>
  <c r="AE168" i="198"/>
  <c r="AF128" i="198"/>
  <c r="S148" i="198"/>
  <c r="AE148" i="198"/>
  <c r="Y162" i="198"/>
  <c r="K34" i="198"/>
  <c r="AC50" i="198"/>
  <c r="W81" i="198"/>
  <c r="AI81" i="198"/>
  <c r="AF123" i="198"/>
  <c r="Z123" i="198"/>
  <c r="AF167" i="198"/>
  <c r="W25" i="198"/>
  <c r="AI25" i="198"/>
  <c r="AE105" i="198"/>
  <c r="Q86" i="198"/>
  <c r="AF104" i="198"/>
  <c r="Y161" i="198"/>
  <c r="AC76" i="198"/>
  <c r="Q76" i="198"/>
  <c r="K76" i="198"/>
  <c r="M174" i="198"/>
  <c r="M118" i="198"/>
  <c r="AF118" i="198"/>
  <c r="Y118" i="198"/>
  <c r="Z139" i="198"/>
  <c r="G47" i="198"/>
  <c r="AC47" i="198"/>
  <c r="W47" i="198"/>
  <c r="Q47" i="198"/>
  <c r="H58" i="198"/>
  <c r="AE128" i="198"/>
  <c r="W90" i="198"/>
  <c r="AC91" i="198"/>
  <c r="AI91" i="198"/>
  <c r="K22" i="198"/>
  <c r="AC22" i="198"/>
  <c r="AI22" i="198"/>
  <c r="Z182" i="198"/>
  <c r="AF103" i="198"/>
  <c r="G77" i="198"/>
  <c r="AI77" i="198"/>
  <c r="AC77" i="198"/>
  <c r="G21" i="198"/>
  <c r="G175" i="198"/>
  <c r="AF175" i="198"/>
  <c r="Z175" i="198"/>
  <c r="G119" i="198"/>
  <c r="AF119" i="198"/>
  <c r="Y140" i="198"/>
  <c r="K81" i="198"/>
  <c r="K33" i="198"/>
  <c r="Q95" i="198"/>
  <c r="W49" i="198"/>
  <c r="AI49" i="198"/>
  <c r="AC48" i="198"/>
  <c r="Q48" i="198"/>
  <c r="AC20" i="198"/>
  <c r="Q20" i="198"/>
  <c r="W20" i="198"/>
  <c r="M146" i="198"/>
  <c r="AF146" i="198"/>
  <c r="W50" i="198"/>
  <c r="G75" i="198"/>
  <c r="AC75" i="198"/>
  <c r="W75" i="198"/>
  <c r="Q75" i="198"/>
  <c r="K75" i="198"/>
  <c r="G19" i="198"/>
  <c r="AC19" i="198"/>
  <c r="W19" i="198"/>
  <c r="Q19" i="198"/>
  <c r="K19" i="198"/>
  <c r="AI19" i="198"/>
  <c r="G145" i="198"/>
  <c r="Y145" i="198"/>
  <c r="Z145" i="198"/>
  <c r="G117" i="198"/>
  <c r="Y117" i="198"/>
  <c r="Z117" i="198"/>
  <c r="AE117" i="198"/>
  <c r="AF117" i="198"/>
  <c r="N156" i="198"/>
  <c r="Y181" i="198"/>
  <c r="Y160" i="198"/>
  <c r="Y139" i="198"/>
  <c r="AE102" i="198"/>
  <c r="AC99" i="198"/>
  <c r="G74" i="198"/>
  <c r="AC74" i="198"/>
  <c r="Q74" i="198"/>
  <c r="W74" i="198"/>
  <c r="K74" i="198"/>
  <c r="G46" i="198"/>
  <c r="AC46" i="198"/>
  <c r="Q46" i="198"/>
  <c r="G18" i="198"/>
  <c r="K18" i="198"/>
  <c r="H172" i="198"/>
  <c r="AF172" i="198"/>
  <c r="G144" i="198"/>
  <c r="AE144" i="198"/>
  <c r="AF144" i="198"/>
  <c r="Y144" i="198"/>
  <c r="G116" i="198"/>
  <c r="AF116" i="198"/>
  <c r="Y116" i="198"/>
  <c r="N155" i="198"/>
  <c r="Z179" i="198"/>
  <c r="Z114" i="198"/>
  <c r="AF142" i="198"/>
  <c r="AE101" i="198"/>
  <c r="K77" i="198"/>
  <c r="K27" i="198"/>
  <c r="Q99" i="198"/>
  <c r="AI78" i="198"/>
  <c r="AC78" i="198"/>
  <c r="K78" i="198"/>
  <c r="S176" i="198"/>
  <c r="AE176" i="198"/>
  <c r="Y176" i="198"/>
  <c r="S120" i="198"/>
  <c r="AE120" i="198"/>
  <c r="N162" i="198"/>
  <c r="Z140" i="198"/>
  <c r="G49" i="198"/>
  <c r="G147" i="198"/>
  <c r="AF147" i="198"/>
  <c r="Y182" i="198"/>
  <c r="AE103" i="198"/>
  <c r="Z181" i="198"/>
  <c r="Z160" i="198"/>
  <c r="Z118" i="198"/>
  <c r="AE123" i="198"/>
  <c r="AF102" i="198"/>
  <c r="Q96" i="198"/>
  <c r="AI50" i="198"/>
  <c r="N173" i="198"/>
  <c r="T173" i="198"/>
  <c r="Y173" i="198"/>
  <c r="Z173" i="198"/>
  <c r="AC53" i="198"/>
  <c r="G73" i="198"/>
  <c r="W73" i="198"/>
  <c r="AI73" i="198"/>
  <c r="G45" i="198"/>
  <c r="G17" i="198"/>
  <c r="K17" i="198"/>
  <c r="W17" i="198"/>
  <c r="G171" i="198"/>
  <c r="AE171" i="198"/>
  <c r="AF171" i="198"/>
  <c r="G143" i="198"/>
  <c r="G115" i="198"/>
  <c r="Y115" i="198"/>
  <c r="Z115" i="198"/>
  <c r="N127" i="198"/>
  <c r="Y179" i="198"/>
  <c r="AE142" i="198"/>
  <c r="K25" i="198"/>
  <c r="K73" i="198"/>
  <c r="AC55" i="198"/>
  <c r="AI56" i="198"/>
  <c r="G71" i="198"/>
  <c r="K71" i="198"/>
  <c r="G43" i="198"/>
  <c r="K43" i="198"/>
  <c r="G15" i="198"/>
  <c r="H169" i="198"/>
  <c r="AF169" i="198"/>
  <c r="AE169" i="198"/>
  <c r="H141" i="198"/>
  <c r="AF141" i="198"/>
  <c r="AE141" i="198"/>
  <c r="H113" i="198"/>
  <c r="AF113" i="198"/>
  <c r="AE113" i="198"/>
  <c r="W15" i="198"/>
  <c r="AI68" i="198"/>
  <c r="AC68" i="198"/>
  <c r="W68" i="198"/>
  <c r="AI40" i="198"/>
  <c r="AC40" i="198"/>
  <c r="W40" i="198"/>
  <c r="S12" i="198"/>
  <c r="Y12" i="198" s="1"/>
  <c r="AE12" i="198" s="1"/>
  <c r="AI12" i="198"/>
  <c r="AC12" i="198"/>
  <c r="W12" i="198"/>
  <c r="M166" i="198"/>
  <c r="Y166" i="198"/>
  <c r="Z166" i="198"/>
  <c r="M138" i="198"/>
  <c r="Y138" i="198"/>
  <c r="Z138" i="198"/>
  <c r="Y110" i="198"/>
  <c r="Z110" i="198"/>
  <c r="Q71" i="198"/>
  <c r="AI67" i="198"/>
  <c r="W67" i="198"/>
  <c r="AI39" i="198"/>
  <c r="W39" i="198"/>
  <c r="AI11" i="198"/>
  <c r="W11" i="198"/>
  <c r="M165" i="198"/>
  <c r="AF165" i="198"/>
  <c r="M137" i="198"/>
  <c r="AF137" i="198"/>
  <c r="M109" i="198"/>
  <c r="AF109" i="198"/>
  <c r="Z165" i="198"/>
  <c r="Z141" i="198"/>
  <c r="Y125" i="198"/>
  <c r="W82" i="198"/>
  <c r="Q82" i="198"/>
  <c r="AI82" i="198"/>
  <c r="W54" i="198"/>
  <c r="Q54" i="198"/>
  <c r="AI54" i="198"/>
  <c r="W26" i="198"/>
  <c r="Q26" i="198"/>
  <c r="AI26" i="198"/>
  <c r="H180" i="198"/>
  <c r="Y180" i="198"/>
  <c r="Z180" i="198"/>
  <c r="Y152" i="198"/>
  <c r="Z152" i="198"/>
  <c r="Y124" i="198"/>
  <c r="Z124" i="198"/>
  <c r="Y141" i="198"/>
  <c r="AF125" i="198"/>
  <c r="K54" i="198"/>
  <c r="Q15" i="198"/>
  <c r="AI43" i="198"/>
  <c r="AF180" i="198"/>
  <c r="AE180" i="198"/>
  <c r="S174" i="198"/>
  <c r="S172" i="198"/>
  <c r="N149" i="198"/>
  <c r="T147" i="198"/>
  <c r="T146" i="198"/>
  <c r="H143" i="198"/>
  <c r="N142" i="198"/>
  <c r="T142" i="198"/>
  <c r="M142" i="198"/>
  <c r="T119" i="198"/>
  <c r="H48" i="198"/>
  <c r="N115" i="198"/>
  <c r="S119" i="198"/>
  <c r="G48" i="198"/>
  <c r="M115" i="198"/>
  <c r="T118" i="198"/>
  <c r="H47" i="198"/>
  <c r="N114" i="198"/>
  <c r="S118" i="198"/>
  <c r="H45" i="198"/>
  <c r="M114" i="198"/>
  <c r="T117" i="198"/>
  <c r="S146" i="198"/>
  <c r="N113" i="198"/>
  <c r="T116" i="198"/>
  <c r="S184" i="198"/>
  <c r="S116" i="198"/>
  <c r="N143" i="198"/>
  <c r="N184" i="198"/>
  <c r="N100" i="198"/>
  <c r="T182" i="198"/>
  <c r="T115" i="198"/>
  <c r="M184" i="198"/>
  <c r="S182" i="198"/>
  <c r="S115" i="198"/>
  <c r="N148" i="198"/>
  <c r="S147" i="198"/>
  <c r="H17" i="198"/>
  <c r="S117" i="198"/>
  <c r="N183" i="198"/>
  <c r="T175" i="198"/>
  <c r="T114" i="198"/>
  <c r="M183" i="198"/>
  <c r="S175" i="198"/>
  <c r="M149" i="198"/>
  <c r="M143" i="198"/>
  <c r="H73" i="198"/>
  <c r="T174" i="198"/>
  <c r="M164" i="198"/>
  <c r="G41" i="198"/>
  <c r="H108" i="198"/>
  <c r="H33" i="198"/>
  <c r="H104" i="198"/>
  <c r="T168" i="198"/>
  <c r="N140" i="198"/>
  <c r="T154" i="198"/>
  <c r="S112" i="198"/>
  <c r="S154" i="198"/>
  <c r="N182" i="198"/>
  <c r="T112" i="198"/>
  <c r="G103" i="198"/>
  <c r="S168" i="198"/>
  <c r="T140" i="198"/>
  <c r="H41" i="198"/>
  <c r="H88" i="198"/>
  <c r="H86" i="198"/>
  <c r="M178" i="198"/>
  <c r="M126" i="198"/>
  <c r="H185" i="198"/>
  <c r="H83" i="198"/>
  <c r="M170" i="198"/>
  <c r="N122" i="198"/>
  <c r="T145" i="198"/>
  <c r="N112" i="198"/>
  <c r="G40" i="198"/>
  <c r="M140" i="198"/>
  <c r="N178" i="198"/>
  <c r="N126" i="198"/>
  <c r="G185" i="198"/>
  <c r="N169" i="198"/>
  <c r="M122" i="198"/>
  <c r="S145" i="198"/>
  <c r="G174" i="198"/>
  <c r="H76" i="198"/>
  <c r="N168" i="198"/>
  <c r="N121" i="198"/>
  <c r="T144" i="198"/>
  <c r="S140" i="198"/>
  <c r="H40" i="198"/>
  <c r="G109" i="198"/>
  <c r="N141" i="198"/>
  <c r="M182" i="198"/>
  <c r="H173" i="198"/>
  <c r="G76" i="198"/>
  <c r="M168" i="198"/>
  <c r="M121" i="198"/>
  <c r="S144" i="198"/>
  <c r="H166" i="198"/>
  <c r="M112" i="198"/>
  <c r="G173" i="198"/>
  <c r="H75" i="198"/>
  <c r="N120" i="198"/>
  <c r="T143" i="198"/>
  <c r="S164" i="198"/>
  <c r="G164" i="198"/>
  <c r="N104" i="198"/>
  <c r="S104" i="198"/>
  <c r="M104" i="198"/>
  <c r="T104" i="198"/>
  <c r="M103" i="198"/>
  <c r="S103" i="198"/>
  <c r="T103" i="198"/>
  <c r="N103" i="198"/>
  <c r="T111" i="198"/>
  <c r="G111" i="198"/>
  <c r="H111" i="198"/>
  <c r="H165" i="198"/>
  <c r="H94" i="198"/>
  <c r="G94" i="198"/>
  <c r="G38" i="198"/>
  <c r="H38" i="198"/>
  <c r="S108" i="198"/>
  <c r="M108" i="198"/>
  <c r="N108" i="198"/>
  <c r="H65" i="198"/>
  <c r="S163" i="198"/>
  <c r="H163" i="198"/>
  <c r="S135" i="198"/>
  <c r="M135" i="198"/>
  <c r="N135" i="198"/>
  <c r="G165" i="198"/>
  <c r="H92" i="198"/>
  <c r="H64" i="198"/>
  <c r="H36" i="198"/>
  <c r="G96" i="198"/>
  <c r="H96" i="198"/>
  <c r="S162" i="198"/>
  <c r="H162" i="198"/>
  <c r="S134" i="198"/>
  <c r="M134" i="198"/>
  <c r="H134" i="198"/>
  <c r="G105" i="198"/>
  <c r="M105" i="198"/>
  <c r="N105" i="198"/>
  <c r="S105" i="198"/>
  <c r="T105" i="198"/>
  <c r="H164" i="198"/>
  <c r="H13" i="198"/>
  <c r="M162" i="198"/>
  <c r="G91" i="198"/>
  <c r="T91" i="198"/>
  <c r="Z91" i="198" s="1"/>
  <c r="AF91" i="198" s="1"/>
  <c r="G63" i="198"/>
  <c r="G35" i="198"/>
  <c r="AK95" i="198"/>
  <c r="G95" i="198"/>
  <c r="G161" i="198"/>
  <c r="S161" i="198"/>
  <c r="T161" i="198"/>
  <c r="N161" i="198"/>
  <c r="M161" i="198"/>
  <c r="G133" i="198"/>
  <c r="S133" i="198"/>
  <c r="M133" i="198"/>
  <c r="T133" i="198"/>
  <c r="N133" i="198"/>
  <c r="H95" i="198"/>
  <c r="G13" i="198"/>
  <c r="H90" i="198"/>
  <c r="G90" i="198"/>
  <c r="G62" i="198"/>
  <c r="H62" i="198"/>
  <c r="T34" i="198"/>
  <c r="Z34" i="198" s="1"/>
  <c r="AF34" i="198" s="1"/>
  <c r="S34" i="198"/>
  <c r="Y34" i="198" s="1"/>
  <c r="AE34" i="198" s="1"/>
  <c r="G34" i="198"/>
  <c r="H34" i="198"/>
  <c r="G97" i="198"/>
  <c r="S160" i="198"/>
  <c r="T160" i="198"/>
  <c r="G160" i="198"/>
  <c r="M160" i="198"/>
  <c r="N160" i="198"/>
  <c r="S132" i="198"/>
  <c r="M132" i="198"/>
  <c r="T132" i="198"/>
  <c r="G132" i="198"/>
  <c r="H132" i="198"/>
  <c r="H12" i="198"/>
  <c r="G89" i="198"/>
  <c r="H89" i="198"/>
  <c r="G61" i="198"/>
  <c r="H61" i="198"/>
  <c r="G33" i="198"/>
  <c r="T33" i="198"/>
  <c r="Z33" i="198" s="1"/>
  <c r="AF33" i="198" s="1"/>
  <c r="G100" i="198"/>
  <c r="T100" i="198"/>
  <c r="S159" i="198"/>
  <c r="T159" i="198"/>
  <c r="G159" i="198"/>
  <c r="H159" i="198"/>
  <c r="M159" i="198"/>
  <c r="S131" i="198"/>
  <c r="M131" i="198"/>
  <c r="T131" i="198"/>
  <c r="N131" i="198"/>
  <c r="H131" i="198"/>
  <c r="M102" i="198"/>
  <c r="S102" i="198"/>
  <c r="T102" i="198"/>
  <c r="G102" i="198"/>
  <c r="G12" i="198"/>
  <c r="G60" i="198"/>
  <c r="H60" i="198"/>
  <c r="T32" i="198"/>
  <c r="Z32" i="198" s="1"/>
  <c r="AF32" i="198" s="1"/>
  <c r="H32" i="198"/>
  <c r="G32" i="198"/>
  <c r="G99" i="198"/>
  <c r="H99" i="198"/>
  <c r="T158" i="198"/>
  <c r="S158" i="198"/>
  <c r="G158" i="198"/>
  <c r="M158" i="198"/>
  <c r="N158" i="198"/>
  <c r="S130" i="198"/>
  <c r="M130" i="198"/>
  <c r="T130" i="198"/>
  <c r="N130" i="198"/>
  <c r="G130" i="198"/>
  <c r="H130" i="198"/>
  <c r="N101" i="198"/>
  <c r="S101" i="198"/>
  <c r="T101" i="198"/>
  <c r="G101" i="198"/>
  <c r="H101" i="198"/>
  <c r="H11" i="198"/>
  <c r="H59" i="198"/>
  <c r="H31" i="198"/>
  <c r="G31" i="198"/>
  <c r="H157" i="198"/>
  <c r="M157" i="198"/>
  <c r="S157" i="198"/>
  <c r="T157" i="198"/>
  <c r="G157" i="198"/>
  <c r="T129" i="198"/>
  <c r="S129" i="198"/>
  <c r="M129" i="198"/>
  <c r="N129" i="198"/>
  <c r="H129" i="198"/>
  <c r="H139" i="198"/>
  <c r="G87" i="198"/>
  <c r="G11" i="198"/>
  <c r="G67" i="198"/>
  <c r="H67" i="198"/>
  <c r="G10" i="198"/>
  <c r="S136" i="198"/>
  <c r="N136" i="198"/>
  <c r="M136" i="198"/>
  <c r="G69" i="198"/>
  <c r="H69" i="198"/>
  <c r="H68" i="198"/>
  <c r="M110" i="198"/>
  <c r="H110" i="198"/>
  <c r="H66" i="198"/>
  <c r="S106" i="198"/>
  <c r="M106" i="198"/>
  <c r="N106" i="198"/>
  <c r="G139" i="198"/>
  <c r="H137" i="198"/>
  <c r="M107" i="198"/>
  <c r="H135" i="198"/>
  <c r="G68" i="198"/>
  <c r="N134" i="198"/>
  <c r="H39" i="198"/>
  <c r="G39" i="198"/>
  <c r="H136" i="198"/>
  <c r="G131" i="198"/>
  <c r="G59" i="198"/>
  <c r="N132" i="198"/>
  <c r="G166" i="198"/>
  <c r="G138" i="198"/>
  <c r="H9" i="198"/>
  <c r="S177" i="198"/>
  <c r="N177" i="198"/>
  <c r="M177" i="198"/>
  <c r="G66" i="198"/>
  <c r="G110" i="198"/>
  <c r="S32" i="198"/>
  <c r="Y32" i="198" s="1"/>
  <c r="AE32" i="198" s="1"/>
  <c r="H93" i="198"/>
  <c r="H10" i="198"/>
  <c r="H138" i="198"/>
  <c r="G137" i="198"/>
  <c r="G136" i="198"/>
  <c r="G129" i="198"/>
  <c r="S94" i="198"/>
  <c r="Y94" i="198" s="1"/>
  <c r="AE94" i="198" s="1"/>
  <c r="H109" i="198"/>
  <c r="N185" i="198"/>
  <c r="T171" i="198"/>
  <c r="S143" i="198"/>
  <c r="M185" i="198"/>
  <c r="H118" i="198"/>
  <c r="H117" i="198"/>
  <c r="H183" i="198"/>
  <c r="H115" i="198"/>
  <c r="N176" i="198"/>
  <c r="N154" i="198"/>
  <c r="H182" i="198"/>
  <c r="H146" i="198"/>
  <c r="H20" i="198"/>
  <c r="N171" i="198"/>
  <c r="M154" i="198"/>
  <c r="G146" i="198"/>
  <c r="G20" i="198"/>
  <c r="M171" i="198"/>
  <c r="N150" i="198"/>
  <c r="N128" i="198"/>
  <c r="T185" i="198"/>
  <c r="T128" i="198"/>
  <c r="M156" i="198"/>
  <c r="H156" i="198"/>
  <c r="G118" i="198"/>
  <c r="H184" i="198"/>
  <c r="H154" i="198"/>
  <c r="H30" i="198"/>
  <c r="H174" i="198"/>
  <c r="H145" i="198"/>
  <c r="H19" i="198"/>
  <c r="N170" i="198"/>
  <c r="M150" i="198"/>
  <c r="M128" i="198"/>
  <c r="T156" i="198"/>
  <c r="S128" i="198"/>
  <c r="T181" i="198"/>
  <c r="M181" i="198"/>
  <c r="N181" i="198"/>
  <c r="S181" i="198"/>
  <c r="S55" i="198"/>
  <c r="Y55" i="198" s="1"/>
  <c r="AE55" i="198" s="1"/>
  <c r="T153" i="198"/>
  <c r="M153" i="198"/>
  <c r="N153" i="198"/>
  <c r="S153" i="198"/>
  <c r="T125" i="198"/>
  <c r="M125" i="198"/>
  <c r="N125" i="198"/>
  <c r="S125" i="198"/>
  <c r="H82" i="198"/>
  <c r="G82" i="198"/>
  <c r="G54" i="198"/>
  <c r="H54" i="198"/>
  <c r="G26" i="198"/>
  <c r="H26" i="198"/>
  <c r="M180" i="198"/>
  <c r="N180" i="198"/>
  <c r="S180" i="198"/>
  <c r="T180" i="198"/>
  <c r="G180" i="198"/>
  <c r="M152" i="198"/>
  <c r="N152" i="198"/>
  <c r="S152" i="198"/>
  <c r="T152" i="198"/>
  <c r="G152" i="198"/>
  <c r="H152" i="198"/>
  <c r="M124" i="198"/>
  <c r="N124" i="198"/>
  <c r="S124" i="198"/>
  <c r="T124" i="198"/>
  <c r="G124" i="198"/>
  <c r="H124" i="198"/>
  <c r="G81" i="198"/>
  <c r="H81" i="198"/>
  <c r="M123" i="198"/>
  <c r="N123" i="198"/>
  <c r="S123" i="198"/>
  <c r="T123" i="198"/>
  <c r="G123" i="198"/>
  <c r="H123" i="198"/>
  <c r="M151" i="198"/>
  <c r="N151" i="198"/>
  <c r="S151" i="198"/>
  <c r="T151" i="198"/>
  <c r="H151" i="198"/>
  <c r="G151" i="198"/>
  <c r="H125" i="198"/>
  <c r="H181" i="198"/>
  <c r="G125" i="198"/>
  <c r="G181" i="198"/>
  <c r="H153" i="198"/>
  <c r="G153" i="198"/>
  <c r="H25" i="198"/>
  <c r="G25" i="198"/>
  <c r="G53" i="198"/>
  <c r="H53" i="198"/>
  <c r="H27" i="198"/>
  <c r="G27" i="198"/>
  <c r="M179" i="198"/>
  <c r="N179" i="198"/>
  <c r="G179" i="198"/>
  <c r="H179" i="198"/>
  <c r="S179" i="198"/>
  <c r="T179" i="198"/>
  <c r="H55" i="198"/>
  <c r="G55" i="198"/>
  <c r="H150" i="198"/>
  <c r="H80" i="198"/>
  <c r="N147" i="198"/>
  <c r="G178" i="198"/>
  <c r="M175" i="198"/>
  <c r="H149" i="198"/>
  <c r="H121" i="198"/>
  <c r="H79" i="198"/>
  <c r="N118" i="198"/>
  <c r="T48" i="198"/>
  <c r="Z48" i="198" s="1"/>
  <c r="AF48" i="198" s="1"/>
  <c r="G177" i="198"/>
  <c r="G149" i="198"/>
  <c r="G107" i="198"/>
  <c r="G65" i="198"/>
  <c r="H120" i="198"/>
  <c r="H106" i="198"/>
  <c r="H78" i="198"/>
  <c r="N117" i="198"/>
  <c r="M145" i="198"/>
  <c r="M117" i="198"/>
  <c r="S170" i="198"/>
  <c r="S142" i="198"/>
  <c r="S114" i="198"/>
  <c r="S100" i="198"/>
  <c r="M148" i="198"/>
  <c r="H178" i="198"/>
  <c r="N119" i="198"/>
  <c r="G122" i="198"/>
  <c r="G52" i="198"/>
  <c r="G24" i="198"/>
  <c r="M119" i="198"/>
  <c r="H107" i="198"/>
  <c r="H51" i="198"/>
  <c r="H23" i="198"/>
  <c r="N174" i="198"/>
  <c r="H50" i="198"/>
  <c r="N145" i="198"/>
  <c r="G162" i="198"/>
  <c r="G148" i="198"/>
  <c r="G120" i="198"/>
  <c r="G106" i="198"/>
  <c r="G78" i="198"/>
  <c r="G50" i="198"/>
  <c r="G22" i="198"/>
  <c r="M173" i="198"/>
  <c r="H175" i="198"/>
  <c r="H161" i="198"/>
  <c r="H147" i="198"/>
  <c r="H119" i="198"/>
  <c r="H105" i="198"/>
  <c r="H91" i="198"/>
  <c r="H77" i="198"/>
  <c r="H63" i="198"/>
  <c r="H49" i="198"/>
  <c r="H35" i="198"/>
  <c r="H21" i="198"/>
  <c r="N172" i="198"/>
  <c r="N144" i="198"/>
  <c r="N116" i="198"/>
  <c r="N102" i="198"/>
  <c r="T18" i="198"/>
  <c r="Z18" i="198" s="1"/>
  <c r="AF18" i="198" s="1"/>
  <c r="T183" i="198"/>
  <c r="T169" i="198"/>
  <c r="T155" i="198"/>
  <c r="T141" i="198"/>
  <c r="T127" i="198"/>
  <c r="T113" i="198"/>
  <c r="M120" i="198"/>
  <c r="H122" i="198"/>
  <c r="H52" i="198"/>
  <c r="H24" i="198"/>
  <c r="N175" i="198"/>
  <c r="G150" i="198"/>
  <c r="G80" i="198"/>
  <c r="M147" i="198"/>
  <c r="AM107" i="198"/>
  <c r="H177" i="198"/>
  <c r="N146" i="198"/>
  <c r="AL107" i="198"/>
  <c r="G163" i="198"/>
  <c r="G135" i="198"/>
  <c r="G121" i="198"/>
  <c r="G93" i="198"/>
  <c r="G79" i="198"/>
  <c r="G51" i="198"/>
  <c r="G37" i="198"/>
  <c r="G23" i="198"/>
  <c r="G9" i="198"/>
  <c r="AK107" i="198"/>
  <c r="H176" i="198"/>
  <c r="H148" i="198"/>
  <c r="H22" i="198"/>
  <c r="S8" i="198"/>
  <c r="G176" i="198"/>
  <c r="G134" i="198"/>
  <c r="G92" i="198"/>
  <c r="G64" i="198"/>
  <c r="G36" i="198"/>
  <c r="H133" i="198"/>
  <c r="M172" i="198"/>
  <c r="M144" i="198"/>
  <c r="M116" i="198"/>
  <c r="S183" i="198"/>
  <c r="S169" i="198"/>
  <c r="S155" i="198"/>
  <c r="S141" i="198"/>
  <c r="S127" i="198"/>
  <c r="S113" i="198"/>
  <c r="M176" i="198"/>
  <c r="S167" i="198"/>
  <c r="S139" i="198"/>
  <c r="S111" i="198"/>
  <c r="T166" i="198"/>
  <c r="T138" i="198"/>
  <c r="T110" i="198"/>
  <c r="H144" i="198"/>
  <c r="H116" i="198"/>
  <c r="H74" i="198"/>
  <c r="H46" i="198"/>
  <c r="H18" i="198"/>
  <c r="G172" i="198"/>
  <c r="M169" i="198"/>
  <c r="M141" i="198"/>
  <c r="M113" i="198"/>
  <c r="S166" i="198"/>
  <c r="S138" i="198"/>
  <c r="S110" i="198"/>
  <c r="G8" i="198"/>
  <c r="T165" i="198"/>
  <c r="T137" i="198"/>
  <c r="T109" i="198"/>
  <c r="S165" i="198"/>
  <c r="S137" i="198"/>
  <c r="S109" i="198"/>
  <c r="H142" i="198"/>
  <c r="H72" i="198"/>
  <c r="H16" i="198"/>
  <c r="N167" i="198"/>
  <c r="N139" i="198"/>
  <c r="N111" i="198"/>
  <c r="T97" i="198"/>
  <c r="Z97" i="198" s="1"/>
  <c r="AF97" i="198" s="1"/>
  <c r="T178" i="198"/>
  <c r="T164" i="198"/>
  <c r="T150" i="198"/>
  <c r="T136" i="198"/>
  <c r="T122" i="198"/>
  <c r="T108" i="198"/>
  <c r="H114" i="198"/>
  <c r="H100" i="198"/>
  <c r="H44" i="198"/>
  <c r="J44" i="198" s="1"/>
  <c r="G170" i="198"/>
  <c r="M167" i="198"/>
  <c r="M139" i="198"/>
  <c r="M111" i="198"/>
  <c r="H8" i="198"/>
  <c r="H85" i="198"/>
  <c r="H71" i="198"/>
  <c r="H57" i="198"/>
  <c r="H43" i="198"/>
  <c r="H29" i="198"/>
  <c r="H15" i="198"/>
  <c r="N166" i="198"/>
  <c r="N138" i="198"/>
  <c r="N110" i="198"/>
  <c r="T177" i="198"/>
  <c r="T163" i="198"/>
  <c r="T149" i="198"/>
  <c r="T135" i="198"/>
  <c r="T121" i="198"/>
  <c r="T107" i="198"/>
  <c r="G169" i="198"/>
  <c r="G141" i="198"/>
  <c r="G113" i="198"/>
  <c r="S107" i="198"/>
  <c r="H140" i="198"/>
  <c r="H126" i="198"/>
  <c r="H112" i="198"/>
  <c r="H98" i="198"/>
  <c r="H84" i="198"/>
  <c r="H70" i="198"/>
  <c r="H56" i="198"/>
  <c r="H42" i="198"/>
  <c r="H28" i="198"/>
  <c r="H14" i="198"/>
  <c r="N165" i="198"/>
  <c r="N137" i="198"/>
  <c r="N109" i="198"/>
  <c r="T176" i="198"/>
  <c r="T162" i="198"/>
  <c r="T148" i="198"/>
  <c r="T134" i="198"/>
  <c r="T120" i="198"/>
  <c r="T106" i="198"/>
  <c r="H168" i="198"/>
  <c r="G98" i="198"/>
  <c r="AM97" i="198"/>
  <c r="AL97" i="198"/>
  <c r="AK97" i="198"/>
  <c r="AL96" i="198"/>
  <c r="AM96" i="198"/>
  <c r="AK96" i="198"/>
  <c r="AM98" i="198"/>
  <c r="AM185" i="198"/>
  <c r="AK185" i="198"/>
  <c r="J1" i="199"/>
  <c r="G1" i="199"/>
  <c r="F1" i="199"/>
  <c r="O3" i="189"/>
  <c r="Q3" i="189"/>
  <c r="AJ131" i="198" l="1"/>
  <c r="P55" i="198"/>
  <c r="T55" i="198" s="1"/>
  <c r="Z55" i="198" s="1"/>
  <c r="AF55" i="198" s="1"/>
  <c r="AJ129" i="198"/>
  <c r="P56" i="198"/>
  <c r="AJ143" i="198"/>
  <c r="AJ174" i="198"/>
  <c r="AJ138" i="198"/>
  <c r="AJ146" i="198"/>
  <c r="S60" i="198"/>
  <c r="Y60" i="198" s="1"/>
  <c r="AE60" i="198" s="1"/>
  <c r="P60" i="198"/>
  <c r="T60" i="198" s="1"/>
  <c r="Z60" i="198" s="1"/>
  <c r="AF60" i="198" s="1"/>
  <c r="T56" i="198"/>
  <c r="Z56" i="198" s="1"/>
  <c r="AF56" i="198" s="1"/>
  <c r="S57" i="198"/>
  <c r="Y57" i="198" s="1"/>
  <c r="AE57" i="198" s="1"/>
  <c r="P57" i="198"/>
  <c r="T57" i="198" s="1"/>
  <c r="Z57" i="198" s="1"/>
  <c r="AF57" i="198" s="1"/>
  <c r="J55" i="198"/>
  <c r="AJ164" i="198"/>
  <c r="S64" i="198"/>
  <c r="Y64" i="198" s="1"/>
  <c r="AE64" i="198" s="1"/>
  <c r="P64" i="198"/>
  <c r="T64" i="198" s="1"/>
  <c r="Z64" i="198" s="1"/>
  <c r="AF64" i="198" s="1"/>
  <c r="P54" i="198"/>
  <c r="T54" i="198" s="1"/>
  <c r="Z54" i="198" s="1"/>
  <c r="AF54" i="198" s="1"/>
  <c r="P62" i="198"/>
  <c r="T62" i="198" s="1"/>
  <c r="Z62" i="198" s="1"/>
  <c r="AF62" i="198" s="1"/>
  <c r="AJ158" i="198"/>
  <c r="J64" i="198"/>
  <c r="AJ181" i="198"/>
  <c r="AJ135" i="198"/>
  <c r="AJ120" i="198"/>
  <c r="J62" i="198"/>
  <c r="AJ160" i="198"/>
  <c r="AJ182" i="198"/>
  <c r="J57" i="198"/>
  <c r="J54" i="198"/>
  <c r="J56" i="198"/>
  <c r="J60" i="198"/>
  <c r="AJ106" i="198"/>
  <c r="AJ122" i="198"/>
  <c r="AJ159" i="198"/>
  <c r="AJ145" i="198"/>
  <c r="AJ173" i="198"/>
  <c r="AJ163" i="198"/>
  <c r="AJ156" i="198"/>
  <c r="AJ166" i="198"/>
  <c r="AJ118" i="198"/>
  <c r="AJ121" i="198"/>
  <c r="AJ112" i="198"/>
  <c r="AJ116" i="198"/>
  <c r="AJ124" i="198"/>
  <c r="AJ177" i="198"/>
  <c r="K4" i="198"/>
  <c r="AJ148" i="198"/>
  <c r="AC4" i="198"/>
  <c r="AJ114" i="198"/>
  <c r="AJ119" i="198"/>
  <c r="AJ132" i="198"/>
  <c r="AJ153" i="198"/>
  <c r="AJ172" i="198"/>
  <c r="W4" i="198"/>
  <c r="AJ165" i="198"/>
  <c r="AJ125" i="198"/>
  <c r="W44" i="198"/>
  <c r="P84" i="198"/>
  <c r="T84" i="198" s="1"/>
  <c r="V84" i="198" s="1"/>
  <c r="V9" i="198" s="1"/>
  <c r="K45" i="198"/>
  <c r="Q45" i="198" s="1"/>
  <c r="S45" i="198" s="1"/>
  <c r="Y45" i="198" s="1"/>
  <c r="AE45" i="198" s="1"/>
  <c r="AC44" i="198"/>
  <c r="K39" i="198"/>
  <c r="Q39" i="198" s="1"/>
  <c r="S39" i="198" s="1"/>
  <c r="Y39" i="198" s="1"/>
  <c r="AE39" i="198" s="1"/>
  <c r="K40" i="198"/>
  <c r="Q40" i="198" s="1"/>
  <c r="S40" i="198" s="1"/>
  <c r="Y40" i="198" s="1"/>
  <c r="AE40" i="198" s="1"/>
  <c r="AJ100" i="198"/>
  <c r="N3" i="198"/>
  <c r="Y8" i="198"/>
  <c r="H3" i="198"/>
  <c r="G3" i="198"/>
  <c r="M3" i="198"/>
  <c r="AJ161" i="198"/>
  <c r="Z40" i="198"/>
  <c r="AF40" i="198" s="1"/>
  <c r="Z39" i="198"/>
  <c r="AF39" i="198" s="1"/>
  <c r="J101" i="198"/>
  <c r="AJ134" i="198"/>
  <c r="AJ123" i="198"/>
  <c r="AJ168" i="198"/>
  <c r="AJ154" i="198"/>
  <c r="AJ104" i="198"/>
  <c r="AJ113" i="198"/>
  <c r="AJ155" i="198"/>
  <c r="AJ167" i="198"/>
  <c r="AJ126" i="198"/>
  <c r="AJ175" i="198"/>
  <c r="AJ179" i="198"/>
  <c r="AJ103" i="198"/>
  <c r="AJ105" i="198"/>
  <c r="AJ111" i="198"/>
  <c r="AJ107" i="198"/>
  <c r="AJ184" i="198"/>
  <c r="AD107" i="198"/>
  <c r="AJ144" i="198"/>
  <c r="AJ142" i="198"/>
  <c r="AJ141" i="198"/>
  <c r="AJ169" i="198"/>
  <c r="AJ171" i="198"/>
  <c r="AJ128" i="198"/>
  <c r="AJ127" i="198"/>
  <c r="AJ102" i="198"/>
  <c r="R107" i="198"/>
  <c r="AJ117" i="198"/>
  <c r="H4" i="198"/>
  <c r="G4" i="198"/>
  <c r="N4" i="198"/>
  <c r="M4" i="198"/>
  <c r="L107" i="198"/>
  <c r="X107" i="198"/>
  <c r="Z84" i="198" l="1"/>
  <c r="AF84" i="198" s="1"/>
  <c r="AE8" i="198"/>
  <c r="F3" i="199"/>
  <c r="G3" i="199" s="1"/>
  <c r="C3" i="199"/>
  <c r="AD184" i="198" l="1"/>
  <c r="AD182" i="198"/>
  <c r="AD181" i="198"/>
  <c r="AD179" i="198"/>
  <c r="AD177" i="198"/>
  <c r="AD175" i="198"/>
  <c r="AD174" i="198"/>
  <c r="AD173" i="198"/>
  <c r="AD172" i="198"/>
  <c r="AD171" i="198"/>
  <c r="AD169" i="198"/>
  <c r="AD168" i="198"/>
  <c r="AD167" i="198"/>
  <c r="AD166" i="198"/>
  <c r="AD165" i="198"/>
  <c r="AD164" i="198"/>
  <c r="AD163" i="198"/>
  <c r="AD161" i="198"/>
  <c r="AD160" i="198"/>
  <c r="AD159" i="198"/>
  <c r="AD158" i="198"/>
  <c r="AD156" i="198"/>
  <c r="AD155" i="198"/>
  <c r="AD154" i="198"/>
  <c r="AD153" i="198"/>
  <c r="AD148" i="198"/>
  <c r="AD146" i="198"/>
  <c r="AD145" i="198"/>
  <c r="AD144" i="198"/>
  <c r="AD143" i="198"/>
  <c r="AD142" i="198"/>
  <c r="AD141" i="198"/>
  <c r="AD138" i="198"/>
  <c r="AD135" i="198"/>
  <c r="AD134" i="198"/>
  <c r="AD132" i="198"/>
  <c r="AD131" i="198"/>
  <c r="AD129" i="198"/>
  <c r="AD128" i="198"/>
  <c r="AD127" i="198"/>
  <c r="AD126" i="198"/>
  <c r="AD125" i="198"/>
  <c r="AD124" i="198"/>
  <c r="AD123" i="198"/>
  <c r="AD122" i="198"/>
  <c r="AD121" i="198"/>
  <c r="AD120" i="198"/>
  <c r="AD119" i="198"/>
  <c r="AD118" i="198"/>
  <c r="AD117" i="198"/>
  <c r="AD116" i="198"/>
  <c r="AD115" i="198"/>
  <c r="AD114" i="198"/>
  <c r="AD113" i="198"/>
  <c r="AD112" i="198"/>
  <c r="AD111" i="198"/>
  <c r="AD106" i="198"/>
  <c r="AD105" i="198"/>
  <c r="AD104" i="198"/>
  <c r="AD103" i="198"/>
  <c r="AD102" i="198"/>
  <c r="AD100" i="198"/>
  <c r="X184" i="198"/>
  <c r="X182" i="198"/>
  <c r="X181" i="198"/>
  <c r="X179" i="198"/>
  <c r="X177" i="198"/>
  <c r="X175" i="198"/>
  <c r="X174" i="198"/>
  <c r="X173" i="198"/>
  <c r="X172" i="198"/>
  <c r="X171" i="198"/>
  <c r="X169" i="198"/>
  <c r="X168" i="198"/>
  <c r="X167" i="198"/>
  <c r="X166" i="198"/>
  <c r="X165" i="198"/>
  <c r="X164" i="198"/>
  <c r="X163" i="198"/>
  <c r="X161" i="198"/>
  <c r="X160" i="198"/>
  <c r="X159" i="198"/>
  <c r="X158" i="198"/>
  <c r="X156" i="198"/>
  <c r="X155" i="198"/>
  <c r="X154" i="198"/>
  <c r="X153" i="198"/>
  <c r="X148" i="198"/>
  <c r="X146" i="198"/>
  <c r="X145" i="198"/>
  <c r="X144" i="198"/>
  <c r="X143" i="198"/>
  <c r="X142" i="198"/>
  <c r="X141" i="198"/>
  <c r="X138" i="198"/>
  <c r="X135" i="198"/>
  <c r="X134" i="198"/>
  <c r="X132" i="198"/>
  <c r="X131" i="198"/>
  <c r="X129" i="198"/>
  <c r="X128" i="198"/>
  <c r="X127" i="198"/>
  <c r="X126" i="198"/>
  <c r="X125" i="198"/>
  <c r="X124" i="198"/>
  <c r="X123" i="198"/>
  <c r="X122" i="198"/>
  <c r="X121" i="198"/>
  <c r="X120" i="198"/>
  <c r="X119" i="198"/>
  <c r="X118" i="198"/>
  <c r="X117" i="198"/>
  <c r="X116" i="198"/>
  <c r="X115" i="198"/>
  <c r="X114" i="198"/>
  <c r="X113" i="198"/>
  <c r="X112" i="198"/>
  <c r="X111" i="198"/>
  <c r="X106" i="198"/>
  <c r="X105" i="198"/>
  <c r="X104" i="198"/>
  <c r="X103" i="198"/>
  <c r="X102" i="198"/>
  <c r="X100" i="198"/>
  <c r="R184" i="198"/>
  <c r="R182" i="198"/>
  <c r="R181" i="198"/>
  <c r="R179" i="198"/>
  <c r="R177" i="198"/>
  <c r="R175" i="198"/>
  <c r="R174" i="198"/>
  <c r="R173" i="198"/>
  <c r="R172" i="198"/>
  <c r="R171" i="198"/>
  <c r="R169" i="198"/>
  <c r="R168" i="198"/>
  <c r="R167" i="198"/>
  <c r="R166" i="198"/>
  <c r="R165" i="198"/>
  <c r="R164" i="198"/>
  <c r="R163" i="198"/>
  <c r="R161" i="198"/>
  <c r="R160" i="198"/>
  <c r="R159" i="198"/>
  <c r="R158" i="198"/>
  <c r="R156" i="198"/>
  <c r="R155" i="198"/>
  <c r="R154" i="198"/>
  <c r="R153" i="198"/>
  <c r="R148" i="198"/>
  <c r="R146" i="198"/>
  <c r="R145" i="198"/>
  <c r="R144" i="198"/>
  <c r="R143" i="198"/>
  <c r="R142" i="198"/>
  <c r="R141" i="198"/>
  <c r="R138" i="198"/>
  <c r="R135" i="198"/>
  <c r="R134" i="198"/>
  <c r="R132" i="198"/>
  <c r="R131" i="198"/>
  <c r="R129" i="198"/>
  <c r="R128" i="198"/>
  <c r="R127" i="198"/>
  <c r="R126" i="198"/>
  <c r="R125" i="198"/>
  <c r="R124" i="198"/>
  <c r="R123" i="198"/>
  <c r="R122" i="198"/>
  <c r="R121" i="198"/>
  <c r="R120" i="198"/>
  <c r="R119" i="198"/>
  <c r="R118" i="198"/>
  <c r="R117" i="198"/>
  <c r="R116" i="198"/>
  <c r="R115" i="198"/>
  <c r="R114" i="198"/>
  <c r="R113" i="198"/>
  <c r="R112" i="198"/>
  <c r="R111" i="198"/>
  <c r="R106" i="198"/>
  <c r="R105" i="198"/>
  <c r="R104" i="198"/>
  <c r="R103" i="198"/>
  <c r="R102" i="198"/>
  <c r="R100" i="198"/>
  <c r="N187" i="198"/>
  <c r="M187" i="198"/>
  <c r="H187" i="198"/>
  <c r="G187" i="198"/>
  <c r="L100" i="198"/>
  <c r="L101" i="198"/>
  <c r="L102" i="198"/>
  <c r="L103" i="198"/>
  <c r="L104" i="198"/>
  <c r="L105" i="198"/>
  <c r="L106" i="198"/>
  <c r="L108" i="198"/>
  <c r="L109" i="198"/>
  <c r="L111" i="198"/>
  <c r="L112" i="198"/>
  <c r="L113" i="198"/>
  <c r="L114" i="198"/>
  <c r="L115" i="198"/>
  <c r="L116" i="198"/>
  <c r="L117" i="198"/>
  <c r="L118" i="198"/>
  <c r="L119" i="198"/>
  <c r="L120" i="198"/>
  <c r="L121" i="198"/>
  <c r="L122" i="198"/>
  <c r="L123" i="198"/>
  <c r="L124" i="198"/>
  <c r="L125" i="198"/>
  <c r="L126" i="198"/>
  <c r="L127" i="198"/>
  <c r="L128" i="198"/>
  <c r="L129" i="198"/>
  <c r="L131" i="198"/>
  <c r="L132" i="198"/>
  <c r="L134" i="198"/>
  <c r="L135" i="198"/>
  <c r="L138" i="198"/>
  <c r="L141" i="198"/>
  <c r="L142" i="198"/>
  <c r="L143" i="198"/>
  <c r="L144" i="198"/>
  <c r="L145" i="198"/>
  <c r="L146" i="198"/>
  <c r="L148" i="198"/>
  <c r="L153" i="198"/>
  <c r="L154" i="198"/>
  <c r="L155" i="198"/>
  <c r="L156" i="198"/>
  <c r="L158" i="198"/>
  <c r="L159" i="198"/>
  <c r="L160" i="198"/>
  <c r="L161" i="198"/>
  <c r="L163" i="198"/>
  <c r="L164" i="198"/>
  <c r="L165" i="198"/>
  <c r="L166" i="198"/>
  <c r="L167" i="198"/>
  <c r="L168" i="198"/>
  <c r="L169" i="198"/>
  <c r="L171" i="198"/>
  <c r="L172" i="198"/>
  <c r="L173" i="198"/>
  <c r="L174" i="198"/>
  <c r="L175" i="198"/>
  <c r="L177" i="198"/>
  <c r="L179" i="198"/>
  <c r="L181" i="198"/>
  <c r="L182" i="198"/>
  <c r="L184" i="198"/>
  <c r="E101" i="200"/>
  <c r="C101" i="200"/>
  <c r="E100" i="200"/>
  <c r="C100" i="200"/>
  <c r="A102" i="200"/>
  <c r="AA3" i="202" s="1"/>
  <c r="C156" i="200"/>
  <c r="E152" i="200"/>
  <c r="E151" i="200"/>
  <c r="E147" i="200"/>
  <c r="A146" i="200"/>
  <c r="E146" i="200" s="1"/>
  <c r="A145" i="200"/>
  <c r="A141" i="200"/>
  <c r="A140" i="200"/>
  <c r="E140" i="200" s="1"/>
  <c r="A135" i="200"/>
  <c r="A132" i="200"/>
  <c r="E132" i="200" s="1"/>
  <c r="A131" i="200"/>
  <c r="A130" i="200"/>
  <c r="E129" i="200"/>
  <c r="A128" i="200"/>
  <c r="C123" i="200"/>
  <c r="A122" i="200"/>
  <c r="A98" i="200"/>
  <c r="A97" i="200"/>
  <c r="C53" i="200"/>
  <c r="A53" i="200"/>
  <c r="A51" i="200"/>
  <c r="A9" i="200"/>
  <c r="C10" i="200"/>
  <c r="A1" i="200"/>
  <c r="AP251" i="198"/>
  <c r="AP248" i="198"/>
  <c r="AP247" i="198"/>
  <c r="AP243" i="198"/>
  <c r="AP242" i="198"/>
  <c r="AP241" i="198"/>
  <c r="AP240" i="198"/>
  <c r="AP239" i="198"/>
  <c r="AP238" i="198"/>
  <c r="AP237" i="198"/>
  <c r="AP236" i="198"/>
  <c r="AP235" i="198"/>
  <c r="AP234" i="198"/>
  <c r="AP233" i="198"/>
  <c r="AP232" i="198"/>
  <c r="AP227" i="198"/>
  <c r="AP226" i="198"/>
  <c r="AP220" i="198"/>
  <c r="AP219" i="198"/>
  <c r="AP218" i="198"/>
  <c r="AP217" i="198"/>
  <c r="AP215" i="198"/>
  <c r="AP214" i="198"/>
  <c r="AP213" i="198"/>
  <c r="AP212" i="198"/>
  <c r="AP209" i="198"/>
  <c r="AP208" i="198"/>
  <c r="AP207" i="198"/>
  <c r="AP203" i="198"/>
  <c r="AP202" i="198"/>
  <c r="AP199" i="198"/>
  <c r="AP198" i="198"/>
  <c r="AL183" i="198"/>
  <c r="AM180" i="198"/>
  <c r="AK176" i="198"/>
  <c r="AM172" i="198"/>
  <c r="AM171" i="198"/>
  <c r="AK169" i="198"/>
  <c r="AM167" i="198"/>
  <c r="AL164" i="198"/>
  <c r="AK163" i="198"/>
  <c r="AM162" i="198"/>
  <c r="AO162" i="198" s="1"/>
  <c r="AM155" i="198"/>
  <c r="AM154" i="198"/>
  <c r="AM152" i="198"/>
  <c r="AM134" i="198"/>
  <c r="AM133" i="198"/>
  <c r="AM132" i="198"/>
  <c r="AL129" i="198"/>
  <c r="AM125" i="198"/>
  <c r="AM123" i="198"/>
  <c r="AM121" i="198"/>
  <c r="AM120" i="198"/>
  <c r="AM119" i="198"/>
  <c r="AO119" i="198" s="1"/>
  <c r="AK117" i="198"/>
  <c r="AL116" i="198"/>
  <c r="AL112" i="198"/>
  <c r="AL109" i="198"/>
  <c r="AM105" i="198"/>
  <c r="E187" i="198"/>
  <c r="AK91" i="198"/>
  <c r="AK73" i="198"/>
  <c r="AL72" i="198"/>
  <c r="AM72" i="198" s="1"/>
  <c r="AO72" i="198" s="1"/>
  <c r="AL66" i="198"/>
  <c r="AM66" i="198" s="1"/>
  <c r="AO66" i="198" s="1"/>
  <c r="AL61" i="198"/>
  <c r="AM61" i="198" s="1"/>
  <c r="AO61" i="198" s="1"/>
  <c r="AL59" i="198"/>
  <c r="AM59" i="198" s="1"/>
  <c r="AO59" i="198" s="1"/>
  <c r="AL53" i="198"/>
  <c r="AM53" i="198" s="1"/>
  <c r="AO53" i="198" s="1"/>
  <c r="AL48" i="198"/>
  <c r="AM48" i="198" s="1"/>
  <c r="AO48" i="198" s="1"/>
  <c r="AL23" i="198"/>
  <c r="AM23" i="198" s="1"/>
  <c r="AK15" i="198"/>
  <c r="AK9" i="198"/>
  <c r="AQ6" i="198"/>
  <c r="AQ5" i="198"/>
  <c r="AR5" i="198" s="1"/>
  <c r="A2" i="198"/>
  <c r="AO191" i="198" s="1"/>
  <c r="A1" i="198"/>
  <c r="A26" i="112"/>
  <c r="AM56" i="109"/>
  <c r="AK138" i="198" l="1"/>
  <c r="AL138" i="198"/>
  <c r="AM138" i="198"/>
  <c r="AK47" i="198"/>
  <c r="AK154" i="198"/>
  <c r="AL154" i="198"/>
  <c r="F7" i="198"/>
  <c r="AK71" i="198"/>
  <c r="AL123" i="198"/>
  <c r="AM122" i="198"/>
  <c r="AK14" i="198"/>
  <c r="AL130" i="198"/>
  <c r="AK115" i="198"/>
  <c r="AK123" i="198"/>
  <c r="AL115" i="198"/>
  <c r="AM115" i="198"/>
  <c r="AK170" i="198"/>
  <c r="AM170" i="198"/>
  <c r="AO170" i="198" s="1"/>
  <c r="AL157" i="198"/>
  <c r="AK39" i="198"/>
  <c r="AM157" i="198"/>
  <c r="AK129" i="198"/>
  <c r="B7" i="198"/>
  <c r="AK22" i="198"/>
  <c r="AK130" i="198"/>
  <c r="AM148" i="198"/>
  <c r="AO148" i="198" s="1"/>
  <c r="AK93" i="198"/>
  <c r="AL163" i="198"/>
  <c r="AK157" i="198"/>
  <c r="AL148" i="198"/>
  <c r="AM108" i="198"/>
  <c r="AO108" i="198" s="1"/>
  <c r="AM141" i="198"/>
  <c r="AO141" i="198" s="1"/>
  <c r="AM163" i="198"/>
  <c r="AO163" i="198" s="1"/>
  <c r="AK137" i="198"/>
  <c r="AL137" i="198"/>
  <c r="AK167" i="198"/>
  <c r="AK30" i="198"/>
  <c r="AL122" i="198"/>
  <c r="AM137" i="198"/>
  <c r="AL167" i="198"/>
  <c r="AK58" i="198"/>
  <c r="AK45" i="198"/>
  <c r="AL170" i="198"/>
  <c r="AL118" i="198"/>
  <c r="AM166" i="198"/>
  <c r="AK174" i="198"/>
  <c r="AK44" i="198"/>
  <c r="AK110" i="198"/>
  <c r="AM118" i="198"/>
  <c r="AK135" i="198"/>
  <c r="AK160" i="198"/>
  <c r="AL174" i="198"/>
  <c r="AK10" i="198"/>
  <c r="AK52" i="198"/>
  <c r="AK88" i="198"/>
  <c r="AK104" i="198"/>
  <c r="AL110" i="198"/>
  <c r="AL135" i="198"/>
  <c r="AL160" i="198"/>
  <c r="AM174" i="198"/>
  <c r="AK182" i="198"/>
  <c r="AK17" i="198"/>
  <c r="AL52" i="198"/>
  <c r="AM110" i="198"/>
  <c r="AM135" i="198"/>
  <c r="AO135" i="198" s="1"/>
  <c r="AK141" i="198"/>
  <c r="AM160" i="198"/>
  <c r="AL182" i="198"/>
  <c r="AK11" i="198"/>
  <c r="AK79" i="198"/>
  <c r="AL141" i="198"/>
  <c r="AM182" i="198"/>
  <c r="AR6" i="198"/>
  <c r="AS6" i="198" s="1"/>
  <c r="AK126" i="198"/>
  <c r="AL151" i="198"/>
  <c r="AK118" i="198"/>
  <c r="AK109" i="198"/>
  <c r="AL165" i="198"/>
  <c r="AM158" i="198"/>
  <c r="AO158" i="198" s="1"/>
  <c r="AK166" i="198"/>
  <c r="AM139" i="198"/>
  <c r="AK69" i="198"/>
  <c r="AM126" i="198"/>
  <c r="AM151" i="198"/>
  <c r="AO151" i="198" s="1"/>
  <c r="AL166" i="198"/>
  <c r="AM112" i="198"/>
  <c r="AK113" i="198"/>
  <c r="AM129" i="198"/>
  <c r="AK136" i="198"/>
  <c r="AL113" i="198"/>
  <c r="AL136" i="198"/>
  <c r="AL162" i="198"/>
  <c r="AK20" i="198"/>
  <c r="AK31" i="198"/>
  <c r="AK81" i="198"/>
  <c r="AK106" i="198"/>
  <c r="AM113" i="198"/>
  <c r="AO113" i="198" s="1"/>
  <c r="AM136" i="198"/>
  <c r="AM169" i="198"/>
  <c r="AO169" i="198" s="1"/>
  <c r="AL177" i="198"/>
  <c r="AK158" i="198"/>
  <c r="AK151" i="198"/>
  <c r="AL173" i="198"/>
  <c r="AK162" i="198"/>
  <c r="AL169" i="198"/>
  <c r="AK177" i="198"/>
  <c r="AL106" i="198"/>
  <c r="AM177" i="198"/>
  <c r="AM106" i="198"/>
  <c r="AK36" i="198"/>
  <c r="AM164" i="198"/>
  <c r="AK165" i="198"/>
  <c r="AK134" i="198"/>
  <c r="AK139" i="198"/>
  <c r="AL158" i="198"/>
  <c r="AL134" i="198"/>
  <c r="AK173" i="198"/>
  <c r="AM109" i="198"/>
  <c r="AK56" i="198"/>
  <c r="AK65" i="198"/>
  <c r="AK42" i="198"/>
  <c r="AK37" i="198"/>
  <c r="AK77" i="198"/>
  <c r="AL139" i="198"/>
  <c r="AM165" i="198"/>
  <c r="AL126" i="198"/>
  <c r="AM173" i="198"/>
  <c r="AK108" i="198"/>
  <c r="AM130" i="198"/>
  <c r="AO130" i="198" s="1"/>
  <c r="AK179" i="198"/>
  <c r="AK74" i="198"/>
  <c r="AL108" i="198"/>
  <c r="AK148" i="198"/>
  <c r="AL179" i="198"/>
  <c r="E8" i="200"/>
  <c r="E2" i="202" s="1"/>
  <c r="AP229" i="198"/>
  <c r="AP244" i="198"/>
  <c r="E102" i="200"/>
  <c r="E153" i="200"/>
  <c r="C102" i="200"/>
  <c r="AC3" i="202" s="1"/>
  <c r="C54" i="200"/>
  <c r="C135" i="200"/>
  <c r="E53" i="200"/>
  <c r="G53" i="200" s="1"/>
  <c r="I53" i="200" s="1"/>
  <c r="K53" i="200" s="1"/>
  <c r="AO13" i="198"/>
  <c r="AS5" i="198"/>
  <c r="AM153" i="198"/>
  <c r="AL153" i="198"/>
  <c r="AK153" i="198"/>
  <c r="AM159" i="198"/>
  <c r="AL159" i="198"/>
  <c r="AK159" i="198"/>
  <c r="AK32" i="198"/>
  <c r="AK78" i="198"/>
  <c r="AK131" i="198"/>
  <c r="AK149" i="198"/>
  <c r="AL171" i="198"/>
  <c r="AK43" i="198"/>
  <c r="AL132" i="198"/>
  <c r="AK132" i="198"/>
  <c r="AL149" i="198"/>
  <c r="AK16" i="198"/>
  <c r="AK90" i="198"/>
  <c r="AK100" i="198"/>
  <c r="AL127" i="198"/>
  <c r="AL143" i="198"/>
  <c r="AK63" i="198"/>
  <c r="AL100" i="198"/>
  <c r="AM127" i="198"/>
  <c r="AM143" i="198"/>
  <c r="AM156" i="198"/>
  <c r="AL156" i="198"/>
  <c r="AK156" i="198"/>
  <c r="AM100" i="198"/>
  <c r="AK105" i="198"/>
  <c r="AK68" i="198"/>
  <c r="AM161" i="198"/>
  <c r="AL161" i="198"/>
  <c r="AK161" i="198"/>
  <c r="AK8" i="198"/>
  <c r="AK33" i="198"/>
  <c r="AL144" i="198"/>
  <c r="AK144" i="198"/>
  <c r="AM142" i="198"/>
  <c r="AL142" i="198"/>
  <c r="AK142" i="198"/>
  <c r="AK21" i="198"/>
  <c r="AK85" i="198"/>
  <c r="AL111" i="198"/>
  <c r="AK111" i="198"/>
  <c r="AM111" i="198"/>
  <c r="AO111" i="198" s="1"/>
  <c r="AM144" i="198"/>
  <c r="AO144" i="198" s="1"/>
  <c r="AK94" i="198"/>
  <c r="AK127" i="198"/>
  <c r="AL145" i="198"/>
  <c r="AK145" i="198"/>
  <c r="AM145" i="198"/>
  <c r="AM175" i="198"/>
  <c r="AO175" i="198" s="1"/>
  <c r="AL175" i="198"/>
  <c r="AK175" i="198"/>
  <c r="AL49" i="198"/>
  <c r="AK49" i="198"/>
  <c r="AK28" i="198"/>
  <c r="AK92" i="198"/>
  <c r="AK101" i="198"/>
  <c r="AK40" i="198"/>
  <c r="AM101" i="198"/>
  <c r="AM140" i="198"/>
  <c r="AO140" i="198" s="1"/>
  <c r="AL140" i="198"/>
  <c r="AK140" i="198"/>
  <c r="AM131" i="198"/>
  <c r="AL131" i="198"/>
  <c r="AK12" i="198"/>
  <c r="AK27" i="198"/>
  <c r="AK143" i="198"/>
  <c r="AM149" i="198"/>
  <c r="AO149" i="198" s="1"/>
  <c r="AL172" i="198"/>
  <c r="AK172" i="198"/>
  <c r="AL105" i="198"/>
  <c r="AO23" i="198"/>
  <c r="AL117" i="198"/>
  <c r="AK80" i="198"/>
  <c r="AL101" i="198"/>
  <c r="AM117" i="198"/>
  <c r="AK35" i="198"/>
  <c r="AM102" i="198"/>
  <c r="AK102" i="198"/>
  <c r="AK152" i="198"/>
  <c r="AM176" i="198"/>
  <c r="AL176" i="198"/>
  <c r="AK76" i="198"/>
  <c r="AL152" i="198"/>
  <c r="AM184" i="198"/>
  <c r="AL184" i="198"/>
  <c r="AK184" i="198"/>
  <c r="AK171" i="198"/>
  <c r="AK19" i="198"/>
  <c r="AK25" i="198"/>
  <c r="AM114" i="198"/>
  <c r="AL114" i="198"/>
  <c r="AK114" i="198"/>
  <c r="AK119" i="198"/>
  <c r="AL119" i="198"/>
  <c r="AK29" i="198"/>
  <c r="AM128" i="198"/>
  <c r="AL128" i="198"/>
  <c r="AK128" i="198"/>
  <c r="AM168" i="198"/>
  <c r="AL168" i="198"/>
  <c r="AK168" i="198"/>
  <c r="AK124" i="198"/>
  <c r="AM99" i="198"/>
  <c r="AO99" i="198" s="1"/>
  <c r="AK99" i="198"/>
  <c r="AK116" i="198"/>
  <c r="AK120" i="198"/>
  <c r="AL124" i="198"/>
  <c r="AK133" i="198"/>
  <c r="AL146" i="198"/>
  <c r="AK146" i="198"/>
  <c r="AK50" i="198"/>
  <c r="AK70" i="198"/>
  <c r="AK26" i="198"/>
  <c r="AK34" i="198"/>
  <c r="AK83" i="198"/>
  <c r="AL120" i="198"/>
  <c r="AM124" i="198"/>
  <c r="AL133" i="198"/>
  <c r="AM146" i="198"/>
  <c r="AO146" i="198" s="1"/>
  <c r="AK155" i="198"/>
  <c r="AK103" i="198"/>
  <c r="AM103" i="198"/>
  <c r="AL103" i="198"/>
  <c r="AK18" i="198"/>
  <c r="AK87" i="198"/>
  <c r="AK112" i="198"/>
  <c r="AM116" i="198"/>
  <c r="AL155" i="198"/>
  <c r="AK164" i="198"/>
  <c r="AK183" i="198"/>
  <c r="AK82" i="198"/>
  <c r="AM178" i="198"/>
  <c r="AK38" i="198"/>
  <c r="AK46" i="198"/>
  <c r="AK51" i="198"/>
  <c r="AM147" i="198"/>
  <c r="AO147" i="198" s="1"/>
  <c r="AL147" i="198"/>
  <c r="AK147" i="198"/>
  <c r="AM183" i="198"/>
  <c r="AK180" i="198"/>
  <c r="AK121" i="198"/>
  <c r="AL125" i="198"/>
  <c r="AK125" i="198"/>
  <c r="AL121" i="198"/>
  <c r="AM150" i="198"/>
  <c r="AL150" i="198"/>
  <c r="AK150" i="198"/>
  <c r="AK89" i="198"/>
  <c r="AK86" i="198"/>
  <c r="AK122" i="198"/>
  <c r="AM181" i="198"/>
  <c r="AL181" i="198"/>
  <c r="AK181" i="198"/>
  <c r="AD56" i="109"/>
  <c r="AH50" i="109"/>
  <c r="AG46" i="109"/>
  <c r="AG47" i="109"/>
  <c r="AM46" i="109"/>
  <c r="AK7" i="109"/>
  <c r="AJ26" i="109"/>
  <c r="AL50" i="109"/>
  <c r="AL60" i="109" s="1"/>
  <c r="AI60" i="109"/>
  <c r="AJ50" i="109"/>
  <c r="AJ5" i="109" s="1"/>
  <c r="AH47" i="109"/>
  <c r="AH60" i="109" s="1"/>
  <c r="AG50" i="109"/>
  <c r="AM48" i="109"/>
  <c r="AM49" i="109"/>
  <c r="AM52" i="109"/>
  <c r="AM53" i="109"/>
  <c r="AM54" i="109"/>
  <c r="AM55" i="109"/>
  <c r="AD55" i="109" s="1"/>
  <c r="AM4" i="109"/>
  <c r="AM6" i="109"/>
  <c r="AM7" i="109"/>
  <c r="AM8" i="109"/>
  <c r="AM9" i="109"/>
  <c r="AM10" i="109"/>
  <c r="AM11" i="109"/>
  <c r="AM13" i="109"/>
  <c r="AM14" i="109"/>
  <c r="AM15" i="109"/>
  <c r="AM16" i="109"/>
  <c r="AM17" i="109"/>
  <c r="AM20" i="109"/>
  <c r="AM21" i="109"/>
  <c r="AM22" i="109"/>
  <c r="AM23" i="109"/>
  <c r="AM24" i="109"/>
  <c r="AM25" i="109"/>
  <c r="AM27" i="109"/>
  <c r="AM28" i="109"/>
  <c r="AI5" i="109"/>
  <c r="AI29" i="109" s="1"/>
  <c r="AH18" i="109"/>
  <c r="AH5" i="109" s="1"/>
  <c r="AH29" i="109" s="1"/>
  <c r="AG51" i="109"/>
  <c r="AM51" i="109" s="1"/>
  <c r="AG18" i="109"/>
  <c r="AG58" i="109"/>
  <c r="AM58" i="109" s="1"/>
  <c r="AD58" i="109" s="1"/>
  <c r="AG57" i="109"/>
  <c r="AG19" i="109" s="1"/>
  <c r="AM19" i="109" s="1"/>
  <c r="E105" i="200" l="1"/>
  <c r="AE3" i="202"/>
  <c r="AE6" i="202" s="1"/>
  <c r="AE8" i="202" s="1"/>
  <c r="AE10" i="202" s="1"/>
  <c r="AE12" i="202" s="1"/>
  <c r="AE14" i="202" s="1"/>
  <c r="AO139" i="198"/>
  <c r="AO64" i="198"/>
  <c r="AO138" i="198"/>
  <c r="AO62" i="198"/>
  <c r="E54" i="200"/>
  <c r="E25" i="200"/>
  <c r="G19" i="200"/>
  <c r="E19" i="200"/>
  <c r="I19" i="200"/>
  <c r="G25" i="200"/>
  <c r="I25" i="200"/>
  <c r="K25" i="200"/>
  <c r="K19" i="200"/>
  <c r="C25" i="200"/>
  <c r="C19" i="200"/>
  <c r="C7" i="198"/>
  <c r="H7" i="198" s="1"/>
  <c r="N7" i="198" s="1"/>
  <c r="G7" i="198"/>
  <c r="L7" i="198" s="1"/>
  <c r="E10" i="200"/>
  <c r="G8" i="200"/>
  <c r="G2" i="202" s="1"/>
  <c r="AT5" i="198"/>
  <c r="AT6" i="198"/>
  <c r="AJ29" i="109"/>
  <c r="AM47" i="109"/>
  <c r="AD47" i="109" s="1"/>
  <c r="AG5" i="109"/>
  <c r="AG60" i="109"/>
  <c r="AJ60" i="109"/>
  <c r="AL5" i="109"/>
  <c r="AL26" i="109" s="1"/>
  <c r="AM57" i="109"/>
  <c r="AD57" i="109" s="1"/>
  <c r="AL29" i="109"/>
  <c r="AM18" i="109"/>
  <c r="AD51" i="109"/>
  <c r="AD54" i="109"/>
  <c r="AD46" i="109"/>
  <c r="E107" i="200" l="1"/>
  <c r="AE16" i="202"/>
  <c r="T7" i="198"/>
  <c r="Z7" i="198" s="1"/>
  <c r="AF7" i="198" s="1"/>
  <c r="M7" i="198"/>
  <c r="G54" i="200"/>
  <c r="I8" i="200"/>
  <c r="I2" i="202" s="1"/>
  <c r="G10" i="200"/>
  <c r="AU5" i="198"/>
  <c r="AU6" i="198"/>
  <c r="AM5" i="109"/>
  <c r="AG26" i="109"/>
  <c r="AD48" i="109"/>
  <c r="X8" i="114"/>
  <c r="X9" i="114"/>
  <c r="X10" i="114"/>
  <c r="X11" i="114"/>
  <c r="X12" i="114"/>
  <c r="X13" i="114"/>
  <c r="X14" i="114"/>
  <c r="X15" i="114"/>
  <c r="X16" i="114"/>
  <c r="X17" i="114"/>
  <c r="X18" i="114"/>
  <c r="W6" i="114"/>
  <c r="U6" i="114"/>
  <c r="C78" i="114"/>
  <c r="C77" i="114"/>
  <c r="E78" i="114"/>
  <c r="E77" i="114"/>
  <c r="E109" i="200" l="1"/>
  <c r="AE17" i="202"/>
  <c r="S7" i="198"/>
  <c r="R7" i="198"/>
  <c r="I54" i="200"/>
  <c r="K8" i="200"/>
  <c r="K2" i="202" s="1"/>
  <c r="I10" i="200"/>
  <c r="AV6" i="198"/>
  <c r="AV5" i="198"/>
  <c r="AG29" i="109"/>
  <c r="E79" i="114"/>
  <c r="C75" i="114" s="1"/>
  <c r="E111" i="200" l="1"/>
  <c r="AE18" i="202"/>
  <c r="Y7" i="198"/>
  <c r="X7" i="198"/>
  <c r="K10" i="200"/>
  <c r="K54" i="200"/>
  <c r="AW5" i="198"/>
  <c r="AW6" i="198"/>
  <c r="E113" i="200" l="1"/>
  <c r="AE20" i="202" s="1"/>
  <c r="AE19" i="202"/>
  <c r="AE7" i="198"/>
  <c r="AJ7" i="198" s="1"/>
  <c r="AD7" i="198"/>
  <c r="AX6" i="198"/>
  <c r="AX5" i="198"/>
  <c r="F9" i="111"/>
  <c r="D9" i="111"/>
  <c r="P10" i="111"/>
  <c r="N10" i="111"/>
  <c r="P9" i="111"/>
  <c r="N9" i="111"/>
  <c r="N11" i="111" s="1"/>
  <c r="P13" i="111"/>
  <c r="N13" i="111"/>
  <c r="P6" i="111"/>
  <c r="P5" i="111"/>
  <c r="P4" i="111"/>
  <c r="N6" i="111"/>
  <c r="N5" i="111"/>
  <c r="N4" i="111"/>
  <c r="R3" i="111"/>
  <c r="P3" i="111"/>
  <c r="N3" i="111"/>
  <c r="P11" i="111"/>
  <c r="B94" i="189"/>
  <c r="C94" i="189"/>
  <c r="D94" i="189"/>
  <c r="E94" i="189"/>
  <c r="A94" i="189"/>
  <c r="AY6" i="198" l="1"/>
  <c r="AY5" i="198"/>
  <c r="P7" i="111"/>
  <c r="N7" i="111"/>
  <c r="T3" i="111"/>
  <c r="A1" i="157"/>
  <c r="A112" i="157"/>
  <c r="A66" i="109"/>
  <c r="H61" i="150"/>
  <c r="I61" i="150" s="1"/>
  <c r="H61" i="158"/>
  <c r="I61" i="158" s="1"/>
  <c r="L36" i="95"/>
  <c r="I36" i="95"/>
  <c r="M35" i="95"/>
  <c r="J35" i="95" s="1"/>
  <c r="F6" i="111"/>
  <c r="F5" i="111"/>
  <c r="F4" i="111"/>
  <c r="AZ5" i="198" l="1"/>
  <c r="AZ6" i="198"/>
  <c r="M36" i="95"/>
  <c r="J36" i="95" s="1"/>
  <c r="E132" i="157"/>
  <c r="E131" i="157"/>
  <c r="E127" i="157"/>
  <c r="E120" i="157"/>
  <c r="E109" i="157"/>
  <c r="E95" i="150"/>
  <c r="E168" i="158"/>
  <c r="W209" i="158"/>
  <c r="X195" i="158"/>
  <c r="T192" i="158"/>
  <c r="BA6" i="198" l="1"/>
  <c r="BA5" i="198"/>
  <c r="L237" i="158"/>
  <c r="L227" i="158"/>
  <c r="L228" i="158"/>
  <c r="L229" i="158"/>
  <c r="L230" i="158"/>
  <c r="L231" i="158"/>
  <c r="L232" i="158"/>
  <c r="L233" i="158"/>
  <c r="L234" i="158"/>
  <c r="L235" i="158"/>
  <c r="L236" i="158"/>
  <c r="L226" i="158"/>
  <c r="L220" i="158"/>
  <c r="E126" i="157" s="1"/>
  <c r="L221" i="158"/>
  <c r="L205" i="158"/>
  <c r="L206" i="158"/>
  <c r="L207" i="158"/>
  <c r="L208" i="158"/>
  <c r="L210" i="158"/>
  <c r="L211" i="158"/>
  <c r="L212" i="158"/>
  <c r="L213" i="158"/>
  <c r="L200" i="158"/>
  <c r="L192" i="158"/>
  <c r="L195" i="158"/>
  <c r="E112" i="157" s="1"/>
  <c r="L196" i="158"/>
  <c r="L191" i="158"/>
  <c r="BB6" i="198" l="1"/>
  <c r="BB5" i="198"/>
  <c r="K61" i="150"/>
  <c r="M6" i="158"/>
  <c r="N6" i="158" s="1"/>
  <c r="M5" i="158"/>
  <c r="N5" i="158" s="1"/>
  <c r="O5" i="158" s="1"/>
  <c r="P5" i="158" s="1"/>
  <c r="Q5" i="158" s="1"/>
  <c r="R5" i="158" s="1"/>
  <c r="S5" i="158" s="1"/>
  <c r="T5" i="158" s="1"/>
  <c r="U5" i="158" s="1"/>
  <c r="V5" i="158" s="1"/>
  <c r="W5" i="158" s="1"/>
  <c r="X5" i="158" s="1"/>
  <c r="Y5" i="158" s="1"/>
  <c r="Z5" i="158" s="1"/>
  <c r="AA5" i="158" s="1"/>
  <c r="AB5" i="158" s="1"/>
  <c r="AC5" i="158" s="1"/>
  <c r="L246" i="158"/>
  <c r="K66" i="157"/>
  <c r="L66" i="157" s="1"/>
  <c r="H53" i="158"/>
  <c r="I53" i="158" s="1"/>
  <c r="K53" i="158" s="1"/>
  <c r="H53" i="150"/>
  <c r="I53" i="150" s="1"/>
  <c r="K53" i="150" s="1"/>
  <c r="H59" i="150"/>
  <c r="I59" i="150" s="1"/>
  <c r="K59" i="150" s="1"/>
  <c r="H48" i="150"/>
  <c r="I48" i="150" s="1"/>
  <c r="K48" i="150" s="1"/>
  <c r="H64" i="158"/>
  <c r="I64" i="158" s="1"/>
  <c r="K64" i="158" s="1"/>
  <c r="H62" i="158"/>
  <c r="I62" i="158" s="1"/>
  <c r="K62" i="158" s="1"/>
  <c r="H62" i="150"/>
  <c r="I62" i="150" s="1"/>
  <c r="K62" i="150" s="1"/>
  <c r="H64" i="150"/>
  <c r="I64" i="150" s="1"/>
  <c r="K64" i="150" s="1"/>
  <c r="H66" i="150"/>
  <c r="I66" i="150" s="1"/>
  <c r="K66" i="150" s="1"/>
  <c r="G57" i="158"/>
  <c r="E11" i="39"/>
  <c r="D11" i="39"/>
  <c r="H13" i="150"/>
  <c r="I13" i="150" s="1"/>
  <c r="K13" i="150" s="1"/>
  <c r="H72" i="158"/>
  <c r="I72" i="158" s="1"/>
  <c r="K72" i="158" s="1"/>
  <c r="H23" i="158"/>
  <c r="I23" i="158" s="1"/>
  <c r="K23" i="158" s="1"/>
  <c r="H72" i="150"/>
  <c r="I72" i="150" s="1"/>
  <c r="K72" i="150" s="1"/>
  <c r="A173" i="86"/>
  <c r="A174" i="86"/>
  <c r="A175" i="86"/>
  <c r="A176" i="86"/>
  <c r="A177" i="86"/>
  <c r="A178" i="86"/>
  <c r="A162" i="86"/>
  <c r="A163" i="86"/>
  <c r="A164" i="86"/>
  <c r="A165" i="86"/>
  <c r="A166" i="86"/>
  <c r="A167" i="86"/>
  <c r="A168" i="86"/>
  <c r="A169" i="86"/>
  <c r="A170" i="86"/>
  <c r="A171" i="86"/>
  <c r="A172" i="86"/>
  <c r="A7" i="86"/>
  <c r="A8" i="86"/>
  <c r="A9" i="86"/>
  <c r="A10" i="86"/>
  <c r="A11" i="86"/>
  <c r="A12" i="86"/>
  <c r="A13" i="86"/>
  <c r="A14" i="86"/>
  <c r="A15" i="86"/>
  <c r="A16" i="86"/>
  <c r="A17" i="86"/>
  <c r="A18" i="86"/>
  <c r="A19" i="86"/>
  <c r="A20" i="86"/>
  <c r="A21" i="86"/>
  <c r="A22" i="86"/>
  <c r="A23" i="86"/>
  <c r="A24" i="86"/>
  <c r="A25" i="86"/>
  <c r="A26" i="86"/>
  <c r="A27" i="86"/>
  <c r="A28" i="86"/>
  <c r="A29" i="86"/>
  <c r="A30" i="86"/>
  <c r="A31" i="86"/>
  <c r="A32" i="86"/>
  <c r="A33" i="86"/>
  <c r="A34" i="86"/>
  <c r="A35" i="86"/>
  <c r="A36" i="86"/>
  <c r="A37" i="86"/>
  <c r="A38" i="86"/>
  <c r="A39" i="86"/>
  <c r="A40" i="86"/>
  <c r="A41" i="86"/>
  <c r="A42" i="86"/>
  <c r="A43" i="86"/>
  <c r="A44" i="86"/>
  <c r="A45" i="86"/>
  <c r="A46" i="86"/>
  <c r="A47" i="86"/>
  <c r="A48" i="86"/>
  <c r="A49" i="86"/>
  <c r="A50" i="86"/>
  <c r="A51" i="86"/>
  <c r="A52" i="86"/>
  <c r="A53" i="86"/>
  <c r="A54" i="86"/>
  <c r="A55" i="86"/>
  <c r="A56" i="86"/>
  <c r="A57" i="86"/>
  <c r="A58" i="86"/>
  <c r="A59" i="86"/>
  <c r="A60" i="86"/>
  <c r="A61" i="86"/>
  <c r="A62" i="86"/>
  <c r="A63" i="86"/>
  <c r="A64" i="86"/>
  <c r="A65" i="86"/>
  <c r="A66" i="86"/>
  <c r="A67" i="86"/>
  <c r="A68" i="86"/>
  <c r="A69" i="86"/>
  <c r="A70" i="86"/>
  <c r="A71" i="86"/>
  <c r="A72" i="86"/>
  <c r="A73" i="86"/>
  <c r="A74" i="86"/>
  <c r="A75" i="86"/>
  <c r="A76" i="86"/>
  <c r="A77" i="86"/>
  <c r="A78" i="86"/>
  <c r="A79" i="86"/>
  <c r="A80" i="86"/>
  <c r="A81" i="86"/>
  <c r="A82" i="86"/>
  <c r="A83" i="86"/>
  <c r="A84" i="86"/>
  <c r="A85" i="86"/>
  <c r="A86" i="86"/>
  <c r="A87" i="86"/>
  <c r="A88" i="86"/>
  <c r="A89" i="86"/>
  <c r="A90" i="86"/>
  <c r="A91" i="86"/>
  <c r="A92" i="86"/>
  <c r="A93" i="86"/>
  <c r="A94" i="86"/>
  <c r="A95" i="86"/>
  <c r="A96" i="86"/>
  <c r="A97" i="86"/>
  <c r="A98" i="86"/>
  <c r="A99" i="86"/>
  <c r="A100" i="86"/>
  <c r="A101" i="86"/>
  <c r="A102" i="86"/>
  <c r="A103" i="86"/>
  <c r="A104" i="86"/>
  <c r="A105" i="86"/>
  <c r="A106" i="86"/>
  <c r="A107" i="86"/>
  <c r="A108" i="86"/>
  <c r="A109" i="86"/>
  <c r="A110" i="86"/>
  <c r="A111" i="86"/>
  <c r="A112" i="86"/>
  <c r="A113" i="86"/>
  <c r="A114" i="86"/>
  <c r="A115" i="86"/>
  <c r="A116" i="86"/>
  <c r="A117" i="86"/>
  <c r="A118" i="86"/>
  <c r="A119" i="86"/>
  <c r="A120" i="86"/>
  <c r="A121" i="86"/>
  <c r="A122" i="86"/>
  <c r="A123" i="86"/>
  <c r="A124" i="86"/>
  <c r="A125" i="86"/>
  <c r="A126" i="86"/>
  <c r="A127" i="86"/>
  <c r="A128" i="86"/>
  <c r="A129" i="86"/>
  <c r="A130" i="86"/>
  <c r="A131" i="86"/>
  <c r="A132" i="86"/>
  <c r="A133" i="86"/>
  <c r="A134" i="86"/>
  <c r="A135" i="86"/>
  <c r="A136" i="86"/>
  <c r="A137" i="86"/>
  <c r="A138" i="86"/>
  <c r="A139" i="86"/>
  <c r="A140" i="86"/>
  <c r="A141" i="86"/>
  <c r="A142" i="86"/>
  <c r="A143" i="86"/>
  <c r="A144" i="86"/>
  <c r="A145" i="86"/>
  <c r="A146" i="86"/>
  <c r="A147" i="86"/>
  <c r="A148" i="86"/>
  <c r="A149" i="86"/>
  <c r="A150" i="86"/>
  <c r="A151" i="86"/>
  <c r="A152" i="86"/>
  <c r="A153" i="86"/>
  <c r="A154" i="86"/>
  <c r="A155" i="86"/>
  <c r="A156" i="86"/>
  <c r="A157" i="86"/>
  <c r="A158" i="86"/>
  <c r="A159" i="86"/>
  <c r="A160" i="86"/>
  <c r="A161" i="86"/>
  <c r="A178" i="158"/>
  <c r="A179" i="158"/>
  <c r="G179" i="158" s="1"/>
  <c r="A173" i="158"/>
  <c r="G173" i="158"/>
  <c r="H173" i="158"/>
  <c r="I173" i="158"/>
  <c r="K173" i="158" s="1"/>
  <c r="A174" i="158"/>
  <c r="A175" i="158"/>
  <c r="H175" i="158"/>
  <c r="A176" i="158"/>
  <c r="A177" i="158"/>
  <c r="H177" i="158" s="1"/>
  <c r="A9" i="158"/>
  <c r="A10" i="158"/>
  <c r="A11" i="158"/>
  <c r="A12" i="158"/>
  <c r="A13" i="158"/>
  <c r="A14" i="158"/>
  <c r="A15" i="158"/>
  <c r="A16" i="158"/>
  <c r="A17" i="158"/>
  <c r="A18" i="158"/>
  <c r="A19" i="158"/>
  <c r="A20" i="158"/>
  <c r="A21" i="158"/>
  <c r="A22" i="158"/>
  <c r="A23" i="158"/>
  <c r="A24" i="158"/>
  <c r="A25" i="158"/>
  <c r="A26" i="158"/>
  <c r="A27" i="158"/>
  <c r="A28" i="158"/>
  <c r="A29" i="158"/>
  <c r="A30" i="158"/>
  <c r="A31" i="158"/>
  <c r="A32" i="158"/>
  <c r="A33" i="158"/>
  <c r="A34" i="158"/>
  <c r="A35" i="158"/>
  <c r="A36" i="158"/>
  <c r="A37" i="158"/>
  <c r="A38" i="158"/>
  <c r="A39" i="158"/>
  <c r="A40" i="158"/>
  <c r="A41" i="158"/>
  <c r="A42" i="158"/>
  <c r="A43" i="158"/>
  <c r="A44" i="158"/>
  <c r="A45" i="158"/>
  <c r="A46" i="158"/>
  <c r="A47" i="158"/>
  <c r="A48" i="158"/>
  <c r="A49" i="158"/>
  <c r="A50" i="158"/>
  <c r="A51" i="158"/>
  <c r="A52" i="158"/>
  <c r="A53" i="158"/>
  <c r="A54" i="158"/>
  <c r="A55" i="158"/>
  <c r="A56" i="158"/>
  <c r="A57" i="158"/>
  <c r="A58" i="158"/>
  <c r="A59" i="158"/>
  <c r="A60" i="158"/>
  <c r="A61" i="158"/>
  <c r="A62" i="158"/>
  <c r="A63" i="158"/>
  <c r="A64" i="158"/>
  <c r="A65" i="158"/>
  <c r="A66" i="158"/>
  <c r="A67" i="158"/>
  <c r="A68" i="158"/>
  <c r="A69" i="158"/>
  <c r="A70" i="158"/>
  <c r="A71" i="158"/>
  <c r="A72" i="158"/>
  <c r="A73" i="158"/>
  <c r="A74" i="158"/>
  <c r="A75" i="158"/>
  <c r="A76" i="158"/>
  <c r="A77" i="158"/>
  <c r="A78" i="158"/>
  <c r="A79" i="158"/>
  <c r="A80" i="158"/>
  <c r="A81" i="158"/>
  <c r="A82" i="158"/>
  <c r="A83" i="158"/>
  <c r="A84" i="158"/>
  <c r="A85" i="158"/>
  <c r="A86" i="158"/>
  <c r="A87" i="158"/>
  <c r="A88" i="158"/>
  <c r="A89" i="158"/>
  <c r="A90" i="158"/>
  <c r="A91" i="158"/>
  <c r="A92" i="158"/>
  <c r="A93" i="158"/>
  <c r="A94" i="158"/>
  <c r="A95" i="158"/>
  <c r="A96" i="158"/>
  <c r="A97" i="158"/>
  <c r="A98" i="158"/>
  <c r="A99" i="158"/>
  <c r="A100" i="158"/>
  <c r="A101" i="158"/>
  <c r="A102" i="158"/>
  <c r="A103" i="158"/>
  <c r="A104" i="158"/>
  <c r="A105" i="158"/>
  <c r="A106" i="158"/>
  <c r="A107" i="158"/>
  <c r="A108" i="158"/>
  <c r="A109" i="158"/>
  <c r="A110" i="158"/>
  <c r="A111" i="158"/>
  <c r="A112" i="158"/>
  <c r="A113" i="158"/>
  <c r="A114" i="158"/>
  <c r="A115" i="158"/>
  <c r="A116" i="158"/>
  <c r="A117" i="158"/>
  <c r="A118" i="158"/>
  <c r="A119" i="158"/>
  <c r="A120" i="158"/>
  <c r="A121" i="158"/>
  <c r="A122" i="158"/>
  <c r="A123" i="158"/>
  <c r="A124" i="158"/>
  <c r="A125" i="158"/>
  <c r="A126" i="158"/>
  <c r="A127" i="158"/>
  <c r="A128" i="158"/>
  <c r="A129" i="158"/>
  <c r="A130" i="158"/>
  <c r="A131" i="158"/>
  <c r="A132" i="158"/>
  <c r="A133" i="158"/>
  <c r="A134" i="158"/>
  <c r="A135" i="158"/>
  <c r="A136" i="158"/>
  <c r="A137" i="158"/>
  <c r="A138" i="158"/>
  <c r="A139" i="158"/>
  <c r="A140" i="158"/>
  <c r="A141" i="158"/>
  <c r="A142" i="158"/>
  <c r="A143" i="158"/>
  <c r="A144" i="158"/>
  <c r="A145" i="158"/>
  <c r="A146" i="158"/>
  <c r="A147" i="158"/>
  <c r="A148" i="158"/>
  <c r="A149" i="158"/>
  <c r="A150" i="158"/>
  <c r="A151" i="158"/>
  <c r="A152" i="158"/>
  <c r="A153" i="158"/>
  <c r="A154" i="158"/>
  <c r="A155" i="158"/>
  <c r="A156" i="158"/>
  <c r="A157" i="158"/>
  <c r="A158" i="158"/>
  <c r="A159" i="158"/>
  <c r="A160" i="158"/>
  <c r="A161" i="158"/>
  <c r="A162" i="158"/>
  <c r="A163" i="158"/>
  <c r="A164" i="158"/>
  <c r="A165" i="158"/>
  <c r="A166" i="158"/>
  <c r="A167" i="158"/>
  <c r="A168" i="158"/>
  <c r="A169" i="158"/>
  <c r="A170" i="158"/>
  <c r="A171" i="158"/>
  <c r="A172" i="158"/>
  <c r="B4" i="189"/>
  <c r="H4" i="189"/>
  <c r="H7" i="189"/>
  <c r="I7" i="189"/>
  <c r="J7" i="189"/>
  <c r="K7" i="189"/>
  <c r="H8" i="189"/>
  <c r="I8" i="189"/>
  <c r="J8" i="189"/>
  <c r="K8" i="189"/>
  <c r="H9" i="189"/>
  <c r="I9" i="189"/>
  <c r="J9" i="189"/>
  <c r="K9" i="189"/>
  <c r="H10" i="189"/>
  <c r="I10" i="189"/>
  <c r="J10" i="189"/>
  <c r="K10" i="189"/>
  <c r="H11" i="189"/>
  <c r="I11" i="189"/>
  <c r="J11" i="189"/>
  <c r="K11" i="189"/>
  <c r="H12" i="189"/>
  <c r="I12" i="189"/>
  <c r="J12" i="189"/>
  <c r="K12" i="189"/>
  <c r="H13" i="189"/>
  <c r="I13" i="189"/>
  <c r="J13" i="189"/>
  <c r="K13" i="189"/>
  <c r="H14" i="189"/>
  <c r="I14" i="189"/>
  <c r="J14" i="189"/>
  <c r="K14" i="189"/>
  <c r="H15" i="189"/>
  <c r="I15" i="189"/>
  <c r="J15" i="189"/>
  <c r="K15" i="189"/>
  <c r="H16" i="189"/>
  <c r="I16" i="189"/>
  <c r="J16" i="189"/>
  <c r="K16" i="189"/>
  <c r="H17" i="189"/>
  <c r="I17" i="189"/>
  <c r="J17" i="189"/>
  <c r="K17" i="189"/>
  <c r="H18" i="189"/>
  <c r="I18" i="189"/>
  <c r="J18" i="189"/>
  <c r="K18" i="189"/>
  <c r="H19" i="189"/>
  <c r="I19" i="189"/>
  <c r="J19" i="189"/>
  <c r="K19" i="189"/>
  <c r="H20" i="189"/>
  <c r="I20" i="189"/>
  <c r="J20" i="189"/>
  <c r="K20" i="189"/>
  <c r="H21" i="189"/>
  <c r="I21" i="189"/>
  <c r="J21" i="189"/>
  <c r="K21" i="189"/>
  <c r="H22" i="189"/>
  <c r="I22" i="189"/>
  <c r="J22" i="189"/>
  <c r="K22" i="189"/>
  <c r="H23" i="189"/>
  <c r="I23" i="189"/>
  <c r="J23" i="189"/>
  <c r="K23" i="189"/>
  <c r="H24" i="189"/>
  <c r="I24" i="189"/>
  <c r="J24" i="189"/>
  <c r="K24" i="189"/>
  <c r="H25" i="189"/>
  <c r="I25" i="189"/>
  <c r="J25" i="189"/>
  <c r="K25" i="189"/>
  <c r="H26" i="189"/>
  <c r="I26" i="189"/>
  <c r="J26" i="189"/>
  <c r="K26" i="189"/>
  <c r="H27" i="189"/>
  <c r="I27" i="189"/>
  <c r="J27" i="189"/>
  <c r="K27" i="189"/>
  <c r="H28" i="189"/>
  <c r="I28" i="189"/>
  <c r="J28" i="189"/>
  <c r="K28" i="189"/>
  <c r="H29" i="189"/>
  <c r="I29" i="189"/>
  <c r="J29" i="189"/>
  <c r="K29" i="189"/>
  <c r="H30" i="189"/>
  <c r="I30" i="189"/>
  <c r="J30" i="189"/>
  <c r="K30" i="189"/>
  <c r="H31" i="189"/>
  <c r="I31" i="189"/>
  <c r="J31" i="189"/>
  <c r="K31" i="189"/>
  <c r="H32" i="189"/>
  <c r="I32" i="189"/>
  <c r="J32" i="189"/>
  <c r="K32" i="189"/>
  <c r="H33" i="189"/>
  <c r="I33" i="189"/>
  <c r="J33" i="189"/>
  <c r="K33" i="189"/>
  <c r="H34" i="189"/>
  <c r="I34" i="189"/>
  <c r="J34" i="189"/>
  <c r="K34" i="189"/>
  <c r="H35" i="189"/>
  <c r="I35" i="189"/>
  <c r="J35" i="189"/>
  <c r="K35" i="189"/>
  <c r="H36" i="189"/>
  <c r="I36" i="189"/>
  <c r="J36" i="189"/>
  <c r="K36" i="189"/>
  <c r="H37" i="189"/>
  <c r="I37" i="189"/>
  <c r="J37" i="189"/>
  <c r="K37" i="189"/>
  <c r="H38" i="189"/>
  <c r="I38" i="189"/>
  <c r="J38" i="189"/>
  <c r="K38" i="189"/>
  <c r="H39" i="189"/>
  <c r="I39" i="189"/>
  <c r="J39" i="189"/>
  <c r="K39" i="189"/>
  <c r="H40" i="189"/>
  <c r="I40" i="189"/>
  <c r="J40" i="189"/>
  <c r="K40" i="189"/>
  <c r="H41" i="189"/>
  <c r="I41" i="189"/>
  <c r="J41" i="189"/>
  <c r="K41" i="189"/>
  <c r="H42" i="189"/>
  <c r="I42" i="189"/>
  <c r="J42" i="189"/>
  <c r="K42" i="189"/>
  <c r="H43" i="189"/>
  <c r="I43" i="189"/>
  <c r="J43" i="189"/>
  <c r="K43" i="189"/>
  <c r="H44" i="189"/>
  <c r="I44" i="189"/>
  <c r="J44" i="189"/>
  <c r="K44" i="189"/>
  <c r="H45" i="189"/>
  <c r="I45" i="189"/>
  <c r="J45" i="189"/>
  <c r="K45" i="189"/>
  <c r="H46" i="189"/>
  <c r="I46" i="189"/>
  <c r="J46" i="189"/>
  <c r="K46" i="189"/>
  <c r="H47" i="189"/>
  <c r="I47" i="189"/>
  <c r="J47" i="189"/>
  <c r="K47" i="189"/>
  <c r="H48" i="189"/>
  <c r="I48" i="189"/>
  <c r="J48" i="189"/>
  <c r="K48" i="189"/>
  <c r="H49" i="189"/>
  <c r="I49" i="189"/>
  <c r="J49" i="189"/>
  <c r="K49" i="189"/>
  <c r="H50" i="189"/>
  <c r="I50" i="189"/>
  <c r="J50" i="189"/>
  <c r="K50" i="189"/>
  <c r="H51" i="189"/>
  <c r="I51" i="189"/>
  <c r="J51" i="189"/>
  <c r="K51" i="189"/>
  <c r="H52" i="189"/>
  <c r="I52" i="189"/>
  <c r="J52" i="189"/>
  <c r="K52" i="189"/>
  <c r="H53" i="189"/>
  <c r="I53" i="189"/>
  <c r="J53" i="189"/>
  <c r="K53" i="189"/>
  <c r="H54" i="189"/>
  <c r="I54" i="189"/>
  <c r="J54" i="189"/>
  <c r="K54" i="189"/>
  <c r="H55" i="189"/>
  <c r="I55" i="189"/>
  <c r="J55" i="189"/>
  <c r="K55" i="189"/>
  <c r="H56" i="189"/>
  <c r="I56" i="189"/>
  <c r="J56" i="189"/>
  <c r="K56" i="189"/>
  <c r="H57" i="189"/>
  <c r="I57" i="189"/>
  <c r="J57" i="189"/>
  <c r="K57" i="189"/>
  <c r="H58" i="189"/>
  <c r="I58" i="189"/>
  <c r="J58" i="189"/>
  <c r="K58" i="189"/>
  <c r="H59" i="189"/>
  <c r="I59" i="189"/>
  <c r="J59" i="189"/>
  <c r="K59" i="189"/>
  <c r="H60" i="189"/>
  <c r="I60" i="189"/>
  <c r="J60" i="189"/>
  <c r="K60" i="189"/>
  <c r="H61" i="189"/>
  <c r="I61" i="189"/>
  <c r="J61" i="189"/>
  <c r="K61" i="189"/>
  <c r="H62" i="189"/>
  <c r="I62" i="189"/>
  <c r="J62" i="189"/>
  <c r="K62" i="189"/>
  <c r="H63" i="189"/>
  <c r="I63" i="189"/>
  <c r="J63" i="189"/>
  <c r="K63" i="189"/>
  <c r="H64" i="189"/>
  <c r="I64" i="189"/>
  <c r="J64" i="189"/>
  <c r="K64" i="189"/>
  <c r="H65" i="189"/>
  <c r="I65" i="189"/>
  <c r="J65" i="189"/>
  <c r="K65" i="189"/>
  <c r="H66" i="189"/>
  <c r="I66" i="189"/>
  <c r="J66" i="189"/>
  <c r="K66" i="189"/>
  <c r="H67" i="189"/>
  <c r="I67" i="189"/>
  <c r="J67" i="189"/>
  <c r="K67" i="189"/>
  <c r="H68" i="189"/>
  <c r="I68" i="189"/>
  <c r="J68" i="189"/>
  <c r="K68" i="189"/>
  <c r="H69" i="189"/>
  <c r="I69" i="189"/>
  <c r="J69" i="189"/>
  <c r="K69" i="189"/>
  <c r="H70" i="189"/>
  <c r="I70" i="189"/>
  <c r="J70" i="189"/>
  <c r="K70" i="189"/>
  <c r="H71" i="189"/>
  <c r="I71" i="189"/>
  <c r="J71" i="189"/>
  <c r="K71" i="189"/>
  <c r="H72" i="189"/>
  <c r="I72" i="189"/>
  <c r="J72" i="189"/>
  <c r="K72" i="189"/>
  <c r="H73" i="189"/>
  <c r="I73" i="189"/>
  <c r="J73" i="189"/>
  <c r="K73" i="189"/>
  <c r="H74" i="189"/>
  <c r="I74" i="189"/>
  <c r="J74" i="189"/>
  <c r="K74" i="189"/>
  <c r="H75" i="189"/>
  <c r="I75" i="189"/>
  <c r="J75" i="189"/>
  <c r="K75" i="189"/>
  <c r="H76" i="189"/>
  <c r="I76" i="189"/>
  <c r="J76" i="189"/>
  <c r="K76" i="189"/>
  <c r="H77" i="189"/>
  <c r="I77" i="189"/>
  <c r="J77" i="189"/>
  <c r="K77" i="189"/>
  <c r="H78" i="189"/>
  <c r="I78" i="189"/>
  <c r="J78" i="189"/>
  <c r="K78" i="189"/>
  <c r="H79" i="189"/>
  <c r="I79" i="189"/>
  <c r="J79" i="189"/>
  <c r="K79" i="189"/>
  <c r="H80" i="189"/>
  <c r="I80" i="189"/>
  <c r="J80" i="189"/>
  <c r="K80" i="189"/>
  <c r="H81" i="189"/>
  <c r="I81" i="189"/>
  <c r="J81" i="189"/>
  <c r="K81" i="189"/>
  <c r="H82" i="189"/>
  <c r="I82" i="189"/>
  <c r="J82" i="189"/>
  <c r="K82" i="189"/>
  <c r="H83" i="189"/>
  <c r="I83" i="189"/>
  <c r="J83" i="189"/>
  <c r="K83" i="189"/>
  <c r="H84" i="189"/>
  <c r="I84" i="189"/>
  <c r="J84" i="189"/>
  <c r="K84" i="189"/>
  <c r="H85" i="189"/>
  <c r="I85" i="189"/>
  <c r="J85" i="189"/>
  <c r="K85" i="189"/>
  <c r="H86" i="189"/>
  <c r="I86" i="189"/>
  <c r="J86" i="189"/>
  <c r="K86" i="189"/>
  <c r="H87" i="189"/>
  <c r="I87" i="189"/>
  <c r="J87" i="189"/>
  <c r="K87" i="189"/>
  <c r="H88" i="189"/>
  <c r="I88" i="189"/>
  <c r="J88" i="189"/>
  <c r="K88" i="189"/>
  <c r="H89" i="189"/>
  <c r="I89" i="189"/>
  <c r="J89" i="189"/>
  <c r="K89" i="189"/>
  <c r="H90" i="189"/>
  <c r="I90" i="189"/>
  <c r="J90" i="189"/>
  <c r="K90" i="189"/>
  <c r="H91" i="189"/>
  <c r="I91" i="189"/>
  <c r="J91" i="189"/>
  <c r="K91" i="189"/>
  <c r="H92" i="189"/>
  <c r="I92" i="189"/>
  <c r="J92" i="189"/>
  <c r="K92" i="189"/>
  <c r="H93" i="189"/>
  <c r="I93" i="189"/>
  <c r="J93" i="189"/>
  <c r="K93" i="189"/>
  <c r="H94" i="189"/>
  <c r="I94" i="189"/>
  <c r="J94" i="189"/>
  <c r="K94" i="189"/>
  <c r="H95" i="189"/>
  <c r="I95" i="189"/>
  <c r="J95" i="189"/>
  <c r="K95" i="189"/>
  <c r="H96" i="189"/>
  <c r="I96" i="189"/>
  <c r="J96" i="189"/>
  <c r="K96" i="189"/>
  <c r="H97" i="189"/>
  <c r="I97" i="189"/>
  <c r="J97" i="189"/>
  <c r="K97" i="189"/>
  <c r="H98" i="189"/>
  <c r="I98" i="189"/>
  <c r="J98" i="189"/>
  <c r="K98" i="189"/>
  <c r="H99" i="189"/>
  <c r="I99" i="189"/>
  <c r="J99" i="189"/>
  <c r="K99" i="189"/>
  <c r="H100" i="189"/>
  <c r="I100" i="189"/>
  <c r="J100" i="189"/>
  <c r="K100" i="189"/>
  <c r="H101" i="189"/>
  <c r="I101" i="189"/>
  <c r="J101" i="189"/>
  <c r="K101" i="189"/>
  <c r="I6" i="189"/>
  <c r="J6" i="189"/>
  <c r="K6" i="189"/>
  <c r="H6" i="189"/>
  <c r="G94" i="189"/>
  <c r="G95" i="189"/>
  <c r="G96" i="189"/>
  <c r="G97" i="189"/>
  <c r="G98" i="189"/>
  <c r="G99" i="189"/>
  <c r="G100" i="189"/>
  <c r="G101" i="189"/>
  <c r="G7" i="189"/>
  <c r="G8" i="189"/>
  <c r="G9" i="189"/>
  <c r="G10" i="189"/>
  <c r="G11" i="189"/>
  <c r="G12" i="189"/>
  <c r="G13" i="189"/>
  <c r="G14" i="189"/>
  <c r="G15" i="189"/>
  <c r="G16" i="189"/>
  <c r="G17" i="189"/>
  <c r="G18" i="189"/>
  <c r="G19" i="189"/>
  <c r="G20" i="189"/>
  <c r="G21" i="189"/>
  <c r="G22" i="189"/>
  <c r="G23" i="189"/>
  <c r="G24" i="189"/>
  <c r="G25" i="189"/>
  <c r="G26" i="189"/>
  <c r="G27" i="189"/>
  <c r="G28" i="189"/>
  <c r="G29" i="189"/>
  <c r="G30" i="189"/>
  <c r="G31" i="189"/>
  <c r="G32" i="189"/>
  <c r="G33" i="189"/>
  <c r="G34" i="189"/>
  <c r="G35" i="189"/>
  <c r="G36" i="189"/>
  <c r="G37" i="189"/>
  <c r="G38" i="189"/>
  <c r="G39" i="189"/>
  <c r="G40" i="189"/>
  <c r="G41" i="189"/>
  <c r="G42" i="189"/>
  <c r="G43" i="189"/>
  <c r="G44" i="189"/>
  <c r="G45" i="189"/>
  <c r="G46" i="189"/>
  <c r="G47" i="189"/>
  <c r="G48" i="189"/>
  <c r="G49" i="189"/>
  <c r="G50" i="189"/>
  <c r="G51" i="189"/>
  <c r="G52" i="189"/>
  <c r="G53" i="189"/>
  <c r="G54" i="189"/>
  <c r="G55" i="189"/>
  <c r="G56" i="189"/>
  <c r="G57" i="189"/>
  <c r="G58" i="189"/>
  <c r="G59" i="189"/>
  <c r="G60" i="189"/>
  <c r="G61" i="189"/>
  <c r="G62" i="189"/>
  <c r="G63" i="189"/>
  <c r="G64" i="189"/>
  <c r="G65" i="189"/>
  <c r="G66" i="189"/>
  <c r="G67" i="189"/>
  <c r="G68" i="189"/>
  <c r="G69" i="189"/>
  <c r="G70" i="189"/>
  <c r="G71" i="189"/>
  <c r="G72" i="189"/>
  <c r="G73" i="189"/>
  <c r="G74" i="189"/>
  <c r="G75" i="189"/>
  <c r="G76" i="189"/>
  <c r="G77" i="189"/>
  <c r="G78" i="189"/>
  <c r="G79" i="189"/>
  <c r="G80" i="189"/>
  <c r="G81" i="189"/>
  <c r="G82" i="189"/>
  <c r="G83" i="189"/>
  <c r="G84" i="189"/>
  <c r="G85" i="189"/>
  <c r="G86" i="189"/>
  <c r="G87" i="189"/>
  <c r="G88" i="189"/>
  <c r="G89" i="189"/>
  <c r="G90" i="189"/>
  <c r="G91" i="189"/>
  <c r="G92" i="189"/>
  <c r="G93" i="189"/>
  <c r="G6" i="189"/>
  <c r="J5" i="189"/>
  <c r="H5" i="189"/>
  <c r="A177" i="194"/>
  <c r="A176" i="194"/>
  <c r="A175" i="194"/>
  <c r="A174" i="194"/>
  <c r="A173" i="194"/>
  <c r="A172" i="194"/>
  <c r="A171" i="194"/>
  <c r="A170" i="194"/>
  <c r="A169" i="194"/>
  <c r="A168" i="194"/>
  <c r="A167" i="194"/>
  <c r="A166" i="194"/>
  <c r="A165" i="194"/>
  <c r="A164" i="194"/>
  <c r="A163" i="194"/>
  <c r="A162" i="194"/>
  <c r="A161" i="194"/>
  <c r="A160" i="194"/>
  <c r="A159" i="194"/>
  <c r="A158" i="194"/>
  <c r="A157" i="194"/>
  <c r="A156" i="194"/>
  <c r="A155" i="194"/>
  <c r="A154" i="194"/>
  <c r="A153" i="194"/>
  <c r="A152" i="194"/>
  <c r="A151" i="194"/>
  <c r="A150" i="194"/>
  <c r="A149" i="194"/>
  <c r="A148" i="194"/>
  <c r="A147" i="194"/>
  <c r="A146" i="194"/>
  <c r="A145" i="194"/>
  <c r="A144" i="194"/>
  <c r="A143" i="194"/>
  <c r="A142" i="194"/>
  <c r="A141" i="194"/>
  <c r="A140" i="194"/>
  <c r="A139" i="194"/>
  <c r="A138" i="194"/>
  <c r="A137" i="194"/>
  <c r="A136" i="194"/>
  <c r="A135" i="194"/>
  <c r="A134" i="194"/>
  <c r="A133" i="194"/>
  <c r="A132" i="194"/>
  <c r="A131" i="194"/>
  <c r="A130" i="194"/>
  <c r="A129" i="194"/>
  <c r="A128" i="194"/>
  <c r="A127" i="194"/>
  <c r="A126" i="194"/>
  <c r="A125" i="194"/>
  <c r="A124" i="194"/>
  <c r="A123" i="194"/>
  <c r="A122" i="194"/>
  <c r="A121" i="194"/>
  <c r="A120" i="194"/>
  <c r="A119" i="194"/>
  <c r="A118" i="194"/>
  <c r="A117" i="194"/>
  <c r="A116" i="194"/>
  <c r="A115" i="194"/>
  <c r="A114" i="194"/>
  <c r="A113" i="194"/>
  <c r="A112" i="194"/>
  <c r="A111" i="194"/>
  <c r="A110" i="194"/>
  <c r="A109" i="194"/>
  <c r="A108" i="194"/>
  <c r="A107" i="194"/>
  <c r="A106" i="194"/>
  <c r="A105" i="194"/>
  <c r="A104" i="194"/>
  <c r="A103" i="194"/>
  <c r="A102" i="194"/>
  <c r="A101" i="194"/>
  <c r="A100" i="194"/>
  <c r="A99" i="194"/>
  <c r="A98" i="194"/>
  <c r="A97" i="194"/>
  <c r="A96" i="194"/>
  <c r="A95" i="194"/>
  <c r="A94" i="194"/>
  <c r="A93" i="194"/>
  <c r="A92" i="194"/>
  <c r="A91" i="194"/>
  <c r="A90" i="194"/>
  <c r="A89" i="194"/>
  <c r="A88" i="194"/>
  <c r="A87" i="194"/>
  <c r="A86" i="194"/>
  <c r="A85" i="194"/>
  <c r="A84" i="194"/>
  <c r="A83" i="194"/>
  <c r="A82" i="194"/>
  <c r="A81" i="194"/>
  <c r="A80" i="194"/>
  <c r="A79" i="194"/>
  <c r="A78" i="194"/>
  <c r="A77" i="194"/>
  <c r="A76" i="194"/>
  <c r="A75" i="194"/>
  <c r="A74" i="194"/>
  <c r="A73" i="194"/>
  <c r="A72" i="194"/>
  <c r="A71" i="194"/>
  <c r="A70" i="194"/>
  <c r="A69" i="194"/>
  <c r="A68" i="194"/>
  <c r="A67" i="194"/>
  <c r="A66" i="194"/>
  <c r="A65" i="194"/>
  <c r="A64" i="194"/>
  <c r="A63" i="194"/>
  <c r="A62" i="194"/>
  <c r="A61" i="194"/>
  <c r="A60" i="194"/>
  <c r="A59" i="194"/>
  <c r="A58" i="194"/>
  <c r="A57" i="194"/>
  <c r="A56" i="194"/>
  <c r="A55" i="194"/>
  <c r="A54" i="194"/>
  <c r="A53" i="194"/>
  <c r="A52" i="194"/>
  <c r="A51" i="194"/>
  <c r="A50" i="194"/>
  <c r="A49" i="194"/>
  <c r="A48" i="194"/>
  <c r="A47" i="194"/>
  <c r="A46" i="194"/>
  <c r="A45" i="194"/>
  <c r="A44" i="194"/>
  <c r="A43" i="194"/>
  <c r="A42" i="194"/>
  <c r="A41" i="194"/>
  <c r="A40" i="194"/>
  <c r="A39" i="194"/>
  <c r="A38" i="194"/>
  <c r="A37" i="194"/>
  <c r="A36" i="194"/>
  <c r="A35" i="194"/>
  <c r="A34" i="194"/>
  <c r="A33" i="194"/>
  <c r="A32" i="194"/>
  <c r="A31" i="194"/>
  <c r="A30" i="194"/>
  <c r="A29" i="194"/>
  <c r="A28" i="194"/>
  <c r="A27" i="194"/>
  <c r="A26" i="194"/>
  <c r="A25" i="194"/>
  <c r="A24" i="194"/>
  <c r="A23" i="194"/>
  <c r="A22" i="194"/>
  <c r="A21" i="194"/>
  <c r="A20" i="194"/>
  <c r="A19" i="194"/>
  <c r="A18" i="194"/>
  <c r="A17" i="194"/>
  <c r="A16" i="194"/>
  <c r="A15" i="194"/>
  <c r="A14" i="194"/>
  <c r="A13" i="194"/>
  <c r="A12" i="194"/>
  <c r="A11" i="194"/>
  <c r="A10" i="194"/>
  <c r="A9" i="194"/>
  <c r="A8" i="194"/>
  <c r="A7" i="194"/>
  <c r="A6" i="194"/>
  <c r="BC5" i="198" l="1"/>
  <c r="BC6" i="198"/>
  <c r="J2" i="189"/>
  <c r="C7" i="194"/>
  <c r="C133" i="194"/>
  <c r="C142" i="194"/>
  <c r="F67" i="194"/>
  <c r="K2" i="189"/>
  <c r="B143" i="194"/>
  <c r="C44" i="194"/>
  <c r="I2" i="189"/>
  <c r="I3" i="189" s="1"/>
  <c r="G61" i="194"/>
  <c r="H2" i="189"/>
  <c r="C129" i="194"/>
  <c r="K3" i="189"/>
  <c r="B10" i="194"/>
  <c r="B38" i="194"/>
  <c r="B66" i="194"/>
  <c r="C111" i="194"/>
  <c r="B34" i="194"/>
  <c r="C63" i="194"/>
  <c r="G67" i="194"/>
  <c r="B111" i="194"/>
  <c r="C90" i="194"/>
  <c r="B36" i="194"/>
  <c r="G11" i="194"/>
  <c r="G39" i="194"/>
  <c r="F123" i="194"/>
  <c r="F40" i="194"/>
  <c r="C152" i="194"/>
  <c r="C105" i="194"/>
  <c r="B129" i="194"/>
  <c r="F151" i="194"/>
  <c r="F12" i="194"/>
  <c r="F68" i="194"/>
  <c r="C101" i="194"/>
  <c r="B8" i="194"/>
  <c r="F45" i="194"/>
  <c r="F74" i="194"/>
  <c r="B73" i="194"/>
  <c r="F75" i="194"/>
  <c r="C59" i="194"/>
  <c r="F62" i="194"/>
  <c r="C72" i="194"/>
  <c r="F73" i="194"/>
  <c r="F46" i="194"/>
  <c r="F19" i="194"/>
  <c r="B47" i="194"/>
  <c r="F20" i="194"/>
  <c r="F48" i="194"/>
  <c r="F76" i="194"/>
  <c r="C55" i="194"/>
  <c r="B101" i="194"/>
  <c r="C73" i="194"/>
  <c r="F18" i="194"/>
  <c r="F21" i="194"/>
  <c r="F49" i="194"/>
  <c r="F77" i="194"/>
  <c r="B55" i="194"/>
  <c r="F17" i="194"/>
  <c r="B27" i="194"/>
  <c r="B24" i="194"/>
  <c r="B52" i="194"/>
  <c r="B80" i="194"/>
  <c r="G174" i="194"/>
  <c r="B176" i="194"/>
  <c r="F174" i="194"/>
  <c r="B64" i="194"/>
  <c r="B92" i="194"/>
  <c r="C77" i="194"/>
  <c r="C78" i="194"/>
  <c r="B79" i="194"/>
  <c r="G81" i="194"/>
  <c r="F26" i="194"/>
  <c r="F54" i="194"/>
  <c r="F82" i="194"/>
  <c r="C174" i="194"/>
  <c r="G170" i="194"/>
  <c r="F6" i="194"/>
  <c r="C50" i="194"/>
  <c r="G83" i="194"/>
  <c r="B174" i="194"/>
  <c r="F159" i="194"/>
  <c r="C35" i="194"/>
  <c r="C16" i="194"/>
  <c r="B51" i="194"/>
  <c r="G25" i="194"/>
  <c r="G53" i="194"/>
  <c r="G27" i="194"/>
  <c r="G55" i="194"/>
  <c r="G28" i="194"/>
  <c r="F56" i="194"/>
  <c r="F84" i="194"/>
  <c r="B112" i="194"/>
  <c r="C170" i="194"/>
  <c r="G150" i="194"/>
  <c r="B23" i="194"/>
  <c r="G85" i="194"/>
  <c r="F143" i="194"/>
  <c r="F30" i="194"/>
  <c r="F58" i="194"/>
  <c r="F86" i="194"/>
  <c r="B114" i="194"/>
  <c r="C161" i="194"/>
  <c r="F95" i="194"/>
  <c r="B31" i="194"/>
  <c r="G29" i="194"/>
  <c r="B170" i="194"/>
  <c r="G31" i="194"/>
  <c r="G59" i="194"/>
  <c r="G87" i="194"/>
  <c r="C171" i="194"/>
  <c r="B157" i="194"/>
  <c r="F87" i="194"/>
  <c r="C22" i="194"/>
  <c r="G57" i="194"/>
  <c r="C143" i="194"/>
  <c r="F104" i="194"/>
  <c r="F105" i="194"/>
  <c r="F133" i="194"/>
  <c r="F161" i="194"/>
  <c r="B78" i="194"/>
  <c r="C30" i="194"/>
  <c r="F103" i="194"/>
  <c r="B30" i="194"/>
  <c r="C106" i="194"/>
  <c r="C134" i="194"/>
  <c r="C162" i="194"/>
  <c r="C146" i="194"/>
  <c r="C113" i="194"/>
  <c r="B107" i="194"/>
  <c r="B135" i="194"/>
  <c r="B163" i="194"/>
  <c r="B146" i="194"/>
  <c r="B113" i="194"/>
  <c r="C75" i="194"/>
  <c r="B29" i="194"/>
  <c r="G146" i="194"/>
  <c r="G90" i="194"/>
  <c r="B108" i="194"/>
  <c r="B136" i="194"/>
  <c r="B164" i="194"/>
  <c r="B75" i="194"/>
  <c r="B28" i="194"/>
  <c r="F146" i="194"/>
  <c r="F90" i="194"/>
  <c r="C27" i="194"/>
  <c r="G109" i="194"/>
  <c r="G137" i="194"/>
  <c r="G165" i="194"/>
  <c r="G6" i="194"/>
  <c r="F110" i="194"/>
  <c r="F138" i="194"/>
  <c r="F166" i="194"/>
  <c r="G142" i="194"/>
  <c r="F85" i="194"/>
  <c r="G111" i="194"/>
  <c r="G139" i="194"/>
  <c r="G167" i="194"/>
  <c r="C175" i="194"/>
  <c r="B142" i="194"/>
  <c r="C110" i="194"/>
  <c r="C62" i="194"/>
  <c r="C26" i="194"/>
  <c r="F142" i="194"/>
  <c r="F83" i="194"/>
  <c r="J83" i="194" s="1"/>
  <c r="F112" i="194"/>
  <c r="F140" i="194"/>
  <c r="F168" i="194"/>
  <c r="C141" i="194"/>
  <c r="B110" i="194"/>
  <c r="B62" i="194"/>
  <c r="B26" i="194"/>
  <c r="G141" i="194"/>
  <c r="F81" i="194"/>
  <c r="J81" i="194" s="1"/>
  <c r="B141" i="194"/>
  <c r="B106" i="194"/>
  <c r="B22" i="194"/>
  <c r="F141" i="194"/>
  <c r="G75" i="194"/>
  <c r="B140" i="194"/>
  <c r="B59" i="194"/>
  <c r="C21" i="194"/>
  <c r="F139" i="194"/>
  <c r="F114" i="194"/>
  <c r="G115" i="194"/>
  <c r="G143" i="194"/>
  <c r="G171" i="194"/>
  <c r="B171" i="194"/>
  <c r="C139" i="194"/>
  <c r="C103" i="194"/>
  <c r="C58" i="194"/>
  <c r="C19" i="194"/>
  <c r="F137" i="194"/>
  <c r="B139" i="194"/>
  <c r="B103" i="194"/>
  <c r="B58" i="194"/>
  <c r="B19" i="194"/>
  <c r="G136" i="194"/>
  <c r="G62" i="194"/>
  <c r="G173" i="194"/>
  <c r="C138" i="194"/>
  <c r="B57" i="194"/>
  <c r="C17" i="194"/>
  <c r="G132" i="194"/>
  <c r="C169" i="194"/>
  <c r="B138" i="194"/>
  <c r="B56" i="194"/>
  <c r="B17" i="194"/>
  <c r="F132" i="194"/>
  <c r="J132" i="194" s="1"/>
  <c r="F59" i="194"/>
  <c r="J59" i="194" s="1"/>
  <c r="C119" i="194"/>
  <c r="C147" i="194"/>
  <c r="G131" i="194"/>
  <c r="F57" i="194"/>
  <c r="J57" i="194" s="1"/>
  <c r="B169" i="194"/>
  <c r="B134" i="194"/>
  <c r="B120" i="194"/>
  <c r="B148" i="194"/>
  <c r="F131" i="194"/>
  <c r="F55" i="194"/>
  <c r="J55" i="194" s="1"/>
  <c r="C167" i="194"/>
  <c r="C132" i="194"/>
  <c r="B90" i="194"/>
  <c r="C54" i="194"/>
  <c r="F171" i="194"/>
  <c r="F53" i="194"/>
  <c r="B94" i="194"/>
  <c r="B122" i="194"/>
  <c r="B150" i="194"/>
  <c r="B167" i="194"/>
  <c r="B132" i="194"/>
  <c r="C87" i="194"/>
  <c r="B54" i="194"/>
  <c r="B168" i="194"/>
  <c r="G122" i="194"/>
  <c r="G47" i="194"/>
  <c r="G95" i="194"/>
  <c r="G123" i="194"/>
  <c r="G151" i="194"/>
  <c r="C166" i="194"/>
  <c r="C131" i="194"/>
  <c r="B87" i="194"/>
  <c r="B50" i="194"/>
  <c r="F170" i="194"/>
  <c r="G118" i="194"/>
  <c r="F47" i="194"/>
  <c r="F96" i="194"/>
  <c r="F124" i="194"/>
  <c r="F152" i="194"/>
  <c r="B166" i="194"/>
  <c r="B131" i="194"/>
  <c r="C86" i="194"/>
  <c r="C49" i="194"/>
  <c r="G169" i="194"/>
  <c r="F118" i="194"/>
  <c r="F39" i="194"/>
  <c r="J39" i="194" s="1"/>
  <c r="B162" i="194"/>
  <c r="B86" i="194"/>
  <c r="C47" i="194"/>
  <c r="F169" i="194"/>
  <c r="J169" i="194" s="1"/>
  <c r="F115" i="194"/>
  <c r="G34" i="194"/>
  <c r="C85" i="194"/>
  <c r="F167" i="194"/>
  <c r="G114" i="194"/>
  <c r="F34" i="194"/>
  <c r="C160" i="194"/>
  <c r="C124" i="194"/>
  <c r="B85" i="194"/>
  <c r="C45" i="194"/>
  <c r="F165" i="194"/>
  <c r="G113" i="194"/>
  <c r="F31" i="194"/>
  <c r="J31" i="194" s="1"/>
  <c r="C100" i="194"/>
  <c r="B156" i="194"/>
  <c r="B160" i="194"/>
  <c r="C118" i="194"/>
  <c r="B84" i="194"/>
  <c r="B45" i="194"/>
  <c r="G164" i="194"/>
  <c r="F113" i="194"/>
  <c r="F29" i="194"/>
  <c r="J29" i="194" s="1"/>
  <c r="F101" i="194"/>
  <c r="F129" i="194"/>
  <c r="F157" i="194"/>
  <c r="C159" i="194"/>
  <c r="B118" i="194"/>
  <c r="C83" i="194"/>
  <c r="C34" i="194"/>
  <c r="G160" i="194"/>
  <c r="F111" i="194"/>
  <c r="J111" i="194" s="1"/>
  <c r="F27" i="194"/>
  <c r="J27" i="194" s="1"/>
  <c r="F102" i="194"/>
  <c r="F130" i="194"/>
  <c r="F158" i="194"/>
  <c r="B159" i="194"/>
  <c r="C115" i="194"/>
  <c r="B83" i="194"/>
  <c r="F160" i="194"/>
  <c r="F109" i="194"/>
  <c r="F25" i="194"/>
  <c r="J25" i="194" s="1"/>
  <c r="C157" i="194"/>
  <c r="B115" i="194"/>
  <c r="C82" i="194"/>
  <c r="C31" i="194"/>
  <c r="G159" i="194"/>
  <c r="G108" i="194"/>
  <c r="G19" i="194"/>
  <c r="C114" i="194"/>
  <c r="B82" i="194"/>
  <c r="G103" i="194"/>
  <c r="F32" i="194"/>
  <c r="G32" i="194"/>
  <c r="B32" i="194"/>
  <c r="C32" i="194"/>
  <c r="F60" i="194"/>
  <c r="G60" i="194"/>
  <c r="B60" i="194"/>
  <c r="C60" i="194"/>
  <c r="F88" i="194"/>
  <c r="G88" i="194"/>
  <c r="B88" i="194"/>
  <c r="C88" i="194"/>
  <c r="F116" i="194"/>
  <c r="G116" i="194"/>
  <c r="B116" i="194"/>
  <c r="C116" i="194"/>
  <c r="F144" i="194"/>
  <c r="G144" i="194"/>
  <c r="B144" i="194"/>
  <c r="C144" i="194"/>
  <c r="F172" i="194"/>
  <c r="G172" i="194"/>
  <c r="B172" i="194"/>
  <c r="C172" i="194"/>
  <c r="F33" i="194"/>
  <c r="G33" i="194"/>
  <c r="B33" i="194"/>
  <c r="C33" i="194"/>
  <c r="F61" i="194"/>
  <c r="J61" i="194" s="1"/>
  <c r="B61" i="194"/>
  <c r="C61" i="194"/>
  <c r="F89" i="194"/>
  <c r="B89" i="194"/>
  <c r="C89" i="194"/>
  <c r="F117" i="194"/>
  <c r="B117" i="194"/>
  <c r="C117" i="194"/>
  <c r="F145" i="194"/>
  <c r="B145" i="194"/>
  <c r="C145" i="194"/>
  <c r="F173" i="194"/>
  <c r="C173" i="194"/>
  <c r="B173" i="194"/>
  <c r="G117" i="194"/>
  <c r="B9" i="194"/>
  <c r="C9" i="194"/>
  <c r="F9" i="194"/>
  <c r="G9" i="194"/>
  <c r="B37" i="194"/>
  <c r="C37" i="194"/>
  <c r="F37" i="194"/>
  <c r="G37" i="194"/>
  <c r="B65" i="194"/>
  <c r="C65" i="194"/>
  <c r="F65" i="194"/>
  <c r="G65" i="194"/>
  <c r="B93" i="194"/>
  <c r="C93" i="194"/>
  <c r="F93" i="194"/>
  <c r="G93" i="194"/>
  <c r="B121" i="194"/>
  <c r="C121" i="194"/>
  <c r="F121" i="194"/>
  <c r="G121" i="194"/>
  <c r="B149" i="194"/>
  <c r="C149" i="194"/>
  <c r="F149" i="194"/>
  <c r="G149" i="194"/>
  <c r="B177" i="194"/>
  <c r="C177" i="194"/>
  <c r="F177" i="194"/>
  <c r="G177" i="194"/>
  <c r="F7" i="194"/>
  <c r="G7" i="194"/>
  <c r="B7" i="194"/>
  <c r="F35" i="194"/>
  <c r="G35" i="194"/>
  <c r="B35" i="194"/>
  <c r="F63" i="194"/>
  <c r="G63" i="194"/>
  <c r="B63" i="194"/>
  <c r="F91" i="194"/>
  <c r="G91" i="194"/>
  <c r="B91" i="194"/>
  <c r="F119" i="194"/>
  <c r="G119" i="194"/>
  <c r="B119" i="194"/>
  <c r="F147" i="194"/>
  <c r="G147" i="194"/>
  <c r="B147" i="194"/>
  <c r="F175" i="194"/>
  <c r="G175" i="194"/>
  <c r="B175" i="194"/>
  <c r="C8" i="194"/>
  <c r="F8" i="194"/>
  <c r="G8" i="194"/>
  <c r="C36" i="194"/>
  <c r="F36" i="194"/>
  <c r="G36" i="194"/>
  <c r="C64" i="194"/>
  <c r="F64" i="194"/>
  <c r="G64" i="194"/>
  <c r="C92" i="194"/>
  <c r="F92" i="194"/>
  <c r="G92" i="194"/>
  <c r="C120" i="194"/>
  <c r="F120" i="194"/>
  <c r="G120" i="194"/>
  <c r="C148" i="194"/>
  <c r="F148" i="194"/>
  <c r="G148" i="194"/>
  <c r="C176" i="194"/>
  <c r="F176" i="194"/>
  <c r="G176" i="194"/>
  <c r="C13" i="194"/>
  <c r="F13" i="194"/>
  <c r="G13" i="194"/>
  <c r="B13" i="194"/>
  <c r="F41" i="194"/>
  <c r="C41" i="194"/>
  <c r="G41" i="194"/>
  <c r="B41" i="194"/>
  <c r="F69" i="194"/>
  <c r="C69" i="194"/>
  <c r="G69" i="194"/>
  <c r="B69" i="194"/>
  <c r="C97" i="194"/>
  <c r="F97" i="194"/>
  <c r="G97" i="194"/>
  <c r="B97" i="194"/>
  <c r="F125" i="194"/>
  <c r="G125" i="194"/>
  <c r="B125" i="194"/>
  <c r="C125" i="194"/>
  <c r="F153" i="194"/>
  <c r="G153" i="194"/>
  <c r="B153" i="194"/>
  <c r="C153" i="194"/>
  <c r="F14" i="194"/>
  <c r="G14" i="194"/>
  <c r="B14" i="194"/>
  <c r="C14" i="194"/>
  <c r="F42" i="194"/>
  <c r="G42" i="194"/>
  <c r="B42" i="194"/>
  <c r="C42" i="194"/>
  <c r="F70" i="194"/>
  <c r="G70" i="194"/>
  <c r="B70" i="194"/>
  <c r="C70" i="194"/>
  <c r="F98" i="194"/>
  <c r="G98" i="194"/>
  <c r="B98" i="194"/>
  <c r="C98" i="194"/>
  <c r="F126" i="194"/>
  <c r="G126" i="194"/>
  <c r="B126" i="194"/>
  <c r="C126" i="194"/>
  <c r="F154" i="194"/>
  <c r="G154" i="194"/>
  <c r="B154" i="194"/>
  <c r="C154" i="194"/>
  <c r="F15" i="194"/>
  <c r="G15" i="194"/>
  <c r="B15" i="194"/>
  <c r="C15" i="194"/>
  <c r="F43" i="194"/>
  <c r="G43" i="194"/>
  <c r="B43" i="194"/>
  <c r="C43" i="194"/>
  <c r="F71" i="194"/>
  <c r="G71" i="194"/>
  <c r="B71" i="194"/>
  <c r="C71" i="194"/>
  <c r="F99" i="194"/>
  <c r="G99" i="194"/>
  <c r="B99" i="194"/>
  <c r="C99" i="194"/>
  <c r="F127" i="194"/>
  <c r="G127" i="194"/>
  <c r="B127" i="194"/>
  <c r="C127" i="194"/>
  <c r="F155" i="194"/>
  <c r="G155" i="194"/>
  <c r="B155" i="194"/>
  <c r="C155" i="194"/>
  <c r="F16" i="194"/>
  <c r="G16" i="194"/>
  <c r="B16" i="194"/>
  <c r="B44" i="194"/>
  <c r="F44" i="194"/>
  <c r="G44" i="194"/>
  <c r="B72" i="194"/>
  <c r="F72" i="194"/>
  <c r="G72" i="194"/>
  <c r="F100" i="194"/>
  <c r="G100" i="194"/>
  <c r="B100" i="194"/>
  <c r="G128" i="194"/>
  <c r="F128" i="194"/>
  <c r="J128" i="194" s="1"/>
  <c r="G156" i="194"/>
  <c r="F156" i="194"/>
  <c r="C91" i="194"/>
  <c r="G145" i="194"/>
  <c r="C128" i="194"/>
  <c r="G89" i="194"/>
  <c r="B128" i="194"/>
  <c r="C156" i="194"/>
  <c r="F11" i="194"/>
  <c r="J11" i="194" s="1"/>
  <c r="G94" i="194"/>
  <c r="G80" i="194"/>
  <c r="G66" i="194"/>
  <c r="G52" i="194"/>
  <c r="G38" i="194"/>
  <c r="G24" i="194"/>
  <c r="G10" i="194"/>
  <c r="B161" i="194"/>
  <c r="B133" i="194"/>
  <c r="B105" i="194"/>
  <c r="B77" i="194"/>
  <c r="B49" i="194"/>
  <c r="B21" i="194"/>
  <c r="F164" i="194"/>
  <c r="J164" i="194" s="1"/>
  <c r="F150" i="194"/>
  <c r="J150" i="194" s="1"/>
  <c r="F136" i="194"/>
  <c r="J136" i="194" s="1"/>
  <c r="F122" i="194"/>
  <c r="F108" i="194"/>
  <c r="F94" i="194"/>
  <c r="F80" i="194"/>
  <c r="F66" i="194"/>
  <c r="F52" i="194"/>
  <c r="F38" i="194"/>
  <c r="F24" i="194"/>
  <c r="F10" i="194"/>
  <c r="C104" i="194"/>
  <c r="C76" i="194"/>
  <c r="C48" i="194"/>
  <c r="C20" i="194"/>
  <c r="G163" i="194"/>
  <c r="G135" i="194"/>
  <c r="G107" i="194"/>
  <c r="G79" i="194"/>
  <c r="G51" i="194"/>
  <c r="G23" i="194"/>
  <c r="B104" i="194"/>
  <c r="B76" i="194"/>
  <c r="B48" i="194"/>
  <c r="B20" i="194"/>
  <c r="F163" i="194"/>
  <c r="F135" i="194"/>
  <c r="F107" i="194"/>
  <c r="F79" i="194"/>
  <c r="F51" i="194"/>
  <c r="F23" i="194"/>
  <c r="G162" i="194"/>
  <c r="G134" i="194"/>
  <c r="G106" i="194"/>
  <c r="G78" i="194"/>
  <c r="G50" i="194"/>
  <c r="G22" i="194"/>
  <c r="F162" i="194"/>
  <c r="J162" i="194" s="1"/>
  <c r="F134" i="194"/>
  <c r="J134" i="194" s="1"/>
  <c r="F106" i="194"/>
  <c r="J106" i="194" s="1"/>
  <c r="F78" i="194"/>
  <c r="J78" i="194" s="1"/>
  <c r="F50" i="194"/>
  <c r="J50" i="194" s="1"/>
  <c r="F22" i="194"/>
  <c r="J22" i="194" s="1"/>
  <c r="C158" i="194"/>
  <c r="C130" i="194"/>
  <c r="C102" i="194"/>
  <c r="C74" i="194"/>
  <c r="C46" i="194"/>
  <c r="C18" i="194"/>
  <c r="G161" i="194"/>
  <c r="G133" i="194"/>
  <c r="G105" i="194"/>
  <c r="G77" i="194"/>
  <c r="G49" i="194"/>
  <c r="G21" i="194"/>
  <c r="B158" i="194"/>
  <c r="B130" i="194"/>
  <c r="B102" i="194"/>
  <c r="B74" i="194"/>
  <c r="B46" i="194"/>
  <c r="B18" i="194"/>
  <c r="G104" i="194"/>
  <c r="G76" i="194"/>
  <c r="G48" i="194"/>
  <c r="G20" i="194"/>
  <c r="C57" i="194"/>
  <c r="C29" i="194"/>
  <c r="G158" i="194"/>
  <c r="G130" i="194"/>
  <c r="G102" i="194"/>
  <c r="G74" i="194"/>
  <c r="G46" i="194"/>
  <c r="G18" i="194"/>
  <c r="C168" i="194"/>
  <c r="C140" i="194"/>
  <c r="C112" i="194"/>
  <c r="C84" i="194"/>
  <c r="C56" i="194"/>
  <c r="C28" i="194"/>
  <c r="G157" i="194"/>
  <c r="G129" i="194"/>
  <c r="G101" i="194"/>
  <c r="G73" i="194"/>
  <c r="G45" i="194"/>
  <c r="G17" i="194"/>
  <c r="G86" i="194"/>
  <c r="G58" i="194"/>
  <c r="G30" i="194"/>
  <c r="C96" i="194"/>
  <c r="C68" i="194"/>
  <c r="C40" i="194"/>
  <c r="C12" i="194"/>
  <c r="C123" i="194"/>
  <c r="C53" i="194"/>
  <c r="C11" i="194"/>
  <c r="G168" i="194"/>
  <c r="G140" i="194"/>
  <c r="G112" i="194"/>
  <c r="G84" i="194"/>
  <c r="G56" i="194"/>
  <c r="C165" i="194"/>
  <c r="C151" i="194"/>
  <c r="C109" i="194"/>
  <c r="C95" i="194"/>
  <c r="C67" i="194"/>
  <c r="C25" i="194"/>
  <c r="C6" i="194"/>
  <c r="B165" i="194"/>
  <c r="B151" i="194"/>
  <c r="B137" i="194"/>
  <c r="B123" i="194"/>
  <c r="B109" i="194"/>
  <c r="B95" i="194"/>
  <c r="B81" i="194"/>
  <c r="B67" i="194"/>
  <c r="B53" i="194"/>
  <c r="B39" i="194"/>
  <c r="B25" i="194"/>
  <c r="B11" i="194"/>
  <c r="F28" i="194"/>
  <c r="J28" i="194" s="1"/>
  <c r="B96" i="194"/>
  <c r="B6" i="194"/>
  <c r="C137" i="194"/>
  <c r="C81" i="194"/>
  <c r="C39" i="194"/>
  <c r="C164" i="194"/>
  <c r="C150" i="194"/>
  <c r="C136" i="194"/>
  <c r="C122" i="194"/>
  <c r="C108" i="194"/>
  <c r="C94" i="194"/>
  <c r="C80" i="194"/>
  <c r="C66" i="194"/>
  <c r="C52" i="194"/>
  <c r="C38" i="194"/>
  <c r="C24" i="194"/>
  <c r="C10" i="194"/>
  <c r="B152" i="194"/>
  <c r="B124" i="194"/>
  <c r="B40" i="194"/>
  <c r="B12" i="194"/>
  <c r="B68" i="194"/>
  <c r="C163" i="194"/>
  <c r="C135" i="194"/>
  <c r="C107" i="194"/>
  <c r="C79" i="194"/>
  <c r="C51" i="194"/>
  <c r="C23" i="194"/>
  <c r="G166" i="194"/>
  <c r="G152" i="194"/>
  <c r="G138" i="194"/>
  <c r="G124" i="194"/>
  <c r="G110" i="194"/>
  <c r="G96" i="194"/>
  <c r="G82" i="194"/>
  <c r="G68" i="194"/>
  <c r="G54" i="194"/>
  <c r="G40" i="194"/>
  <c r="G26" i="194"/>
  <c r="G12" i="194"/>
  <c r="G54" i="158"/>
  <c r="G20" i="158"/>
  <c r="K61" i="158"/>
  <c r="O6" i="158"/>
  <c r="I177" i="158"/>
  <c r="K177" i="158" s="1"/>
  <c r="I176" i="158"/>
  <c r="K176" i="158" s="1"/>
  <c r="H176" i="158"/>
  <c r="G176" i="158"/>
  <c r="I175" i="158"/>
  <c r="K175" i="158" s="1"/>
  <c r="I178" i="158"/>
  <c r="K178" i="158" s="1"/>
  <c r="H178" i="158"/>
  <c r="G178" i="158"/>
  <c r="I179" i="158"/>
  <c r="K179" i="158" s="1"/>
  <c r="H179" i="158"/>
  <c r="G177" i="158"/>
  <c r="G175" i="158"/>
  <c r="G174" i="158"/>
  <c r="H174" i="158"/>
  <c r="F3" i="82"/>
  <c r="A3" i="82"/>
  <c r="B9" i="26"/>
  <c r="A86" i="157" s="1"/>
  <c r="A3" i="111" s="1"/>
  <c r="A173" i="82"/>
  <c r="A174" i="82"/>
  <c r="A175" i="82"/>
  <c r="A176" i="82"/>
  <c r="A177" i="82"/>
  <c r="A159" i="82"/>
  <c r="A160" i="82"/>
  <c r="A161" i="82"/>
  <c r="A162" i="82"/>
  <c r="A163" i="82"/>
  <c r="A164" i="82"/>
  <c r="A165" i="82"/>
  <c r="A166" i="82"/>
  <c r="A167" i="82"/>
  <c r="A168" i="82"/>
  <c r="A169" i="82"/>
  <c r="A170" i="82"/>
  <c r="A171" i="82"/>
  <c r="A172" i="82"/>
  <c r="A152" i="82"/>
  <c r="A153" i="82"/>
  <c r="A154" i="82"/>
  <c r="A155" i="82"/>
  <c r="A156" i="82"/>
  <c r="A157" i="82"/>
  <c r="A158" i="82"/>
  <c r="A141" i="82"/>
  <c r="A142" i="82"/>
  <c r="A143" i="82"/>
  <c r="A144" i="82"/>
  <c r="A145" i="82"/>
  <c r="A146" i="82"/>
  <c r="A147" i="82"/>
  <c r="A148" i="82"/>
  <c r="A149" i="82"/>
  <c r="A150" i="82"/>
  <c r="A151"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7"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6" i="82"/>
  <c r="R156" i="105"/>
  <c r="O156" i="105"/>
  <c r="R9" i="104"/>
  <c r="O9" i="104"/>
  <c r="K13" i="86"/>
  <c r="L19" i="86"/>
  <c r="I19" i="86"/>
  <c r="I8" i="86"/>
  <c r="I9" i="86" s="1"/>
  <c r="I10" i="86" s="1"/>
  <c r="I11" i="86" s="1"/>
  <c r="I12" i="86" s="1"/>
  <c r="I13" i="86" s="1"/>
  <c r="I14" i="86" s="1"/>
  <c r="I15" i="86" s="1"/>
  <c r="J6" i="86"/>
  <c r="P10" i="104"/>
  <c r="P11" i="104"/>
  <c r="P12" i="104"/>
  <c r="P13" i="104"/>
  <c r="P14" i="104"/>
  <c r="P15" i="104"/>
  <c r="P16" i="104"/>
  <c r="P17" i="104"/>
  <c r="P18" i="104"/>
  <c r="P19" i="104"/>
  <c r="P20" i="104"/>
  <c r="P21" i="104"/>
  <c r="P22" i="104"/>
  <c r="P23" i="104"/>
  <c r="P24" i="104"/>
  <c r="P25" i="104"/>
  <c r="P26" i="104"/>
  <c r="P27" i="104"/>
  <c r="P28" i="104"/>
  <c r="P29" i="104"/>
  <c r="P30" i="104"/>
  <c r="P31" i="104"/>
  <c r="P32" i="104"/>
  <c r="P33" i="104"/>
  <c r="P34" i="104"/>
  <c r="P35" i="104"/>
  <c r="P36" i="104"/>
  <c r="P37" i="104"/>
  <c r="P38" i="104"/>
  <c r="P39" i="104"/>
  <c r="P40" i="104"/>
  <c r="P41" i="104"/>
  <c r="P42" i="104"/>
  <c r="P43" i="104"/>
  <c r="P44" i="104"/>
  <c r="P45" i="104"/>
  <c r="P46" i="104"/>
  <c r="P47" i="104"/>
  <c r="P48" i="104"/>
  <c r="P49" i="104"/>
  <c r="P50" i="104"/>
  <c r="P51" i="104"/>
  <c r="P52" i="104"/>
  <c r="P53" i="104"/>
  <c r="P54" i="104"/>
  <c r="P55" i="104"/>
  <c r="P56" i="104"/>
  <c r="P57" i="104"/>
  <c r="P58" i="104"/>
  <c r="P59" i="104"/>
  <c r="P60" i="104"/>
  <c r="B7" i="189"/>
  <c r="C7" i="189"/>
  <c r="D7" i="189"/>
  <c r="E7" i="189"/>
  <c r="B8" i="189"/>
  <c r="C8" i="189"/>
  <c r="D8" i="189"/>
  <c r="E8" i="189"/>
  <c r="B9" i="189"/>
  <c r="C9" i="189"/>
  <c r="D9" i="189"/>
  <c r="E9" i="189"/>
  <c r="B10" i="189"/>
  <c r="C10" i="189"/>
  <c r="D10" i="189"/>
  <c r="E10" i="189"/>
  <c r="B11" i="189"/>
  <c r="C11" i="189"/>
  <c r="D11" i="189"/>
  <c r="E11" i="189"/>
  <c r="B12" i="189"/>
  <c r="C12" i="189"/>
  <c r="D12" i="189"/>
  <c r="E12" i="189"/>
  <c r="B13" i="189"/>
  <c r="C13" i="189"/>
  <c r="D13" i="189"/>
  <c r="E13" i="189"/>
  <c r="B14" i="189"/>
  <c r="C14" i="189"/>
  <c r="D14" i="189"/>
  <c r="E14" i="189"/>
  <c r="B15" i="189"/>
  <c r="C15" i="189"/>
  <c r="D15" i="189"/>
  <c r="E15" i="189"/>
  <c r="B16" i="189"/>
  <c r="C16" i="189"/>
  <c r="D16" i="189"/>
  <c r="E16" i="189"/>
  <c r="B17" i="189"/>
  <c r="C17" i="189"/>
  <c r="D17" i="189"/>
  <c r="E17" i="189"/>
  <c r="B18" i="189"/>
  <c r="C18" i="189"/>
  <c r="D18" i="189"/>
  <c r="E18" i="189"/>
  <c r="B19" i="189"/>
  <c r="C19" i="189"/>
  <c r="D19" i="189"/>
  <c r="E19" i="189"/>
  <c r="B20" i="189"/>
  <c r="C20" i="189"/>
  <c r="D20" i="189"/>
  <c r="E20" i="189"/>
  <c r="B21" i="189"/>
  <c r="C21" i="189"/>
  <c r="D21" i="189"/>
  <c r="E21" i="189"/>
  <c r="B22" i="189"/>
  <c r="C22" i="189"/>
  <c r="D22" i="189"/>
  <c r="E22" i="189"/>
  <c r="B23" i="189"/>
  <c r="C23" i="189"/>
  <c r="D23" i="189"/>
  <c r="E23" i="189"/>
  <c r="B24" i="189"/>
  <c r="C24" i="189"/>
  <c r="D24" i="189"/>
  <c r="E24" i="189"/>
  <c r="B25" i="189"/>
  <c r="C25" i="189"/>
  <c r="D25" i="189"/>
  <c r="E25" i="189"/>
  <c r="B26" i="189"/>
  <c r="C26" i="189"/>
  <c r="D26" i="189"/>
  <c r="E26" i="189"/>
  <c r="B27" i="189"/>
  <c r="C27" i="189"/>
  <c r="D27" i="189"/>
  <c r="E27" i="189"/>
  <c r="B28" i="189"/>
  <c r="C28" i="189"/>
  <c r="D28" i="189"/>
  <c r="E28" i="189"/>
  <c r="B29" i="189"/>
  <c r="C29" i="189"/>
  <c r="D29" i="189"/>
  <c r="E29" i="189"/>
  <c r="B30" i="189"/>
  <c r="C30" i="189"/>
  <c r="D30" i="189"/>
  <c r="E30" i="189"/>
  <c r="B31" i="189"/>
  <c r="C31" i="189"/>
  <c r="D31" i="189"/>
  <c r="E31" i="189"/>
  <c r="B32" i="189"/>
  <c r="C32" i="189"/>
  <c r="D32" i="189"/>
  <c r="E32" i="189"/>
  <c r="B33" i="189"/>
  <c r="C33" i="189"/>
  <c r="D33" i="189"/>
  <c r="E33" i="189"/>
  <c r="B34" i="189"/>
  <c r="C34" i="189"/>
  <c r="D34" i="189"/>
  <c r="E34" i="189"/>
  <c r="B35" i="189"/>
  <c r="C35" i="189"/>
  <c r="D35" i="189"/>
  <c r="E35" i="189"/>
  <c r="B36" i="189"/>
  <c r="C36" i="189"/>
  <c r="D36" i="189"/>
  <c r="E36" i="189"/>
  <c r="B37" i="189"/>
  <c r="C37" i="189"/>
  <c r="D37" i="189"/>
  <c r="E37" i="189"/>
  <c r="B38" i="189"/>
  <c r="C38" i="189"/>
  <c r="D38" i="189"/>
  <c r="E38" i="189"/>
  <c r="B39" i="189"/>
  <c r="C39" i="189"/>
  <c r="D39" i="189"/>
  <c r="E39" i="189"/>
  <c r="B40" i="189"/>
  <c r="C40" i="189"/>
  <c r="D40" i="189"/>
  <c r="E40" i="189"/>
  <c r="B41" i="189"/>
  <c r="C41" i="189"/>
  <c r="D41" i="189"/>
  <c r="E41" i="189"/>
  <c r="B42" i="189"/>
  <c r="C42" i="189"/>
  <c r="D42" i="189"/>
  <c r="E42" i="189"/>
  <c r="B43" i="189"/>
  <c r="C43" i="189"/>
  <c r="D43" i="189"/>
  <c r="E43" i="189"/>
  <c r="B44" i="189"/>
  <c r="C44" i="189"/>
  <c r="D44" i="189"/>
  <c r="E44" i="189"/>
  <c r="B45" i="189"/>
  <c r="C45" i="189"/>
  <c r="D45" i="189"/>
  <c r="E45" i="189"/>
  <c r="B46" i="189"/>
  <c r="C46" i="189"/>
  <c r="D46" i="189"/>
  <c r="E46" i="189"/>
  <c r="B47" i="189"/>
  <c r="C47" i="189"/>
  <c r="D47" i="189"/>
  <c r="E47" i="189"/>
  <c r="B48" i="189"/>
  <c r="C48" i="189"/>
  <c r="D48" i="189"/>
  <c r="E48" i="189"/>
  <c r="B49" i="189"/>
  <c r="C49" i="189"/>
  <c r="D49" i="189"/>
  <c r="E49" i="189"/>
  <c r="B50" i="189"/>
  <c r="C50" i="189"/>
  <c r="D50" i="189"/>
  <c r="E50" i="189"/>
  <c r="B51" i="189"/>
  <c r="C51" i="189"/>
  <c r="D51" i="189"/>
  <c r="E51" i="189"/>
  <c r="B52" i="189"/>
  <c r="C52" i="189"/>
  <c r="D52" i="189"/>
  <c r="E52" i="189"/>
  <c r="B53" i="189"/>
  <c r="C53" i="189"/>
  <c r="D53" i="189"/>
  <c r="E53" i="189"/>
  <c r="B54" i="189"/>
  <c r="C54" i="189"/>
  <c r="D54" i="189"/>
  <c r="E54" i="189"/>
  <c r="B55" i="189"/>
  <c r="C55" i="189"/>
  <c r="D55" i="189"/>
  <c r="E55" i="189"/>
  <c r="B56" i="189"/>
  <c r="C56" i="189"/>
  <c r="D56" i="189"/>
  <c r="E56" i="189"/>
  <c r="B57" i="189"/>
  <c r="C57" i="189"/>
  <c r="D57" i="189"/>
  <c r="E57" i="189"/>
  <c r="B58" i="189"/>
  <c r="C58" i="189"/>
  <c r="D58" i="189"/>
  <c r="E58" i="189"/>
  <c r="B59" i="189"/>
  <c r="C59" i="189"/>
  <c r="D59" i="189"/>
  <c r="E59" i="189"/>
  <c r="B60" i="189"/>
  <c r="C60" i="189"/>
  <c r="D60" i="189"/>
  <c r="E60" i="189"/>
  <c r="B61" i="189"/>
  <c r="C61" i="189"/>
  <c r="D61" i="189"/>
  <c r="E61" i="189"/>
  <c r="B62" i="189"/>
  <c r="C62" i="189"/>
  <c r="D62" i="189"/>
  <c r="E62" i="189"/>
  <c r="B63" i="189"/>
  <c r="C63" i="189"/>
  <c r="D63" i="189"/>
  <c r="E63" i="189"/>
  <c r="B64" i="189"/>
  <c r="C64" i="189"/>
  <c r="D64" i="189"/>
  <c r="E64" i="189"/>
  <c r="B65" i="189"/>
  <c r="C65" i="189"/>
  <c r="D65" i="189"/>
  <c r="E65" i="189"/>
  <c r="B66" i="189"/>
  <c r="C66" i="189"/>
  <c r="D66" i="189"/>
  <c r="E66" i="189"/>
  <c r="B67" i="189"/>
  <c r="C67" i="189"/>
  <c r="D67" i="189"/>
  <c r="E67" i="189"/>
  <c r="B68" i="189"/>
  <c r="C68" i="189"/>
  <c r="D68" i="189"/>
  <c r="E68" i="189"/>
  <c r="B69" i="189"/>
  <c r="C69" i="189"/>
  <c r="D69" i="189"/>
  <c r="E69" i="189"/>
  <c r="B70" i="189"/>
  <c r="C70" i="189"/>
  <c r="D70" i="189"/>
  <c r="E70" i="189"/>
  <c r="B71" i="189"/>
  <c r="C71" i="189"/>
  <c r="D71" i="189"/>
  <c r="E71" i="189"/>
  <c r="B72" i="189"/>
  <c r="C72" i="189"/>
  <c r="D72" i="189"/>
  <c r="E72" i="189"/>
  <c r="B73" i="189"/>
  <c r="C73" i="189"/>
  <c r="D73" i="189"/>
  <c r="E73" i="189"/>
  <c r="B74" i="189"/>
  <c r="C74" i="189"/>
  <c r="D74" i="189"/>
  <c r="E74" i="189"/>
  <c r="B75" i="189"/>
  <c r="C75" i="189"/>
  <c r="D75" i="189"/>
  <c r="E75" i="189"/>
  <c r="B76" i="189"/>
  <c r="C76" i="189"/>
  <c r="D76" i="189"/>
  <c r="E76" i="189"/>
  <c r="B77" i="189"/>
  <c r="C77" i="189"/>
  <c r="D77" i="189"/>
  <c r="E77" i="189"/>
  <c r="B78" i="189"/>
  <c r="C78" i="189"/>
  <c r="D78" i="189"/>
  <c r="E78" i="189"/>
  <c r="B79" i="189"/>
  <c r="C79" i="189"/>
  <c r="D79" i="189"/>
  <c r="E79" i="189"/>
  <c r="B80" i="189"/>
  <c r="C80" i="189"/>
  <c r="D80" i="189"/>
  <c r="E80" i="189"/>
  <c r="B81" i="189"/>
  <c r="C81" i="189"/>
  <c r="D81" i="189"/>
  <c r="E81" i="189"/>
  <c r="B82" i="189"/>
  <c r="C82" i="189"/>
  <c r="D82" i="189"/>
  <c r="E82" i="189"/>
  <c r="B83" i="189"/>
  <c r="C83" i="189"/>
  <c r="D83" i="189"/>
  <c r="E83" i="189"/>
  <c r="B84" i="189"/>
  <c r="C84" i="189"/>
  <c r="D84" i="189"/>
  <c r="E84" i="189"/>
  <c r="B85" i="189"/>
  <c r="C85" i="189"/>
  <c r="D85" i="189"/>
  <c r="E85" i="189"/>
  <c r="B86" i="189"/>
  <c r="C86" i="189"/>
  <c r="D86" i="189"/>
  <c r="E86" i="189"/>
  <c r="B87" i="189"/>
  <c r="C87" i="189"/>
  <c r="D87" i="189"/>
  <c r="E87" i="189"/>
  <c r="B88" i="189"/>
  <c r="C88" i="189"/>
  <c r="D88" i="189"/>
  <c r="E88" i="189"/>
  <c r="B89" i="189"/>
  <c r="C89" i="189"/>
  <c r="D89" i="189"/>
  <c r="E89" i="189"/>
  <c r="B90" i="189"/>
  <c r="C90" i="189"/>
  <c r="D90" i="189"/>
  <c r="E90" i="189"/>
  <c r="B91" i="189"/>
  <c r="C91" i="189"/>
  <c r="D91" i="189"/>
  <c r="E91" i="189"/>
  <c r="B92" i="189"/>
  <c r="C92" i="189"/>
  <c r="D92" i="189"/>
  <c r="E92" i="189"/>
  <c r="B93" i="189"/>
  <c r="C93" i="189"/>
  <c r="D93" i="189"/>
  <c r="E93" i="189"/>
  <c r="E6" i="189"/>
  <c r="C6" i="189"/>
  <c r="A92" i="189"/>
  <c r="A93" i="189"/>
  <c r="A88" i="189"/>
  <c r="A89" i="189"/>
  <c r="A90" i="189"/>
  <c r="A91" i="189"/>
  <c r="A7" i="189"/>
  <c r="A8" i="189"/>
  <c r="A9" i="189"/>
  <c r="A10" i="189"/>
  <c r="A11" i="189"/>
  <c r="A12" i="189"/>
  <c r="A13" i="189"/>
  <c r="A14" i="189"/>
  <c r="A15" i="189"/>
  <c r="A16" i="189"/>
  <c r="A17" i="189"/>
  <c r="A18" i="189"/>
  <c r="A19" i="189"/>
  <c r="A20" i="189"/>
  <c r="A21" i="189"/>
  <c r="A22" i="189"/>
  <c r="A23" i="189"/>
  <c r="A24" i="189"/>
  <c r="A25" i="189"/>
  <c r="A26" i="189"/>
  <c r="A27" i="189"/>
  <c r="A28" i="189"/>
  <c r="A29" i="189"/>
  <c r="A30" i="189"/>
  <c r="A31" i="189"/>
  <c r="A32" i="189"/>
  <c r="A33" i="189"/>
  <c r="A34" i="189"/>
  <c r="A35" i="189"/>
  <c r="A36" i="189"/>
  <c r="A37" i="189"/>
  <c r="A38" i="189"/>
  <c r="A39" i="189"/>
  <c r="A40" i="189"/>
  <c r="A41" i="189"/>
  <c r="A42" i="189"/>
  <c r="A43" i="189"/>
  <c r="A44" i="189"/>
  <c r="A45" i="189"/>
  <c r="A46" i="189"/>
  <c r="A47" i="189"/>
  <c r="A48" i="189"/>
  <c r="A49" i="189"/>
  <c r="A50" i="189"/>
  <c r="A51" i="189"/>
  <c r="A52" i="189"/>
  <c r="A53" i="189"/>
  <c r="A54" i="189"/>
  <c r="A55" i="189"/>
  <c r="A56" i="189"/>
  <c r="A57" i="189"/>
  <c r="A58" i="189"/>
  <c r="A59" i="189"/>
  <c r="A60" i="189"/>
  <c r="A61" i="189"/>
  <c r="A62" i="189"/>
  <c r="A63" i="189"/>
  <c r="A64" i="189"/>
  <c r="A65" i="189"/>
  <c r="A66" i="189"/>
  <c r="A67" i="189"/>
  <c r="A68" i="189"/>
  <c r="A69" i="189"/>
  <c r="A70" i="189"/>
  <c r="A71" i="189"/>
  <c r="A72" i="189"/>
  <c r="A73" i="189"/>
  <c r="A74" i="189"/>
  <c r="A75" i="189"/>
  <c r="A76" i="189"/>
  <c r="A77" i="189"/>
  <c r="A78" i="189"/>
  <c r="A79" i="189"/>
  <c r="A80" i="189"/>
  <c r="A81" i="189"/>
  <c r="A82" i="189"/>
  <c r="A83" i="189"/>
  <c r="A84" i="189"/>
  <c r="A85" i="189"/>
  <c r="A86" i="189"/>
  <c r="A87" i="189"/>
  <c r="G52" i="190"/>
  <c r="F52" i="190"/>
  <c r="G53" i="190"/>
  <c r="F53" i="190"/>
  <c r="D53" i="190"/>
  <c r="C53" i="190"/>
  <c r="D52" i="190"/>
  <c r="C52" i="190"/>
  <c r="D51" i="190"/>
  <c r="C51" i="190"/>
  <c r="G51" i="190"/>
  <c r="F51" i="190"/>
  <c r="A42" i="190"/>
  <c r="B42" i="190"/>
  <c r="A6" i="190"/>
  <c r="B6" i="190"/>
  <c r="A7" i="190"/>
  <c r="B7" i="190"/>
  <c r="A8" i="190"/>
  <c r="B8" i="190"/>
  <c r="A9" i="190"/>
  <c r="B9" i="190"/>
  <c r="A10" i="190"/>
  <c r="B10" i="190"/>
  <c r="A11" i="190"/>
  <c r="B11" i="190"/>
  <c r="A12" i="190"/>
  <c r="B12" i="190"/>
  <c r="A13" i="190"/>
  <c r="B13" i="190"/>
  <c r="A14" i="190"/>
  <c r="B14" i="190"/>
  <c r="A15" i="190"/>
  <c r="B15" i="190"/>
  <c r="A16" i="190"/>
  <c r="B16" i="190"/>
  <c r="A17" i="190"/>
  <c r="B17" i="190"/>
  <c r="A18" i="190"/>
  <c r="B18" i="190"/>
  <c r="A19" i="190"/>
  <c r="B19" i="190"/>
  <c r="A20" i="190"/>
  <c r="B20" i="190"/>
  <c r="A21" i="190"/>
  <c r="B21" i="190"/>
  <c r="A22" i="190"/>
  <c r="B22" i="190"/>
  <c r="A23" i="190"/>
  <c r="B23" i="190"/>
  <c r="A24" i="190"/>
  <c r="B24" i="190"/>
  <c r="A25" i="190"/>
  <c r="B25" i="190"/>
  <c r="A26" i="190"/>
  <c r="B26" i="190"/>
  <c r="A27" i="190"/>
  <c r="B27" i="190"/>
  <c r="A28" i="190"/>
  <c r="B28" i="190"/>
  <c r="A29" i="190"/>
  <c r="B29" i="190"/>
  <c r="A30" i="190"/>
  <c r="B30" i="190"/>
  <c r="A31" i="190"/>
  <c r="B31" i="190"/>
  <c r="A32" i="190"/>
  <c r="B32" i="190"/>
  <c r="A33" i="190"/>
  <c r="B33" i="190"/>
  <c r="A34" i="190"/>
  <c r="B34" i="190"/>
  <c r="A35" i="190"/>
  <c r="B35" i="190"/>
  <c r="A36" i="190"/>
  <c r="B36" i="190"/>
  <c r="A37" i="190"/>
  <c r="B37" i="190"/>
  <c r="A38" i="190"/>
  <c r="B38" i="190"/>
  <c r="A39" i="190"/>
  <c r="B39" i="190"/>
  <c r="A40" i="190"/>
  <c r="B40" i="190"/>
  <c r="A41" i="190"/>
  <c r="B41" i="190"/>
  <c r="L33" i="95"/>
  <c r="I33" i="95"/>
  <c r="L30" i="95"/>
  <c r="I30" i="95"/>
  <c r="C107" i="198" l="1"/>
  <c r="B107" i="198"/>
  <c r="B97" i="198"/>
  <c r="B185" i="198"/>
  <c r="C185" i="198"/>
  <c r="C97" i="198"/>
  <c r="J167" i="194"/>
  <c r="J32" i="194"/>
  <c r="J157" i="194"/>
  <c r="J67" i="194"/>
  <c r="J116" i="194"/>
  <c r="J171" i="194"/>
  <c r="J165" i="194"/>
  <c r="J23" i="194"/>
  <c r="J122" i="194"/>
  <c r="J174" i="194"/>
  <c r="J53" i="194"/>
  <c r="J156" i="194"/>
  <c r="BD6" i="198"/>
  <c r="BD5" i="198"/>
  <c r="C29" i="190"/>
  <c r="J137" i="194"/>
  <c r="J115" i="194"/>
  <c r="J114" i="194"/>
  <c r="J139" i="194"/>
  <c r="J141" i="194"/>
  <c r="J170" i="194"/>
  <c r="J43" i="194"/>
  <c r="J148" i="194"/>
  <c r="J91" i="194"/>
  <c r="J33" i="194"/>
  <c r="J63" i="194"/>
  <c r="J37" i="194"/>
  <c r="J101" i="194"/>
  <c r="J172" i="194"/>
  <c r="J16" i="194"/>
  <c r="J154" i="194"/>
  <c r="J125" i="194"/>
  <c r="J9" i="194"/>
  <c r="J109" i="194"/>
  <c r="J177" i="194"/>
  <c r="J173" i="194"/>
  <c r="J98" i="194"/>
  <c r="J8" i="194"/>
  <c r="J149" i="194"/>
  <c r="J10" i="194"/>
  <c r="J88" i="194"/>
  <c r="J47" i="194"/>
  <c r="J117" i="194"/>
  <c r="J108" i="194"/>
  <c r="J34" i="194"/>
  <c r="J131" i="194"/>
  <c r="J152" i="194"/>
  <c r="J161" i="194"/>
  <c r="J74" i="194"/>
  <c r="J158" i="194"/>
  <c r="J124" i="194"/>
  <c r="J133" i="194"/>
  <c r="J45" i="194"/>
  <c r="J145" i="194"/>
  <c r="J84" i="194"/>
  <c r="J130" i="194"/>
  <c r="J96" i="194"/>
  <c r="J105" i="194"/>
  <c r="J56" i="194"/>
  <c r="J85" i="194"/>
  <c r="J68" i="194"/>
  <c r="J104" i="194"/>
  <c r="J12" i="194"/>
  <c r="J151" i="194"/>
  <c r="J166" i="194"/>
  <c r="J17" i="194"/>
  <c r="J138" i="194"/>
  <c r="J87" i="194"/>
  <c r="J77" i="194"/>
  <c r="J49" i="194"/>
  <c r="J40" i="194"/>
  <c r="J110" i="194"/>
  <c r="J21" i="194"/>
  <c r="J123" i="194"/>
  <c r="J159" i="194"/>
  <c r="J18" i="194"/>
  <c r="J14" i="194"/>
  <c r="J65" i="194"/>
  <c r="J168" i="194"/>
  <c r="J129" i="194"/>
  <c r="J140" i="194"/>
  <c r="J6" i="194"/>
  <c r="J76" i="194"/>
  <c r="J48" i="194"/>
  <c r="J112" i="194"/>
  <c r="J95" i="194"/>
  <c r="J20" i="194"/>
  <c r="J82" i="194"/>
  <c r="J64" i="194"/>
  <c r="J7" i="194"/>
  <c r="J144" i="194"/>
  <c r="J97" i="194"/>
  <c r="J155" i="194"/>
  <c r="J126" i="194"/>
  <c r="J36" i="194"/>
  <c r="J127" i="194"/>
  <c r="J69" i="194"/>
  <c r="J24" i="194"/>
  <c r="J38" i="194"/>
  <c r="J52" i="194"/>
  <c r="J99" i="194"/>
  <c r="J70" i="194"/>
  <c r="J41" i="194"/>
  <c r="J175" i="194"/>
  <c r="J121" i="194"/>
  <c r="J102" i="194"/>
  <c r="J66" i="194"/>
  <c r="J80" i="194"/>
  <c r="J60" i="194"/>
  <c r="J94" i="194"/>
  <c r="J13" i="194"/>
  <c r="J147" i="194"/>
  <c r="J89" i="194"/>
  <c r="J71" i="194"/>
  <c r="J42" i="194"/>
  <c r="J51" i="194"/>
  <c r="J176" i="194"/>
  <c r="J119" i="194"/>
  <c r="J79" i="194"/>
  <c r="J100" i="194"/>
  <c r="J107" i="194"/>
  <c r="J135" i="194"/>
  <c r="J72" i="194"/>
  <c r="J163" i="194"/>
  <c r="J44" i="194"/>
  <c r="J15" i="194"/>
  <c r="J153" i="194"/>
  <c r="J120" i="194"/>
  <c r="J92" i="194"/>
  <c r="J35" i="194"/>
  <c r="J113" i="194"/>
  <c r="J118" i="194"/>
  <c r="J142" i="194"/>
  <c r="J90" i="194"/>
  <c r="J54" i="194"/>
  <c r="J19" i="194"/>
  <c r="J146" i="194"/>
  <c r="J86" i="194"/>
  <c r="J26" i="194"/>
  <c r="J46" i="194"/>
  <c r="J58" i="194"/>
  <c r="J73" i="194"/>
  <c r="J103" i="194"/>
  <c r="J30" i="194"/>
  <c r="J160" i="194"/>
  <c r="J143" i="194"/>
  <c r="J62" i="194"/>
  <c r="J75" i="194"/>
  <c r="H93" i="194"/>
  <c r="J93" i="194" s="1"/>
  <c r="P6" i="158"/>
  <c r="D36" i="190"/>
  <c r="D42" i="190"/>
  <c r="F32" i="190"/>
  <c r="F36" i="190"/>
  <c r="G36" i="190"/>
  <c r="C36" i="190"/>
  <c r="G42" i="190"/>
  <c r="C42" i="190"/>
  <c r="F42" i="190"/>
  <c r="C32" i="190"/>
  <c r="D32" i="190"/>
  <c r="G29" i="190"/>
  <c r="F29" i="190"/>
  <c r="G32" i="190"/>
  <c r="D29" i="190"/>
  <c r="A9" i="150"/>
  <c r="A10" i="150"/>
  <c r="A11" i="150"/>
  <c r="A12" i="150"/>
  <c r="A13" i="150"/>
  <c r="A14" i="150"/>
  <c r="A15" i="150"/>
  <c r="A16" i="150"/>
  <c r="A17" i="150"/>
  <c r="A18" i="150"/>
  <c r="A19" i="150"/>
  <c r="A20" i="150"/>
  <c r="A21" i="150"/>
  <c r="A22" i="150"/>
  <c r="A23" i="150"/>
  <c r="A24" i="150"/>
  <c r="A25" i="150"/>
  <c r="A26" i="150"/>
  <c r="A27" i="150"/>
  <c r="A28" i="150"/>
  <c r="A29" i="150"/>
  <c r="A30" i="150"/>
  <c r="A31" i="150"/>
  <c r="A32" i="150"/>
  <c r="A33" i="150"/>
  <c r="A34" i="150"/>
  <c r="A35" i="150"/>
  <c r="A36" i="150"/>
  <c r="A37" i="150"/>
  <c r="A38" i="150"/>
  <c r="A39" i="150"/>
  <c r="A40" i="150"/>
  <c r="A41" i="150"/>
  <c r="A42" i="150"/>
  <c r="A43" i="150"/>
  <c r="A44" i="150"/>
  <c r="A45" i="150"/>
  <c r="A46" i="150"/>
  <c r="A47" i="150"/>
  <c r="A48" i="150"/>
  <c r="A49" i="150"/>
  <c r="A50" i="150"/>
  <c r="A51" i="150"/>
  <c r="A52" i="150"/>
  <c r="A53" i="150"/>
  <c r="A54" i="150"/>
  <c r="A55" i="150"/>
  <c r="A56" i="150"/>
  <c r="A57" i="150"/>
  <c r="A58" i="150"/>
  <c r="A59" i="150"/>
  <c r="A60" i="150"/>
  <c r="A61" i="150"/>
  <c r="A62" i="150"/>
  <c r="A63" i="150"/>
  <c r="A64" i="150"/>
  <c r="A65" i="150"/>
  <c r="A66" i="150"/>
  <c r="A67" i="150"/>
  <c r="A68" i="150"/>
  <c r="A69" i="150"/>
  <c r="A70" i="150"/>
  <c r="A71" i="150"/>
  <c r="A72" i="150"/>
  <c r="A73" i="150"/>
  <c r="A74" i="150"/>
  <c r="A75" i="150"/>
  <c r="A76" i="150"/>
  <c r="A77" i="150"/>
  <c r="A78" i="150"/>
  <c r="A79" i="150"/>
  <c r="A80" i="150"/>
  <c r="A81" i="150"/>
  <c r="A82" i="150"/>
  <c r="A83" i="150"/>
  <c r="A84" i="150"/>
  <c r="A85" i="150"/>
  <c r="A86" i="150"/>
  <c r="A87" i="150"/>
  <c r="A88" i="150"/>
  <c r="A89" i="150"/>
  <c r="A90" i="150"/>
  <c r="A91" i="150"/>
  <c r="A92" i="150"/>
  <c r="A93" i="150"/>
  <c r="A94" i="150"/>
  <c r="A95" i="150"/>
  <c r="A96" i="150"/>
  <c r="A97" i="150"/>
  <c r="A98" i="150"/>
  <c r="A99" i="150"/>
  <c r="A100" i="150"/>
  <c r="A101" i="150"/>
  <c r="A102" i="150"/>
  <c r="A103" i="150"/>
  <c r="A104" i="150"/>
  <c r="A105" i="150"/>
  <c r="A106" i="150"/>
  <c r="A107" i="150"/>
  <c r="A108" i="150"/>
  <c r="A109" i="150"/>
  <c r="A110" i="150"/>
  <c r="A111" i="150"/>
  <c r="A112" i="150"/>
  <c r="A113" i="150"/>
  <c r="A114" i="150"/>
  <c r="A115" i="150"/>
  <c r="A116" i="150"/>
  <c r="A117" i="150"/>
  <c r="A118" i="150"/>
  <c r="A119" i="150"/>
  <c r="A120" i="150"/>
  <c r="A121" i="150"/>
  <c r="A122" i="150"/>
  <c r="A123" i="150"/>
  <c r="A124" i="150"/>
  <c r="A125" i="150"/>
  <c r="A126" i="150"/>
  <c r="A127" i="150"/>
  <c r="A128" i="150"/>
  <c r="A129" i="150"/>
  <c r="A130" i="150"/>
  <c r="A131" i="150"/>
  <c r="A132" i="150"/>
  <c r="A133" i="150"/>
  <c r="A134" i="150"/>
  <c r="A135" i="150"/>
  <c r="A136" i="150"/>
  <c r="A137" i="150"/>
  <c r="A138" i="150"/>
  <c r="A139" i="150"/>
  <c r="A140" i="150"/>
  <c r="A141" i="150"/>
  <c r="A142" i="150"/>
  <c r="A143" i="150"/>
  <c r="A144" i="150"/>
  <c r="A145" i="150"/>
  <c r="A146" i="150"/>
  <c r="A147" i="150"/>
  <c r="A148" i="150"/>
  <c r="A149" i="150"/>
  <c r="A150" i="150"/>
  <c r="A151" i="150"/>
  <c r="A152" i="150"/>
  <c r="A153" i="150"/>
  <c r="A154" i="150"/>
  <c r="A155" i="150"/>
  <c r="A156" i="150"/>
  <c r="A157" i="150"/>
  <c r="A158" i="150"/>
  <c r="A159" i="150"/>
  <c r="A160" i="150"/>
  <c r="A161" i="150"/>
  <c r="A162" i="150"/>
  <c r="A163" i="150"/>
  <c r="A164" i="150"/>
  <c r="A165" i="150"/>
  <c r="A166" i="150"/>
  <c r="A167" i="150"/>
  <c r="A168" i="150"/>
  <c r="A169" i="150"/>
  <c r="A170" i="150"/>
  <c r="A171" i="150"/>
  <c r="A172" i="150"/>
  <c r="A173" i="150"/>
  <c r="A174" i="150"/>
  <c r="A175" i="150"/>
  <c r="A176" i="150"/>
  <c r="A177" i="150"/>
  <c r="A178" i="150"/>
  <c r="A179" i="150"/>
  <c r="J40" i="95"/>
  <c r="J41" i="95"/>
  <c r="J42" i="95"/>
  <c r="J43" i="95"/>
  <c r="J44" i="95"/>
  <c r="J45" i="95"/>
  <c r="J46" i="95"/>
  <c r="J37" i="95"/>
  <c r="J38" i="95"/>
  <c r="J39" i="95"/>
  <c r="I14" i="95"/>
  <c r="I15" i="95" s="1"/>
  <c r="I16" i="95" s="1"/>
  <c r="I17" i="95" s="1"/>
  <c r="I18" i="95" s="1"/>
  <c r="I19" i="95" s="1"/>
  <c r="I20" i="95" s="1"/>
  <c r="I21" i="95" s="1"/>
  <c r="E80" i="39"/>
  <c r="D80" i="39"/>
  <c r="M6" i="95"/>
  <c r="M7" i="95" s="1"/>
  <c r="A179" i="105"/>
  <c r="A180" i="105"/>
  <c r="A173" i="105"/>
  <c r="A174" i="105"/>
  <c r="A175" i="105"/>
  <c r="A176" i="105"/>
  <c r="A177" i="105"/>
  <c r="A178" i="105"/>
  <c r="A8" i="105"/>
  <c r="A9" i="105"/>
  <c r="A10" i="105"/>
  <c r="A11" i="105"/>
  <c r="A12" i="105"/>
  <c r="A13" i="105"/>
  <c r="A14" i="105"/>
  <c r="A15" i="105"/>
  <c r="A16" i="105"/>
  <c r="A17" i="105"/>
  <c r="A18" i="105"/>
  <c r="A19" i="105"/>
  <c r="A20" i="105"/>
  <c r="A21" i="105"/>
  <c r="A22" i="105"/>
  <c r="A23" i="105"/>
  <c r="A24" i="105"/>
  <c r="A25" i="105"/>
  <c r="A26" i="105"/>
  <c r="A27" i="105"/>
  <c r="A28" i="105"/>
  <c r="A29" i="105"/>
  <c r="A30" i="105"/>
  <c r="A31" i="105"/>
  <c r="A32" i="105"/>
  <c r="A33" i="105"/>
  <c r="A34" i="105"/>
  <c r="A35" i="105"/>
  <c r="A36" i="105"/>
  <c r="A37" i="105"/>
  <c r="A38" i="105"/>
  <c r="A39" i="105"/>
  <c r="A40" i="105"/>
  <c r="A41" i="105"/>
  <c r="A42" i="105"/>
  <c r="A43" i="105"/>
  <c r="A44" i="105"/>
  <c r="A45" i="105"/>
  <c r="A46" i="105"/>
  <c r="A47" i="105"/>
  <c r="A48" i="105"/>
  <c r="A49" i="105"/>
  <c r="A50" i="105"/>
  <c r="A51" i="105"/>
  <c r="A52" i="105"/>
  <c r="A53" i="105"/>
  <c r="A54" i="105"/>
  <c r="A55" i="105"/>
  <c r="A56" i="105"/>
  <c r="A57" i="105"/>
  <c r="A58" i="105"/>
  <c r="A59" i="105"/>
  <c r="A60" i="105"/>
  <c r="A61" i="105"/>
  <c r="A62" i="105"/>
  <c r="A63" i="105"/>
  <c r="A64" i="105"/>
  <c r="A65" i="105"/>
  <c r="A66" i="105"/>
  <c r="A67" i="105"/>
  <c r="A68" i="105"/>
  <c r="A69" i="105"/>
  <c r="A70" i="105"/>
  <c r="A71" i="105"/>
  <c r="A72" i="105"/>
  <c r="A73" i="105"/>
  <c r="A74" i="105"/>
  <c r="A75" i="105"/>
  <c r="A76" i="105"/>
  <c r="A77" i="105"/>
  <c r="A78" i="105"/>
  <c r="A79" i="105"/>
  <c r="A80" i="105"/>
  <c r="A81" i="105"/>
  <c r="A82" i="105"/>
  <c r="A83" i="105"/>
  <c r="A84" i="105"/>
  <c r="A85" i="105"/>
  <c r="A86" i="105"/>
  <c r="A87" i="105"/>
  <c r="A88" i="105"/>
  <c r="A89" i="105"/>
  <c r="A90" i="105"/>
  <c r="A91" i="105"/>
  <c r="A92" i="105"/>
  <c r="A93" i="105"/>
  <c r="A94" i="105"/>
  <c r="A95" i="105"/>
  <c r="A96" i="105"/>
  <c r="A97" i="105"/>
  <c r="A98" i="105"/>
  <c r="A99" i="105"/>
  <c r="A100" i="105"/>
  <c r="A101" i="105"/>
  <c r="A102" i="105"/>
  <c r="A103" i="105"/>
  <c r="A104" i="105"/>
  <c r="A105" i="105"/>
  <c r="A106" i="105"/>
  <c r="A107" i="105"/>
  <c r="A108" i="105"/>
  <c r="A109" i="105"/>
  <c r="A110" i="105"/>
  <c r="A111" i="105"/>
  <c r="A112" i="105"/>
  <c r="A113" i="105"/>
  <c r="A114" i="105"/>
  <c r="A115" i="105"/>
  <c r="A116" i="105"/>
  <c r="A117" i="105"/>
  <c r="A118" i="105"/>
  <c r="A119" i="105"/>
  <c r="A120" i="105"/>
  <c r="A121" i="105"/>
  <c r="A122" i="105"/>
  <c r="A123" i="105"/>
  <c r="A124" i="105"/>
  <c r="A125" i="105"/>
  <c r="A126" i="105"/>
  <c r="A127" i="105"/>
  <c r="A128" i="105"/>
  <c r="A129" i="105"/>
  <c r="A130" i="105"/>
  <c r="A131" i="105"/>
  <c r="A132" i="105"/>
  <c r="A133" i="105"/>
  <c r="A134" i="105"/>
  <c r="A135" i="105"/>
  <c r="A136" i="105"/>
  <c r="A137" i="105"/>
  <c r="A138" i="105"/>
  <c r="A139" i="105"/>
  <c r="A140" i="105"/>
  <c r="A141" i="105"/>
  <c r="A142" i="105"/>
  <c r="A143" i="105"/>
  <c r="A144" i="105"/>
  <c r="A145" i="105"/>
  <c r="A146" i="105"/>
  <c r="A147" i="105"/>
  <c r="A148" i="105"/>
  <c r="A149" i="105"/>
  <c r="A150" i="105"/>
  <c r="A151" i="105"/>
  <c r="A152" i="105"/>
  <c r="A153" i="105"/>
  <c r="A154" i="105"/>
  <c r="A155" i="105"/>
  <c r="A156" i="105"/>
  <c r="A157" i="105"/>
  <c r="A158" i="105"/>
  <c r="A159" i="105"/>
  <c r="A160" i="105"/>
  <c r="A161" i="105"/>
  <c r="A162" i="105"/>
  <c r="A163" i="105"/>
  <c r="A164" i="105"/>
  <c r="A165" i="105"/>
  <c r="A166" i="105"/>
  <c r="A167" i="105"/>
  <c r="A168" i="105"/>
  <c r="A169" i="105"/>
  <c r="A170" i="105"/>
  <c r="A171" i="105"/>
  <c r="A172" i="105"/>
  <c r="F41" i="190"/>
  <c r="G41" i="190"/>
  <c r="G50" i="190"/>
  <c r="F50" i="190"/>
  <c r="C43" i="190"/>
  <c r="D43" i="190"/>
  <c r="F43" i="190"/>
  <c r="G43" i="190"/>
  <c r="C44" i="190"/>
  <c r="D44" i="190"/>
  <c r="F44" i="190"/>
  <c r="G44" i="190"/>
  <c r="C45" i="190"/>
  <c r="D45" i="190"/>
  <c r="F45" i="190"/>
  <c r="G45" i="190"/>
  <c r="C46" i="190"/>
  <c r="D46" i="190"/>
  <c r="F46" i="190"/>
  <c r="G46" i="190"/>
  <c r="C47" i="190"/>
  <c r="D47" i="190"/>
  <c r="F47" i="190"/>
  <c r="G47" i="190"/>
  <c r="C48" i="190"/>
  <c r="D48" i="190"/>
  <c r="F48" i="190"/>
  <c r="G48" i="190"/>
  <c r="C49" i="190"/>
  <c r="D49" i="190"/>
  <c r="F49" i="190"/>
  <c r="G49" i="190"/>
  <c r="C50" i="190"/>
  <c r="D50" i="190"/>
  <c r="G4" i="190"/>
  <c r="F4" i="190"/>
  <c r="F3" i="190"/>
  <c r="C3" i="190"/>
  <c r="G54" i="150" l="1"/>
  <c r="G71" i="150"/>
  <c r="G73" i="150"/>
  <c r="G69" i="150"/>
  <c r="G68" i="150"/>
  <c r="G67" i="150"/>
  <c r="G65" i="150"/>
  <c r="G63" i="150"/>
  <c r="G70" i="150"/>
  <c r="G55" i="150"/>
  <c r="G60" i="150"/>
  <c r="G58" i="150"/>
  <c r="BE5" i="198"/>
  <c r="BE6" i="198"/>
  <c r="Q6" i="158"/>
  <c r="B15" i="179"/>
  <c r="BF6" i="198" l="1"/>
  <c r="BF5" i="198"/>
  <c r="R6" i="158"/>
  <c r="C41" i="190"/>
  <c r="D41" i="190"/>
  <c r="B5" i="190"/>
  <c r="A5" i="190"/>
  <c r="D4" i="190"/>
  <c r="C4" i="190"/>
  <c r="A3" i="190"/>
  <c r="D6" i="189"/>
  <c r="D5" i="189"/>
  <c r="B5" i="189"/>
  <c r="B6" i="189"/>
  <c r="A6" i="189"/>
  <c r="BG5" i="198" l="1"/>
  <c r="BG6" i="198"/>
  <c r="S6" i="158"/>
  <c r="D33" i="194"/>
  <c r="D86" i="194"/>
  <c r="D126" i="194"/>
  <c r="D8" i="194"/>
  <c r="D71" i="194"/>
  <c r="D157" i="194"/>
  <c r="D137" i="194"/>
  <c r="D116" i="194"/>
  <c r="D81" i="194"/>
  <c r="D100" i="194"/>
  <c r="D35" i="194"/>
  <c r="D23" i="194"/>
  <c r="D45" i="194"/>
  <c r="D131" i="194"/>
  <c r="D103" i="194"/>
  <c r="D113" i="194"/>
  <c r="D74" i="194"/>
  <c r="D11" i="194"/>
  <c r="D107" i="194"/>
  <c r="D143" i="194"/>
  <c r="D55" i="194"/>
  <c r="D37" i="194"/>
  <c r="D42" i="194"/>
  <c r="D145" i="194"/>
  <c r="D32" i="194"/>
  <c r="D76" i="194"/>
  <c r="D164" i="194"/>
  <c r="D99" i="194"/>
  <c r="D24" i="194"/>
  <c r="D61" i="194"/>
  <c r="D108" i="194"/>
  <c r="D132" i="194"/>
  <c r="D21" i="194"/>
  <c r="D9" i="194"/>
  <c r="D168" i="194"/>
  <c r="D152" i="194"/>
  <c r="D22" i="194"/>
  <c r="D128" i="194"/>
  <c r="D39" i="194"/>
  <c r="D110" i="194"/>
  <c r="D36" i="194"/>
  <c r="D78" i="194"/>
  <c r="D138" i="194"/>
  <c r="D134" i="194"/>
  <c r="D77" i="194"/>
  <c r="D50" i="194"/>
  <c r="D148" i="194"/>
  <c r="D154" i="194"/>
  <c r="D72" i="194"/>
  <c r="D46" i="194"/>
  <c r="D174" i="194"/>
  <c r="F13" i="82"/>
  <c r="F86" i="82"/>
  <c r="F145" i="82"/>
  <c r="C46" i="82"/>
  <c r="C85" i="82"/>
  <c r="B119" i="82"/>
  <c r="B159" i="82"/>
  <c r="B120" i="82"/>
  <c r="B55" i="82"/>
  <c r="C88" i="82"/>
  <c r="C121" i="82"/>
  <c r="C123" i="82"/>
  <c r="G54" i="82"/>
  <c r="G110" i="82"/>
  <c r="G160" i="82"/>
  <c r="B11" i="82"/>
  <c r="C60" i="82"/>
  <c r="C91" i="82"/>
  <c r="B136" i="82"/>
  <c r="B163" i="82"/>
  <c r="G57" i="82"/>
  <c r="B165" i="82"/>
  <c r="F58" i="82"/>
  <c r="C63" i="82"/>
  <c r="B32" i="82"/>
  <c r="B145" i="82"/>
  <c r="F176" i="82"/>
  <c r="B108" i="82"/>
  <c r="F6" i="82"/>
  <c r="B65" i="82"/>
  <c r="B146" i="82"/>
  <c r="F116" i="82"/>
  <c r="C174" i="82"/>
  <c r="C34" i="82"/>
  <c r="C151" i="82"/>
  <c r="B86" i="82"/>
  <c r="C159" i="82"/>
  <c r="G87" i="82"/>
  <c r="C120" i="82"/>
  <c r="F88" i="82"/>
  <c r="B89" i="82"/>
  <c r="B161" i="82"/>
  <c r="F159" i="82"/>
  <c r="G33" i="82"/>
  <c r="F160" i="82"/>
  <c r="C162" i="82"/>
  <c r="F55" i="82"/>
  <c r="F111" i="82"/>
  <c r="F165" i="82"/>
  <c r="C11" i="82"/>
  <c r="B61" i="82"/>
  <c r="B92" i="82"/>
  <c r="C136" i="82"/>
  <c r="C163" i="82"/>
  <c r="G113" i="82"/>
  <c r="C93" i="82"/>
  <c r="C18" i="82"/>
  <c r="C165" i="82"/>
  <c r="G58" i="82"/>
  <c r="C32" i="82"/>
  <c r="B33" i="82"/>
  <c r="C108" i="82"/>
  <c r="B174" i="82"/>
  <c r="F60" i="82"/>
  <c r="B111" i="82"/>
  <c r="G116" i="82"/>
  <c r="B147" i="82"/>
  <c r="C39" i="82"/>
  <c r="B7" i="82"/>
  <c r="C87" i="82"/>
  <c r="G146" i="82"/>
  <c r="B121" i="82"/>
  <c r="B90" i="82"/>
  <c r="B10" i="82"/>
  <c r="B60" i="82"/>
  <c r="G55" i="82"/>
  <c r="G111" i="82"/>
  <c r="G166" i="82"/>
  <c r="B13" i="82"/>
  <c r="B62" i="82"/>
  <c r="C92" i="82"/>
  <c r="B137" i="82"/>
  <c r="B164" i="82"/>
  <c r="F173" i="82"/>
  <c r="G173" i="82"/>
  <c r="C144" i="82"/>
  <c r="G114" i="82"/>
  <c r="B103" i="82"/>
  <c r="F115" i="82"/>
  <c r="C64" i="82"/>
  <c r="C173" i="82"/>
  <c r="G115" i="82"/>
  <c r="B34" i="82"/>
  <c r="D34" i="82" s="1"/>
  <c r="C146" i="82"/>
  <c r="B113" i="82"/>
  <c r="G86" i="82"/>
  <c r="F146" i="82"/>
  <c r="G14" i="82"/>
  <c r="B57" i="82"/>
  <c r="G149" i="82"/>
  <c r="F89" i="82"/>
  <c r="B162" i="82"/>
  <c r="D162" i="82" s="1"/>
  <c r="F57" i="82"/>
  <c r="F113" i="82"/>
  <c r="G167" i="82"/>
  <c r="B14" i="82"/>
  <c r="C62" i="82"/>
  <c r="B93" i="82"/>
  <c r="C137" i="82"/>
  <c r="C164" i="82"/>
  <c r="C14" i="82"/>
  <c r="B63" i="82"/>
  <c r="B139" i="82"/>
  <c r="F114" i="82"/>
  <c r="C102" i="82"/>
  <c r="F174" i="82"/>
  <c r="B64" i="82"/>
  <c r="B173" i="82"/>
  <c r="F59" i="82"/>
  <c r="C145" i="82"/>
  <c r="G59" i="82"/>
  <c r="G60" i="82"/>
  <c r="B78" i="82"/>
  <c r="B175" i="82"/>
  <c r="B85" i="82"/>
  <c r="G13" i="82"/>
  <c r="F87" i="82"/>
  <c r="B160" i="82"/>
  <c r="F32" i="82"/>
  <c r="C160" i="82"/>
  <c r="G32" i="82"/>
  <c r="C9" i="82"/>
  <c r="G89" i="82"/>
  <c r="F92" i="82"/>
  <c r="C65" i="82"/>
  <c r="C118" i="82"/>
  <c r="C119" i="82"/>
  <c r="C7" i="82"/>
  <c r="B8" i="82"/>
  <c r="C8" i="82"/>
  <c r="C57" i="82"/>
  <c r="B123" i="82"/>
  <c r="C59" i="82"/>
  <c r="C10" i="82"/>
  <c r="F61" i="82"/>
  <c r="F117" i="82"/>
  <c r="B35" i="82"/>
  <c r="C78" i="82"/>
  <c r="C113" i="82"/>
  <c r="C147" i="82"/>
  <c r="C175" i="82"/>
  <c r="F120" i="82"/>
  <c r="C79" i="82"/>
  <c r="C148" i="82"/>
  <c r="G82" i="82"/>
  <c r="B80" i="82"/>
  <c r="B149" i="82"/>
  <c r="F139" i="82"/>
  <c r="C80" i="82"/>
  <c r="C149" i="82"/>
  <c r="G139" i="82"/>
  <c r="B81" i="82"/>
  <c r="B150" i="82"/>
  <c r="G143" i="82"/>
  <c r="B83" i="82"/>
  <c r="B118" i="82"/>
  <c r="B6" i="82"/>
  <c r="F144" i="82"/>
  <c r="B151" i="82"/>
  <c r="G145" i="82"/>
  <c r="F14" i="82"/>
  <c r="B9" i="82"/>
  <c r="B58" i="82"/>
  <c r="C90" i="82"/>
  <c r="B91" i="82"/>
  <c r="G61" i="82"/>
  <c r="G117" i="82"/>
  <c r="C35" i="82"/>
  <c r="B79" i="82"/>
  <c r="B114" i="82"/>
  <c r="B148" i="82"/>
  <c r="B176" i="82"/>
  <c r="F64" i="82"/>
  <c r="B36" i="82"/>
  <c r="C115" i="82"/>
  <c r="C176" i="82"/>
  <c r="G138" i="82"/>
  <c r="C36" i="82"/>
  <c r="B116" i="82"/>
  <c r="B177" i="82"/>
  <c r="F83" i="82"/>
  <c r="B37" i="82"/>
  <c r="C116" i="82"/>
  <c r="C177" i="82"/>
  <c r="G83" i="82"/>
  <c r="C37" i="82"/>
  <c r="B117" i="82"/>
  <c r="C6" i="82"/>
  <c r="F85" i="82"/>
  <c r="B39" i="82"/>
  <c r="C150" i="82"/>
  <c r="G85" i="82"/>
  <c r="B53" i="82"/>
  <c r="C53" i="82"/>
  <c r="B88" i="82"/>
  <c r="F148" i="82"/>
  <c r="G88" i="82"/>
  <c r="F33" i="82"/>
  <c r="C161" i="82"/>
  <c r="G159" i="82"/>
  <c r="F36" i="82"/>
  <c r="C135" i="82"/>
  <c r="C117" i="82"/>
  <c r="F10" i="82"/>
  <c r="B140" i="82"/>
  <c r="F164" i="82"/>
  <c r="F170" i="82"/>
  <c r="B143" i="82"/>
  <c r="G28" i="82"/>
  <c r="B101" i="82"/>
  <c r="G44" i="82"/>
  <c r="F132" i="82"/>
  <c r="G46" i="82"/>
  <c r="F43" i="82"/>
  <c r="F42" i="82"/>
  <c r="F125" i="82"/>
  <c r="F68" i="82"/>
  <c r="B16" i="82"/>
  <c r="B67" i="82"/>
  <c r="F112" i="82"/>
  <c r="C167" i="82"/>
  <c r="F151" i="82"/>
  <c r="B87" i="82"/>
  <c r="C83" i="82"/>
  <c r="C33" i="82"/>
  <c r="C158" i="82"/>
  <c r="F134" i="82"/>
  <c r="B153" i="82"/>
  <c r="G132" i="82"/>
  <c r="B155" i="82"/>
  <c r="G43" i="82"/>
  <c r="G42" i="82"/>
  <c r="G68" i="82"/>
  <c r="C16" i="82"/>
  <c r="F84" i="82"/>
  <c r="G162" i="82"/>
  <c r="B59" i="82"/>
  <c r="F175" i="82"/>
  <c r="F150" i="82"/>
  <c r="G169" i="82"/>
  <c r="G101" i="82"/>
  <c r="C153" i="82"/>
  <c r="C155" i="82"/>
  <c r="B152" i="82"/>
  <c r="B40" i="82"/>
  <c r="F56" i="82"/>
  <c r="C141" i="82"/>
  <c r="C38" i="82"/>
  <c r="B141" i="82"/>
  <c r="G158" i="82"/>
  <c r="F38" i="82"/>
  <c r="B130" i="82"/>
  <c r="F135" i="82"/>
  <c r="G130" i="82"/>
  <c r="G17" i="82"/>
  <c r="G147" i="82"/>
  <c r="G81" i="82"/>
  <c r="C23" i="82"/>
  <c r="G11" i="82"/>
  <c r="G20" i="82"/>
  <c r="B66" i="82"/>
  <c r="F161" i="82"/>
  <c r="G107" i="82"/>
  <c r="F27" i="82"/>
  <c r="G129" i="82"/>
  <c r="F95" i="82"/>
  <c r="B30" i="82"/>
  <c r="G150" i="82"/>
  <c r="F156" i="82"/>
  <c r="C142" i="82"/>
  <c r="C56" i="82"/>
  <c r="G92" i="82"/>
  <c r="F102" i="82"/>
  <c r="G108" i="82"/>
  <c r="B96" i="82"/>
  <c r="B166" i="82"/>
  <c r="G23" i="82"/>
  <c r="F74" i="82"/>
  <c r="F101" i="82"/>
  <c r="B97" i="82"/>
  <c r="B49" i="82"/>
  <c r="F149" i="82"/>
  <c r="G134" i="82"/>
  <c r="F104" i="82"/>
  <c r="C97" i="82"/>
  <c r="F16" i="82"/>
  <c r="B21" i="82"/>
  <c r="G8" i="82"/>
  <c r="G66" i="82"/>
  <c r="G165" i="82"/>
  <c r="C41" i="82"/>
  <c r="F12" i="82"/>
  <c r="F11" i="82"/>
  <c r="B168" i="82"/>
  <c r="G157" i="82"/>
  <c r="C168" i="82"/>
  <c r="G91" i="82"/>
  <c r="G154" i="82"/>
  <c r="F22" i="82"/>
  <c r="G136" i="82"/>
  <c r="G98" i="82"/>
  <c r="C81" i="82"/>
  <c r="B19" i="82"/>
  <c r="G72" i="82"/>
  <c r="F147" i="82"/>
  <c r="B84" i="82"/>
  <c r="B122" i="82"/>
  <c r="B56" i="82"/>
  <c r="C31" i="82"/>
  <c r="F106" i="82"/>
  <c r="C73" i="82"/>
  <c r="F153" i="82"/>
  <c r="G104" i="82"/>
  <c r="B104" i="82"/>
  <c r="C152" i="82"/>
  <c r="B77" i="82"/>
  <c r="F97" i="82"/>
  <c r="C40" i="82"/>
  <c r="G16" i="82"/>
  <c r="F155" i="82"/>
  <c r="F167" i="82"/>
  <c r="C166" i="82"/>
  <c r="B94" i="82"/>
  <c r="B29" i="82"/>
  <c r="C45" i="82"/>
  <c r="C77" i="82"/>
  <c r="G94" i="82"/>
  <c r="B15" i="82"/>
  <c r="C52" i="82"/>
  <c r="C12" i="82"/>
  <c r="F109" i="82"/>
  <c r="F100" i="82"/>
  <c r="B17" i="82"/>
  <c r="G175" i="82"/>
  <c r="G29" i="82"/>
  <c r="C76" i="82"/>
  <c r="G125" i="82"/>
  <c r="F81" i="82"/>
  <c r="G38" i="82"/>
  <c r="F162" i="82"/>
  <c r="C154" i="82"/>
  <c r="F20" i="82"/>
  <c r="G119" i="82"/>
  <c r="G63" i="82"/>
  <c r="F79" i="82"/>
  <c r="C124" i="82"/>
  <c r="G34" i="82"/>
  <c r="G171" i="82"/>
  <c r="F129" i="82"/>
  <c r="C75" i="82"/>
  <c r="C172" i="82"/>
  <c r="B110" i="82"/>
  <c r="B54" i="82"/>
  <c r="B38" i="82"/>
  <c r="B31" i="82"/>
  <c r="G106" i="82"/>
  <c r="B73" i="82"/>
  <c r="F76" i="82"/>
  <c r="F152" i="82"/>
  <c r="B52" i="82"/>
  <c r="G97" i="82"/>
  <c r="F40" i="82"/>
  <c r="F122" i="82"/>
  <c r="F127" i="82"/>
  <c r="G12" i="82"/>
  <c r="C138" i="82"/>
  <c r="B134" i="82"/>
  <c r="C25" i="82"/>
  <c r="C170" i="82"/>
  <c r="F110" i="82"/>
  <c r="C29" i="82"/>
  <c r="G131" i="82"/>
  <c r="C17" i="82"/>
  <c r="C104" i="82"/>
  <c r="B157" i="82"/>
  <c r="C94" i="82"/>
  <c r="G153" i="82"/>
  <c r="C103" i="82"/>
  <c r="G45" i="82"/>
  <c r="F17" i="82"/>
  <c r="F65" i="82"/>
  <c r="C130" i="82"/>
  <c r="C51" i="82"/>
  <c r="G151" i="82"/>
  <c r="B27" i="82"/>
  <c r="C171" i="82"/>
  <c r="G141" i="82"/>
  <c r="B126" i="82"/>
  <c r="F168" i="82"/>
  <c r="B112" i="82"/>
  <c r="G27" i="82"/>
  <c r="C126" i="82"/>
  <c r="G120" i="82"/>
  <c r="G124" i="82"/>
  <c r="B169" i="82"/>
  <c r="C131" i="82"/>
  <c r="G77" i="82"/>
  <c r="G99" i="82"/>
  <c r="C169" i="82"/>
  <c r="G64" i="82"/>
  <c r="F49" i="82"/>
  <c r="F143" i="82"/>
  <c r="B172" i="82"/>
  <c r="C13" i="82"/>
  <c r="F31" i="82"/>
  <c r="F78" i="82"/>
  <c r="F73" i="82"/>
  <c r="G76" i="82"/>
  <c r="G152" i="82"/>
  <c r="B24" i="82"/>
  <c r="B69" i="82"/>
  <c r="G40" i="82"/>
  <c r="G122" i="82"/>
  <c r="C66" i="82"/>
  <c r="F166" i="82"/>
  <c r="C110" i="82"/>
  <c r="F91" i="82"/>
  <c r="F69" i="82"/>
  <c r="C54" i="82"/>
  <c r="B105" i="82"/>
  <c r="G137" i="82"/>
  <c r="B45" i="82"/>
  <c r="G69" i="82"/>
  <c r="F66" i="82"/>
  <c r="F121" i="82"/>
  <c r="F29" i="82"/>
  <c r="C24" i="82"/>
  <c r="F54" i="82"/>
  <c r="H54" i="82" s="1"/>
  <c r="G109" i="82"/>
  <c r="B154" i="82"/>
  <c r="G75" i="82"/>
  <c r="B25" i="82"/>
  <c r="G41" i="82"/>
  <c r="C86" i="82"/>
  <c r="F47" i="82"/>
  <c r="B48" i="82"/>
  <c r="B135" i="82"/>
  <c r="G47" i="82"/>
  <c r="G168" i="82"/>
  <c r="C122" i="82"/>
  <c r="C67" i="82"/>
  <c r="F118" i="82"/>
  <c r="F19" i="82"/>
  <c r="G142" i="82"/>
  <c r="B95" i="82"/>
  <c r="F119" i="82"/>
  <c r="G31" i="82"/>
  <c r="G78" i="82"/>
  <c r="G73" i="82"/>
  <c r="F48" i="82"/>
  <c r="G100" i="82"/>
  <c r="C95" i="82"/>
  <c r="F158" i="82"/>
  <c r="C69" i="82"/>
  <c r="B170" i="82"/>
  <c r="F94" i="82"/>
  <c r="C48" i="82"/>
  <c r="F138" i="82"/>
  <c r="C82" i="82"/>
  <c r="F137" i="82"/>
  <c r="F50" i="82"/>
  <c r="G48" i="82"/>
  <c r="F130" i="82"/>
  <c r="C20" i="82"/>
  <c r="F63" i="82"/>
  <c r="G50" i="82"/>
  <c r="C157" i="82"/>
  <c r="F82" i="82"/>
  <c r="F35" i="82"/>
  <c r="F45" i="82"/>
  <c r="B41" i="82"/>
  <c r="F93" i="82"/>
  <c r="F25" i="82"/>
  <c r="G172" i="82"/>
  <c r="G25" i="82"/>
  <c r="G135" i="82"/>
  <c r="F123" i="82"/>
  <c r="C15" i="82"/>
  <c r="G53" i="82"/>
  <c r="G21" i="82"/>
  <c r="B18" i="82"/>
  <c r="C100" i="82"/>
  <c r="F108" i="82"/>
  <c r="G177" i="82"/>
  <c r="C72" i="82"/>
  <c r="B26" i="82"/>
  <c r="F96" i="82"/>
  <c r="G161" i="82"/>
  <c r="F41" i="82"/>
  <c r="B47" i="82"/>
  <c r="B144" i="82"/>
  <c r="B171" i="82"/>
  <c r="C105" i="82"/>
  <c r="G95" i="82"/>
  <c r="G35" i="82"/>
  <c r="C84" i="82"/>
  <c r="B102" i="82"/>
  <c r="D102" i="82" s="1"/>
  <c r="F128" i="82"/>
  <c r="B131" i="82"/>
  <c r="F103" i="82"/>
  <c r="C61" i="82"/>
  <c r="F37" i="82"/>
  <c r="B106" i="82"/>
  <c r="F8" i="82"/>
  <c r="B20" i="82"/>
  <c r="B109" i="82"/>
  <c r="G15" i="82"/>
  <c r="F124" i="82"/>
  <c r="H124" i="82" s="1"/>
  <c r="B71" i="82"/>
  <c r="B82" i="82"/>
  <c r="B167" i="82"/>
  <c r="F9" i="82"/>
  <c r="F53" i="82"/>
  <c r="F107" i="82"/>
  <c r="F154" i="82"/>
  <c r="C27" i="82"/>
  <c r="C47" i="82"/>
  <c r="F131" i="82"/>
  <c r="G123" i="82"/>
  <c r="F21" i="82"/>
  <c r="G164" i="82"/>
  <c r="C134" i="82"/>
  <c r="B132" i="82"/>
  <c r="F169" i="82"/>
  <c r="G163" i="82"/>
  <c r="B107" i="82"/>
  <c r="C139" i="82"/>
  <c r="C58" i="82"/>
  <c r="C109" i="82"/>
  <c r="C30" i="82"/>
  <c r="G79" i="82"/>
  <c r="G22" i="82"/>
  <c r="F133" i="82"/>
  <c r="B156" i="82"/>
  <c r="B127" i="82"/>
  <c r="F126" i="82"/>
  <c r="B76" i="82"/>
  <c r="F18" i="82"/>
  <c r="F67" i="82"/>
  <c r="C74" i="82"/>
  <c r="G118" i="82"/>
  <c r="G10" i="82"/>
  <c r="G7" i="82"/>
  <c r="C106" i="82"/>
  <c r="C55" i="82"/>
  <c r="G6" i="82"/>
  <c r="F172" i="82"/>
  <c r="F30" i="82"/>
  <c r="F51" i="82"/>
  <c r="F141" i="82"/>
  <c r="B128" i="82"/>
  <c r="G133" i="82"/>
  <c r="C156" i="82"/>
  <c r="C127" i="82"/>
  <c r="G126" i="82"/>
  <c r="B51" i="82"/>
  <c r="G18" i="82"/>
  <c r="G67" i="82"/>
  <c r="B50" i="82"/>
  <c r="G90" i="82"/>
  <c r="C140" i="82"/>
  <c r="G174" i="82"/>
  <c r="G176" i="82"/>
  <c r="F75" i="82"/>
  <c r="G30" i="82"/>
  <c r="C128" i="82"/>
  <c r="F24" i="82"/>
  <c r="B99" i="82"/>
  <c r="B98" i="82"/>
  <c r="B23" i="82"/>
  <c r="B124" i="82"/>
  <c r="F39" i="82"/>
  <c r="G62" i="82"/>
  <c r="C99" i="82"/>
  <c r="F99" i="82"/>
  <c r="B72" i="82"/>
  <c r="G102" i="82"/>
  <c r="B133" i="82"/>
  <c r="G51" i="82"/>
  <c r="F105" i="82"/>
  <c r="B22" i="82"/>
  <c r="C112" i="82"/>
  <c r="G24" i="82"/>
  <c r="F157" i="82"/>
  <c r="G39" i="82"/>
  <c r="F77" i="82"/>
  <c r="F171" i="82"/>
  <c r="F15" i="82"/>
  <c r="F142" i="82"/>
  <c r="B158" i="82"/>
  <c r="G170" i="82"/>
  <c r="B138" i="82"/>
  <c r="F136" i="82"/>
  <c r="B142" i="82"/>
  <c r="G103" i="82"/>
  <c r="B100" i="82"/>
  <c r="G105" i="82"/>
  <c r="C98" i="82"/>
  <c r="F98" i="82"/>
  <c r="G144" i="82"/>
  <c r="B70" i="82"/>
  <c r="C89" i="82"/>
  <c r="G36" i="82"/>
  <c r="H36" i="82" s="1"/>
  <c r="B12" i="82"/>
  <c r="F80" i="82"/>
  <c r="F23" i="82"/>
  <c r="F72" i="82"/>
  <c r="G49" i="82"/>
  <c r="B74" i="82"/>
  <c r="C71" i="82"/>
  <c r="C70" i="82"/>
  <c r="C19" i="82"/>
  <c r="C96" i="82"/>
  <c r="B75" i="82"/>
  <c r="C49" i="82"/>
  <c r="G140" i="82"/>
  <c r="G121" i="82"/>
  <c r="F7" i="82"/>
  <c r="G80" i="82"/>
  <c r="F70" i="82"/>
  <c r="F177" i="82"/>
  <c r="B115" i="82"/>
  <c r="F90" i="82"/>
  <c r="C133" i="82"/>
  <c r="F52" i="82"/>
  <c r="B28" i="82"/>
  <c r="C129" i="82"/>
  <c r="B44" i="82"/>
  <c r="C26" i="82"/>
  <c r="G74" i="82"/>
  <c r="G71" i="82"/>
  <c r="G70" i="82"/>
  <c r="G19" i="82"/>
  <c r="G96" i="82"/>
  <c r="C22" i="82"/>
  <c r="G155" i="82"/>
  <c r="G84" i="82"/>
  <c r="G65" i="82"/>
  <c r="C111" i="82"/>
  <c r="C114" i="82"/>
  <c r="F62" i="82"/>
  <c r="C132" i="82"/>
  <c r="F163" i="82"/>
  <c r="C21" i="82"/>
  <c r="G148" i="82"/>
  <c r="G127" i="82"/>
  <c r="F34" i="82"/>
  <c r="G112" i="82"/>
  <c r="G93" i="82"/>
  <c r="B129" i="82"/>
  <c r="F44" i="82"/>
  <c r="G26" i="82"/>
  <c r="C107" i="82"/>
  <c r="F140" i="82"/>
  <c r="G37" i="82"/>
  <c r="C101" i="82"/>
  <c r="B46" i="82"/>
  <c r="F71" i="82"/>
  <c r="C43" i="82"/>
  <c r="C42" i="82"/>
  <c r="C125" i="82"/>
  <c r="C68" i="82"/>
  <c r="G156" i="82"/>
  <c r="G52" i="82"/>
  <c r="G56" i="82"/>
  <c r="C28" i="82"/>
  <c r="G9" i="82"/>
  <c r="C44" i="82"/>
  <c r="C143" i="82"/>
  <c r="F28" i="82"/>
  <c r="F26" i="82"/>
  <c r="B43" i="82"/>
  <c r="B42" i="82"/>
  <c r="B125" i="82"/>
  <c r="B68" i="82"/>
  <c r="C50" i="82"/>
  <c r="G128" i="82"/>
  <c r="F46" i="82"/>
  <c r="F39" i="190"/>
  <c r="G39" i="190"/>
  <c r="G38" i="190"/>
  <c r="F38" i="190"/>
  <c r="F40" i="190"/>
  <c r="G40" i="190"/>
  <c r="F14" i="190"/>
  <c r="G14" i="190"/>
  <c r="F10" i="190"/>
  <c r="G10" i="190"/>
  <c r="F7" i="190"/>
  <c r="G7" i="190"/>
  <c r="G35" i="190"/>
  <c r="F35" i="190"/>
  <c r="G18" i="190"/>
  <c r="F18" i="190"/>
  <c r="G13" i="190"/>
  <c r="F13" i="190"/>
  <c r="F8" i="190"/>
  <c r="G8" i="190"/>
  <c r="F6" i="190"/>
  <c r="G6" i="190"/>
  <c r="D30" i="190"/>
  <c r="F30" i="190"/>
  <c r="G30" i="190"/>
  <c r="C34" i="190"/>
  <c r="F34" i="190"/>
  <c r="G34" i="190"/>
  <c r="F26" i="190"/>
  <c r="G26" i="190"/>
  <c r="G24" i="190"/>
  <c r="F24" i="190"/>
  <c r="G20" i="190"/>
  <c r="F20" i="190"/>
  <c r="F17" i="190"/>
  <c r="G17" i="190"/>
  <c r="G12" i="190"/>
  <c r="F12" i="190"/>
  <c r="C40" i="190"/>
  <c r="G5" i="190"/>
  <c r="F5" i="190"/>
  <c r="G28" i="190"/>
  <c r="F28" i="190"/>
  <c r="F27" i="190"/>
  <c r="G27" i="190"/>
  <c r="C33" i="190"/>
  <c r="F33" i="190"/>
  <c r="G33" i="190"/>
  <c r="F25" i="190"/>
  <c r="G25" i="190"/>
  <c r="G21" i="190"/>
  <c r="F21" i="190"/>
  <c r="F16" i="190"/>
  <c r="G16" i="190"/>
  <c r="F11" i="190"/>
  <c r="G11" i="190"/>
  <c r="F9" i="190"/>
  <c r="G9" i="190"/>
  <c r="D39" i="190"/>
  <c r="F31" i="190"/>
  <c r="G31" i="190"/>
  <c r="C37" i="190"/>
  <c r="G37" i="190"/>
  <c r="F37" i="190"/>
  <c r="F23" i="190"/>
  <c r="G23" i="190"/>
  <c r="F22" i="190"/>
  <c r="G22" i="190"/>
  <c r="G19" i="190"/>
  <c r="F19" i="190"/>
  <c r="F15" i="190"/>
  <c r="G15" i="190"/>
  <c r="C39" i="190"/>
  <c r="D5" i="190"/>
  <c r="C35" i="190"/>
  <c r="C38" i="190"/>
  <c r="C20" i="190"/>
  <c r="D19" i="190"/>
  <c r="D13" i="190"/>
  <c r="D12" i="190"/>
  <c r="D11" i="190"/>
  <c r="D16" i="190"/>
  <c r="D21" i="190"/>
  <c r="D17" i="190"/>
  <c r="D14" i="190"/>
  <c r="C10" i="190"/>
  <c r="C26" i="190"/>
  <c r="C23" i="190"/>
  <c r="C22" i="190"/>
  <c r="D18" i="190"/>
  <c r="C27" i="190"/>
  <c r="D33" i="190"/>
  <c r="D15" i="190"/>
  <c r="D34" i="190"/>
  <c r="D25" i="190"/>
  <c r="C24" i="190"/>
  <c r="C9" i="190"/>
  <c r="D31" i="190"/>
  <c r="D38" i="190"/>
  <c r="D8" i="190"/>
  <c r="D27" i="190"/>
  <c r="C6" i="190"/>
  <c r="C30" i="190"/>
  <c r="D37" i="190"/>
  <c r="D7" i="190"/>
  <c r="D26" i="190"/>
  <c r="D40" i="190"/>
  <c r="D28" i="190"/>
  <c r="D35" i="190"/>
  <c r="C25" i="190"/>
  <c r="C21" i="190"/>
  <c r="C19" i="190"/>
  <c r="D24" i="190"/>
  <c r="C18" i="190"/>
  <c r="D23" i="190"/>
  <c r="C17" i="190"/>
  <c r="D22" i="190"/>
  <c r="C16" i="190"/>
  <c r="C5" i="190"/>
  <c r="C15" i="190"/>
  <c r="D20" i="190"/>
  <c r="C14" i="190"/>
  <c r="C13" i="190"/>
  <c r="C12" i="190"/>
  <c r="D10" i="190"/>
  <c r="D9" i="190"/>
  <c r="C8" i="190"/>
  <c r="D6" i="190"/>
  <c r="C28" i="190"/>
  <c r="C11" i="190"/>
  <c r="C7" i="190"/>
  <c r="C31" i="190"/>
  <c r="E2" i="189"/>
  <c r="B2" i="189"/>
  <c r="D2" i="189"/>
  <c r="C2" i="189"/>
  <c r="C56" i="150" l="1"/>
  <c r="C126" i="150"/>
  <c r="C131" i="198"/>
  <c r="B104" i="150"/>
  <c r="B109" i="198"/>
  <c r="C38" i="150"/>
  <c r="C38" i="198"/>
  <c r="B164" i="150"/>
  <c r="B169" i="198"/>
  <c r="B36" i="150"/>
  <c r="H41" i="82"/>
  <c r="D54" i="82"/>
  <c r="D141" i="82"/>
  <c r="D52" i="82"/>
  <c r="H129" i="82"/>
  <c r="D56" i="82"/>
  <c r="D132" i="82"/>
  <c r="D51" i="82"/>
  <c r="D49" i="82"/>
  <c r="D78" i="82"/>
  <c r="H142" i="82"/>
  <c r="H163" i="82"/>
  <c r="H40" i="82"/>
  <c r="H76" i="82"/>
  <c r="T6" i="158"/>
  <c r="L238" i="158"/>
  <c r="D33" i="82"/>
  <c r="B36" i="198" s="1"/>
  <c r="D64" i="82"/>
  <c r="D117" i="82"/>
  <c r="D55" i="82"/>
  <c r="D111" i="194"/>
  <c r="D95" i="82"/>
  <c r="D106" i="194"/>
  <c r="D64" i="194"/>
  <c r="D88" i="194"/>
  <c r="D136" i="194"/>
  <c r="D48" i="194"/>
  <c r="D79" i="194"/>
  <c r="D129" i="194"/>
  <c r="D59" i="194"/>
  <c r="D31" i="194"/>
  <c r="D91" i="194"/>
  <c r="D144" i="82"/>
  <c r="D46" i="82"/>
  <c r="D59" i="82"/>
  <c r="D155" i="82"/>
  <c r="D76" i="82"/>
  <c r="H87" i="82"/>
  <c r="D57" i="82"/>
  <c r="H70" i="82"/>
  <c r="H126" i="82"/>
  <c r="H106" i="82"/>
  <c r="D12" i="194"/>
  <c r="D84" i="194"/>
  <c r="D160" i="194"/>
  <c r="D125" i="194"/>
  <c r="D66" i="194"/>
  <c r="D98" i="194"/>
  <c r="D120" i="194"/>
  <c r="D119" i="194"/>
  <c r="D151" i="194"/>
  <c r="D28" i="194"/>
  <c r="D123" i="194"/>
  <c r="D65" i="194"/>
  <c r="D102" i="194"/>
  <c r="D60" i="194"/>
  <c r="D115" i="194"/>
  <c r="D27" i="194"/>
  <c r="D175" i="194"/>
  <c r="D156" i="194"/>
  <c r="D173" i="194"/>
  <c r="D169" i="194"/>
  <c r="D109" i="194"/>
  <c r="D163" i="194"/>
  <c r="D17" i="194"/>
  <c r="D161" i="194"/>
  <c r="D70" i="194"/>
  <c r="D101" i="194"/>
  <c r="D172" i="194"/>
  <c r="D153" i="194"/>
  <c r="D121" i="194"/>
  <c r="D29" i="194"/>
  <c r="D79" i="82"/>
  <c r="D67" i="194"/>
  <c r="D166" i="194"/>
  <c r="D159" i="194"/>
  <c r="D97" i="194"/>
  <c r="H57" i="82"/>
  <c r="D20" i="194"/>
  <c r="D73" i="194"/>
  <c r="D129" i="82"/>
  <c r="D115" i="82"/>
  <c r="D40" i="194"/>
  <c r="D94" i="194"/>
  <c r="D53" i="194"/>
  <c r="D141" i="194"/>
  <c r="H75" i="82"/>
  <c r="H66" i="82"/>
  <c r="H162" i="82"/>
  <c r="H153" i="82"/>
  <c r="H104" i="82"/>
  <c r="D38" i="194"/>
  <c r="H7" i="82"/>
  <c r="H48" i="82"/>
  <c r="H33" i="82"/>
  <c r="D83" i="194"/>
  <c r="D171" i="194"/>
  <c r="D176" i="194"/>
  <c r="D10" i="194"/>
  <c r="D165" i="194"/>
  <c r="D16" i="194"/>
  <c r="D75" i="194"/>
  <c r="D93" i="194"/>
  <c r="D41" i="194"/>
  <c r="D89" i="194"/>
  <c r="D19" i="194"/>
  <c r="D124" i="194"/>
  <c r="D82" i="194"/>
  <c r="D44" i="194"/>
  <c r="D25" i="194"/>
  <c r="D49" i="194"/>
  <c r="D85" i="194"/>
  <c r="D114" i="194"/>
  <c r="D167" i="194"/>
  <c r="D147" i="194"/>
  <c r="D14" i="194"/>
  <c r="D97" i="82"/>
  <c r="D69" i="194"/>
  <c r="D117" i="194"/>
  <c r="D112" i="194"/>
  <c r="D106" i="82"/>
  <c r="D87" i="82"/>
  <c r="D88" i="82"/>
  <c r="D68" i="194"/>
  <c r="D13" i="194"/>
  <c r="D75" i="82"/>
  <c r="H175" i="82"/>
  <c r="D122" i="194"/>
  <c r="D61" i="82"/>
  <c r="D54" i="194"/>
  <c r="D158" i="194"/>
  <c r="D41" i="82"/>
  <c r="D96" i="194"/>
  <c r="D150" i="194"/>
  <c r="D170" i="194"/>
  <c r="D63" i="194"/>
  <c r="H45" i="82"/>
  <c r="D62" i="194"/>
  <c r="D155" i="194"/>
  <c r="D80" i="194"/>
  <c r="H92" i="82"/>
  <c r="C98" i="198" s="1"/>
  <c r="D52" i="194"/>
  <c r="D127" i="194"/>
  <c r="D43" i="194"/>
  <c r="D47" i="194"/>
  <c r="D149" i="194"/>
  <c r="D130" i="82"/>
  <c r="D63" i="82"/>
  <c r="H173" i="82"/>
  <c r="D92" i="194"/>
  <c r="H164" i="82"/>
  <c r="D135" i="82"/>
  <c r="D95" i="194"/>
  <c r="D140" i="194"/>
  <c r="D146" i="194"/>
  <c r="D48" i="82"/>
  <c r="D118" i="82"/>
  <c r="D105" i="194"/>
  <c r="D135" i="194"/>
  <c r="D18" i="194"/>
  <c r="D57" i="194"/>
  <c r="D58" i="194"/>
  <c r="D15" i="194"/>
  <c r="D162" i="194"/>
  <c r="D30" i="194"/>
  <c r="D56" i="194"/>
  <c r="D87" i="194"/>
  <c r="D6" i="194"/>
  <c r="D144" i="194"/>
  <c r="D142" i="194"/>
  <c r="D34" i="194"/>
  <c r="D26" i="194"/>
  <c r="D90" i="194"/>
  <c r="D130" i="194"/>
  <c r="D139" i="194"/>
  <c r="D51" i="194"/>
  <c r="D104" i="194"/>
  <c r="D118" i="194"/>
  <c r="D7" i="194"/>
  <c r="D133" i="194"/>
  <c r="D177" i="194"/>
  <c r="H149" i="82"/>
  <c r="H120" i="82"/>
  <c r="H28" i="82"/>
  <c r="H166" i="82"/>
  <c r="H114" i="82"/>
  <c r="H17" i="82"/>
  <c r="H144" i="82"/>
  <c r="H98" i="82"/>
  <c r="H138" i="82"/>
  <c r="H143" i="82"/>
  <c r="H113" i="82"/>
  <c r="H90" i="82"/>
  <c r="C95" i="198" s="1"/>
  <c r="H103" i="82"/>
  <c r="H11" i="82"/>
  <c r="H46" i="82"/>
  <c r="H18" i="82"/>
  <c r="H29" i="82"/>
  <c r="H110" i="82"/>
  <c r="H20" i="82"/>
  <c r="H128" i="82"/>
  <c r="H136" i="82"/>
  <c r="H158" i="82"/>
  <c r="D100" i="82"/>
  <c r="D156" i="82"/>
  <c r="D72" i="82"/>
  <c r="D47" i="82"/>
  <c r="D60" i="82"/>
  <c r="H154" i="82"/>
  <c r="H169" i="82"/>
  <c r="H132" i="82"/>
  <c r="H167" i="82"/>
  <c r="H83" i="82"/>
  <c r="H161" i="82"/>
  <c r="H12" i="82"/>
  <c r="H177" i="82"/>
  <c r="H63" i="82"/>
  <c r="H24" i="82"/>
  <c r="H67" i="82"/>
  <c r="H81" i="82"/>
  <c r="H135" i="82"/>
  <c r="H123" i="82"/>
  <c r="H122" i="82"/>
  <c r="H101" i="82"/>
  <c r="H74" i="82"/>
  <c r="H151" i="82"/>
  <c r="H62" i="82"/>
  <c r="H168" i="82"/>
  <c r="H97" i="82"/>
  <c r="H59" i="82"/>
  <c r="H19" i="82"/>
  <c r="H152" i="82"/>
  <c r="H109" i="82"/>
  <c r="H118" i="82"/>
  <c r="H68" i="82"/>
  <c r="H105" i="82"/>
  <c r="H82" i="82"/>
  <c r="D164" i="82"/>
  <c r="D37" i="82"/>
  <c r="D124" i="82"/>
  <c r="D116" i="82"/>
  <c r="D80" i="82"/>
  <c r="D160" i="82"/>
  <c r="D153" i="82"/>
  <c r="D176" i="82"/>
  <c r="D68" i="82"/>
  <c r="D127" i="82"/>
  <c r="D85" i="82"/>
  <c r="D99" i="82"/>
  <c r="D77" i="82"/>
  <c r="D170" i="82"/>
  <c r="D142" i="82"/>
  <c r="D71" i="82"/>
  <c r="D125" i="82"/>
  <c r="D42" i="82"/>
  <c r="D113" i="82"/>
  <c r="D43" i="82"/>
  <c r="D112" i="82"/>
  <c r="D91" i="82"/>
  <c r="B96" i="198" s="1"/>
  <c r="D174" i="82"/>
  <c r="D39" i="82"/>
  <c r="D73" i="82"/>
  <c r="D123" i="82"/>
  <c r="D110" i="82"/>
  <c r="D172" i="82"/>
  <c r="D158" i="82"/>
  <c r="D83" i="82"/>
  <c r="D167" i="82"/>
  <c r="D152" i="82"/>
  <c r="H160" i="82"/>
  <c r="D121" i="82"/>
  <c r="D173" i="82"/>
  <c r="H43" i="82"/>
  <c r="D108" i="82"/>
  <c r="H91" i="82"/>
  <c r="C96" i="198" s="1"/>
  <c r="H156" i="82"/>
  <c r="H176" i="82"/>
  <c r="D137" i="82"/>
  <c r="D145" i="82"/>
  <c r="H44" i="82"/>
  <c r="D166" i="82"/>
  <c r="D168" i="82"/>
  <c r="H95" i="82"/>
  <c r="D101" i="82"/>
  <c r="D93" i="82"/>
  <c r="D62" i="82"/>
  <c r="D92" i="82"/>
  <c r="B98" i="198" s="1"/>
  <c r="D150" i="82"/>
  <c r="H58" i="82"/>
  <c r="H27" i="82"/>
  <c r="D143" i="82"/>
  <c r="D177" i="82"/>
  <c r="D81" i="82"/>
  <c r="D165" i="82"/>
  <c r="H84" i="82"/>
  <c r="H170" i="82"/>
  <c r="H165" i="82"/>
  <c r="H111" i="82"/>
  <c r="D163" i="82"/>
  <c r="H94" i="82"/>
  <c r="H108" i="82"/>
  <c r="D169" i="82"/>
  <c r="D45" i="82"/>
  <c r="D138" i="82"/>
  <c r="H121" i="82"/>
  <c r="H15" i="82"/>
  <c r="H127" i="82"/>
  <c r="H26" i="82"/>
  <c r="D50" i="82"/>
  <c r="H119" i="82"/>
  <c r="H69" i="82"/>
  <c r="D109" i="82"/>
  <c r="H25" i="82"/>
  <c r="H147" i="82"/>
  <c r="H93" i="82"/>
  <c r="D126" i="82"/>
  <c r="H100" i="82"/>
  <c r="H9" i="82"/>
  <c r="D131" i="82"/>
  <c r="D74" i="82"/>
  <c r="H133" i="82"/>
  <c r="D84" i="82"/>
  <c r="D122" i="82"/>
  <c r="H72" i="82"/>
  <c r="D128" i="82"/>
  <c r="H35" i="82"/>
  <c r="D69" i="82"/>
  <c r="H23" i="82"/>
  <c r="D133" i="82"/>
  <c r="H141" i="82"/>
  <c r="D134" i="82"/>
  <c r="H80" i="82"/>
  <c r="H51" i="82"/>
  <c r="C56" i="198" s="1"/>
  <c r="D105" i="82"/>
  <c r="H65" i="82"/>
  <c r="H30" i="82"/>
  <c r="H21" i="82"/>
  <c r="D171" i="82"/>
  <c r="H150" i="82"/>
  <c r="H99" i="82"/>
  <c r="H172" i="82"/>
  <c r="H130" i="82"/>
  <c r="H47" i="82"/>
  <c r="H73" i="82"/>
  <c r="H157" i="82"/>
  <c r="H71" i="82"/>
  <c r="H131" i="82"/>
  <c r="H78" i="82"/>
  <c r="D70" i="82"/>
  <c r="H50" i="82"/>
  <c r="H31" i="82"/>
  <c r="D44" i="82"/>
  <c r="H39" i="82"/>
  <c r="H137" i="82"/>
  <c r="D94" i="82"/>
  <c r="H171" i="82"/>
  <c r="H155" i="82"/>
  <c r="H37" i="82"/>
  <c r="H96" i="82"/>
  <c r="D82" i="82"/>
  <c r="D157" i="82"/>
  <c r="H34" i="82"/>
  <c r="H140" i="82"/>
  <c r="H107" i="82"/>
  <c r="D154" i="82"/>
  <c r="D107" i="82"/>
  <c r="H52" i="82"/>
  <c r="D98" i="82"/>
  <c r="H53" i="82"/>
  <c r="H49" i="82"/>
  <c r="H79" i="82"/>
  <c r="D66" i="82"/>
  <c r="D140" i="82"/>
  <c r="H55" i="82"/>
  <c r="D136" i="82"/>
  <c r="H8" i="82"/>
  <c r="H10" i="82"/>
  <c r="H139" i="82"/>
  <c r="D149" i="82"/>
  <c r="H32" i="82"/>
  <c r="H89" i="82"/>
  <c r="D90" i="82"/>
  <c r="B95" i="198" s="1"/>
  <c r="D104" i="82"/>
  <c r="H16" i="82"/>
  <c r="D36" i="82"/>
  <c r="H64" i="82"/>
  <c r="H159" i="82"/>
  <c r="D161" i="82"/>
  <c r="H134" i="82"/>
  <c r="D148" i="82"/>
  <c r="H146" i="82"/>
  <c r="D89" i="82"/>
  <c r="D114" i="82"/>
  <c r="D175" i="82"/>
  <c r="H88" i="82"/>
  <c r="D147" i="82"/>
  <c r="H148" i="82"/>
  <c r="H38" i="82"/>
  <c r="D111" i="82"/>
  <c r="H60" i="82"/>
  <c r="D86" i="82"/>
  <c r="D120" i="82"/>
  <c r="D53" i="82"/>
  <c r="D35" i="82"/>
  <c r="D159" i="82"/>
  <c r="D38" i="82"/>
  <c r="H112" i="82"/>
  <c r="H117" i="82"/>
  <c r="D119" i="82"/>
  <c r="D96" i="82"/>
  <c r="D67" i="82"/>
  <c r="D58" i="82"/>
  <c r="H61" i="82"/>
  <c r="H115" i="82"/>
  <c r="H56" i="82"/>
  <c r="H174" i="82"/>
  <c r="D103" i="82"/>
  <c r="H116" i="82"/>
  <c r="H102" i="82"/>
  <c r="D40" i="82"/>
  <c r="H85" i="82"/>
  <c r="H14" i="82"/>
  <c r="D146" i="82"/>
  <c r="H145" i="82"/>
  <c r="H125" i="82"/>
  <c r="D65" i="82"/>
  <c r="H86" i="82"/>
  <c r="H22" i="82"/>
  <c r="H42" i="82"/>
  <c r="D151" i="82"/>
  <c r="D139" i="82"/>
  <c r="H13" i="82"/>
  <c r="E3" i="189"/>
  <c r="C54" i="190"/>
  <c r="C56" i="190" s="1"/>
  <c r="D54" i="190"/>
  <c r="D56" i="190" s="1"/>
  <c r="C3" i="189"/>
  <c r="F54" i="190"/>
  <c r="F56" i="190" s="1"/>
  <c r="G54" i="190"/>
  <c r="G56" i="190" s="1"/>
  <c r="B107" i="150" l="1"/>
  <c r="B112" i="198"/>
  <c r="C34" i="150"/>
  <c r="C34" i="198"/>
  <c r="C169" i="150"/>
  <c r="C174" i="198"/>
  <c r="B50" i="150"/>
  <c r="B50" i="198"/>
  <c r="C177" i="150"/>
  <c r="C182" i="198"/>
  <c r="B77" i="150"/>
  <c r="B77" i="198"/>
  <c r="C108" i="150"/>
  <c r="C113" i="198"/>
  <c r="C78" i="150"/>
  <c r="C78" i="198"/>
  <c r="C128" i="150"/>
  <c r="C133" i="198"/>
  <c r="C42" i="150"/>
  <c r="C42" i="198"/>
  <c r="B150" i="150"/>
  <c r="B155" i="198"/>
  <c r="B159" i="150"/>
  <c r="B164" i="198"/>
  <c r="C47" i="150"/>
  <c r="C47" i="198"/>
  <c r="B163" i="150"/>
  <c r="B168" i="198"/>
  <c r="B46" i="150"/>
  <c r="B46" i="198"/>
  <c r="C172" i="150"/>
  <c r="C177" i="198"/>
  <c r="B126" i="150"/>
  <c r="B131" i="198"/>
  <c r="C114" i="150"/>
  <c r="C119" i="198"/>
  <c r="C33" i="150"/>
  <c r="C33" i="198"/>
  <c r="B62" i="150"/>
  <c r="B62" i="198"/>
  <c r="C72" i="150"/>
  <c r="C72" i="198"/>
  <c r="C165" i="150"/>
  <c r="C170" i="198"/>
  <c r="C134" i="150"/>
  <c r="C139" i="198"/>
  <c r="C12" i="150"/>
  <c r="C12" i="198"/>
  <c r="B83" i="150"/>
  <c r="B83" i="198"/>
  <c r="C35" i="150"/>
  <c r="C35" i="198"/>
  <c r="B59" i="150"/>
  <c r="B59" i="198"/>
  <c r="C144" i="150"/>
  <c r="C149" i="198"/>
  <c r="B37" i="150"/>
  <c r="B37" i="198"/>
  <c r="B76" i="150"/>
  <c r="B76" i="198"/>
  <c r="B112" i="150"/>
  <c r="B117" i="198"/>
  <c r="B138" i="150"/>
  <c r="B143" i="198"/>
  <c r="B125" i="150"/>
  <c r="B130" i="198"/>
  <c r="B90" i="150"/>
  <c r="B90" i="198"/>
  <c r="B122" i="150"/>
  <c r="B127" i="198"/>
  <c r="C57" i="150"/>
  <c r="C57" i="198"/>
  <c r="C73" i="150"/>
  <c r="C73" i="198"/>
  <c r="C11" i="150"/>
  <c r="C11" i="198"/>
  <c r="C29" i="150"/>
  <c r="C29" i="198"/>
  <c r="B75" i="150"/>
  <c r="B75" i="198"/>
  <c r="C120" i="150"/>
  <c r="C125" i="198"/>
  <c r="B74" i="150"/>
  <c r="B74" i="198"/>
  <c r="B89" i="150"/>
  <c r="B89" i="198"/>
  <c r="C50" i="150"/>
  <c r="C50" i="198"/>
  <c r="C89" i="150"/>
  <c r="C89" i="198"/>
  <c r="B80" i="150"/>
  <c r="B80" i="198"/>
  <c r="C74" i="150"/>
  <c r="C74" i="198"/>
  <c r="C30" i="150"/>
  <c r="C30" i="198"/>
  <c r="B151" i="150"/>
  <c r="B156" i="198"/>
  <c r="B124" i="150"/>
  <c r="B129" i="198"/>
  <c r="B85" i="150"/>
  <c r="B85" i="198"/>
  <c r="B39" i="150"/>
  <c r="B39" i="198"/>
  <c r="B142" i="150"/>
  <c r="B147" i="198"/>
  <c r="C175" i="150"/>
  <c r="C180" i="198"/>
  <c r="B108" i="150"/>
  <c r="B113" i="198"/>
  <c r="C9" i="150"/>
  <c r="B78" i="150"/>
  <c r="B78" i="198"/>
  <c r="B51" i="150"/>
  <c r="B51" i="198"/>
  <c r="C86" i="150"/>
  <c r="C86" i="198"/>
  <c r="B40" i="150"/>
  <c r="B40" i="198"/>
  <c r="C141" i="150"/>
  <c r="C146" i="198"/>
  <c r="C52" i="150"/>
  <c r="C52" i="198"/>
  <c r="B86" i="150"/>
  <c r="B86" i="198"/>
  <c r="B167" i="150"/>
  <c r="B172" i="198"/>
  <c r="B160" i="150"/>
  <c r="B165" i="198"/>
  <c r="B166" i="150"/>
  <c r="B171" i="198"/>
  <c r="C171" i="150"/>
  <c r="C176" i="198"/>
  <c r="C151" i="150"/>
  <c r="C156" i="198"/>
  <c r="B161" i="150"/>
  <c r="B166" i="198"/>
  <c r="B72" i="150"/>
  <c r="B72" i="198"/>
  <c r="B174" i="150"/>
  <c r="B179" i="198"/>
  <c r="C84" i="150"/>
  <c r="C84" i="198"/>
  <c r="C15" i="150"/>
  <c r="C15" i="198"/>
  <c r="B137" i="150"/>
  <c r="B142" i="198"/>
  <c r="C133" i="150"/>
  <c r="C138" i="198"/>
  <c r="B102" i="150"/>
  <c r="B106" i="198"/>
  <c r="B65" i="150"/>
  <c r="B65" i="198"/>
  <c r="B157" i="150"/>
  <c r="B162" i="198"/>
  <c r="B53" i="150"/>
  <c r="B53" i="198"/>
  <c r="C125" i="150"/>
  <c r="C130" i="198"/>
  <c r="B132" i="150"/>
  <c r="B137" i="198"/>
  <c r="C106" i="150"/>
  <c r="C111" i="198"/>
  <c r="B61" i="150"/>
  <c r="B61" i="198"/>
  <c r="B134" i="150"/>
  <c r="B139" i="198"/>
  <c r="B55" i="150"/>
  <c r="B55" i="198"/>
  <c r="B145" i="150"/>
  <c r="B150" i="198"/>
  <c r="B49" i="150"/>
  <c r="B49" i="198"/>
  <c r="C166" i="150"/>
  <c r="C171" i="198"/>
  <c r="C44" i="150"/>
  <c r="C44" i="198"/>
  <c r="B88" i="150"/>
  <c r="B88" i="198"/>
  <c r="C159" i="150"/>
  <c r="C164" i="198"/>
  <c r="C102" i="150"/>
  <c r="C106" i="198"/>
  <c r="C60" i="150"/>
  <c r="C60" i="198"/>
  <c r="B41" i="150"/>
  <c r="B41" i="198"/>
  <c r="C111" i="150"/>
  <c r="C116" i="198"/>
  <c r="B158" i="150"/>
  <c r="B163" i="198"/>
  <c r="C24" i="150"/>
  <c r="C24" i="198"/>
  <c r="C62" i="150"/>
  <c r="C62" i="198"/>
  <c r="B68" i="150"/>
  <c r="B68" i="198"/>
  <c r="C75" i="150"/>
  <c r="C75" i="198"/>
  <c r="B128" i="150"/>
  <c r="W196" i="150" s="1"/>
  <c r="B133" i="198"/>
  <c r="B152" i="150"/>
  <c r="B157" i="198"/>
  <c r="B176" i="150"/>
  <c r="B181" i="198"/>
  <c r="C154" i="150"/>
  <c r="C159" i="198"/>
  <c r="C88" i="150"/>
  <c r="C88" i="198"/>
  <c r="B113" i="150"/>
  <c r="B118" i="198"/>
  <c r="C81" i="150"/>
  <c r="C81" i="198"/>
  <c r="C49" i="150"/>
  <c r="C49" i="198"/>
  <c r="C95" i="150"/>
  <c r="C99" i="198"/>
  <c r="B94" i="150"/>
  <c r="B94" i="198"/>
  <c r="B93" i="150"/>
  <c r="B93" i="198"/>
  <c r="C21" i="150"/>
  <c r="C21" i="198"/>
  <c r="B64" i="150"/>
  <c r="B64" i="198"/>
  <c r="C155" i="150"/>
  <c r="C160" i="198"/>
  <c r="B48" i="150"/>
  <c r="B48" i="198"/>
  <c r="B58" i="150"/>
  <c r="B58" i="198"/>
  <c r="C127" i="150"/>
  <c r="C132" i="198"/>
  <c r="C150" i="150"/>
  <c r="C155" i="198"/>
  <c r="C55" i="150"/>
  <c r="C55" i="198"/>
  <c r="C174" i="150"/>
  <c r="C179" i="198"/>
  <c r="C27" i="150"/>
  <c r="C27" i="198"/>
  <c r="B95" i="150"/>
  <c r="B99" i="198"/>
  <c r="B45" i="150"/>
  <c r="B45" i="198"/>
  <c r="C99" i="150"/>
  <c r="C103" i="198"/>
  <c r="C130" i="150"/>
  <c r="C135" i="198"/>
  <c r="B99" i="150"/>
  <c r="B103" i="198"/>
  <c r="C164" i="150"/>
  <c r="C169" i="198"/>
  <c r="B146" i="150"/>
  <c r="B151" i="198"/>
  <c r="C131" i="150"/>
  <c r="C136" i="198"/>
  <c r="C156" i="150"/>
  <c r="C161" i="198"/>
  <c r="B153" i="150"/>
  <c r="B158" i="198"/>
  <c r="C160" i="150"/>
  <c r="C165" i="198"/>
  <c r="B67" i="150"/>
  <c r="B67" i="198"/>
  <c r="C40" i="150"/>
  <c r="C40" i="198"/>
  <c r="C51" i="150"/>
  <c r="C51" i="198"/>
  <c r="C132" i="150"/>
  <c r="C137" i="198"/>
  <c r="C149" i="150"/>
  <c r="C154" i="198"/>
  <c r="B114" i="150"/>
  <c r="B119" i="198"/>
  <c r="C61" i="150"/>
  <c r="C61" i="198"/>
  <c r="C138" i="150"/>
  <c r="C143" i="198"/>
  <c r="C22" i="150"/>
  <c r="C22" i="198"/>
  <c r="C68" i="150"/>
  <c r="C68" i="198"/>
  <c r="B54" i="150"/>
  <c r="B54" i="198"/>
  <c r="B79" i="150"/>
  <c r="B79" i="198"/>
  <c r="C53" i="150"/>
  <c r="C53" i="198"/>
  <c r="C112" i="150"/>
  <c r="C117" i="198"/>
  <c r="C77" i="150"/>
  <c r="C77" i="198"/>
  <c r="B143" i="150"/>
  <c r="B148" i="198"/>
  <c r="C178" i="150"/>
  <c r="C183" i="198"/>
  <c r="C80" i="150"/>
  <c r="C80" i="198"/>
  <c r="B179" i="150"/>
  <c r="B184" i="198"/>
  <c r="B141" i="150"/>
  <c r="B146" i="198"/>
  <c r="C70" i="150"/>
  <c r="C70" i="198"/>
  <c r="C31" i="150"/>
  <c r="C31" i="198"/>
  <c r="B56" i="150"/>
  <c r="B56" i="198"/>
  <c r="C135" i="150"/>
  <c r="C140" i="198"/>
  <c r="B149" i="150"/>
  <c r="B154" i="198"/>
  <c r="B100" i="150"/>
  <c r="B104" i="198"/>
  <c r="B111" i="150"/>
  <c r="B116" i="198"/>
  <c r="B103" i="150"/>
  <c r="B108" i="198"/>
  <c r="B115" i="150"/>
  <c r="B120" i="198"/>
  <c r="B148" i="150"/>
  <c r="B153" i="198"/>
  <c r="C54" i="150"/>
  <c r="C54" i="198"/>
  <c r="C152" i="150"/>
  <c r="C157" i="198"/>
  <c r="C71" i="150"/>
  <c r="C71" i="198"/>
  <c r="C97" i="150"/>
  <c r="C101" i="198"/>
  <c r="B44" i="150"/>
  <c r="B44" i="198"/>
  <c r="C64" i="150"/>
  <c r="C64" i="198"/>
  <c r="C16" i="150"/>
  <c r="C16" i="198"/>
  <c r="B177" i="150"/>
  <c r="B182" i="198"/>
  <c r="B109" i="150"/>
  <c r="B114" i="198"/>
  <c r="B173" i="150"/>
  <c r="B178" i="198"/>
  <c r="C121" i="150"/>
  <c r="C126" i="198"/>
  <c r="B170" i="150"/>
  <c r="B175" i="198"/>
  <c r="B127" i="150"/>
  <c r="B132" i="198"/>
  <c r="C153" i="150"/>
  <c r="C158" i="198"/>
  <c r="C87" i="150"/>
  <c r="C87" i="198"/>
  <c r="B116" i="150"/>
  <c r="B121" i="198"/>
  <c r="B156" i="150"/>
  <c r="B161" i="198"/>
  <c r="C23" i="150"/>
  <c r="C23" i="198"/>
  <c r="B52" i="150"/>
  <c r="B52" i="198"/>
  <c r="B168" i="150"/>
  <c r="B173" i="198"/>
  <c r="B73" i="150"/>
  <c r="B73" i="198"/>
  <c r="C76" i="150"/>
  <c r="C76" i="198"/>
  <c r="C20" i="150"/>
  <c r="C20" i="198"/>
  <c r="C94" i="150"/>
  <c r="C94" i="198"/>
  <c r="C43" i="150"/>
  <c r="C43" i="198"/>
  <c r="C147" i="150"/>
  <c r="C152" i="198"/>
  <c r="C101" i="150"/>
  <c r="C105" i="198"/>
  <c r="C170" i="150"/>
  <c r="C175" i="198"/>
  <c r="C90" i="150"/>
  <c r="C90" i="198"/>
  <c r="B42" i="150"/>
  <c r="B42" i="198"/>
  <c r="B91" i="150"/>
  <c r="B91" i="198"/>
  <c r="C109" i="150"/>
  <c r="C114" i="198"/>
  <c r="C32" i="150"/>
  <c r="C32" i="198"/>
  <c r="C28" i="150"/>
  <c r="C28" i="198"/>
  <c r="C46" i="150"/>
  <c r="C46" i="198"/>
  <c r="B144" i="150"/>
  <c r="B149" i="198"/>
  <c r="C103" i="150"/>
  <c r="C108" i="198"/>
  <c r="C48" i="150"/>
  <c r="C48" i="198"/>
  <c r="C118" i="150"/>
  <c r="C123" i="198"/>
  <c r="C136" i="150"/>
  <c r="C141" i="198"/>
  <c r="C92" i="150"/>
  <c r="C92" i="198"/>
  <c r="C119" i="150"/>
  <c r="C124" i="198"/>
  <c r="B169" i="150"/>
  <c r="B174" i="198"/>
  <c r="C122" i="150"/>
  <c r="C127" i="198"/>
  <c r="C10" i="150"/>
  <c r="C10" i="198"/>
  <c r="C107" i="150"/>
  <c r="C112" i="198"/>
  <c r="B133" i="150"/>
  <c r="B138" i="198"/>
  <c r="C104" i="150"/>
  <c r="C109" i="198"/>
  <c r="C148" i="150"/>
  <c r="C153" i="198"/>
  <c r="C142" i="150"/>
  <c r="C147" i="198"/>
  <c r="C67" i="150"/>
  <c r="C67" i="198"/>
  <c r="C129" i="150"/>
  <c r="C134" i="198"/>
  <c r="B147" i="150"/>
  <c r="B152" i="198"/>
  <c r="B172" i="150"/>
  <c r="B177" i="198"/>
  <c r="C124" i="150"/>
  <c r="C129" i="198"/>
  <c r="C13" i="150"/>
  <c r="C13" i="198"/>
  <c r="C105" i="150"/>
  <c r="C110" i="198"/>
  <c r="B117" i="150"/>
  <c r="B122" i="198"/>
  <c r="C123" i="150"/>
  <c r="C128" i="198"/>
  <c r="B131" i="150"/>
  <c r="B136" i="198"/>
  <c r="C36" i="150"/>
  <c r="C36" i="198"/>
  <c r="B105" i="150"/>
  <c r="B110" i="198"/>
  <c r="C137" i="150"/>
  <c r="C142" i="198"/>
  <c r="C176" i="150"/>
  <c r="C181" i="198"/>
  <c r="B140" i="150"/>
  <c r="B145" i="198"/>
  <c r="C145" i="150"/>
  <c r="C150" i="198"/>
  <c r="C17" i="150"/>
  <c r="C17" i="198"/>
  <c r="B101" i="150"/>
  <c r="B105" i="198"/>
  <c r="C82" i="150"/>
  <c r="C115" i="150"/>
  <c r="C120" i="198"/>
  <c r="B97" i="150"/>
  <c r="B101" i="198"/>
  <c r="B139" i="150"/>
  <c r="B144" i="198"/>
  <c r="C58" i="150"/>
  <c r="C58" i="198"/>
  <c r="C161" i="150"/>
  <c r="C166" i="198"/>
  <c r="C98" i="150"/>
  <c r="C102" i="198"/>
  <c r="B136" i="150"/>
  <c r="B141" i="198"/>
  <c r="B47" i="150"/>
  <c r="B47" i="198"/>
  <c r="C93" i="150"/>
  <c r="C93" i="198"/>
  <c r="B129" i="150"/>
  <c r="B134" i="198"/>
  <c r="C69" i="150"/>
  <c r="C69" i="198"/>
  <c r="C117" i="150"/>
  <c r="C122" i="198"/>
  <c r="C66" i="150"/>
  <c r="C66" i="198"/>
  <c r="C39" i="150"/>
  <c r="C39" i="198"/>
  <c r="C143" i="150"/>
  <c r="C148" i="198"/>
  <c r="B171" i="150"/>
  <c r="B176" i="198"/>
  <c r="B110" i="150"/>
  <c r="B115" i="198"/>
  <c r="B70" i="150"/>
  <c r="B70" i="198"/>
  <c r="C26" i="150"/>
  <c r="C26" i="198"/>
  <c r="C140" i="150"/>
  <c r="C145" i="198"/>
  <c r="C59" i="150"/>
  <c r="C59" i="198"/>
  <c r="C63" i="150"/>
  <c r="C63" i="198"/>
  <c r="B38" i="150"/>
  <c r="B38" i="198"/>
  <c r="C157" i="150"/>
  <c r="C162" i="198"/>
  <c r="B135" i="150"/>
  <c r="B140" i="198"/>
  <c r="C110" i="150"/>
  <c r="C115" i="198"/>
  <c r="C45" i="150"/>
  <c r="C45" i="198"/>
  <c r="B178" i="150"/>
  <c r="B183" i="198"/>
  <c r="C65" i="150"/>
  <c r="C65" i="198"/>
  <c r="C100" i="150"/>
  <c r="C104" i="198"/>
  <c r="C18" i="150"/>
  <c r="C18" i="198"/>
  <c r="C25" i="150"/>
  <c r="C25" i="198"/>
  <c r="B175" i="150"/>
  <c r="B180" i="198"/>
  <c r="C179" i="150"/>
  <c r="C184" i="198"/>
  <c r="B57" i="150"/>
  <c r="B57" i="198"/>
  <c r="B69" i="150"/>
  <c r="B69" i="198"/>
  <c r="B106" i="150"/>
  <c r="B111" i="198"/>
  <c r="B96" i="150"/>
  <c r="B100" i="198"/>
  <c r="B71" i="150"/>
  <c r="B71" i="198"/>
  <c r="B165" i="150"/>
  <c r="B170" i="198"/>
  <c r="B123" i="150"/>
  <c r="B128" i="198"/>
  <c r="B162" i="150"/>
  <c r="B167" i="198"/>
  <c r="C14" i="150"/>
  <c r="C14" i="198"/>
  <c r="C19" i="150"/>
  <c r="C19" i="198"/>
  <c r="B119" i="150"/>
  <c r="B124" i="198"/>
  <c r="B60" i="150"/>
  <c r="B60" i="198"/>
  <c r="C173" i="150"/>
  <c r="C178" i="198"/>
  <c r="C96" i="150"/>
  <c r="C100" i="198"/>
  <c r="B155" i="150"/>
  <c r="B160" i="198"/>
  <c r="B43" i="150"/>
  <c r="B43" i="198"/>
  <c r="B98" i="150"/>
  <c r="B102" i="198"/>
  <c r="B92" i="150"/>
  <c r="B92" i="198"/>
  <c r="C139" i="150"/>
  <c r="C144" i="198"/>
  <c r="C37" i="150"/>
  <c r="C37" i="198"/>
  <c r="C113" i="150"/>
  <c r="C118" i="198"/>
  <c r="C162" i="150"/>
  <c r="C167" i="198"/>
  <c r="B82" i="150"/>
  <c r="B82" i="198"/>
  <c r="C163" i="150"/>
  <c r="C168" i="198"/>
  <c r="C116" i="150"/>
  <c r="C121" i="198"/>
  <c r="B66" i="150"/>
  <c r="B66" i="198"/>
  <c r="B84" i="150"/>
  <c r="B84" i="198"/>
  <c r="C158" i="150"/>
  <c r="C163" i="198"/>
  <c r="B87" i="150"/>
  <c r="B87" i="198"/>
  <c r="C83" i="150"/>
  <c r="C83" i="198"/>
  <c r="C146" i="150"/>
  <c r="C151" i="198"/>
  <c r="B121" i="150"/>
  <c r="B126" i="198"/>
  <c r="C91" i="150"/>
  <c r="C91" i="198"/>
  <c r="C41" i="150"/>
  <c r="C41" i="198"/>
  <c r="B130" i="150"/>
  <c r="B135" i="198"/>
  <c r="C167" i="150"/>
  <c r="C172" i="198"/>
  <c r="B154" i="150"/>
  <c r="B159" i="198"/>
  <c r="B118" i="150"/>
  <c r="B123" i="198"/>
  <c r="C85" i="150"/>
  <c r="C85" i="198"/>
  <c r="C168" i="150"/>
  <c r="C173" i="198"/>
  <c r="B120" i="150"/>
  <c r="B125" i="198"/>
  <c r="B63" i="150"/>
  <c r="B63" i="198"/>
  <c r="B81" i="150"/>
  <c r="B81" i="198"/>
  <c r="B35" i="150"/>
  <c r="U6" i="158"/>
  <c r="J3" i="194"/>
  <c r="D3" i="194"/>
  <c r="G11" i="109"/>
  <c r="A4" i="114"/>
  <c r="A5" i="114"/>
  <c r="A6" i="114"/>
  <c r="A7" i="114"/>
  <c r="A8" i="114"/>
  <c r="A9" i="114"/>
  <c r="A10" i="114"/>
  <c r="A11" i="114"/>
  <c r="A12" i="114"/>
  <c r="A13" i="114"/>
  <c r="A14" i="114"/>
  <c r="A15" i="114"/>
  <c r="A16" i="114"/>
  <c r="A3" i="114"/>
  <c r="A12" i="112"/>
  <c r="E42" i="158"/>
  <c r="H179" i="150"/>
  <c r="C4" i="198" l="1"/>
  <c r="BA201" i="198"/>
  <c r="AP201" i="198" s="1"/>
  <c r="V6" i="158"/>
  <c r="I178" i="150"/>
  <c r="K178" i="150" s="1"/>
  <c r="H178" i="150"/>
  <c r="G178" i="150"/>
  <c r="G177" i="150"/>
  <c r="H177" i="150"/>
  <c r="G179" i="150"/>
  <c r="I177" i="150"/>
  <c r="I179" i="150"/>
  <c r="W6" i="158" l="1"/>
  <c r="I49" i="160"/>
  <c r="I43" i="160"/>
  <c r="I40" i="160"/>
  <c r="J8" i="160"/>
  <c r="B9" i="160"/>
  <c r="B8" i="160"/>
  <c r="B7" i="160"/>
  <c r="H48" i="160"/>
  <c r="H49" i="160" s="1"/>
  <c r="G48" i="160"/>
  <c r="G49" i="160" s="1"/>
  <c r="H42" i="160"/>
  <c r="G42" i="160"/>
  <c r="H39" i="160"/>
  <c r="J39" i="160" s="1"/>
  <c r="H38" i="160"/>
  <c r="J38" i="160" s="1"/>
  <c r="H37" i="160"/>
  <c r="H29" i="160"/>
  <c r="G32" i="160"/>
  <c r="G30" i="160"/>
  <c r="G29" i="160"/>
  <c r="G28" i="160"/>
  <c r="H26" i="160"/>
  <c r="H25" i="160"/>
  <c r="H22" i="160"/>
  <c r="H21" i="160"/>
  <c r="G23" i="160"/>
  <c r="G22" i="160"/>
  <c r="G21" i="160"/>
  <c r="H13" i="160"/>
  <c r="B39" i="160"/>
  <c r="B38" i="160"/>
  <c r="C10" i="160"/>
  <c r="D10" i="160"/>
  <c r="E10" i="160"/>
  <c r="F10" i="160"/>
  <c r="G9" i="160"/>
  <c r="H9" i="160"/>
  <c r="G7" i="160"/>
  <c r="I7" i="160" s="1"/>
  <c r="O19" i="160"/>
  <c r="P19" i="160"/>
  <c r="Q19" i="160"/>
  <c r="N19" i="160"/>
  <c r="R8" i="160"/>
  <c r="R9" i="160"/>
  <c r="R10" i="160"/>
  <c r="R11" i="160"/>
  <c r="R12" i="160"/>
  <c r="R13" i="160"/>
  <c r="R14" i="160"/>
  <c r="R15" i="160"/>
  <c r="R16" i="160"/>
  <c r="R17" i="160"/>
  <c r="R18" i="160"/>
  <c r="M18" i="160"/>
  <c r="M17" i="160"/>
  <c r="M16" i="160"/>
  <c r="M15" i="160"/>
  <c r="M14" i="160"/>
  <c r="D27" i="82"/>
  <c r="D28" i="82"/>
  <c r="D29" i="82"/>
  <c r="D30" i="82"/>
  <c r="D31" i="82"/>
  <c r="D32" i="82"/>
  <c r="B35" i="198" s="1"/>
  <c r="B8" i="26"/>
  <c r="G26" i="115"/>
  <c r="L33" i="114" l="1"/>
  <c r="AO190" i="198"/>
  <c r="E123" i="200"/>
  <c r="B34" i="150"/>
  <c r="B34" i="198"/>
  <c r="B33" i="150"/>
  <c r="B33" i="198"/>
  <c r="B31" i="150"/>
  <c r="B31" i="198"/>
  <c r="B32" i="150"/>
  <c r="B32" i="198"/>
  <c r="B30" i="150"/>
  <c r="B30" i="198"/>
  <c r="B29" i="150"/>
  <c r="A90" i="157"/>
  <c r="A7" i="111" s="1"/>
  <c r="E103" i="157"/>
  <c r="E53" i="157"/>
  <c r="E74" i="114" s="1"/>
  <c r="F3" i="194"/>
  <c r="A3" i="194"/>
  <c r="X6" i="158"/>
  <c r="H77" i="82"/>
  <c r="C82" i="198" s="1"/>
  <c r="J9" i="160"/>
  <c r="I10" i="160"/>
  <c r="I19" i="160" s="1"/>
  <c r="I50" i="160" s="1"/>
  <c r="J7" i="160"/>
  <c r="H40" i="160"/>
  <c r="G40" i="160"/>
  <c r="G10" i="160"/>
  <c r="H10" i="160"/>
  <c r="C79" i="150" l="1"/>
  <c r="C79" i="198"/>
  <c r="C180" i="158"/>
  <c r="C181" i="158"/>
  <c r="B180" i="158"/>
  <c r="C75" i="158"/>
  <c r="C41" i="158"/>
  <c r="C56" i="158"/>
  <c r="C160" i="158"/>
  <c r="C127" i="158"/>
  <c r="C80" i="158"/>
  <c r="C92" i="158"/>
  <c r="C46" i="158"/>
  <c r="C17" i="158"/>
  <c r="C174" i="158"/>
  <c r="C150" i="158"/>
  <c r="C109" i="158"/>
  <c r="C167" i="158"/>
  <c r="C60" i="158"/>
  <c r="C67" i="158"/>
  <c r="C157" i="158"/>
  <c r="C57" i="158"/>
  <c r="C143" i="158"/>
  <c r="C110" i="158"/>
  <c r="C119" i="158"/>
  <c r="C90" i="158"/>
  <c r="C147" i="158"/>
  <c r="C108" i="158"/>
  <c r="C82" i="158"/>
  <c r="C170" i="158"/>
  <c r="C58" i="158"/>
  <c r="C42" i="158"/>
  <c r="C13" i="158"/>
  <c r="C107" i="158"/>
  <c r="C72" i="158"/>
  <c r="C132" i="158"/>
  <c r="C33" i="158"/>
  <c r="C164" i="158"/>
  <c r="C140" i="158"/>
  <c r="C116" i="158"/>
  <c r="C30" i="158"/>
  <c r="C66" i="158"/>
  <c r="C85" i="158"/>
  <c r="C151" i="158"/>
  <c r="C20" i="158"/>
  <c r="C73" i="158"/>
  <c r="C74" i="158"/>
  <c r="C94" i="158"/>
  <c r="C113" i="158"/>
  <c r="C54" i="158"/>
  <c r="C65" i="158"/>
  <c r="C166" i="158"/>
  <c r="C61" i="158"/>
  <c r="C52" i="158"/>
  <c r="C44" i="158"/>
  <c r="C173" i="158"/>
  <c r="C9" i="158"/>
  <c r="C124" i="158"/>
  <c r="C129" i="158"/>
  <c r="C130" i="158"/>
  <c r="C51" i="158"/>
  <c r="C128" i="158"/>
  <c r="B102" i="158"/>
  <c r="B133" i="158"/>
  <c r="C97" i="158"/>
  <c r="C81" i="158"/>
  <c r="C103" i="158"/>
  <c r="C135" i="158"/>
  <c r="C49" i="158"/>
  <c r="B109" i="158"/>
  <c r="C29" i="158"/>
  <c r="C122" i="158"/>
  <c r="B74" i="158"/>
  <c r="B23" i="158"/>
  <c r="B150" i="158"/>
  <c r="B24" i="158"/>
  <c r="C38" i="158"/>
  <c r="C102" i="158"/>
  <c r="C16" i="158"/>
  <c r="C125" i="158"/>
  <c r="C71" i="158"/>
  <c r="C148" i="158"/>
  <c r="C136" i="158"/>
  <c r="C21" i="158"/>
  <c r="B136" i="158"/>
  <c r="C159" i="158"/>
  <c r="B115" i="158"/>
  <c r="C118" i="158"/>
  <c r="B52" i="158"/>
  <c r="B78" i="158"/>
  <c r="C55" i="158"/>
  <c r="C93" i="158"/>
  <c r="C64" i="158"/>
  <c r="C79" i="158"/>
  <c r="C141" i="158"/>
  <c r="B39" i="158"/>
  <c r="B10" i="158"/>
  <c r="B38" i="158"/>
  <c r="B25" i="158"/>
  <c r="B139" i="158"/>
  <c r="C98" i="158"/>
  <c r="C101" i="158"/>
  <c r="C138" i="158"/>
  <c r="C77" i="158"/>
  <c r="C149" i="158"/>
  <c r="B13" i="158"/>
  <c r="B47" i="158"/>
  <c r="C172" i="158"/>
  <c r="C162" i="158"/>
  <c r="C137" i="158"/>
  <c r="C99" i="158"/>
  <c r="C40" i="158"/>
  <c r="C76" i="158"/>
  <c r="C145" i="158"/>
  <c r="B176" i="158"/>
  <c r="C84" i="158"/>
  <c r="B156" i="158"/>
  <c r="C11" i="158"/>
  <c r="C121" i="158"/>
  <c r="C131" i="158"/>
  <c r="C178" i="158"/>
  <c r="C133" i="158"/>
  <c r="C144" i="158"/>
  <c r="C163" i="158"/>
  <c r="C100" i="158"/>
  <c r="C47" i="158"/>
  <c r="B159" i="158"/>
  <c r="B11" i="158"/>
  <c r="C117" i="158"/>
  <c r="C62" i="158"/>
  <c r="C36" i="158"/>
  <c r="C25" i="158"/>
  <c r="B63" i="158"/>
  <c r="C12" i="158"/>
  <c r="B110" i="158"/>
  <c r="C31" i="158"/>
  <c r="C53" i="158"/>
  <c r="B170" i="158"/>
  <c r="B48" i="158"/>
  <c r="C161" i="158"/>
  <c r="C168" i="158"/>
  <c r="C146" i="158"/>
  <c r="C175" i="158"/>
  <c r="C169" i="158"/>
  <c r="C88" i="158"/>
  <c r="C106" i="158"/>
  <c r="C96" i="158"/>
  <c r="C112" i="158"/>
  <c r="B41" i="158"/>
  <c r="C39" i="158"/>
  <c r="C154" i="158"/>
  <c r="C14" i="158"/>
  <c r="B128" i="158"/>
  <c r="W194" i="158" s="1"/>
  <c r="L194" i="158" s="1"/>
  <c r="B101" i="158"/>
  <c r="C126" i="158"/>
  <c r="C105" i="158"/>
  <c r="C43" i="158"/>
  <c r="B83" i="158"/>
  <c r="B88" i="158"/>
  <c r="C63" i="158"/>
  <c r="C111" i="158"/>
  <c r="C89" i="158"/>
  <c r="C152" i="158"/>
  <c r="C37" i="158"/>
  <c r="B80" i="158"/>
  <c r="B118" i="158"/>
  <c r="C95" i="158"/>
  <c r="C50" i="158"/>
  <c r="C10" i="158"/>
  <c r="C35" i="158"/>
  <c r="C83" i="158"/>
  <c r="C120" i="158"/>
  <c r="B105" i="158"/>
  <c r="B79" i="158"/>
  <c r="C22" i="158"/>
  <c r="C87" i="158"/>
  <c r="C26" i="158"/>
  <c r="B35" i="158"/>
  <c r="B166" i="158"/>
  <c r="C153" i="158"/>
  <c r="C155" i="158"/>
  <c r="C123" i="158"/>
  <c r="C86" i="158"/>
  <c r="B34" i="158"/>
  <c r="B147" i="158"/>
  <c r="C34" i="158"/>
  <c r="C68" i="158"/>
  <c r="C69" i="158"/>
  <c r="C24" i="158"/>
  <c r="C32" i="158"/>
  <c r="B44" i="158"/>
  <c r="B57" i="158"/>
  <c r="B134" i="158"/>
  <c r="C19" i="158"/>
  <c r="B140" i="158"/>
  <c r="B73" i="158"/>
  <c r="C158" i="158"/>
  <c r="S197" i="158" s="1"/>
  <c r="C134" i="158"/>
  <c r="C165" i="158"/>
  <c r="C78" i="158"/>
  <c r="B112" i="158"/>
  <c r="B154" i="158"/>
  <c r="C142" i="158"/>
  <c r="C115" i="158"/>
  <c r="C27" i="158"/>
  <c r="C104" i="158"/>
  <c r="C176" i="158"/>
  <c r="B130" i="158"/>
  <c r="B37" i="158"/>
  <c r="C48" i="158"/>
  <c r="C91" i="158"/>
  <c r="C28" i="158"/>
  <c r="C171" i="158"/>
  <c r="C156" i="158"/>
  <c r="C139" i="158"/>
  <c r="B145" i="158"/>
  <c r="B76" i="158"/>
  <c r="C15" i="158"/>
  <c r="C23" i="158"/>
  <c r="C59" i="158"/>
  <c r="C70" i="158"/>
  <c r="B26" i="158"/>
  <c r="C177" i="158"/>
  <c r="C45" i="158"/>
  <c r="C114" i="158"/>
  <c r="C179" i="158"/>
  <c r="C18" i="158"/>
  <c r="B9" i="158"/>
  <c r="B81" i="158"/>
  <c r="B43" i="158"/>
  <c r="B117" i="158"/>
  <c r="B167" i="158"/>
  <c r="B12" i="158"/>
  <c r="B82" i="158"/>
  <c r="B125" i="158"/>
  <c r="B30" i="158"/>
  <c r="B175" i="158"/>
  <c r="B177" i="158"/>
  <c r="B95" i="158"/>
  <c r="B19" i="158"/>
  <c r="B120" i="158"/>
  <c r="B59" i="158"/>
  <c r="B28" i="158"/>
  <c r="B56" i="158"/>
  <c r="B46" i="158"/>
  <c r="B51" i="158"/>
  <c r="B138" i="158"/>
  <c r="B129" i="158"/>
  <c r="B173" i="158"/>
  <c r="B17" i="158"/>
  <c r="B29" i="158"/>
  <c r="B149" i="158"/>
  <c r="B127" i="158"/>
  <c r="B178" i="158"/>
  <c r="B132" i="158"/>
  <c r="B33" i="158"/>
  <c r="B53" i="158"/>
  <c r="B174" i="158"/>
  <c r="B60" i="158"/>
  <c r="B65" i="158"/>
  <c r="B87" i="158"/>
  <c r="B144" i="158"/>
  <c r="B143" i="158"/>
  <c r="B103" i="158"/>
  <c r="B114" i="158"/>
  <c r="B96" i="158"/>
  <c r="B15" i="158"/>
  <c r="B135" i="158"/>
  <c r="B85" i="158"/>
  <c r="B160" i="158"/>
  <c r="B142" i="158"/>
  <c r="B69" i="158"/>
  <c r="B171" i="158"/>
  <c r="B104" i="158"/>
  <c r="B148" i="158"/>
  <c r="B124" i="158"/>
  <c r="B106" i="158"/>
  <c r="B64" i="158"/>
  <c r="B16" i="158"/>
  <c r="B164" i="158"/>
  <c r="B123" i="158"/>
  <c r="B49" i="158"/>
  <c r="B84" i="158"/>
  <c r="B70" i="158"/>
  <c r="B54" i="158"/>
  <c r="B157" i="158"/>
  <c r="B27" i="158"/>
  <c r="B131" i="158"/>
  <c r="B97" i="158"/>
  <c r="B137" i="158"/>
  <c r="B45" i="158"/>
  <c r="B121" i="158"/>
  <c r="B116" i="158"/>
  <c r="B20" i="158"/>
  <c r="B93" i="158"/>
  <c r="B168" i="158"/>
  <c r="B72" i="158"/>
  <c r="B119" i="158"/>
  <c r="B40" i="158"/>
  <c r="B71" i="158"/>
  <c r="B94" i="158"/>
  <c r="B111" i="158"/>
  <c r="B108" i="158"/>
  <c r="B152" i="158"/>
  <c r="B98" i="158"/>
  <c r="B62" i="158"/>
  <c r="B100" i="158"/>
  <c r="B86" i="158"/>
  <c r="B141" i="158"/>
  <c r="B77" i="158"/>
  <c r="B50" i="158"/>
  <c r="B75" i="158"/>
  <c r="B122" i="158"/>
  <c r="B31" i="158"/>
  <c r="B14" i="158"/>
  <c r="B55" i="158"/>
  <c r="B146" i="158"/>
  <c r="B21" i="158"/>
  <c r="B163" i="158"/>
  <c r="B90" i="158"/>
  <c r="B18" i="158"/>
  <c r="B22" i="158"/>
  <c r="B126" i="158"/>
  <c r="B68" i="158"/>
  <c r="B155" i="158"/>
  <c r="B66" i="158"/>
  <c r="B89" i="158"/>
  <c r="B61" i="158"/>
  <c r="B172" i="158"/>
  <c r="B179" i="158"/>
  <c r="B151" i="158"/>
  <c r="B107" i="158"/>
  <c r="B158" i="158"/>
  <c r="B32" i="158"/>
  <c r="B161" i="158"/>
  <c r="B165" i="158"/>
  <c r="B99" i="158"/>
  <c r="B92" i="158"/>
  <c r="B58" i="158"/>
  <c r="B113" i="158"/>
  <c r="B169" i="158"/>
  <c r="B91" i="158"/>
  <c r="B36" i="158"/>
  <c r="B153" i="158"/>
  <c r="B67" i="158"/>
  <c r="B42" i="158"/>
  <c r="B162" i="158"/>
  <c r="Y6" i="158"/>
  <c r="J10" i="160"/>
  <c r="E111" i="157" l="1"/>
  <c r="E131" i="200"/>
  <c r="B4" i="158"/>
  <c r="C4" i="158"/>
  <c r="Z6" i="158"/>
  <c r="V17" i="109"/>
  <c r="T17" i="109"/>
  <c r="R17" i="109"/>
  <c r="P17" i="109"/>
  <c r="AD28" i="114"/>
  <c r="G13" i="115"/>
  <c r="G14" i="115"/>
  <c r="AA6" i="158" l="1"/>
  <c r="AB29" i="114"/>
  <c r="G24" i="115"/>
  <c r="AF28" i="114"/>
  <c r="Z29" i="114"/>
  <c r="AD29" i="114"/>
  <c r="G10" i="115"/>
  <c r="G11" i="115"/>
  <c r="N5" i="114"/>
  <c r="X7" i="114"/>
  <c r="AB6" i="158" l="1"/>
  <c r="G23" i="115"/>
  <c r="AF29" i="114"/>
  <c r="AC6" i="158" l="1"/>
  <c r="E146" i="157"/>
  <c r="R218" i="107" l="1"/>
  <c r="P218" i="107" s="1"/>
  <c r="D5" i="111"/>
  <c r="A4" i="111"/>
  <c r="D6" i="111"/>
  <c r="D4" i="111"/>
  <c r="P225" i="107" l="1"/>
  <c r="L53" i="157" l="1"/>
  <c r="H9" i="159"/>
  <c r="B7" i="97"/>
  <c r="B8" i="97"/>
  <c r="B9" i="97"/>
  <c r="B10" i="97"/>
  <c r="B11" i="97"/>
  <c r="B12" i="97"/>
  <c r="B13" i="97"/>
  <c r="B14" i="97"/>
  <c r="B15" i="97"/>
  <c r="B16" i="97"/>
  <c r="B17" i="97"/>
  <c r="B18" i="97"/>
  <c r="B19" i="97"/>
  <c r="B20" i="97"/>
  <c r="B21" i="97"/>
  <c r="B22" i="97"/>
  <c r="B23" i="97"/>
  <c r="B24" i="97"/>
  <c r="B25" i="97"/>
  <c r="B26" i="97"/>
  <c r="B27" i="97"/>
  <c r="B28" i="97"/>
  <c r="B29" i="97"/>
  <c r="B30" i="97"/>
  <c r="B31" i="97"/>
  <c r="B32" i="97"/>
  <c r="B33" i="97"/>
  <c r="B34" i="97"/>
  <c r="B35" i="97"/>
  <c r="B36" i="97"/>
  <c r="B37" i="97"/>
  <c r="B38" i="97"/>
  <c r="B39" i="97"/>
  <c r="B40" i="97"/>
  <c r="C40" i="97" s="1"/>
  <c r="B41" i="97"/>
  <c r="C41" i="97" s="1"/>
  <c r="B42" i="97"/>
  <c r="C42" i="97" s="1"/>
  <c r="B43" i="97"/>
  <c r="B44" i="97"/>
  <c r="B45" i="97"/>
  <c r="B46" i="97"/>
  <c r="B47" i="97"/>
  <c r="B48" i="97"/>
  <c r="B49" i="97"/>
  <c r="B50" i="97"/>
  <c r="B51" i="97"/>
  <c r="B52" i="97"/>
  <c r="B53" i="97"/>
  <c r="B54" i="97"/>
  <c r="B55" i="97"/>
  <c r="B56" i="97"/>
  <c r="B57" i="97"/>
  <c r="B58" i="97"/>
  <c r="B59" i="97"/>
  <c r="B60" i="97"/>
  <c r="B61" i="97"/>
  <c r="B62" i="97"/>
  <c r="B63" i="97"/>
  <c r="B64" i="97"/>
  <c r="B65" i="97"/>
  <c r="B66" i="97"/>
  <c r="B67" i="97"/>
  <c r="B68" i="97"/>
  <c r="B69" i="97"/>
  <c r="B70" i="97"/>
  <c r="B71" i="97"/>
  <c r="B72" i="97"/>
  <c r="B73" i="97"/>
  <c r="B74" i="97"/>
  <c r="B75" i="97"/>
  <c r="B76" i="97"/>
  <c r="B77" i="97"/>
  <c r="B78" i="97"/>
  <c r="B79" i="97"/>
  <c r="B80" i="97"/>
  <c r="B81" i="97"/>
  <c r="B82" i="97"/>
  <c r="B83" i="97"/>
  <c r="B84" i="97"/>
  <c r="B85" i="97"/>
  <c r="F15" i="160" l="1"/>
  <c r="F14" i="160"/>
  <c r="A8" i="104"/>
  <c r="A9" i="104"/>
  <c r="A10" i="104"/>
  <c r="A11" i="104"/>
  <c r="A12" i="104"/>
  <c r="A13" i="104"/>
  <c r="A14" i="104"/>
  <c r="A15" i="104"/>
  <c r="A16" i="104"/>
  <c r="A17" i="104"/>
  <c r="A18" i="104"/>
  <c r="A19" i="104"/>
  <c r="A20" i="104"/>
  <c r="A21" i="104"/>
  <c r="A22" i="104"/>
  <c r="A23" i="104"/>
  <c r="A24" i="104"/>
  <c r="A25" i="104"/>
  <c r="A26" i="104"/>
  <c r="A27" i="104"/>
  <c r="A28" i="104"/>
  <c r="A29" i="104"/>
  <c r="A30" i="104"/>
  <c r="A31" i="104"/>
  <c r="A32" i="104"/>
  <c r="A33" i="104"/>
  <c r="A34" i="104"/>
  <c r="A35" i="104"/>
  <c r="A36" i="104"/>
  <c r="A37" i="104"/>
  <c r="A38" i="104"/>
  <c r="A39" i="104"/>
  <c r="A40" i="104"/>
  <c r="A41" i="104"/>
  <c r="A42" i="104"/>
  <c r="A43" i="104"/>
  <c r="A44" i="104"/>
  <c r="A45" i="104"/>
  <c r="A46" i="104"/>
  <c r="A47" i="104"/>
  <c r="A48" i="104"/>
  <c r="A49" i="104"/>
  <c r="A50" i="104"/>
  <c r="A51" i="104"/>
  <c r="A52" i="104"/>
  <c r="A53" i="104"/>
  <c r="A54" i="104"/>
  <c r="A55" i="104"/>
  <c r="A56" i="104"/>
  <c r="A57" i="104"/>
  <c r="A58" i="104"/>
  <c r="A59" i="104"/>
  <c r="A60" i="104"/>
  <c r="A61" i="104"/>
  <c r="A62" i="104"/>
  <c r="A63" i="104"/>
  <c r="A64" i="104"/>
  <c r="A65" i="104"/>
  <c r="A66" i="104"/>
  <c r="A67" i="104"/>
  <c r="A68" i="104"/>
  <c r="A69" i="104"/>
  <c r="A70" i="104"/>
  <c r="A71" i="104"/>
  <c r="A72" i="104"/>
  <c r="A73" i="104"/>
  <c r="A74" i="104"/>
  <c r="A75" i="104"/>
  <c r="A76" i="104"/>
  <c r="A77" i="104"/>
  <c r="A78" i="104"/>
  <c r="A79" i="104"/>
  <c r="A80" i="104"/>
  <c r="A81" i="104"/>
  <c r="A82" i="104"/>
  <c r="A83" i="104"/>
  <c r="A84" i="104"/>
  <c r="A85" i="104"/>
  <c r="A86" i="104"/>
  <c r="A87" i="104"/>
  <c r="A88" i="104"/>
  <c r="A89" i="104"/>
  <c r="A90" i="104"/>
  <c r="A91" i="104"/>
  <c r="A92" i="104"/>
  <c r="A93" i="104"/>
  <c r="A94" i="104"/>
  <c r="A95" i="104"/>
  <c r="A96" i="104"/>
  <c r="A97" i="104"/>
  <c r="A98" i="104"/>
  <c r="A99" i="104"/>
  <c r="A100" i="104"/>
  <c r="A101" i="104"/>
  <c r="A102" i="104"/>
  <c r="A103" i="104"/>
  <c r="A104" i="104"/>
  <c r="A105" i="104"/>
  <c r="A106" i="104"/>
  <c r="A107" i="104"/>
  <c r="A108" i="104"/>
  <c r="A109" i="104"/>
  <c r="A110" i="104"/>
  <c r="A111" i="104"/>
  <c r="A112" i="104"/>
  <c r="A113" i="104"/>
  <c r="A114" i="104"/>
  <c r="A115" i="104"/>
  <c r="A116" i="104"/>
  <c r="A117" i="104"/>
  <c r="A118" i="104"/>
  <c r="A119" i="104"/>
  <c r="A120" i="104"/>
  <c r="A121" i="104"/>
  <c r="A122" i="104"/>
  <c r="A123" i="104"/>
  <c r="A124" i="104"/>
  <c r="A125" i="104"/>
  <c r="A126" i="104"/>
  <c r="A127" i="104"/>
  <c r="A128" i="104"/>
  <c r="A129" i="104"/>
  <c r="A130" i="104"/>
  <c r="A131" i="104"/>
  <c r="A132" i="104"/>
  <c r="A133" i="104"/>
  <c r="A134" i="104"/>
  <c r="A135" i="104"/>
  <c r="A136" i="104"/>
  <c r="A137" i="104"/>
  <c r="A138" i="104"/>
  <c r="A139" i="104"/>
  <c r="A140" i="104"/>
  <c r="A141" i="104"/>
  <c r="A142" i="104"/>
  <c r="A143" i="104"/>
  <c r="A144" i="104"/>
  <c r="A145" i="104"/>
  <c r="A146" i="104"/>
  <c r="A147" i="104"/>
  <c r="A148" i="104"/>
  <c r="A149" i="104"/>
  <c r="A150" i="104"/>
  <c r="A151" i="104"/>
  <c r="A152" i="104"/>
  <c r="A153" i="104"/>
  <c r="A154" i="104"/>
  <c r="A155" i="104"/>
  <c r="A156" i="104"/>
  <c r="A157" i="104"/>
  <c r="A158" i="104"/>
  <c r="A159" i="104"/>
  <c r="A160" i="104"/>
  <c r="A161" i="104"/>
  <c r="A162" i="104"/>
  <c r="A163" i="104"/>
  <c r="A164" i="104"/>
  <c r="A165" i="104"/>
  <c r="A166" i="104"/>
  <c r="A167" i="104"/>
  <c r="A168" i="104"/>
  <c r="A169" i="104"/>
  <c r="A170" i="104"/>
  <c r="A171" i="104"/>
  <c r="A172" i="104"/>
  <c r="A173" i="104"/>
  <c r="A174" i="104"/>
  <c r="A175" i="104"/>
  <c r="A176" i="104"/>
  <c r="A177" i="104"/>
  <c r="A178" i="104"/>
  <c r="G127" i="162"/>
  <c r="H8" i="162"/>
  <c r="H9" i="162" s="1"/>
  <c r="H10" i="162" s="1"/>
  <c r="H11" i="162" s="1"/>
  <c r="H12" i="162" s="1"/>
  <c r="H13" i="162" s="1"/>
  <c r="H14" i="162" s="1"/>
  <c r="H15" i="162" s="1"/>
  <c r="H16" i="162" s="1"/>
  <c r="H17" i="162" s="1"/>
  <c r="H18" i="162" s="1"/>
  <c r="H19" i="162" s="1"/>
  <c r="H20" i="162" s="1"/>
  <c r="H21" i="162" s="1"/>
  <c r="H22" i="162" s="1"/>
  <c r="H23" i="162" s="1"/>
  <c r="H24" i="162" s="1"/>
  <c r="H25" i="162" s="1"/>
  <c r="H26" i="162" s="1"/>
  <c r="H27" i="162" s="1"/>
  <c r="H28" i="162" s="1"/>
  <c r="H29" i="162" s="1"/>
  <c r="H30" i="162" s="1"/>
  <c r="H31" i="162" s="1"/>
  <c r="H32" i="162" s="1"/>
  <c r="H33" i="162" s="1"/>
  <c r="H34" i="162" s="1"/>
  <c r="H35" i="162" s="1"/>
  <c r="H36" i="162" s="1"/>
  <c r="H37" i="162" s="1"/>
  <c r="H38" i="162" s="1"/>
  <c r="H39" i="162" s="1"/>
  <c r="H40" i="162" s="1"/>
  <c r="H41" i="162" s="1"/>
  <c r="H42" i="162" s="1"/>
  <c r="H43" i="162" s="1"/>
  <c r="H44" i="162" s="1"/>
  <c r="H45" i="162" s="1"/>
  <c r="H46" i="162" s="1"/>
  <c r="H47" i="162" s="1"/>
  <c r="H48" i="162" s="1"/>
  <c r="H49" i="162" s="1"/>
  <c r="H50" i="162" s="1"/>
  <c r="H51" i="162" s="1"/>
  <c r="H52" i="162" s="1"/>
  <c r="H53" i="162" s="1"/>
  <c r="H54" i="162" s="1"/>
  <c r="H55" i="162" s="1"/>
  <c r="H56" i="162" s="1"/>
  <c r="H57" i="162" s="1"/>
  <c r="H58" i="162" s="1"/>
  <c r="H59" i="162" s="1"/>
  <c r="H60" i="162" s="1"/>
  <c r="H61" i="162" s="1"/>
  <c r="H62" i="162" s="1"/>
  <c r="H63" i="162" s="1"/>
  <c r="H64" i="162" s="1"/>
  <c r="H65" i="162" s="1"/>
  <c r="H66" i="162" s="1"/>
  <c r="H67" i="162" s="1"/>
  <c r="H68" i="162" s="1"/>
  <c r="H69" i="162" s="1"/>
  <c r="H70" i="162" s="1"/>
  <c r="H71" i="162" s="1"/>
  <c r="H72" i="162" s="1"/>
  <c r="H73" i="162" s="1"/>
  <c r="H74" i="162" s="1"/>
  <c r="H75" i="162" s="1"/>
  <c r="H76" i="162" s="1"/>
  <c r="H77" i="162" s="1"/>
  <c r="H78" i="162" s="1"/>
  <c r="H79" i="162" s="1"/>
  <c r="H80" i="162" s="1"/>
  <c r="H81" i="162" s="1"/>
  <c r="H82" i="162" s="1"/>
  <c r="H83" i="162" s="1"/>
  <c r="H84" i="162" s="1"/>
  <c r="H85" i="162" s="1"/>
  <c r="H86" i="162" s="1"/>
  <c r="H87" i="162" s="1"/>
  <c r="H88" i="162" s="1"/>
  <c r="H89" i="162" s="1"/>
  <c r="H90" i="162" s="1"/>
  <c r="H91" i="162" s="1"/>
  <c r="H92" i="162" s="1"/>
  <c r="H93" i="162" s="1"/>
  <c r="H94" i="162" s="1"/>
  <c r="H95" i="162" s="1"/>
  <c r="H96" i="162" s="1"/>
  <c r="H97" i="162" s="1"/>
  <c r="H98" i="162" s="1"/>
  <c r="H99" i="162" s="1"/>
  <c r="H100" i="162" s="1"/>
  <c r="H101" i="162" s="1"/>
  <c r="H102" i="162" s="1"/>
  <c r="H103" i="162" s="1"/>
  <c r="H104" i="162" s="1"/>
  <c r="H105" i="162" s="1"/>
  <c r="H106" i="162" s="1"/>
  <c r="H107" i="162" s="1"/>
  <c r="H108" i="162" s="1"/>
  <c r="H109" i="162" s="1"/>
  <c r="H110" i="162" s="1"/>
  <c r="H111" i="162" s="1"/>
  <c r="H112" i="162" s="1"/>
  <c r="H113" i="162" s="1"/>
  <c r="H114" i="162" s="1"/>
  <c r="H115" i="162" s="1"/>
  <c r="H116" i="162" s="1"/>
  <c r="H117" i="162" s="1"/>
  <c r="H118" i="162" s="1"/>
  <c r="H119" i="162" s="1"/>
  <c r="H120" i="162" s="1"/>
  <c r="H121" i="162" s="1"/>
  <c r="H122" i="162" s="1"/>
  <c r="H123" i="162" s="1"/>
  <c r="H124" i="162" s="1"/>
  <c r="H125" i="162" s="1"/>
  <c r="H126" i="162" s="1"/>
  <c r="I25" i="163"/>
  <c r="J7" i="169"/>
  <c r="J8" i="169" s="1"/>
  <c r="J9" i="169" s="1"/>
  <c r="J10" i="169" s="1"/>
  <c r="J11" i="169" s="1"/>
  <c r="J12" i="169" s="1"/>
  <c r="J13" i="169" s="1"/>
  <c r="J14" i="169" s="1"/>
  <c r="J15" i="169" s="1"/>
  <c r="J16" i="169" s="1"/>
  <c r="J17" i="169" s="1"/>
  <c r="J18" i="169" s="1"/>
  <c r="J19" i="169" s="1"/>
  <c r="J20" i="169" s="1"/>
  <c r="J21" i="169" s="1"/>
  <c r="J22" i="169" s="1"/>
  <c r="J23" i="169" s="1"/>
  <c r="J24" i="169" s="1"/>
  <c r="J25" i="169" s="1"/>
  <c r="J26" i="169" s="1"/>
  <c r="J27" i="169" s="1"/>
  <c r="J28" i="169" s="1"/>
  <c r="I29" i="169"/>
  <c r="I30" i="169" s="1"/>
  <c r="I7" i="167"/>
  <c r="I8" i="167" s="1"/>
  <c r="I9" i="167" s="1"/>
  <c r="I10" i="167" s="1"/>
  <c r="I11" i="167" s="1"/>
  <c r="I12" i="167" s="1"/>
  <c r="I13" i="167" s="1"/>
  <c r="I14" i="167" s="1"/>
  <c r="I15" i="167" s="1"/>
  <c r="I16" i="167" s="1"/>
  <c r="I17" i="167" s="1"/>
  <c r="I18" i="167" s="1"/>
  <c r="I19" i="167" s="1"/>
  <c r="I20" i="167" s="1"/>
  <c r="I21" i="167" s="1"/>
  <c r="I22" i="167" s="1"/>
  <c r="I23" i="167" s="1"/>
  <c r="I24" i="167" s="1"/>
  <c r="I25" i="167" s="1"/>
  <c r="I26" i="167" s="1"/>
  <c r="I27" i="167" s="1"/>
  <c r="I28" i="167" s="1"/>
  <c r="I29" i="167" s="1"/>
  <c r="I30" i="167" s="1"/>
  <c r="I31" i="167" s="1"/>
  <c r="I32" i="167" s="1"/>
  <c r="I33" i="167" s="1"/>
  <c r="H34" i="167"/>
  <c r="I22" i="164"/>
  <c r="I23" i="164" s="1"/>
  <c r="I24" i="164" s="1"/>
  <c r="J8" i="163"/>
  <c r="J9" i="163" s="1"/>
  <c r="J10" i="163" s="1"/>
  <c r="J11" i="163" s="1"/>
  <c r="J12" i="163" s="1"/>
  <c r="J13" i="163" s="1"/>
  <c r="J14" i="163" s="1"/>
  <c r="J15" i="163" s="1"/>
  <c r="J16" i="163" s="1"/>
  <c r="J17" i="163" s="1"/>
  <c r="J18" i="163" s="1"/>
  <c r="J19" i="163" s="1"/>
  <c r="J20" i="163" s="1"/>
  <c r="J21" i="163" s="1"/>
  <c r="J22" i="163" s="1"/>
  <c r="J23" i="163" s="1"/>
  <c r="J24" i="163" s="1"/>
  <c r="I26" i="163"/>
  <c r="I27" i="163" s="1"/>
  <c r="J8" i="164"/>
  <c r="J9" i="164" s="1"/>
  <c r="J10" i="164" s="1"/>
  <c r="J11" i="164" s="1"/>
  <c r="J12" i="164" s="1"/>
  <c r="J13" i="164" s="1"/>
  <c r="J14" i="164" s="1"/>
  <c r="J15" i="164" s="1"/>
  <c r="J16" i="164" s="1"/>
  <c r="J17" i="164" s="1"/>
  <c r="J18" i="164" s="1"/>
  <c r="J19" i="164" s="1"/>
  <c r="J20" i="164" s="1"/>
  <c r="J21" i="164" s="1"/>
  <c r="J7" i="166"/>
  <c r="I8" i="166"/>
  <c r="M13" i="160"/>
  <c r="B45" i="94"/>
  <c r="N45" i="94" s="1"/>
  <c r="H7" i="97"/>
  <c r="H8" i="97"/>
  <c r="H9" i="97"/>
  <c r="H10" i="97"/>
  <c r="H11" i="97"/>
  <c r="H12" i="97"/>
  <c r="H14" i="97"/>
  <c r="H15" i="97"/>
  <c r="H16" i="97"/>
  <c r="H17" i="97"/>
  <c r="H18" i="97"/>
  <c r="H19" i="97"/>
  <c r="H20" i="97"/>
  <c r="H21" i="97"/>
  <c r="H22" i="97"/>
  <c r="H23" i="97"/>
  <c r="H24" i="97"/>
  <c r="H25" i="97"/>
  <c r="H26" i="97"/>
  <c r="H27" i="97"/>
  <c r="H28" i="97"/>
  <c r="H29" i="97"/>
  <c r="H30" i="97"/>
  <c r="H31" i="97"/>
  <c r="H32" i="97"/>
  <c r="H33" i="97"/>
  <c r="H34" i="97"/>
  <c r="H36" i="97"/>
  <c r="H37" i="97"/>
  <c r="H38" i="97"/>
  <c r="H40" i="97"/>
  <c r="H42" i="97"/>
  <c r="H44" i="97"/>
  <c r="H46" i="97"/>
  <c r="H47" i="97"/>
  <c r="H48" i="97"/>
  <c r="H49" i="97"/>
  <c r="H50" i="97"/>
  <c r="H51" i="97"/>
  <c r="H53" i="97"/>
  <c r="H55" i="97"/>
  <c r="H56" i="97"/>
  <c r="H58" i="97"/>
  <c r="H59" i="97"/>
  <c r="H60" i="97"/>
  <c r="H61" i="97"/>
  <c r="H62" i="97"/>
  <c r="H63" i="97"/>
  <c r="H64" i="97"/>
  <c r="H65" i="97"/>
  <c r="H66" i="97"/>
  <c r="H67" i="97"/>
  <c r="H68" i="97"/>
  <c r="H69" i="97"/>
  <c r="H70" i="97"/>
  <c r="H71" i="97"/>
  <c r="H72" i="97"/>
  <c r="H73" i="97"/>
  <c r="H74" i="97"/>
  <c r="H75" i="97"/>
  <c r="H76" i="97"/>
  <c r="H77" i="97"/>
  <c r="H78" i="97"/>
  <c r="H79" i="97"/>
  <c r="H80" i="97"/>
  <c r="H81" i="97"/>
  <c r="H82" i="97"/>
  <c r="H83" i="97"/>
  <c r="H84" i="97"/>
  <c r="H85" i="97"/>
  <c r="P12" i="159"/>
  <c r="H52" i="97" s="1"/>
  <c r="P13" i="159"/>
  <c r="H54" i="97" s="1"/>
  <c r="G134" i="150"/>
  <c r="H134" i="150"/>
  <c r="I134" i="150"/>
  <c r="K134" i="150" s="1"/>
  <c r="B25" i="160"/>
  <c r="B36" i="160"/>
  <c r="B37" i="160"/>
  <c r="F48" i="160"/>
  <c r="F46" i="160"/>
  <c r="F49" i="160" s="1"/>
  <c r="F36" i="160"/>
  <c r="J36" i="160" s="1"/>
  <c r="F35" i="160"/>
  <c r="F34" i="160"/>
  <c r="F32" i="160"/>
  <c r="F31" i="160"/>
  <c r="F30" i="160"/>
  <c r="F29" i="160"/>
  <c r="F28" i="160"/>
  <c r="F26" i="160"/>
  <c r="F25" i="160"/>
  <c r="J25" i="160" s="1"/>
  <c r="F22" i="160"/>
  <c r="F40" i="160" s="1"/>
  <c r="D26" i="82"/>
  <c r="B29" i="198" s="1"/>
  <c r="L27" i="154"/>
  <c r="B40" i="154"/>
  <c r="B36" i="154"/>
  <c r="B35" i="154"/>
  <c r="B34" i="154"/>
  <c r="B32" i="154"/>
  <c r="B31" i="154"/>
  <c r="I26" i="154"/>
  <c r="I27" i="154" s="1"/>
  <c r="F25" i="154"/>
  <c r="D25" i="154"/>
  <c r="B24" i="154"/>
  <c r="B16" i="154"/>
  <c r="B15" i="154"/>
  <c r="B14" i="154"/>
  <c r="B12" i="154"/>
  <c r="B11" i="154"/>
  <c r="B17" i="154" s="1"/>
  <c r="B5" i="154"/>
  <c r="B4" i="154"/>
  <c r="B6" i="154"/>
  <c r="B10" i="154" s="1"/>
  <c r="B18" i="154" s="1"/>
  <c r="B28" i="150" l="1"/>
  <c r="H35" i="167"/>
  <c r="P5" i="114"/>
  <c r="B37" i="154"/>
  <c r="P45" i="94"/>
  <c r="O45" i="94"/>
  <c r="F16" i="160"/>
  <c r="F18" i="160" s="1"/>
  <c r="F19" i="160" s="1"/>
  <c r="D77" i="39" l="1"/>
  <c r="L39" i="114"/>
  <c r="L35" i="114"/>
  <c r="P31" i="114"/>
  <c r="L31" i="114"/>
  <c r="AL81" i="198" l="1"/>
  <c r="A108" i="157"/>
  <c r="G27" i="150"/>
  <c r="E23" i="39"/>
  <c r="D23" i="39"/>
  <c r="G6" i="184"/>
  <c r="H6" i="184" s="1"/>
  <c r="I6" i="184" s="1"/>
  <c r="J6" i="184" s="1"/>
  <c r="K6" i="184" s="1"/>
  <c r="L6" i="184" s="1"/>
  <c r="M6" i="184" s="1"/>
  <c r="N6" i="184" s="1"/>
  <c r="O6" i="184" s="1"/>
  <c r="P6" i="184" s="1"/>
  <c r="Q6" i="184" s="1"/>
  <c r="R6" i="184" s="1"/>
  <c r="S6" i="184" s="1"/>
  <c r="T6" i="184" s="1"/>
  <c r="U6" i="184" s="1"/>
  <c r="V6" i="184" s="1"/>
  <c r="W6" i="184" s="1"/>
  <c r="X6" i="184" s="1"/>
  <c r="Y6" i="184" s="1"/>
  <c r="Z6" i="184" s="1"/>
  <c r="AA6" i="184" s="1"/>
  <c r="AB6" i="184" s="1"/>
  <c r="AC6" i="184" s="1"/>
  <c r="AD6" i="184" s="1"/>
  <c r="AE6" i="184" s="1"/>
  <c r="AF6" i="184" s="1"/>
  <c r="AG6" i="184" s="1"/>
  <c r="AH6" i="184" s="1"/>
  <c r="AI6" i="184" s="1"/>
  <c r="AJ6" i="184" s="1"/>
  <c r="AK6" i="184" s="1"/>
  <c r="AL6" i="184" s="1"/>
  <c r="AM6" i="184" s="1"/>
  <c r="AN6" i="184" s="1"/>
  <c r="AO6" i="184" s="1"/>
  <c r="AP6" i="184" s="1"/>
  <c r="AQ6" i="184" s="1"/>
  <c r="AR6" i="184" s="1"/>
  <c r="AS6" i="184" s="1"/>
  <c r="AT6" i="184" s="1"/>
  <c r="AU6" i="184" s="1"/>
  <c r="AV6" i="184" s="1"/>
  <c r="AW6" i="184" s="1"/>
  <c r="AX6" i="184" s="1"/>
  <c r="AY6" i="184" s="1"/>
  <c r="AZ6" i="184" s="1"/>
  <c r="BA6" i="184" s="1"/>
  <c r="BB6" i="184" s="1"/>
  <c r="BC6" i="184" s="1"/>
  <c r="BD6" i="184" s="1"/>
  <c r="BE6" i="184" s="1"/>
  <c r="BF6" i="184" s="1"/>
  <c r="BG6" i="184" s="1"/>
  <c r="BH6" i="184" s="1"/>
  <c r="BI6" i="184" s="1"/>
  <c r="BJ6" i="184" s="1"/>
  <c r="BK6" i="184" s="1"/>
  <c r="BL6" i="184" s="1"/>
  <c r="BM6" i="184" s="1"/>
  <c r="BN6" i="184" s="1"/>
  <c r="BO6" i="184" s="1"/>
  <c r="B19" i="184"/>
  <c r="A20" i="184" s="1"/>
  <c r="B20" i="184" s="1"/>
  <c r="A21" i="184" s="1"/>
  <c r="B21" i="184" s="1"/>
  <c r="A22" i="184" s="1"/>
  <c r="B22" i="184" s="1"/>
  <c r="A23" i="184" s="1"/>
  <c r="B23" i="184" s="1"/>
  <c r="A24" i="184" s="1"/>
  <c r="B24" i="184" s="1"/>
  <c r="A25" i="184" s="1"/>
  <c r="B25" i="184" s="1"/>
  <c r="A26" i="184" s="1"/>
  <c r="B26" i="184" s="1"/>
  <c r="A27" i="184" s="1"/>
  <c r="B27" i="184" s="1"/>
  <c r="A28" i="184" s="1"/>
  <c r="B28" i="184" s="1"/>
  <c r="A29" i="184" s="1"/>
  <c r="B29" i="184" s="1"/>
  <c r="A30" i="184" s="1"/>
  <c r="B30" i="184" s="1"/>
  <c r="H5" i="184"/>
  <c r="I5" i="184" s="1"/>
  <c r="J5" i="184" s="1"/>
  <c r="K5" i="184" s="1"/>
  <c r="L5" i="184" s="1"/>
  <c r="M5" i="184" s="1"/>
  <c r="N5" i="184" s="1"/>
  <c r="O5" i="184" s="1"/>
  <c r="P5" i="184" s="1"/>
  <c r="Q5" i="184" s="1"/>
  <c r="R5" i="184" s="1"/>
  <c r="S5" i="184" s="1"/>
  <c r="T5" i="184" s="1"/>
  <c r="U5" i="184" s="1"/>
  <c r="V5" i="184" s="1"/>
  <c r="W5" i="184" s="1"/>
  <c r="X5" i="184" s="1"/>
  <c r="Y5" i="184" s="1"/>
  <c r="Z5" i="184" s="1"/>
  <c r="AA5" i="184" s="1"/>
  <c r="AB5" i="184" s="1"/>
  <c r="AC5" i="184" s="1"/>
  <c r="AD5" i="184" s="1"/>
  <c r="AE5" i="184" s="1"/>
  <c r="AF5" i="184" s="1"/>
  <c r="AG5" i="184" s="1"/>
  <c r="AH5" i="184" s="1"/>
  <c r="AI5" i="184" s="1"/>
  <c r="AJ5" i="184" s="1"/>
  <c r="AK5" i="184" s="1"/>
  <c r="AL5" i="184" s="1"/>
  <c r="AM5" i="184" s="1"/>
  <c r="AN5" i="184" s="1"/>
  <c r="AO5" i="184" s="1"/>
  <c r="AP5" i="184" s="1"/>
  <c r="AQ5" i="184" s="1"/>
  <c r="AR5" i="184" s="1"/>
  <c r="AS5" i="184" s="1"/>
  <c r="AT5" i="184" s="1"/>
  <c r="AU5" i="184" s="1"/>
  <c r="AV5" i="184" s="1"/>
  <c r="AW5" i="184" s="1"/>
  <c r="AX5" i="184" s="1"/>
  <c r="AY5" i="184" s="1"/>
  <c r="AZ5" i="184" s="1"/>
  <c r="BA5" i="184" s="1"/>
  <c r="BB5" i="184" s="1"/>
  <c r="BC5" i="184" s="1"/>
  <c r="BD5" i="184" s="1"/>
  <c r="BE5" i="184" s="1"/>
  <c r="BF5" i="184" s="1"/>
  <c r="BG5" i="184" s="1"/>
  <c r="BH5" i="184" s="1"/>
  <c r="BI5" i="184" s="1"/>
  <c r="BJ5" i="184" s="1"/>
  <c r="BK5" i="184" s="1"/>
  <c r="BL5" i="184" s="1"/>
  <c r="BM5" i="184" s="1"/>
  <c r="BN5" i="184" s="1"/>
  <c r="BO5" i="184" s="1"/>
  <c r="E8" i="184"/>
  <c r="E9" i="184"/>
  <c r="E10" i="184"/>
  <c r="E7" i="184"/>
  <c r="A9" i="112" l="1"/>
  <c r="A31" i="184"/>
  <c r="B31" i="184" l="1"/>
  <c r="A32" i="184" s="1"/>
  <c r="A126" i="157"/>
  <c r="K11" i="146"/>
  <c r="U22" i="130"/>
  <c r="W22" i="130" s="1"/>
  <c r="D43" i="115"/>
  <c r="D44" i="115" s="1"/>
  <c r="D45" i="115" s="1"/>
  <c r="D46" i="115" s="1"/>
  <c r="D47" i="115" s="1"/>
  <c r="D48" i="115" s="1"/>
  <c r="D49" i="115" s="1"/>
  <c r="C43" i="115"/>
  <c r="B43" i="115"/>
  <c r="B44" i="115" s="1"/>
  <c r="B45" i="115" s="1"/>
  <c r="B46" i="115" s="1"/>
  <c r="B47" i="115" s="1"/>
  <c r="B48" i="115" s="1"/>
  <c r="B49" i="115" s="1"/>
  <c r="A43" i="115"/>
  <c r="A44" i="115" s="1"/>
  <c r="A45" i="115" s="1"/>
  <c r="A46" i="115" s="1"/>
  <c r="A47" i="115" s="1"/>
  <c r="A48" i="115" s="1"/>
  <c r="A49" i="115" s="1"/>
  <c r="E42" i="115"/>
  <c r="X5" i="114"/>
  <c r="X6" i="114"/>
  <c r="X4" i="114"/>
  <c r="K15" i="130"/>
  <c r="J15" i="130"/>
  <c r="I15" i="130"/>
  <c r="H3" i="130"/>
  <c r="N46" i="130"/>
  <c r="P46" i="130" s="1"/>
  <c r="N2" i="130"/>
  <c r="P2" i="130" s="1"/>
  <c r="W2" i="130" s="1"/>
  <c r="I57" i="183"/>
  <c r="I31" i="183"/>
  <c r="L231" i="107"/>
  <c r="K198" i="107"/>
  <c r="A121" i="157" s="1"/>
  <c r="A21" i="112" s="1"/>
  <c r="K195" i="107"/>
  <c r="K194" i="107"/>
  <c r="A120" i="157" s="1"/>
  <c r="K193" i="107"/>
  <c r="I37" i="183"/>
  <c r="I40" i="183"/>
  <c r="I48" i="183"/>
  <c r="I49" i="183" s="1"/>
  <c r="I34" i="183"/>
  <c r="I11" i="183"/>
  <c r="I12" i="183" s="1"/>
  <c r="I21" i="183"/>
  <c r="I15" i="183"/>
  <c r="N16" i="183"/>
  <c r="M16" i="183"/>
  <c r="E43" i="115" l="1"/>
  <c r="C44" i="115"/>
  <c r="B32" i="184"/>
  <c r="A33" i="184" s="1"/>
  <c r="U2" i="130"/>
  <c r="C45" i="115" l="1"/>
  <c r="E44" i="115"/>
  <c r="B33" i="184"/>
  <c r="A34" i="184" s="1"/>
  <c r="H54" i="183"/>
  <c r="AA487" i="181"/>
  <c r="Y487" i="181"/>
  <c r="W487" i="181"/>
  <c r="AA471" i="181"/>
  <c r="AA488" i="181" s="1"/>
  <c r="AA489" i="181" s="1"/>
  <c r="Y471" i="181"/>
  <c r="W471" i="181"/>
  <c r="W488" i="181" s="1"/>
  <c r="W489" i="181" s="1"/>
  <c r="AA443" i="181"/>
  <c r="AA444" i="181" s="1"/>
  <c r="Y443" i="181"/>
  <c r="Y444" i="181" s="1"/>
  <c r="W443" i="181"/>
  <c r="W444" i="181" s="1"/>
  <c r="AA438" i="181"/>
  <c r="Y438" i="181"/>
  <c r="W438" i="181"/>
  <c r="AA429" i="181"/>
  <c r="Y429" i="181"/>
  <c r="W429" i="181"/>
  <c r="W439" i="181" s="1"/>
  <c r="AA402" i="181"/>
  <c r="Y402" i="181"/>
  <c r="W402" i="181"/>
  <c r="AA352" i="181"/>
  <c r="Y352" i="181"/>
  <c r="W352" i="181"/>
  <c r="AA349" i="181"/>
  <c r="Y349" i="181"/>
  <c r="W349" i="181"/>
  <c r="AA346" i="181"/>
  <c r="Y346" i="181"/>
  <c r="W346" i="181"/>
  <c r="AA339" i="181"/>
  <c r="AA340" i="181" s="1"/>
  <c r="Y339" i="181"/>
  <c r="Y340" i="181" s="1"/>
  <c r="W339" i="181"/>
  <c r="W340" i="181" s="1"/>
  <c r="AA334" i="181"/>
  <c r="AA335" i="181" s="1"/>
  <c r="Y334" i="181"/>
  <c r="Y335" i="181" s="1"/>
  <c r="W334" i="181"/>
  <c r="W335" i="181" s="1"/>
  <c r="AA267" i="181"/>
  <c r="Y267" i="181"/>
  <c r="W267" i="181"/>
  <c r="AA249" i="181"/>
  <c r="Y249" i="181"/>
  <c r="W249" i="181"/>
  <c r="AA243" i="181"/>
  <c r="Y243" i="181"/>
  <c r="W243" i="181"/>
  <c r="AA228" i="181"/>
  <c r="AA229" i="181" s="1"/>
  <c r="Y228" i="181"/>
  <c r="Y229" i="181" s="1"/>
  <c r="W228" i="181"/>
  <c r="W229" i="181" s="1"/>
  <c r="AA224" i="181"/>
  <c r="Y224" i="181"/>
  <c r="W224" i="181"/>
  <c r="AA114" i="181"/>
  <c r="Y114" i="181"/>
  <c r="W114" i="181"/>
  <c r="AA110" i="181"/>
  <c r="AA111" i="181" s="1"/>
  <c r="Y110" i="181"/>
  <c r="Y111" i="181" s="1"/>
  <c r="W110" i="181"/>
  <c r="W111" i="181" s="1"/>
  <c r="C46" i="115" l="1"/>
  <c r="E45" i="115"/>
  <c r="B34" i="184"/>
  <c r="A35" i="184" s="1"/>
  <c r="Y439" i="181"/>
  <c r="AA268" i="181"/>
  <c r="Y353" i="181"/>
  <c r="Y403" i="181" s="1"/>
  <c r="AA353" i="181"/>
  <c r="AA439" i="181"/>
  <c r="W353" i="181"/>
  <c r="Y488" i="181"/>
  <c r="Y489" i="181" s="1"/>
  <c r="W403" i="181"/>
  <c r="AA403" i="181"/>
  <c r="AA490" i="181" s="1"/>
  <c r="Y268" i="181"/>
  <c r="W268" i="181"/>
  <c r="W490" i="181" s="1"/>
  <c r="Y490" i="181" l="1"/>
  <c r="C47" i="115"/>
  <c r="E46" i="115"/>
  <c r="B35" i="184"/>
  <c r="A36" i="184" s="1"/>
  <c r="G14" i="109"/>
  <c r="A111" i="157"/>
  <c r="T176" i="107"/>
  <c r="R176" i="107"/>
  <c r="W176" i="107"/>
  <c r="L22" i="130" l="1"/>
  <c r="M13" i="109"/>
  <c r="A11" i="112"/>
  <c r="E47" i="115"/>
  <c r="C48" i="115"/>
  <c r="B36" i="184"/>
  <c r="A37" i="184" s="1"/>
  <c r="M18" i="179"/>
  <c r="E48" i="115" l="1"/>
  <c r="C49" i="115"/>
  <c r="E49" i="115" s="1"/>
  <c r="B37" i="184"/>
  <c r="A38" i="184" s="1"/>
  <c r="B38" i="184" l="1"/>
  <c r="A39" i="184" s="1"/>
  <c r="B39" i="184" s="1"/>
  <c r="A40" i="184" s="1"/>
  <c r="B40" i="184" s="1"/>
  <c r="A41" i="184" s="1"/>
  <c r="B41" i="184" s="1"/>
  <c r="A42" i="184" s="1"/>
  <c r="B42" i="184" s="1"/>
  <c r="A43" i="184" s="1"/>
  <c r="B43" i="184" s="1"/>
  <c r="A44" i="184" s="1"/>
  <c r="B44" i="184" s="1"/>
  <c r="A45" i="184" s="1"/>
  <c r="B45" i="184" s="1"/>
  <c r="A46" i="184" s="1"/>
  <c r="B46" i="184" s="1"/>
  <c r="A47" i="184" s="1"/>
  <c r="B47" i="184" s="1"/>
  <c r="G128" i="162"/>
  <c r="G129" i="162" s="1"/>
  <c r="R5" i="114"/>
  <c r="C47" i="184" l="1"/>
  <c r="K79" i="162" l="1"/>
  <c r="B87" i="94"/>
  <c r="A28" i="179"/>
  <c r="A29" i="179" s="1"/>
  <c r="B17" i="179"/>
  <c r="B14" i="179"/>
  <c r="B13" i="179"/>
  <c r="L21" i="130" l="1"/>
  <c r="M12" i="109"/>
  <c r="O87" i="94"/>
  <c r="N87" i="94"/>
  <c r="P87" i="94"/>
  <c r="I176" i="150"/>
  <c r="H176" i="150"/>
  <c r="G176" i="150"/>
  <c r="A30" i="179"/>
  <c r="B29" i="179"/>
  <c r="B28" i="179"/>
  <c r="G61" i="114"/>
  <c r="G51" i="114"/>
  <c r="G48" i="114"/>
  <c r="G47" i="114"/>
  <c r="G46" i="114"/>
  <c r="G59" i="114" s="1"/>
  <c r="D29" i="115"/>
  <c r="D30" i="115" s="1"/>
  <c r="D31" i="115" s="1"/>
  <c r="D32" i="115" s="1"/>
  <c r="D33" i="115" s="1"/>
  <c r="D34" i="115" s="1"/>
  <c r="D35" i="115" s="1"/>
  <c r="D36" i="115" s="1"/>
  <c r="C29" i="115"/>
  <c r="B29" i="115"/>
  <c r="B30" i="115" s="1"/>
  <c r="B31" i="115" s="1"/>
  <c r="B32" i="115" s="1"/>
  <c r="B33" i="115" s="1"/>
  <c r="B34" i="115" s="1"/>
  <c r="B35" i="115" s="1"/>
  <c r="B36" i="115" s="1"/>
  <c r="A29" i="115"/>
  <c r="A30" i="115" s="1"/>
  <c r="A31" i="115" s="1"/>
  <c r="A32" i="115" s="1"/>
  <c r="A33" i="115" s="1"/>
  <c r="A34" i="115" s="1"/>
  <c r="A35" i="115" s="1"/>
  <c r="A36" i="115" s="1"/>
  <c r="E28" i="115"/>
  <c r="A110" i="157"/>
  <c r="B12" i="179"/>
  <c r="B7" i="179"/>
  <c r="K7" i="114"/>
  <c r="J7" i="114"/>
  <c r="F6" i="114"/>
  <c r="L59" i="114"/>
  <c r="G41" i="115"/>
  <c r="G39" i="115"/>
  <c r="N47" i="114" s="1"/>
  <c r="D38" i="115"/>
  <c r="D39" i="115" s="1"/>
  <c r="C38" i="115"/>
  <c r="B38" i="115"/>
  <c r="B39" i="115" s="1"/>
  <c r="B40" i="115" s="1"/>
  <c r="B41" i="115" s="1"/>
  <c r="A38" i="115"/>
  <c r="A39" i="115" s="1"/>
  <c r="A40" i="115" s="1"/>
  <c r="A41" i="115" s="1"/>
  <c r="E37" i="115"/>
  <c r="D11" i="115"/>
  <c r="D12" i="115" s="1"/>
  <c r="D13" i="115" s="1"/>
  <c r="C11" i="115"/>
  <c r="C12" i="115" s="1"/>
  <c r="B11" i="115"/>
  <c r="B12" i="115" s="1"/>
  <c r="B13" i="115" s="1"/>
  <c r="A11" i="115"/>
  <c r="A12" i="115" s="1"/>
  <c r="A13" i="115" s="1"/>
  <c r="E10" i="115"/>
  <c r="A38" i="114"/>
  <c r="S4" i="168"/>
  <c r="N4" i="114" s="1"/>
  <c r="P6" i="114" s="1"/>
  <c r="R6" i="114" s="1"/>
  <c r="M2" i="168"/>
  <c r="M5" i="168" s="1"/>
  <c r="L7" i="114"/>
  <c r="E28" i="179" l="1"/>
  <c r="E29" i="115"/>
  <c r="B14" i="115"/>
  <c r="B15" i="115" s="1"/>
  <c r="B16" i="115" s="1"/>
  <c r="B17" i="115" s="1"/>
  <c r="B18" i="115" s="1"/>
  <c r="B19" i="115" s="1"/>
  <c r="B20" i="115" s="1"/>
  <c r="B21" i="115" s="1"/>
  <c r="B22" i="115" s="1"/>
  <c r="B23" i="115" s="1"/>
  <c r="B24" i="115" s="1"/>
  <c r="B25" i="115" s="1"/>
  <c r="B26" i="115" s="1"/>
  <c r="A14" i="115"/>
  <c r="A15" i="115" s="1"/>
  <c r="A16" i="115" s="1"/>
  <c r="A17" i="115" s="1"/>
  <c r="A18" i="115" s="1"/>
  <c r="A19" i="115" s="1"/>
  <c r="A20" i="115" s="1"/>
  <c r="A21" i="115" s="1"/>
  <c r="A22" i="115" s="1"/>
  <c r="A23" i="115" s="1"/>
  <c r="A24" i="115" s="1"/>
  <c r="A25" i="115" s="1"/>
  <c r="A26" i="115" s="1"/>
  <c r="D14" i="115"/>
  <c r="D15" i="115" s="1"/>
  <c r="D16" i="115" s="1"/>
  <c r="D17" i="115" s="1"/>
  <c r="D18" i="115" s="1"/>
  <c r="D19" i="115" s="1"/>
  <c r="D20" i="115" s="1"/>
  <c r="D21" i="115" s="1"/>
  <c r="D22" i="115" s="1"/>
  <c r="D23" i="115" s="1"/>
  <c r="D24" i="115" s="1"/>
  <c r="D25" i="115" s="1"/>
  <c r="D26" i="115" s="1"/>
  <c r="A10" i="112"/>
  <c r="E12" i="112"/>
  <c r="M16" i="179"/>
  <c r="M19" i="179" s="1"/>
  <c r="M20" i="179" s="1"/>
  <c r="M22" i="179" s="1"/>
  <c r="B22" i="179" s="1"/>
  <c r="G48" i="115"/>
  <c r="E29" i="179"/>
  <c r="B21" i="179"/>
  <c r="A31" i="179"/>
  <c r="B30" i="179"/>
  <c r="E30" i="179" s="1"/>
  <c r="C30" i="115"/>
  <c r="C31" i="115" s="1"/>
  <c r="E12" i="115"/>
  <c r="C13" i="115"/>
  <c r="C14" i="115" s="1"/>
  <c r="E38" i="115"/>
  <c r="E11" i="115"/>
  <c r="C39" i="115"/>
  <c r="C40" i="115" s="1"/>
  <c r="C41" i="115" s="1"/>
  <c r="D40" i="115"/>
  <c r="D41" i="115" s="1"/>
  <c r="D27" i="115" l="1"/>
  <c r="A27" i="115"/>
  <c r="E14" i="115"/>
  <c r="C15" i="115"/>
  <c r="B27" i="115"/>
  <c r="E31" i="115"/>
  <c r="C32" i="115"/>
  <c r="B31" i="179"/>
  <c r="E31" i="179" s="1"/>
  <c r="A32" i="179"/>
  <c r="E30" i="115"/>
  <c r="E13" i="115"/>
  <c r="E41" i="115"/>
  <c r="E39" i="115"/>
  <c r="E40" i="115"/>
  <c r="A32" i="114"/>
  <c r="A34" i="114"/>
  <c r="A29" i="114"/>
  <c r="F4" i="114"/>
  <c r="A20" i="112"/>
  <c r="F8" i="111"/>
  <c r="D8" i="111"/>
  <c r="H3" i="111"/>
  <c r="F3" i="111"/>
  <c r="D3" i="111"/>
  <c r="D7" i="111" s="1"/>
  <c r="H4" i="111" l="1"/>
  <c r="R4" i="111"/>
  <c r="T4" i="111" s="1"/>
  <c r="H5" i="111"/>
  <c r="R5" i="111"/>
  <c r="T5" i="111" s="1"/>
  <c r="C16" i="115"/>
  <c r="E15" i="115"/>
  <c r="L11" i="130"/>
  <c r="L55" i="130"/>
  <c r="S30" i="130" s="1"/>
  <c r="L12" i="130"/>
  <c r="L56" i="130"/>
  <c r="S31" i="130" s="1"/>
  <c r="L9" i="130"/>
  <c r="L53" i="130"/>
  <c r="S28" i="130" s="1"/>
  <c r="L5" i="130"/>
  <c r="L49" i="130"/>
  <c r="S25" i="130" s="1"/>
  <c r="L10" i="130"/>
  <c r="L54" i="130"/>
  <c r="S29" i="130" s="1"/>
  <c r="L8" i="130"/>
  <c r="L52" i="130"/>
  <c r="S27" i="130" s="1"/>
  <c r="L51" i="130"/>
  <c r="L7" i="130"/>
  <c r="L6" i="130"/>
  <c r="L50" i="130"/>
  <c r="S26" i="130" s="1"/>
  <c r="L61" i="130"/>
  <c r="S36" i="130" s="1"/>
  <c r="L17" i="130"/>
  <c r="L59" i="130"/>
  <c r="S34" i="130" s="1"/>
  <c r="L15" i="130"/>
  <c r="L14" i="130"/>
  <c r="L58" i="130"/>
  <c r="S33" i="130" s="1"/>
  <c r="L13" i="130"/>
  <c r="L57" i="130"/>
  <c r="S32" i="130" s="1"/>
  <c r="L16" i="130"/>
  <c r="L60" i="130"/>
  <c r="S35" i="130" s="1"/>
  <c r="C33" i="115"/>
  <c r="E32" i="115"/>
  <c r="B32" i="179"/>
  <c r="E32" i="179" s="1"/>
  <c r="A33" i="179"/>
  <c r="C17" i="115" l="1"/>
  <c r="E16" i="115"/>
  <c r="E33" i="115"/>
  <c r="C34" i="115"/>
  <c r="B33" i="179"/>
  <c r="E33" i="179" s="1"/>
  <c r="B50" i="179" s="1"/>
  <c r="B49" i="179" s="1"/>
  <c r="B42" i="179" l="1"/>
  <c r="B41" i="179" s="1"/>
  <c r="B18" i="179"/>
  <c r="G28" i="115" s="1"/>
  <c r="G32" i="115" s="1"/>
  <c r="C18" i="115"/>
  <c r="E17" i="115"/>
  <c r="E34" i="115"/>
  <c r="C35" i="115"/>
  <c r="E18" i="115" l="1"/>
  <c r="C19" i="115"/>
  <c r="E35" i="115"/>
  <c r="C36" i="115"/>
  <c r="E36" i="115" s="1"/>
  <c r="E19" i="115" l="1"/>
  <c r="C20" i="115"/>
  <c r="G12" i="109"/>
  <c r="G10" i="109"/>
  <c r="G8" i="109"/>
  <c r="M7" i="109" s="1"/>
  <c r="G7" i="109"/>
  <c r="M6" i="109" s="1"/>
  <c r="A26" i="109"/>
  <c r="A25" i="109"/>
  <c r="A24" i="109"/>
  <c r="A20" i="109"/>
  <c r="A19" i="109"/>
  <c r="A18" i="109"/>
  <c r="A14" i="109"/>
  <c r="A13" i="109"/>
  <c r="A12" i="109"/>
  <c r="A11" i="109"/>
  <c r="A10" i="109"/>
  <c r="A8" i="109"/>
  <c r="A7" i="109"/>
  <c r="A5" i="109"/>
  <c r="A144" i="157"/>
  <c r="A125" i="157"/>
  <c r="A115" i="157"/>
  <c r="C21" i="115" l="1"/>
  <c r="E20" i="115"/>
  <c r="L19" i="130"/>
  <c r="M10" i="109"/>
  <c r="L20" i="130"/>
  <c r="M11" i="109"/>
  <c r="A30" i="112"/>
  <c r="A25" i="112"/>
  <c r="A16" i="112"/>
  <c r="E11" i="112"/>
  <c r="C24" i="98"/>
  <c r="D24" i="98" s="1"/>
  <c r="B23" i="98"/>
  <c r="D23" i="98" s="1"/>
  <c r="B22" i="98"/>
  <c r="D22" i="98" s="1"/>
  <c r="B21" i="98"/>
  <c r="D21" i="98" s="1"/>
  <c r="B20" i="98"/>
  <c r="D20" i="98" s="1"/>
  <c r="B19" i="98"/>
  <c r="D19" i="98" s="1"/>
  <c r="C18" i="98"/>
  <c r="D18" i="98" s="1"/>
  <c r="B17" i="98"/>
  <c r="D17" i="98" s="1"/>
  <c r="B16" i="98"/>
  <c r="D16" i="98" s="1"/>
  <c r="C15" i="98"/>
  <c r="D15" i="98" s="1"/>
  <c r="B14" i="98"/>
  <c r="D14" i="98" s="1"/>
  <c r="C13" i="98"/>
  <c r="C12" i="98"/>
  <c r="D12" i="98" s="1"/>
  <c r="C11" i="98"/>
  <c r="D11" i="98" s="1"/>
  <c r="C10" i="98"/>
  <c r="D10" i="98" s="1"/>
  <c r="B9" i="98"/>
  <c r="D9" i="98" s="1"/>
  <c r="C8" i="98"/>
  <c r="D8" i="98" s="1"/>
  <c r="C7" i="98"/>
  <c r="D7" i="98" s="1"/>
  <c r="B6" i="98"/>
  <c r="D6" i="98" s="1"/>
  <c r="B5" i="98"/>
  <c r="C22" i="115" l="1"/>
  <c r="E21" i="115"/>
  <c r="B25" i="98"/>
  <c r="C25" i="98"/>
  <c r="D5" i="98"/>
  <c r="D13" i="98"/>
  <c r="C4" i="107"/>
  <c r="B7" i="107"/>
  <c r="C7" i="107" s="1"/>
  <c r="B8" i="107"/>
  <c r="C8" i="107" s="1"/>
  <c r="B9" i="107"/>
  <c r="C9" i="107" s="1"/>
  <c r="B10" i="107"/>
  <c r="C10" i="107" s="1"/>
  <c r="B11" i="107"/>
  <c r="C11" i="107" s="1"/>
  <c r="B12" i="107"/>
  <c r="C12" i="107" s="1"/>
  <c r="B13" i="107"/>
  <c r="C13" i="107" s="1"/>
  <c r="B14" i="107"/>
  <c r="C14" i="107" s="1"/>
  <c r="B15" i="107"/>
  <c r="C15" i="107" s="1"/>
  <c r="B16" i="107"/>
  <c r="C16" i="107" s="1"/>
  <c r="B17" i="107"/>
  <c r="C17" i="107" s="1"/>
  <c r="B18" i="107"/>
  <c r="C18" i="107" s="1"/>
  <c r="B19" i="107"/>
  <c r="C19" i="107" s="1"/>
  <c r="B20" i="107"/>
  <c r="C20" i="107" s="1"/>
  <c r="B21" i="107"/>
  <c r="C21" i="107" s="1"/>
  <c r="B22" i="107"/>
  <c r="C22" i="107" s="1"/>
  <c r="B23" i="107"/>
  <c r="B24" i="107"/>
  <c r="C24" i="107" s="1"/>
  <c r="B25" i="107"/>
  <c r="C25" i="107" s="1"/>
  <c r="B26" i="107"/>
  <c r="C26" i="107" s="1"/>
  <c r="B27" i="107"/>
  <c r="C27" i="107" s="1"/>
  <c r="B28" i="107"/>
  <c r="C28" i="107" s="1"/>
  <c r="B29" i="107"/>
  <c r="C29" i="107" s="1"/>
  <c r="B30" i="107"/>
  <c r="C30" i="107" s="1"/>
  <c r="B31" i="107"/>
  <c r="C31" i="107" s="1"/>
  <c r="B32" i="107"/>
  <c r="C32" i="107" s="1"/>
  <c r="B33" i="107"/>
  <c r="C33" i="107" s="1"/>
  <c r="B34" i="107"/>
  <c r="C34" i="107" s="1"/>
  <c r="B35" i="107"/>
  <c r="B36" i="107"/>
  <c r="C36" i="107" s="1"/>
  <c r="B37" i="107"/>
  <c r="C37" i="107" s="1"/>
  <c r="B38" i="107"/>
  <c r="C38" i="107" s="1"/>
  <c r="B39" i="107"/>
  <c r="C39" i="107" s="1"/>
  <c r="B40" i="107"/>
  <c r="C40" i="107" s="1"/>
  <c r="B41" i="107"/>
  <c r="C41" i="107" s="1"/>
  <c r="B42" i="107"/>
  <c r="C42" i="107" s="1"/>
  <c r="B43" i="107"/>
  <c r="B44" i="107"/>
  <c r="C44" i="107" s="1"/>
  <c r="B45" i="107"/>
  <c r="C45" i="107" s="1"/>
  <c r="B46" i="107"/>
  <c r="C46" i="107" s="1"/>
  <c r="B47" i="107"/>
  <c r="B48" i="107"/>
  <c r="B49" i="107"/>
  <c r="B50" i="107"/>
  <c r="C50" i="107" s="1"/>
  <c r="B51" i="107"/>
  <c r="C51" i="107" s="1"/>
  <c r="B52" i="107"/>
  <c r="B53" i="107"/>
  <c r="C53" i="107" s="1"/>
  <c r="B54" i="107"/>
  <c r="C54" i="107" s="1"/>
  <c r="B55" i="107"/>
  <c r="C55" i="107" s="1"/>
  <c r="B56" i="107"/>
  <c r="C56" i="107" s="1"/>
  <c r="B57" i="107"/>
  <c r="C57" i="107" s="1"/>
  <c r="B58" i="107"/>
  <c r="C58" i="107" s="1"/>
  <c r="B59" i="107"/>
  <c r="C59" i="107" s="1"/>
  <c r="B60" i="107"/>
  <c r="C60" i="107" s="1"/>
  <c r="B61" i="107"/>
  <c r="C61" i="107" s="1"/>
  <c r="B62" i="107"/>
  <c r="C62" i="107" s="1"/>
  <c r="B63" i="107"/>
  <c r="B64" i="107"/>
  <c r="C64" i="107" s="1"/>
  <c r="B65" i="107"/>
  <c r="C65" i="107" s="1"/>
  <c r="B66" i="107"/>
  <c r="C66" i="107" s="1"/>
  <c r="B67" i="107"/>
  <c r="C67" i="107" s="1"/>
  <c r="B68" i="107"/>
  <c r="C68" i="107" s="1"/>
  <c r="B69" i="107"/>
  <c r="C69" i="107" s="1"/>
  <c r="B70" i="107"/>
  <c r="C70" i="107" s="1"/>
  <c r="B71" i="107"/>
  <c r="C71" i="107" s="1"/>
  <c r="B72" i="107"/>
  <c r="C72" i="107" s="1"/>
  <c r="B73" i="107"/>
  <c r="C73" i="107" s="1"/>
  <c r="B74" i="107"/>
  <c r="C74" i="107" s="1"/>
  <c r="B75" i="107"/>
  <c r="C75" i="107" s="1"/>
  <c r="B76" i="107"/>
  <c r="C76" i="107" s="1"/>
  <c r="B77" i="107"/>
  <c r="C77" i="107" s="1"/>
  <c r="B78" i="107"/>
  <c r="C78" i="107" s="1"/>
  <c r="B79" i="107"/>
  <c r="C79" i="107" s="1"/>
  <c r="B80" i="107"/>
  <c r="B81" i="107"/>
  <c r="C81" i="107" s="1"/>
  <c r="B82" i="107"/>
  <c r="C82" i="107" s="1"/>
  <c r="B83" i="107"/>
  <c r="C83" i="107" s="1"/>
  <c r="B84" i="107"/>
  <c r="C84" i="107" s="1"/>
  <c r="B85" i="107"/>
  <c r="C85" i="107" s="1"/>
  <c r="B86" i="107"/>
  <c r="C86" i="107" s="1"/>
  <c r="B87" i="107"/>
  <c r="C87" i="107" s="1"/>
  <c r="B88" i="107"/>
  <c r="C88" i="107" s="1"/>
  <c r="B89" i="107"/>
  <c r="C89" i="107" s="1"/>
  <c r="B90" i="107"/>
  <c r="C90" i="107" s="1"/>
  <c r="B91" i="107"/>
  <c r="C91" i="107" s="1"/>
  <c r="B92" i="107"/>
  <c r="C92" i="107" s="1"/>
  <c r="B93" i="107"/>
  <c r="C93" i="107" s="1"/>
  <c r="B94" i="107"/>
  <c r="B95" i="107"/>
  <c r="B96" i="107"/>
  <c r="C96" i="107" s="1"/>
  <c r="B97" i="107"/>
  <c r="C97" i="107" s="1"/>
  <c r="B98" i="107"/>
  <c r="C98" i="107" s="1"/>
  <c r="B99" i="107"/>
  <c r="C99" i="107" s="1"/>
  <c r="B100" i="107"/>
  <c r="B101" i="107"/>
  <c r="B102" i="107"/>
  <c r="C102" i="107" s="1"/>
  <c r="B103" i="107"/>
  <c r="C103" i="107" s="1"/>
  <c r="B104" i="107"/>
  <c r="B105" i="107"/>
  <c r="B106" i="107"/>
  <c r="C106" i="107" s="1"/>
  <c r="B107" i="107"/>
  <c r="B108" i="107"/>
  <c r="B109" i="107"/>
  <c r="C109" i="107" s="1"/>
  <c r="B110" i="107"/>
  <c r="C110" i="107" s="1"/>
  <c r="B111" i="107"/>
  <c r="B112" i="107"/>
  <c r="C112" i="107" s="1"/>
  <c r="B113" i="107"/>
  <c r="B114" i="107"/>
  <c r="C114" i="107" s="1"/>
  <c r="B115" i="107"/>
  <c r="B116" i="107"/>
  <c r="B117" i="107"/>
  <c r="B118" i="107"/>
  <c r="B119" i="107"/>
  <c r="C119" i="107" s="1"/>
  <c r="B120" i="107"/>
  <c r="C120" i="107" s="1"/>
  <c r="B121" i="107"/>
  <c r="C121" i="107" s="1"/>
  <c r="B122" i="107"/>
  <c r="C122" i="107" s="1"/>
  <c r="B123" i="107"/>
  <c r="C123" i="107" s="1"/>
  <c r="B124" i="107"/>
  <c r="C124" i="107" s="1"/>
  <c r="B125" i="107"/>
  <c r="B126" i="107"/>
  <c r="B127" i="107"/>
  <c r="C127" i="107" s="1"/>
  <c r="B128" i="107"/>
  <c r="B129" i="107"/>
  <c r="B130" i="107"/>
  <c r="B131" i="107"/>
  <c r="C131" i="107" s="1"/>
  <c r="B132" i="107"/>
  <c r="C132" i="107" s="1"/>
  <c r="B133" i="107"/>
  <c r="C133" i="107" s="1"/>
  <c r="B134" i="107"/>
  <c r="B135" i="107"/>
  <c r="C135" i="107" s="1"/>
  <c r="B136" i="107"/>
  <c r="C136" i="107" s="1"/>
  <c r="B137" i="107"/>
  <c r="C137" i="107" s="1"/>
  <c r="B138" i="107"/>
  <c r="B139" i="107"/>
  <c r="C139" i="107" s="1"/>
  <c r="B140" i="107"/>
  <c r="C140" i="107" s="1"/>
  <c r="B141" i="107"/>
  <c r="B142" i="107"/>
  <c r="B143" i="107"/>
  <c r="C143" i="107" s="1"/>
  <c r="B144" i="107"/>
  <c r="C144" i="107" s="1"/>
  <c r="B145" i="107"/>
  <c r="C145" i="107" s="1"/>
  <c r="B146" i="107"/>
  <c r="C146" i="107" s="1"/>
  <c r="B147" i="107"/>
  <c r="C147" i="107" s="1"/>
  <c r="B148" i="107"/>
  <c r="C148" i="107" s="1"/>
  <c r="B149" i="107"/>
  <c r="C149" i="107" s="1"/>
  <c r="B150" i="107"/>
  <c r="B151" i="107"/>
  <c r="B152" i="107"/>
  <c r="B153" i="107"/>
  <c r="C153" i="107" s="1"/>
  <c r="B154" i="107"/>
  <c r="B155" i="107"/>
  <c r="C155" i="107" s="1"/>
  <c r="B156" i="107"/>
  <c r="B157" i="107"/>
  <c r="B158" i="107"/>
  <c r="C158" i="107" s="1"/>
  <c r="B159" i="107"/>
  <c r="C159" i="107" s="1"/>
  <c r="B160" i="107"/>
  <c r="C160" i="107" s="1"/>
  <c r="B161" i="107"/>
  <c r="C161" i="107" s="1"/>
  <c r="B162" i="107"/>
  <c r="C162" i="107" s="1"/>
  <c r="B163" i="107"/>
  <c r="B164" i="107"/>
  <c r="C164" i="107" s="1"/>
  <c r="B165" i="107"/>
  <c r="B166" i="107"/>
  <c r="B167" i="107"/>
  <c r="C167" i="107" s="1"/>
  <c r="B168" i="107"/>
  <c r="C168" i="107" s="1"/>
  <c r="B169" i="107"/>
  <c r="B170" i="107"/>
  <c r="C170" i="107" s="1"/>
  <c r="B171" i="107"/>
  <c r="B6" i="107"/>
  <c r="C6" i="107" s="1"/>
  <c r="E70" i="114"/>
  <c r="C70" i="114"/>
  <c r="N7" i="114"/>
  <c r="C37" i="114"/>
  <c r="E32" i="114"/>
  <c r="E22" i="115" l="1"/>
  <c r="C23" i="115"/>
  <c r="G25" i="107"/>
  <c r="G107" i="107"/>
  <c r="C107" i="107"/>
  <c r="I95" i="107"/>
  <c r="C95" i="107"/>
  <c r="G47" i="107"/>
  <c r="C47" i="107"/>
  <c r="G35" i="107"/>
  <c r="C35" i="107"/>
  <c r="G171" i="107"/>
  <c r="C171" i="107"/>
  <c r="I166" i="107"/>
  <c r="C166" i="107"/>
  <c r="I154" i="107"/>
  <c r="C154" i="107"/>
  <c r="I142" i="107"/>
  <c r="C142" i="107"/>
  <c r="I130" i="107"/>
  <c r="C130" i="107"/>
  <c r="I118" i="107"/>
  <c r="C118" i="107"/>
  <c r="I94" i="107"/>
  <c r="C94" i="107"/>
  <c r="G23" i="107"/>
  <c r="C23" i="107"/>
  <c r="H156" i="107"/>
  <c r="C156" i="107"/>
  <c r="I165" i="107"/>
  <c r="C165" i="107"/>
  <c r="I141" i="107"/>
  <c r="C141" i="107"/>
  <c r="I129" i="107"/>
  <c r="C129" i="107"/>
  <c r="I117" i="107"/>
  <c r="C117" i="107"/>
  <c r="I105" i="107"/>
  <c r="C105" i="107"/>
  <c r="G152" i="107"/>
  <c r="C152" i="107"/>
  <c r="G80" i="107"/>
  <c r="C80" i="107"/>
  <c r="I128" i="107"/>
  <c r="C128" i="107"/>
  <c r="I116" i="107"/>
  <c r="C116" i="107"/>
  <c r="G104" i="107"/>
  <c r="C104" i="107"/>
  <c r="I163" i="107"/>
  <c r="C163" i="107"/>
  <c r="I151" i="107"/>
  <c r="C151" i="107"/>
  <c r="I115" i="107"/>
  <c r="C115" i="107"/>
  <c r="H43" i="107"/>
  <c r="C43" i="107"/>
  <c r="H150" i="107"/>
  <c r="C150" i="107"/>
  <c r="H138" i="107"/>
  <c r="C138" i="107"/>
  <c r="H126" i="107"/>
  <c r="C126" i="107"/>
  <c r="H125" i="107"/>
  <c r="C125" i="107"/>
  <c r="H113" i="107"/>
  <c r="C113" i="107"/>
  <c r="H101" i="107"/>
  <c r="C101" i="107"/>
  <c r="G100" i="107"/>
  <c r="C100" i="107"/>
  <c r="G52" i="107"/>
  <c r="C52" i="107"/>
  <c r="I111" i="107"/>
  <c r="C111" i="107"/>
  <c r="G63" i="107"/>
  <c r="C63" i="107"/>
  <c r="I134" i="107"/>
  <c r="C134" i="107"/>
  <c r="I169" i="107"/>
  <c r="C169" i="107"/>
  <c r="I157" i="107"/>
  <c r="C157" i="107"/>
  <c r="H49" i="107"/>
  <c r="C49" i="107"/>
  <c r="H108" i="107"/>
  <c r="C108" i="107"/>
  <c r="H48" i="107"/>
  <c r="C48" i="107"/>
  <c r="G13" i="107"/>
  <c r="H164" i="107"/>
  <c r="I139" i="107"/>
  <c r="G78" i="107"/>
  <c r="G53" i="107"/>
  <c r="H152" i="107"/>
  <c r="I138" i="107"/>
  <c r="G138" i="107"/>
  <c r="G49" i="107"/>
  <c r="I101" i="107"/>
  <c r="I100" i="107"/>
  <c r="H100" i="107"/>
  <c r="H95" i="107"/>
  <c r="I153" i="107"/>
  <c r="I143" i="107"/>
  <c r="H136" i="107"/>
  <c r="G83" i="107"/>
  <c r="G160" i="107"/>
  <c r="I122" i="107"/>
  <c r="H118" i="107"/>
  <c r="I107" i="107"/>
  <c r="G154" i="107"/>
  <c r="H107" i="107"/>
  <c r="G71" i="107"/>
  <c r="G126" i="107"/>
  <c r="G34" i="107"/>
  <c r="G10" i="107"/>
  <c r="E35" i="179"/>
  <c r="E37" i="114"/>
  <c r="D25" i="98"/>
  <c r="G142" i="107"/>
  <c r="I137" i="107"/>
  <c r="G116" i="107"/>
  <c r="G106" i="107"/>
  <c r="G59" i="107"/>
  <c r="G42" i="107"/>
  <c r="G11" i="107"/>
  <c r="I152" i="107"/>
  <c r="G148" i="107"/>
  <c r="I114" i="107"/>
  <c r="I109" i="107"/>
  <c r="G114" i="107"/>
  <c r="I135" i="107"/>
  <c r="G119" i="107"/>
  <c r="I90" i="107"/>
  <c r="G90" i="107"/>
  <c r="G82" i="107"/>
  <c r="G118" i="107"/>
  <c r="G101" i="107"/>
  <c r="H160" i="107"/>
  <c r="H112" i="107"/>
  <c r="G67" i="107"/>
  <c r="G55" i="107"/>
  <c r="G94" i="107"/>
  <c r="G150" i="107"/>
  <c r="H131" i="107"/>
  <c r="I123" i="107"/>
  <c r="I160" i="107"/>
  <c r="I145" i="107"/>
  <c r="G136" i="107"/>
  <c r="I131" i="107"/>
  <c r="H114" i="107"/>
  <c r="G112" i="107"/>
  <c r="G95" i="107"/>
  <c r="G41" i="107"/>
  <c r="G28" i="107"/>
  <c r="I97" i="107"/>
  <c r="I162" i="107"/>
  <c r="I149" i="107"/>
  <c r="I125" i="107"/>
  <c r="H102" i="107"/>
  <c r="G97" i="107"/>
  <c r="I89" i="107"/>
  <c r="G43" i="107"/>
  <c r="G37" i="107"/>
  <c r="G19" i="107"/>
  <c r="G125" i="107"/>
  <c r="G102" i="107"/>
  <c r="G85" i="107"/>
  <c r="G64" i="107"/>
  <c r="G40" i="107"/>
  <c r="G30" i="107"/>
  <c r="G16" i="107"/>
  <c r="G8" i="107"/>
  <c r="I148" i="107"/>
  <c r="I80" i="107"/>
  <c r="G61" i="107"/>
  <c r="G54" i="107"/>
  <c r="I102" i="107"/>
  <c r="H97" i="107"/>
  <c r="H162" i="107"/>
  <c r="G162" i="107"/>
  <c r="I113" i="107"/>
  <c r="H166" i="107"/>
  <c r="I159" i="107"/>
  <c r="I155" i="107"/>
  <c r="H148" i="107"/>
  <c r="H142" i="107"/>
  <c r="G113" i="107"/>
  <c r="H106" i="107"/>
  <c r="I99" i="107"/>
  <c r="G73" i="107"/>
  <c r="G22" i="107"/>
  <c r="H46" i="107"/>
  <c r="G7" i="107"/>
  <c r="G88" i="107"/>
  <c r="G76" i="107"/>
  <c r="I171" i="107"/>
  <c r="I124" i="107"/>
  <c r="G99" i="107"/>
  <c r="G66" i="107"/>
  <c r="G46" i="107"/>
  <c r="I161" i="107"/>
  <c r="I158" i="107"/>
  <c r="I150" i="107"/>
  <c r="H132" i="107"/>
  <c r="I126" i="107"/>
  <c r="H124" i="107"/>
  <c r="I119" i="107"/>
  <c r="G18" i="107"/>
  <c r="H99" i="107"/>
  <c r="I136" i="107"/>
  <c r="G124" i="107"/>
  <c r="H119" i="107"/>
  <c r="I112" i="107"/>
  <c r="G68" i="107"/>
  <c r="G31" i="107"/>
  <c r="G93" i="107"/>
  <c r="H93" i="107"/>
  <c r="H168" i="107"/>
  <c r="G157" i="107"/>
  <c r="H157" i="107"/>
  <c r="G130" i="107"/>
  <c r="H127" i="107"/>
  <c r="G127" i="107"/>
  <c r="G122" i="107"/>
  <c r="H122" i="107"/>
  <c r="H103" i="107"/>
  <c r="G103" i="107"/>
  <c r="G86" i="107"/>
  <c r="G165" i="107"/>
  <c r="H165" i="107"/>
  <c r="G145" i="107"/>
  <c r="H145" i="107"/>
  <c r="I121" i="107"/>
  <c r="G110" i="107"/>
  <c r="H110" i="107"/>
  <c r="G98" i="107"/>
  <c r="H98" i="107"/>
  <c r="H92" i="107"/>
  <c r="G92" i="107"/>
  <c r="I92" i="107"/>
  <c r="G89" i="107"/>
  <c r="I164" i="107"/>
  <c r="G153" i="107"/>
  <c r="H153" i="107"/>
  <c r="I147" i="107"/>
  <c r="H144" i="107"/>
  <c r="G133" i="107"/>
  <c r="H133" i="107"/>
  <c r="H115" i="107"/>
  <c r="G115" i="107"/>
  <c r="G79" i="107"/>
  <c r="I91" i="107"/>
  <c r="G91" i="107"/>
  <c r="G70" i="107"/>
  <c r="G141" i="107"/>
  <c r="H141" i="107"/>
  <c r="G121" i="107"/>
  <c r="H121" i="107"/>
  <c r="I170" i="107"/>
  <c r="G164" i="107"/>
  <c r="G159" i="107"/>
  <c r="H159" i="107"/>
  <c r="G156" i="107"/>
  <c r="I156" i="107"/>
  <c r="I140" i="107"/>
  <c r="H120" i="107"/>
  <c r="G109" i="107"/>
  <c r="H109" i="107"/>
  <c r="I106" i="107"/>
  <c r="G58" i="107"/>
  <c r="G147" i="107"/>
  <c r="H147" i="107"/>
  <c r="G144" i="107"/>
  <c r="I144" i="107"/>
  <c r="H140" i="107"/>
  <c r="G129" i="107"/>
  <c r="H129" i="107"/>
  <c r="G75" i="107"/>
  <c r="G167" i="107"/>
  <c r="H167" i="107"/>
  <c r="H161" i="107"/>
  <c r="G161" i="107"/>
  <c r="I146" i="107"/>
  <c r="G140" i="107"/>
  <c r="G135" i="107"/>
  <c r="H135" i="107"/>
  <c r="G132" i="107"/>
  <c r="I132" i="107"/>
  <c r="H128" i="107"/>
  <c r="G105" i="107"/>
  <c r="H105" i="107"/>
  <c r="G81" i="107"/>
  <c r="G51" i="107"/>
  <c r="G168" i="107"/>
  <c r="I168" i="107"/>
  <c r="H171" i="107"/>
  <c r="G155" i="107"/>
  <c r="H155" i="107"/>
  <c r="G128" i="107"/>
  <c r="G120" i="107"/>
  <c r="I120" i="107"/>
  <c r="G117" i="107"/>
  <c r="H117" i="107"/>
  <c r="G170" i="107"/>
  <c r="H170" i="107"/>
  <c r="H149" i="107"/>
  <c r="G149" i="107"/>
  <c r="G108" i="107"/>
  <c r="I108" i="107"/>
  <c r="H104" i="107"/>
  <c r="G166" i="107"/>
  <c r="G158" i="107"/>
  <c r="H158" i="107"/>
  <c r="H154" i="107"/>
  <c r="G143" i="107"/>
  <c r="H143" i="107"/>
  <c r="H137" i="107"/>
  <c r="G137" i="107"/>
  <c r="G123" i="107"/>
  <c r="H123" i="107"/>
  <c r="H116" i="107"/>
  <c r="I93" i="107"/>
  <c r="G84" i="107"/>
  <c r="G77" i="107"/>
  <c r="H163" i="107"/>
  <c r="G163" i="107"/>
  <c r="G146" i="107"/>
  <c r="H146" i="107"/>
  <c r="H151" i="107"/>
  <c r="G151" i="107"/>
  <c r="G134" i="107"/>
  <c r="H134" i="107"/>
  <c r="G111" i="107"/>
  <c r="H111" i="107"/>
  <c r="I104" i="107"/>
  <c r="G169" i="107"/>
  <c r="H169" i="107"/>
  <c r="H139" i="107"/>
  <c r="G139" i="107"/>
  <c r="I133" i="107"/>
  <c r="H130" i="107"/>
  <c r="I127" i="107"/>
  <c r="I110" i="107"/>
  <c r="I103" i="107"/>
  <c r="I98" i="107"/>
  <c r="G96" i="107"/>
  <c r="I96" i="107"/>
  <c r="H96" i="107"/>
  <c r="G87" i="107"/>
  <c r="G65" i="107"/>
  <c r="G56" i="107"/>
  <c r="H94" i="107"/>
  <c r="G57" i="107"/>
  <c r="H50" i="107"/>
  <c r="I50" i="107" s="1"/>
  <c r="G32" i="107"/>
  <c r="G45" i="107"/>
  <c r="G27" i="107"/>
  <c r="G24" i="107"/>
  <c r="G44" i="107"/>
  <c r="G29" i="107"/>
  <c r="G26" i="107"/>
  <c r="G20" i="107"/>
  <c r="G12" i="107"/>
  <c r="H44" i="107"/>
  <c r="G74" i="107"/>
  <c r="G72" i="107"/>
  <c r="G39" i="107"/>
  <c r="G15" i="107"/>
  <c r="G36" i="107"/>
  <c r="G14" i="107"/>
  <c r="G17" i="107"/>
  <c r="G69" i="107"/>
  <c r="G60" i="107"/>
  <c r="G131" i="107"/>
  <c r="G62" i="107"/>
  <c r="G48" i="107"/>
  <c r="G38" i="107"/>
  <c r="G33" i="107"/>
  <c r="G21" i="107"/>
  <c r="G9" i="107"/>
  <c r="G6" i="107"/>
  <c r="R3" i="114"/>
  <c r="E23" i="115" l="1"/>
  <c r="C24" i="115"/>
  <c r="L215" i="150"/>
  <c r="I17" i="159"/>
  <c r="P17" i="159" s="1"/>
  <c r="L212" i="150"/>
  <c r="L213" i="150"/>
  <c r="L214" i="150"/>
  <c r="L210" i="150"/>
  <c r="L228" i="150"/>
  <c r="L230" i="150"/>
  <c r="L231" i="150"/>
  <c r="L232" i="150"/>
  <c r="L234" i="150"/>
  <c r="L235" i="150"/>
  <c r="L236" i="150"/>
  <c r="L237" i="150"/>
  <c r="L238" i="150"/>
  <c r="L227" i="150"/>
  <c r="L208" i="150"/>
  <c r="L202" i="150"/>
  <c r="L197" i="150"/>
  <c r="L198" i="150"/>
  <c r="P18" i="159" l="1"/>
  <c r="H13" i="97"/>
  <c r="C25" i="115"/>
  <c r="E24" i="115"/>
  <c r="M5" i="150"/>
  <c r="N5" i="150" s="1"/>
  <c r="O5" i="150" s="1"/>
  <c r="P5" i="150" s="1"/>
  <c r="Q5" i="150" s="1"/>
  <c r="R5" i="150" s="1"/>
  <c r="S5" i="150" s="1"/>
  <c r="T5" i="150" s="1"/>
  <c r="U5" i="150" s="1"/>
  <c r="V5" i="150" s="1"/>
  <c r="W5" i="150" s="1"/>
  <c r="X5" i="150" s="1"/>
  <c r="Y5" i="150" s="1"/>
  <c r="Z5" i="150" s="1"/>
  <c r="AA5" i="150" s="1"/>
  <c r="AB5" i="150" s="1"/>
  <c r="M6" i="150"/>
  <c r="N6" i="150" s="1"/>
  <c r="O6" i="150" s="1"/>
  <c r="P6" i="150" s="1"/>
  <c r="Q6" i="150" s="1"/>
  <c r="R6" i="150" s="1"/>
  <c r="S6" i="150" s="1"/>
  <c r="T6" i="150" s="1"/>
  <c r="C26" i="115" l="1"/>
  <c r="E26" i="115" s="1"/>
  <c r="E25" i="115"/>
  <c r="C27" i="115"/>
  <c r="E27" i="115" s="1"/>
  <c r="AC5" i="150"/>
  <c r="U6" i="150"/>
  <c r="O78" i="94"/>
  <c r="V6" i="150" l="1"/>
  <c r="P8" i="105"/>
  <c r="P10" i="105"/>
  <c r="P11" i="105"/>
  <c r="P12" i="105"/>
  <c r="P15" i="105"/>
  <c r="P16" i="105"/>
  <c r="M181" i="105"/>
  <c r="F181" i="105"/>
  <c r="P36" i="105"/>
  <c r="P35" i="105"/>
  <c r="P34" i="105"/>
  <c r="P33" i="105"/>
  <c r="P32" i="105"/>
  <c r="P31" i="105"/>
  <c r="P30" i="105"/>
  <c r="P29" i="105"/>
  <c r="P28" i="105"/>
  <c r="P27" i="105"/>
  <c r="P26" i="105"/>
  <c r="P25" i="105"/>
  <c r="P24" i="105"/>
  <c r="P23" i="105"/>
  <c r="P22" i="105"/>
  <c r="P21" i="105"/>
  <c r="P20" i="105"/>
  <c r="P19" i="105"/>
  <c r="P18" i="105"/>
  <c r="P17" i="105"/>
  <c r="P14" i="105"/>
  <c r="P13" i="105"/>
  <c r="P7" i="105"/>
  <c r="A7" i="105"/>
  <c r="M2" i="105"/>
  <c r="T1" i="105" s="1"/>
  <c r="K2" i="105"/>
  <c r="J2" i="105"/>
  <c r="F2" i="105"/>
  <c r="S1" i="105" s="1"/>
  <c r="D2" i="105"/>
  <c r="C2" i="105"/>
  <c r="C247" i="46"/>
  <c r="I9" i="159"/>
  <c r="P9" i="159" s="1"/>
  <c r="H10" i="159"/>
  <c r="H8" i="159"/>
  <c r="H14" i="159"/>
  <c r="I11" i="159"/>
  <c r="P11" i="159" s="1"/>
  <c r="H45" i="97" s="1"/>
  <c r="I10" i="159"/>
  <c r="I8" i="159" l="1"/>
  <c r="P8" i="159" s="1"/>
  <c r="P10" i="159"/>
  <c r="H43" i="97" s="1"/>
  <c r="I14" i="159"/>
  <c r="P14" i="159" s="1"/>
  <c r="C180" i="105"/>
  <c r="C179" i="105"/>
  <c r="K179" i="105"/>
  <c r="K180" i="105"/>
  <c r="J179" i="105"/>
  <c r="J180" i="105"/>
  <c r="D180" i="105"/>
  <c r="D179" i="105"/>
  <c r="K164" i="105"/>
  <c r="K176" i="105"/>
  <c r="K178" i="105"/>
  <c r="K177" i="105"/>
  <c r="K174" i="105"/>
  <c r="K175" i="105"/>
  <c r="K173" i="105"/>
  <c r="J173" i="105"/>
  <c r="J177" i="105"/>
  <c r="J178" i="105"/>
  <c r="J174" i="105"/>
  <c r="J176" i="105"/>
  <c r="J175" i="105"/>
  <c r="D149" i="105"/>
  <c r="D178" i="105"/>
  <c r="D174" i="105"/>
  <c r="D175" i="105"/>
  <c r="D176" i="105"/>
  <c r="D177" i="105"/>
  <c r="D173" i="105"/>
  <c r="C17" i="105"/>
  <c r="C175" i="105"/>
  <c r="C178" i="105"/>
  <c r="C177" i="105"/>
  <c r="C176" i="105"/>
  <c r="C174" i="105"/>
  <c r="C173" i="105"/>
  <c r="K8" i="105"/>
  <c r="K41" i="105"/>
  <c r="K9" i="105"/>
  <c r="K53" i="105"/>
  <c r="K10" i="105"/>
  <c r="H41" i="97"/>
  <c r="J14" i="105"/>
  <c r="J21" i="105"/>
  <c r="D89" i="105"/>
  <c r="D113" i="105"/>
  <c r="D137" i="105"/>
  <c r="D161" i="105"/>
  <c r="D7" i="105"/>
  <c r="J35" i="105"/>
  <c r="D101" i="105"/>
  <c r="D125" i="105"/>
  <c r="J15" i="105"/>
  <c r="D46" i="105"/>
  <c r="D58" i="105"/>
  <c r="J29" i="105"/>
  <c r="D107" i="105"/>
  <c r="D24" i="105"/>
  <c r="D70" i="105"/>
  <c r="D83" i="105"/>
  <c r="D119" i="105"/>
  <c r="D143" i="105"/>
  <c r="D155" i="105"/>
  <c r="D167" i="105"/>
  <c r="D95" i="105"/>
  <c r="D131" i="105"/>
  <c r="J11" i="105"/>
  <c r="D12" i="105"/>
  <c r="J38" i="105"/>
  <c r="J50" i="105"/>
  <c r="D13" i="105"/>
  <c r="J20" i="105"/>
  <c r="J32" i="105"/>
  <c r="J62" i="105"/>
  <c r="J74" i="105"/>
  <c r="C23" i="105"/>
  <c r="E247" i="46"/>
  <c r="AD3" i="114" s="1"/>
  <c r="AD26" i="114" s="1"/>
  <c r="Z3" i="114"/>
  <c r="Z26" i="114" s="1"/>
  <c r="D36" i="105"/>
  <c r="J13" i="105"/>
  <c r="J7" i="105"/>
  <c r="W6" i="150"/>
  <c r="X6" i="150" s="1"/>
  <c r="P9" i="105"/>
  <c r="K65" i="105"/>
  <c r="K77" i="105"/>
  <c r="K83" i="105"/>
  <c r="C89" i="105"/>
  <c r="K95" i="105"/>
  <c r="C101" i="105"/>
  <c r="K107" i="105"/>
  <c r="C113" i="105"/>
  <c r="K119" i="105"/>
  <c r="C125" i="105"/>
  <c r="K131" i="105"/>
  <c r="C137" i="105"/>
  <c r="K143" i="105"/>
  <c r="C149" i="105"/>
  <c r="K155" i="105"/>
  <c r="C161" i="105"/>
  <c r="K167" i="105"/>
  <c r="K21" i="105"/>
  <c r="C38" i="105"/>
  <c r="K54" i="105"/>
  <c r="K66" i="105"/>
  <c r="C32" i="105"/>
  <c r="K42" i="105"/>
  <c r="C50" i="105"/>
  <c r="C62" i="105"/>
  <c r="K78" i="105"/>
  <c r="K7" i="105"/>
  <c r="C10" i="105"/>
  <c r="D11" i="105"/>
  <c r="K13" i="105"/>
  <c r="K15" i="105"/>
  <c r="C27" i="105"/>
  <c r="C35" i="105"/>
  <c r="D38" i="105"/>
  <c r="C42" i="105"/>
  <c r="K46" i="105"/>
  <c r="D50" i="105"/>
  <c r="C54" i="105"/>
  <c r="K58" i="105"/>
  <c r="D62" i="105"/>
  <c r="C66" i="105"/>
  <c r="K70" i="105"/>
  <c r="D74" i="105"/>
  <c r="C78" i="105"/>
  <c r="K90" i="105"/>
  <c r="J114" i="105"/>
  <c r="J126" i="105"/>
  <c r="J138" i="105"/>
  <c r="J150" i="105"/>
  <c r="J162" i="105"/>
  <c r="C11" i="105"/>
  <c r="J56" i="105"/>
  <c r="J102" i="105"/>
  <c r="J42" i="105"/>
  <c r="J168" i="105"/>
  <c r="J156" i="105"/>
  <c r="J144" i="105"/>
  <c r="J132" i="105"/>
  <c r="J120" i="105"/>
  <c r="J108" i="105"/>
  <c r="J96" i="105"/>
  <c r="J84" i="105"/>
  <c r="J161" i="105"/>
  <c r="J149" i="105"/>
  <c r="J137" i="105"/>
  <c r="J125" i="105"/>
  <c r="J113" i="105"/>
  <c r="J101" i="105"/>
  <c r="J89" i="105"/>
  <c r="J166" i="105"/>
  <c r="J154" i="105"/>
  <c r="J142" i="105"/>
  <c r="J130" i="105"/>
  <c r="J118" i="105"/>
  <c r="J106" i="105"/>
  <c r="J94" i="105"/>
  <c r="J82" i="105"/>
  <c r="J70" i="105"/>
  <c r="J58" i="105"/>
  <c r="J46" i="105"/>
  <c r="C9" i="105"/>
  <c r="D10" i="105"/>
  <c r="J12" i="105"/>
  <c r="K22" i="105"/>
  <c r="J22" i="105"/>
  <c r="D22" i="105"/>
  <c r="C22" i="105"/>
  <c r="J24" i="105"/>
  <c r="D27" i="105"/>
  <c r="C30" i="105"/>
  <c r="K38" i="105"/>
  <c r="K43" i="105"/>
  <c r="J43" i="105"/>
  <c r="C43" i="105"/>
  <c r="K50" i="105"/>
  <c r="K55" i="105"/>
  <c r="J55" i="105"/>
  <c r="C55" i="105"/>
  <c r="K62" i="105"/>
  <c r="K67" i="105"/>
  <c r="J67" i="105"/>
  <c r="C67" i="105"/>
  <c r="K74" i="105"/>
  <c r="K79" i="105"/>
  <c r="J79" i="105"/>
  <c r="C79" i="105"/>
  <c r="C84" i="105"/>
  <c r="C90" i="105"/>
  <c r="C96" i="105"/>
  <c r="C102" i="105"/>
  <c r="C108" i="105"/>
  <c r="C114" i="105"/>
  <c r="C120" i="105"/>
  <c r="C126" i="105"/>
  <c r="C132" i="105"/>
  <c r="C138" i="105"/>
  <c r="C144" i="105"/>
  <c r="C150" i="105"/>
  <c r="C156" i="105"/>
  <c r="C162" i="105"/>
  <c r="C168" i="105"/>
  <c r="C24" i="105"/>
  <c r="C29" i="105"/>
  <c r="K17" i="105"/>
  <c r="D17" i="105"/>
  <c r="K35" i="105"/>
  <c r="D35" i="105"/>
  <c r="C74" i="105"/>
  <c r="J10" i="105"/>
  <c r="K11" i="105"/>
  <c r="C14" i="105"/>
  <c r="C20" i="105"/>
  <c r="J27" i="105"/>
  <c r="D33" i="105"/>
  <c r="C36" i="105"/>
  <c r="J39" i="105"/>
  <c r="D47" i="105"/>
  <c r="J51" i="105"/>
  <c r="D59" i="105"/>
  <c r="J63" i="105"/>
  <c r="D71" i="105"/>
  <c r="J75" i="105"/>
  <c r="K24" i="105"/>
  <c r="K59" i="105"/>
  <c r="K97" i="105"/>
  <c r="J97" i="105"/>
  <c r="D97" i="105"/>
  <c r="C97" i="105"/>
  <c r="K163" i="105"/>
  <c r="J163" i="105"/>
  <c r="D163" i="105"/>
  <c r="C163" i="105"/>
  <c r="C8" i="105"/>
  <c r="J9" i="105"/>
  <c r="K16" i="105"/>
  <c r="J16" i="105"/>
  <c r="C16" i="105"/>
  <c r="C18" i="105"/>
  <c r="K25" i="105"/>
  <c r="J25" i="105"/>
  <c r="D25" i="105"/>
  <c r="C25" i="105"/>
  <c r="K27" i="105"/>
  <c r="J30" i="105"/>
  <c r="K48" i="105"/>
  <c r="K60" i="105"/>
  <c r="J80" i="105"/>
  <c r="J86" i="105"/>
  <c r="J92" i="105"/>
  <c r="J98" i="105"/>
  <c r="J104" i="105"/>
  <c r="J110" i="105"/>
  <c r="J116" i="105"/>
  <c r="J122" i="105"/>
  <c r="J128" i="105"/>
  <c r="J134" i="105"/>
  <c r="J140" i="105"/>
  <c r="J146" i="105"/>
  <c r="J152" i="105"/>
  <c r="J158" i="105"/>
  <c r="J164" i="105"/>
  <c r="K170" i="105"/>
  <c r="C15" i="105"/>
  <c r="K19" i="105"/>
  <c r="J19" i="105"/>
  <c r="D19" i="105"/>
  <c r="C19" i="105"/>
  <c r="D166" i="105"/>
  <c r="D118" i="105"/>
  <c r="D171" i="105"/>
  <c r="D159" i="105"/>
  <c r="D147" i="105"/>
  <c r="D135" i="105"/>
  <c r="D123" i="105"/>
  <c r="D111" i="105"/>
  <c r="D99" i="105"/>
  <c r="D87" i="105"/>
  <c r="D75" i="105"/>
  <c r="D63" i="105"/>
  <c r="D51" i="105"/>
  <c r="D56" i="105"/>
  <c r="D162" i="105"/>
  <c r="D150" i="105"/>
  <c r="D138" i="105"/>
  <c r="D126" i="105"/>
  <c r="D114" i="105"/>
  <c r="D102" i="105"/>
  <c r="D90" i="105"/>
  <c r="D78" i="105"/>
  <c r="D42" i="105"/>
  <c r="D158" i="105"/>
  <c r="D146" i="105"/>
  <c r="D134" i="105"/>
  <c r="D122" i="105"/>
  <c r="D110" i="105"/>
  <c r="D98" i="105"/>
  <c r="D86" i="105"/>
  <c r="D168" i="105"/>
  <c r="D156" i="105"/>
  <c r="D144" i="105"/>
  <c r="D132" i="105"/>
  <c r="D120" i="105"/>
  <c r="D108" i="105"/>
  <c r="D96" i="105"/>
  <c r="D84" i="105"/>
  <c r="D72" i="105"/>
  <c r="D60" i="105"/>
  <c r="D48" i="105"/>
  <c r="D9" i="105"/>
  <c r="K12" i="105"/>
  <c r="J17" i="105"/>
  <c r="D30" i="105"/>
  <c r="D39" i="105"/>
  <c r="D55" i="105"/>
  <c r="C75" i="105"/>
  <c r="K109" i="105"/>
  <c r="J109" i="105"/>
  <c r="D109" i="105"/>
  <c r="C109" i="105"/>
  <c r="K139" i="105"/>
  <c r="J139" i="105"/>
  <c r="D139" i="105"/>
  <c r="C139" i="105"/>
  <c r="K169" i="105"/>
  <c r="D8" i="105"/>
  <c r="D16" i="105"/>
  <c r="D18" i="105"/>
  <c r="K23" i="105"/>
  <c r="D23" i="105"/>
  <c r="K30" i="105"/>
  <c r="J33" i="105"/>
  <c r="J36" i="105"/>
  <c r="K40" i="105"/>
  <c r="J40" i="105"/>
  <c r="D40" i="105"/>
  <c r="C40" i="105"/>
  <c r="J44" i="105"/>
  <c r="C48" i="105"/>
  <c r="K52" i="105"/>
  <c r="J52" i="105"/>
  <c r="D52" i="105"/>
  <c r="C52" i="105"/>
  <c r="C56" i="105"/>
  <c r="C60" i="105"/>
  <c r="K64" i="105"/>
  <c r="J64" i="105"/>
  <c r="D64" i="105"/>
  <c r="C64" i="105"/>
  <c r="J68" i="105"/>
  <c r="C72" i="105"/>
  <c r="K76" i="105"/>
  <c r="J76" i="105"/>
  <c r="D76" i="105"/>
  <c r="C76" i="105"/>
  <c r="K80" i="105"/>
  <c r="K86" i="105"/>
  <c r="K92" i="105"/>
  <c r="K98" i="105"/>
  <c r="K104" i="105"/>
  <c r="K110" i="105"/>
  <c r="K116" i="105"/>
  <c r="K122" i="105"/>
  <c r="K128" i="105"/>
  <c r="K134" i="105"/>
  <c r="K140" i="105"/>
  <c r="K146" i="105"/>
  <c r="K152" i="105"/>
  <c r="K158" i="105"/>
  <c r="C171" i="105"/>
  <c r="K32" i="105"/>
  <c r="D32" i="105"/>
  <c r="K162" i="105"/>
  <c r="K150" i="105"/>
  <c r="K138" i="105"/>
  <c r="K126" i="105"/>
  <c r="K114" i="105"/>
  <c r="K102" i="105"/>
  <c r="K168" i="105"/>
  <c r="K156" i="105"/>
  <c r="K144" i="105"/>
  <c r="K132" i="105"/>
  <c r="K120" i="105"/>
  <c r="K108" i="105"/>
  <c r="K96" i="105"/>
  <c r="K84" i="105"/>
  <c r="K72" i="105"/>
  <c r="K161" i="105"/>
  <c r="K149" i="105"/>
  <c r="K137" i="105"/>
  <c r="K125" i="105"/>
  <c r="K113" i="105"/>
  <c r="K101" i="105"/>
  <c r="K89" i="105"/>
  <c r="K166" i="105"/>
  <c r="K154" i="105"/>
  <c r="K142" i="105"/>
  <c r="K130" i="105"/>
  <c r="K118" i="105"/>
  <c r="K106" i="105"/>
  <c r="K94" i="105"/>
  <c r="K82" i="105"/>
  <c r="K171" i="105"/>
  <c r="K159" i="105"/>
  <c r="K147" i="105"/>
  <c r="K135" i="105"/>
  <c r="K123" i="105"/>
  <c r="K111" i="105"/>
  <c r="K99" i="105"/>
  <c r="K87" i="105"/>
  <c r="K75" i="105"/>
  <c r="K63" i="105"/>
  <c r="K51" i="105"/>
  <c r="K39" i="105"/>
  <c r="D14" i="105"/>
  <c r="C51" i="105"/>
  <c r="K71" i="105"/>
  <c r="K91" i="105"/>
  <c r="J91" i="105"/>
  <c r="D91" i="105"/>
  <c r="C91" i="105"/>
  <c r="K121" i="105"/>
  <c r="J121" i="105"/>
  <c r="D121" i="105"/>
  <c r="C121" i="105"/>
  <c r="K133" i="105"/>
  <c r="J133" i="105"/>
  <c r="D133" i="105"/>
  <c r="C133" i="105"/>
  <c r="K157" i="105"/>
  <c r="D157" i="105"/>
  <c r="C157" i="105"/>
  <c r="K14" i="105"/>
  <c r="K36" i="105"/>
  <c r="K68" i="105"/>
  <c r="K93" i="105"/>
  <c r="C159" i="105"/>
  <c r="J8" i="105"/>
  <c r="J18" i="105"/>
  <c r="C21" i="105"/>
  <c r="K31" i="105"/>
  <c r="J31" i="105"/>
  <c r="D31" i="105"/>
  <c r="C31" i="105"/>
  <c r="C41" i="105"/>
  <c r="K45" i="105"/>
  <c r="D45" i="105"/>
  <c r="J48" i="105"/>
  <c r="C53" i="105"/>
  <c r="K57" i="105"/>
  <c r="D57" i="105"/>
  <c r="J60" i="105"/>
  <c r="C65" i="105"/>
  <c r="K69" i="105"/>
  <c r="D69" i="105"/>
  <c r="J72" i="105"/>
  <c r="C77" i="105"/>
  <c r="J81" i="105"/>
  <c r="J87" i="105"/>
  <c r="J93" i="105"/>
  <c r="J99" i="105"/>
  <c r="J105" i="105"/>
  <c r="J111" i="105"/>
  <c r="J117" i="105"/>
  <c r="J123" i="105"/>
  <c r="J129" i="105"/>
  <c r="J135" i="105"/>
  <c r="J141" i="105"/>
  <c r="J147" i="105"/>
  <c r="J153" i="105"/>
  <c r="J159" i="105"/>
  <c r="J165" i="105"/>
  <c r="K172" i="105"/>
  <c r="D43" i="105"/>
  <c r="C63" i="105"/>
  <c r="K85" i="105"/>
  <c r="J85" i="105"/>
  <c r="D85" i="105"/>
  <c r="C85" i="105"/>
  <c r="K115" i="105"/>
  <c r="J115" i="105"/>
  <c r="D115" i="105"/>
  <c r="C115" i="105"/>
  <c r="K145" i="105"/>
  <c r="J145" i="105"/>
  <c r="D145" i="105"/>
  <c r="C145" i="105"/>
  <c r="K33" i="105"/>
  <c r="K44" i="105"/>
  <c r="K56" i="105"/>
  <c r="K81" i="105"/>
  <c r="C99" i="105"/>
  <c r="K117" i="105"/>
  <c r="K129" i="105"/>
  <c r="K165" i="105"/>
  <c r="C7" i="105"/>
  <c r="C13" i="105"/>
  <c r="K18" i="105"/>
  <c r="D21" i="105"/>
  <c r="J23" i="105"/>
  <c r="K26" i="105"/>
  <c r="D26" i="105"/>
  <c r="K34" i="105"/>
  <c r="J34" i="105"/>
  <c r="D34" i="105"/>
  <c r="C34" i="105"/>
  <c r="K37" i="105"/>
  <c r="J37" i="105"/>
  <c r="D37" i="105"/>
  <c r="C37" i="105"/>
  <c r="D41" i="105"/>
  <c r="C45" i="105"/>
  <c r="K49" i="105"/>
  <c r="J49" i="105"/>
  <c r="D49" i="105"/>
  <c r="C49" i="105"/>
  <c r="D53" i="105"/>
  <c r="C57" i="105"/>
  <c r="K61" i="105"/>
  <c r="J61" i="105"/>
  <c r="D61" i="105"/>
  <c r="C61" i="105"/>
  <c r="D65" i="105"/>
  <c r="C69" i="105"/>
  <c r="K73" i="105"/>
  <c r="J73" i="105"/>
  <c r="D73" i="105"/>
  <c r="C73" i="105"/>
  <c r="D77" i="105"/>
  <c r="D82" i="105"/>
  <c r="K88" i="105"/>
  <c r="D94" i="105"/>
  <c r="K100" i="105"/>
  <c r="D106" i="105"/>
  <c r="K112" i="105"/>
  <c r="K124" i="105"/>
  <c r="D130" i="105"/>
  <c r="K136" i="105"/>
  <c r="D142" i="105"/>
  <c r="K148" i="105"/>
  <c r="D154" i="105"/>
  <c r="K160" i="105"/>
  <c r="C166" i="105"/>
  <c r="C154" i="105"/>
  <c r="C142" i="105"/>
  <c r="C130" i="105"/>
  <c r="C118" i="105"/>
  <c r="C106" i="105"/>
  <c r="C94" i="105"/>
  <c r="C82" i="105"/>
  <c r="C70" i="105"/>
  <c r="C170" i="105"/>
  <c r="C158" i="105"/>
  <c r="C146" i="105"/>
  <c r="C134" i="105"/>
  <c r="C122" i="105"/>
  <c r="C110" i="105"/>
  <c r="C98" i="105"/>
  <c r="C86" i="105"/>
  <c r="C12" i="105"/>
  <c r="K20" i="105"/>
  <c r="D20" i="105"/>
  <c r="C33" i="105"/>
  <c r="K47" i="105"/>
  <c r="D67" i="105"/>
  <c r="D79" i="105"/>
  <c r="K103" i="105"/>
  <c r="J103" i="105"/>
  <c r="D103" i="105"/>
  <c r="C103" i="105"/>
  <c r="K127" i="105"/>
  <c r="J127" i="105"/>
  <c r="D127" i="105"/>
  <c r="C127" i="105"/>
  <c r="K151" i="105"/>
  <c r="J151" i="105"/>
  <c r="D151" i="105"/>
  <c r="C151" i="105"/>
  <c r="K28" i="105"/>
  <c r="J28" i="105"/>
  <c r="D28" i="105"/>
  <c r="C28" i="105"/>
  <c r="C87" i="105"/>
  <c r="K105" i="105"/>
  <c r="C111" i="105"/>
  <c r="C123" i="105"/>
  <c r="C135" i="105"/>
  <c r="K141" i="105"/>
  <c r="C147" i="105"/>
  <c r="K153" i="105"/>
  <c r="J171" i="105"/>
  <c r="D15" i="105"/>
  <c r="C26" i="105"/>
  <c r="K29" i="105"/>
  <c r="D29" i="105"/>
  <c r="J41" i="105"/>
  <c r="M41" i="105" s="1"/>
  <c r="J45" i="105"/>
  <c r="J53" i="105"/>
  <c r="J57" i="105"/>
  <c r="J65" i="105"/>
  <c r="J69" i="105"/>
  <c r="J77" i="105"/>
  <c r="C81" i="105"/>
  <c r="C93" i="105"/>
  <c r="C105" i="105"/>
  <c r="C117" i="105"/>
  <c r="C129" i="105"/>
  <c r="C141" i="105"/>
  <c r="C153" i="105"/>
  <c r="C165" i="105"/>
  <c r="D170" i="105"/>
  <c r="D81" i="105"/>
  <c r="C88" i="105"/>
  <c r="D93" i="105"/>
  <c r="C100" i="105"/>
  <c r="D105" i="105"/>
  <c r="C112" i="105"/>
  <c r="D117" i="105"/>
  <c r="C124" i="105"/>
  <c r="D129" i="105"/>
  <c r="C136" i="105"/>
  <c r="D141" i="105"/>
  <c r="C148" i="105"/>
  <c r="D153" i="105"/>
  <c r="C160" i="105"/>
  <c r="D165" i="105"/>
  <c r="C172" i="105"/>
  <c r="C47" i="105"/>
  <c r="C59" i="105"/>
  <c r="C71" i="105"/>
  <c r="C83" i="105"/>
  <c r="D88" i="105"/>
  <c r="C95" i="105"/>
  <c r="D100" i="105"/>
  <c r="C107" i="105"/>
  <c r="D112" i="105"/>
  <c r="C119" i="105"/>
  <c r="D124" i="105"/>
  <c r="C131" i="105"/>
  <c r="D136" i="105"/>
  <c r="C143" i="105"/>
  <c r="D148" i="105"/>
  <c r="C155" i="105"/>
  <c r="D160" i="105"/>
  <c r="C167" i="105"/>
  <c r="J170" i="105"/>
  <c r="D172" i="105"/>
  <c r="D54" i="105"/>
  <c r="D66" i="105"/>
  <c r="J88" i="105"/>
  <c r="J100" i="105"/>
  <c r="J112" i="105"/>
  <c r="J124" i="105"/>
  <c r="J136" i="105"/>
  <c r="J148" i="105"/>
  <c r="J160" i="105"/>
  <c r="C169" i="105"/>
  <c r="J172" i="105"/>
  <c r="C44" i="105"/>
  <c r="J47" i="105"/>
  <c r="J59" i="105"/>
  <c r="C68" i="105"/>
  <c r="J71" i="105"/>
  <c r="C80" i="105"/>
  <c r="J83" i="105"/>
  <c r="C92" i="105"/>
  <c r="J95" i="105"/>
  <c r="C104" i="105"/>
  <c r="J107" i="105"/>
  <c r="C116" i="105"/>
  <c r="J119" i="105"/>
  <c r="C128" i="105"/>
  <c r="J131" i="105"/>
  <c r="C140" i="105"/>
  <c r="J143" i="105"/>
  <c r="C152" i="105"/>
  <c r="J155" i="105"/>
  <c r="C164" i="105"/>
  <c r="J167" i="105"/>
  <c r="D169" i="105"/>
  <c r="C39" i="105"/>
  <c r="D44" i="105"/>
  <c r="J54" i="105"/>
  <c r="J66" i="105"/>
  <c r="D68" i="105"/>
  <c r="J78" i="105"/>
  <c r="D80" i="105"/>
  <c r="J90" i="105"/>
  <c r="D92" i="105"/>
  <c r="D104" i="105"/>
  <c r="D116" i="105"/>
  <c r="D128" i="105"/>
  <c r="D140" i="105"/>
  <c r="D152" i="105"/>
  <c r="D164" i="105"/>
  <c r="C46" i="105"/>
  <c r="C58" i="105"/>
  <c r="J169" i="105"/>
  <c r="C55" i="156"/>
  <c r="D55" i="156" s="1"/>
  <c r="G64" i="114" s="1"/>
  <c r="D17" i="156"/>
  <c r="R2" i="168"/>
  <c r="R5" i="168" s="1"/>
  <c r="Q2" i="168"/>
  <c r="Q5" i="168" s="1"/>
  <c r="F78" i="94"/>
  <c r="E46" i="168"/>
  <c r="E47" i="168"/>
  <c r="E48" i="168"/>
  <c r="E49" i="168"/>
  <c r="E50" i="168"/>
  <c r="E51" i="168"/>
  <c r="E52" i="168"/>
  <c r="E53" i="168"/>
  <c r="E54" i="168"/>
  <c r="E55" i="168"/>
  <c r="E56" i="168"/>
  <c r="E57" i="168"/>
  <c r="E58" i="168"/>
  <c r="E59" i="168"/>
  <c r="E60" i="168"/>
  <c r="I60" i="168" s="1"/>
  <c r="E45" i="168"/>
  <c r="E44" i="168"/>
  <c r="E52" i="157"/>
  <c r="G52" i="157"/>
  <c r="M53" i="157" s="1"/>
  <c r="N53" i="157" s="1"/>
  <c r="I7" i="159"/>
  <c r="P7" i="159" s="1"/>
  <c r="H35" i="97" s="1"/>
  <c r="M179" i="105" l="1"/>
  <c r="M180" i="105"/>
  <c r="F179" i="105"/>
  <c r="M10" i="105"/>
  <c r="M164" i="105"/>
  <c r="H50" i="168"/>
  <c r="I50" i="168"/>
  <c r="H55" i="168"/>
  <c r="I55" i="168"/>
  <c r="H47" i="168"/>
  <c r="I47" i="168"/>
  <c r="H46" i="168"/>
  <c r="I46" i="168"/>
  <c r="H58" i="168"/>
  <c r="I58" i="168"/>
  <c r="H56" i="168"/>
  <c r="I56" i="168"/>
  <c r="I53" i="168"/>
  <c r="D28" i="160" s="1"/>
  <c r="H54" i="168"/>
  <c r="I54" i="168"/>
  <c r="F180" i="105"/>
  <c r="H52" i="168"/>
  <c r="I52" i="168"/>
  <c r="H51" i="168"/>
  <c r="I51" i="168"/>
  <c r="I45" i="168"/>
  <c r="H57" i="168"/>
  <c r="I57" i="168"/>
  <c r="H49" i="168"/>
  <c r="I49" i="168"/>
  <c r="H48" i="168"/>
  <c r="I48" i="168"/>
  <c r="H59" i="168"/>
  <c r="I59" i="168" s="1"/>
  <c r="H39" i="97"/>
  <c r="F46" i="105"/>
  <c r="F58" i="105"/>
  <c r="M14" i="105"/>
  <c r="M177" i="105"/>
  <c r="M173" i="105"/>
  <c r="M143" i="105"/>
  <c r="M170" i="105"/>
  <c r="F13" i="105"/>
  <c r="M155" i="105"/>
  <c r="M9" i="105"/>
  <c r="M175" i="105"/>
  <c r="M176" i="105"/>
  <c r="F135" i="105"/>
  <c r="F86" i="105"/>
  <c r="M62" i="105"/>
  <c r="F33" i="105"/>
  <c r="M38" i="105"/>
  <c r="F101" i="105"/>
  <c r="F174" i="105"/>
  <c r="F147" i="105"/>
  <c r="F89" i="105"/>
  <c r="F123" i="105"/>
  <c r="F98" i="105"/>
  <c r="F175" i="105"/>
  <c r="F122" i="105"/>
  <c r="M123" i="105"/>
  <c r="M174" i="105"/>
  <c r="M32" i="105"/>
  <c r="M178" i="105"/>
  <c r="M53" i="105"/>
  <c r="F177" i="105"/>
  <c r="M147" i="105"/>
  <c r="F173" i="105"/>
  <c r="M21" i="105"/>
  <c r="F176" i="105"/>
  <c r="F149" i="105"/>
  <c r="F17" i="105"/>
  <c r="M7" i="105"/>
  <c r="F178" i="105"/>
  <c r="M8" i="105"/>
  <c r="F107" i="105"/>
  <c r="F83" i="105"/>
  <c r="F137" i="105"/>
  <c r="M29" i="105"/>
  <c r="F24" i="105"/>
  <c r="M74" i="105"/>
  <c r="F171" i="105"/>
  <c r="F125" i="105"/>
  <c r="M60" i="105"/>
  <c r="M13" i="105"/>
  <c r="F155" i="105"/>
  <c r="M71" i="105"/>
  <c r="M59" i="105"/>
  <c r="F119" i="105"/>
  <c r="F131" i="105"/>
  <c r="M69" i="105"/>
  <c r="M47" i="105"/>
  <c r="M93" i="105"/>
  <c r="F70" i="105"/>
  <c r="M77" i="105"/>
  <c r="F12" i="105"/>
  <c r="F143" i="105"/>
  <c r="M35" i="105"/>
  <c r="M11" i="105"/>
  <c r="M83" i="105"/>
  <c r="M78" i="105"/>
  <c r="M20" i="105"/>
  <c r="M57" i="105"/>
  <c r="M171" i="105"/>
  <c r="F36" i="105"/>
  <c r="M50" i="105"/>
  <c r="F161" i="105"/>
  <c r="F113" i="105"/>
  <c r="M124" i="105"/>
  <c r="F167" i="105"/>
  <c r="M70" i="105"/>
  <c r="F95" i="105"/>
  <c r="M95" i="105"/>
  <c r="M167" i="105"/>
  <c r="F23" i="105"/>
  <c r="M15" i="105"/>
  <c r="F11" i="105"/>
  <c r="F163" i="105"/>
  <c r="M58" i="105"/>
  <c r="F110" i="105"/>
  <c r="F159" i="105"/>
  <c r="M112" i="105"/>
  <c r="M159" i="105"/>
  <c r="F57" i="105"/>
  <c r="M65" i="105"/>
  <c r="M85" i="105"/>
  <c r="M148" i="105"/>
  <c r="M76" i="105"/>
  <c r="F74" i="105"/>
  <c r="F81" i="105"/>
  <c r="M107" i="105"/>
  <c r="F48" i="105"/>
  <c r="M115" i="105"/>
  <c r="Y6" i="150"/>
  <c r="Z6" i="150" s="1"/>
  <c r="AA6" i="150" s="1"/>
  <c r="AB6" i="150" s="1"/>
  <c r="F158" i="105"/>
  <c r="M127" i="105"/>
  <c r="F45" i="105"/>
  <c r="F166" i="105"/>
  <c r="F63" i="105"/>
  <c r="F59" i="105"/>
  <c r="F47" i="105"/>
  <c r="M52" i="105"/>
  <c r="M54" i="105"/>
  <c r="F39" i="105"/>
  <c r="M160" i="105"/>
  <c r="F87" i="105"/>
  <c r="M100" i="105"/>
  <c r="M121" i="105"/>
  <c r="F72" i="105"/>
  <c r="F64" i="105"/>
  <c r="F40" i="105"/>
  <c r="M25" i="105"/>
  <c r="F97" i="105"/>
  <c r="F111" i="105"/>
  <c r="F109" i="105"/>
  <c r="M55" i="105"/>
  <c r="M22" i="105"/>
  <c r="F138" i="105"/>
  <c r="M89" i="105"/>
  <c r="M144" i="105"/>
  <c r="F35" i="105"/>
  <c r="M46" i="105"/>
  <c r="F38" i="105"/>
  <c r="F148" i="105"/>
  <c r="F116" i="105"/>
  <c r="M172" i="105"/>
  <c r="F165" i="105"/>
  <c r="F82" i="105"/>
  <c r="M135" i="105"/>
  <c r="F169" i="105"/>
  <c r="F136" i="105"/>
  <c r="F94" i="105"/>
  <c r="M129" i="105"/>
  <c r="M31" i="105"/>
  <c r="M64" i="105"/>
  <c r="M40" i="105"/>
  <c r="M97" i="105"/>
  <c r="M48" i="105"/>
  <c r="F118" i="105"/>
  <c r="F134" i="105"/>
  <c r="F71" i="105"/>
  <c r="F56" i="105"/>
  <c r="M133" i="105"/>
  <c r="F68" i="105"/>
  <c r="M88" i="105"/>
  <c r="F151" i="105"/>
  <c r="F146" i="105"/>
  <c r="F34" i="105"/>
  <c r="M87" i="105"/>
  <c r="F75" i="105"/>
  <c r="F19" i="105"/>
  <c r="D1" i="105"/>
  <c r="M72" i="105"/>
  <c r="F127" i="105"/>
  <c r="M73" i="105"/>
  <c r="M49" i="105"/>
  <c r="F139" i="105"/>
  <c r="M17" i="105"/>
  <c r="M67" i="105"/>
  <c r="M42" i="105"/>
  <c r="F153" i="105"/>
  <c r="M45" i="105"/>
  <c r="F104" i="105"/>
  <c r="F106" i="105"/>
  <c r="M23" i="105"/>
  <c r="M139" i="105"/>
  <c r="F145" i="105"/>
  <c r="F133" i="105"/>
  <c r="F51" i="105"/>
  <c r="M51" i="105"/>
  <c r="F112" i="105"/>
  <c r="F142" i="105"/>
  <c r="M145" i="105"/>
  <c r="M119" i="105"/>
  <c r="M28" i="105"/>
  <c r="M103" i="105"/>
  <c r="F154" i="105"/>
  <c r="M61" i="105"/>
  <c r="M37" i="105"/>
  <c r="M99" i="105"/>
  <c r="M91" i="105"/>
  <c r="F15" i="105"/>
  <c r="M104" i="105"/>
  <c r="F132" i="105"/>
  <c r="M101" i="105"/>
  <c r="M156" i="105"/>
  <c r="F78" i="105"/>
  <c r="F27" i="105"/>
  <c r="F141" i="105"/>
  <c r="F69" i="105"/>
  <c r="F65" i="105"/>
  <c r="M98" i="105"/>
  <c r="F18" i="105"/>
  <c r="M39" i="105"/>
  <c r="F126" i="105"/>
  <c r="F67" i="105"/>
  <c r="F30" i="105"/>
  <c r="M113" i="105"/>
  <c r="M168" i="105"/>
  <c r="F129" i="105"/>
  <c r="M117" i="105"/>
  <c r="F21" i="105"/>
  <c r="M92" i="105"/>
  <c r="F16" i="105"/>
  <c r="F120" i="105"/>
  <c r="M125" i="105"/>
  <c r="F124" i="105"/>
  <c r="F164" i="105"/>
  <c r="F92" i="105"/>
  <c r="M136" i="105"/>
  <c r="F117" i="105"/>
  <c r="F28" i="105"/>
  <c r="F103" i="105"/>
  <c r="F130" i="105"/>
  <c r="F61" i="105"/>
  <c r="F37" i="105"/>
  <c r="M111" i="105"/>
  <c r="M18" i="105"/>
  <c r="F60" i="105"/>
  <c r="M36" i="105"/>
  <c r="M158" i="105"/>
  <c r="M86" i="105"/>
  <c r="M16" i="105"/>
  <c r="F29" i="105"/>
  <c r="F114" i="105"/>
  <c r="M24" i="105"/>
  <c r="M82" i="105"/>
  <c r="M137" i="105"/>
  <c r="M102" i="105"/>
  <c r="F66" i="105"/>
  <c r="S2" i="105"/>
  <c r="F105" i="105"/>
  <c r="F26" i="105"/>
  <c r="M105" i="105"/>
  <c r="M33" i="105"/>
  <c r="M152" i="105"/>
  <c r="M80" i="105"/>
  <c r="M27" i="105"/>
  <c r="F108" i="105"/>
  <c r="F22" i="105"/>
  <c r="M94" i="105"/>
  <c r="M149" i="105"/>
  <c r="M56" i="105"/>
  <c r="F10" i="105"/>
  <c r="M90" i="105"/>
  <c r="F152" i="105"/>
  <c r="F80" i="105"/>
  <c r="F93" i="105"/>
  <c r="C1" i="105"/>
  <c r="F7" i="105"/>
  <c r="F53" i="105"/>
  <c r="F76" i="105"/>
  <c r="F52" i="105"/>
  <c r="M146" i="105"/>
  <c r="F20" i="105"/>
  <c r="F102" i="105"/>
  <c r="F55" i="105"/>
  <c r="M106" i="105"/>
  <c r="M161" i="105"/>
  <c r="K1" i="105"/>
  <c r="F172" i="105"/>
  <c r="F100" i="105"/>
  <c r="F115" i="105"/>
  <c r="M165" i="105"/>
  <c r="F121" i="105"/>
  <c r="M109" i="105"/>
  <c r="M140" i="105"/>
  <c r="F8" i="105"/>
  <c r="F14" i="105"/>
  <c r="F168" i="105"/>
  <c r="F96" i="105"/>
  <c r="M118" i="105"/>
  <c r="M84" i="105"/>
  <c r="M162" i="105"/>
  <c r="F54" i="105"/>
  <c r="M134" i="105"/>
  <c r="M30" i="105"/>
  <c r="M75" i="105"/>
  <c r="F162" i="105"/>
  <c r="F90" i="105"/>
  <c r="M130" i="105"/>
  <c r="M96" i="105"/>
  <c r="M150" i="105"/>
  <c r="F62" i="105"/>
  <c r="M110" i="105"/>
  <c r="F140" i="105"/>
  <c r="M131" i="105"/>
  <c r="F160" i="105"/>
  <c r="F88" i="105"/>
  <c r="M153" i="105"/>
  <c r="M81" i="105"/>
  <c r="M128" i="105"/>
  <c r="F156" i="105"/>
  <c r="F84" i="105"/>
  <c r="M12" i="105"/>
  <c r="M142" i="105"/>
  <c r="M108" i="105"/>
  <c r="M138" i="105"/>
  <c r="F50" i="105"/>
  <c r="M169" i="105"/>
  <c r="M66" i="105"/>
  <c r="F128" i="105"/>
  <c r="M151" i="105"/>
  <c r="F170" i="105"/>
  <c r="F73" i="105"/>
  <c r="F49" i="105"/>
  <c r="M34" i="105"/>
  <c r="F99" i="105"/>
  <c r="F77" i="105"/>
  <c r="F41" i="105"/>
  <c r="M122" i="105"/>
  <c r="F25" i="105"/>
  <c r="M163" i="105"/>
  <c r="M63" i="105"/>
  <c r="F150" i="105"/>
  <c r="F79" i="105"/>
  <c r="F43" i="105"/>
  <c r="M154" i="105"/>
  <c r="M120" i="105"/>
  <c r="M126" i="105"/>
  <c r="F42" i="105"/>
  <c r="F44" i="105"/>
  <c r="F85" i="105"/>
  <c r="M141" i="105"/>
  <c r="F31" i="105"/>
  <c r="F157" i="105"/>
  <c r="F91" i="105"/>
  <c r="M68" i="105"/>
  <c r="M44" i="105"/>
  <c r="M19" i="105"/>
  <c r="M116" i="105"/>
  <c r="F144" i="105"/>
  <c r="M79" i="105"/>
  <c r="M43" i="105"/>
  <c r="F9" i="105"/>
  <c r="M166" i="105"/>
  <c r="M132" i="105"/>
  <c r="M114" i="105"/>
  <c r="F32" i="105"/>
  <c r="H45" i="168"/>
  <c r="C30" i="97"/>
  <c r="M31" i="97"/>
  <c r="L32" i="97"/>
  <c r="C33" i="97"/>
  <c r="C34" i="97"/>
  <c r="C35" i="97"/>
  <c r="L36" i="97"/>
  <c r="L37" i="97"/>
  <c r="L38" i="97"/>
  <c r="L40" i="97"/>
  <c r="L41" i="97"/>
  <c r="C43" i="97"/>
  <c r="C44" i="97"/>
  <c r="C45" i="97"/>
  <c r="C46" i="97"/>
  <c r="C47" i="97"/>
  <c r="L48" i="97"/>
  <c r="C49" i="97"/>
  <c r="N50" i="97"/>
  <c r="C51" i="97"/>
  <c r="L52" i="97"/>
  <c r="L53" i="97"/>
  <c r="C54" i="97"/>
  <c r="C55" i="97"/>
  <c r="C56" i="97"/>
  <c r="C57" i="97"/>
  <c r="C58" i="97"/>
  <c r="C59" i="97"/>
  <c r="N60" i="97"/>
  <c r="L61" i="97"/>
  <c r="L62" i="97"/>
  <c r="N64" i="97"/>
  <c r="L65" i="97"/>
  <c r="C66" i="97"/>
  <c r="C67" i="97"/>
  <c r="C68" i="97"/>
  <c r="C69" i="97"/>
  <c r="C70" i="97"/>
  <c r="C71" i="97"/>
  <c r="C72" i="97"/>
  <c r="C73" i="97"/>
  <c r="L74" i="97"/>
  <c r="L76" i="97"/>
  <c r="L77" i="97"/>
  <c r="C78" i="97"/>
  <c r="C79" i="97"/>
  <c r="C80" i="97"/>
  <c r="C81" i="97"/>
  <c r="C82" i="97"/>
  <c r="C83" i="97"/>
  <c r="C84" i="97"/>
  <c r="L85" i="97"/>
  <c r="C8" i="97"/>
  <c r="C11" i="97"/>
  <c r="C12" i="97"/>
  <c r="C13" i="97"/>
  <c r="C14" i="97"/>
  <c r="C15" i="97"/>
  <c r="C16" i="97"/>
  <c r="C17" i="97"/>
  <c r="C18" i="97"/>
  <c r="C20" i="97"/>
  <c r="C23" i="97"/>
  <c r="C24" i="97"/>
  <c r="C25" i="97"/>
  <c r="C26" i="97"/>
  <c r="C27" i="97"/>
  <c r="C28" i="97"/>
  <c r="C29" i="97"/>
  <c r="B6" i="97"/>
  <c r="L33" i="97"/>
  <c r="M33" i="97"/>
  <c r="N33" i="97"/>
  <c r="M34" i="97"/>
  <c r="N34" i="97"/>
  <c r="L35" i="97"/>
  <c r="M35" i="97"/>
  <c r="L39" i="97"/>
  <c r="M39" i="97"/>
  <c r="N39" i="97"/>
  <c r="M43" i="97"/>
  <c r="L44" i="97"/>
  <c r="M46" i="97"/>
  <c r="N46" i="97"/>
  <c r="M50" i="97"/>
  <c r="L51" i="97"/>
  <c r="M51" i="97"/>
  <c r="L55" i="97"/>
  <c r="M55" i="97"/>
  <c r="M63" i="97"/>
  <c r="N63" i="97"/>
  <c r="L66" i="97"/>
  <c r="N66" i="97"/>
  <c r="L67" i="97"/>
  <c r="L70" i="97"/>
  <c r="N70" i="97"/>
  <c r="M73" i="97"/>
  <c r="N73" i="97"/>
  <c r="L75" i="97"/>
  <c r="M75" i="97"/>
  <c r="N75" i="97"/>
  <c r="L81" i="97"/>
  <c r="M82" i="97"/>
  <c r="C8" i="157"/>
  <c r="C53" i="157" s="1"/>
  <c r="I52" i="157"/>
  <c r="P3" i="109" l="1"/>
  <c r="C74" i="114"/>
  <c r="D21" i="160"/>
  <c r="H44" i="168"/>
  <c r="C6" i="97"/>
  <c r="H6" i="97"/>
  <c r="M67" i="97"/>
  <c r="N55" i="97"/>
  <c r="M44" i="97"/>
  <c r="L43" i="97"/>
  <c r="M54" i="97"/>
  <c r="L42" i="97"/>
  <c r="N30" i="97"/>
  <c r="N80" i="97"/>
  <c r="N42" i="97"/>
  <c r="M69" i="97"/>
  <c r="N57" i="97"/>
  <c r="N79" i="97"/>
  <c r="L69" i="97"/>
  <c r="M57" i="97"/>
  <c r="L30" i="97"/>
  <c r="L79" i="97"/>
  <c r="N68" i="97"/>
  <c r="N78" i="97"/>
  <c r="M68" i="97"/>
  <c r="N56" i="97"/>
  <c r="L54" i="97"/>
  <c r="M42" i="97"/>
  <c r="L31" i="97"/>
  <c r="L57" i="97"/>
  <c r="M78" i="97"/>
  <c r="L68" i="97"/>
  <c r="M56" i="97"/>
  <c r="N45" i="97"/>
  <c r="M80" i="97"/>
  <c r="L80" i="97"/>
  <c r="N67" i="97"/>
  <c r="L56" i="97"/>
  <c r="L45" i="97"/>
  <c r="L63" i="97"/>
  <c r="M79" i="97"/>
  <c r="M58" i="97"/>
  <c r="N51" i="97"/>
  <c r="C77" i="97"/>
  <c r="C75" i="97"/>
  <c r="C63" i="97"/>
  <c r="C39" i="97"/>
  <c r="M64" i="97"/>
  <c r="L64" i="97"/>
  <c r="M84" i="97"/>
  <c r="C76" i="97"/>
  <c r="N72" i="97"/>
  <c r="N84" i="97"/>
  <c r="N47" i="97"/>
  <c r="C65" i="97"/>
  <c r="M47" i="97"/>
  <c r="C64" i="97"/>
  <c r="L47" i="97"/>
  <c r="M60" i="97"/>
  <c r="M83" i="97"/>
  <c r="M59" i="97"/>
  <c r="C22" i="97"/>
  <c r="C53" i="97"/>
  <c r="C21" i="97"/>
  <c r="C52" i="97"/>
  <c r="L84" i="97"/>
  <c r="L60" i="97"/>
  <c r="L83" i="97"/>
  <c r="L59" i="97"/>
  <c r="L82" i="97"/>
  <c r="L78" i="97"/>
  <c r="M70" i="97"/>
  <c r="M66" i="97"/>
  <c r="N58" i="97"/>
  <c r="N54" i="97"/>
  <c r="L46" i="97"/>
  <c r="M30" i="97"/>
  <c r="C10" i="97"/>
  <c r="N83" i="97"/>
  <c r="M72" i="97"/>
  <c r="N71" i="97"/>
  <c r="M71" i="97"/>
  <c r="N59" i="97"/>
  <c r="L71" i="97"/>
  <c r="M81" i="97"/>
  <c r="N69" i="97"/>
  <c r="L58" i="97"/>
  <c r="M45" i="97"/>
  <c r="N35" i="97"/>
  <c r="C9" i="97"/>
  <c r="G53" i="157"/>
  <c r="C2" i="114"/>
  <c r="AC6" i="150"/>
  <c r="F1" i="105"/>
  <c r="L73" i="97"/>
  <c r="N49" i="97"/>
  <c r="M49" i="97"/>
  <c r="C19" i="97"/>
  <c r="C7" i="97"/>
  <c r="C74" i="97"/>
  <c r="C62" i="97"/>
  <c r="C50" i="97"/>
  <c r="C38" i="97"/>
  <c r="L49" i="97"/>
  <c r="C85" i="97"/>
  <c r="C61" i="97"/>
  <c r="C37" i="97"/>
  <c r="L72" i="97"/>
  <c r="N62" i="97"/>
  <c r="N48" i="97"/>
  <c r="N44" i="97"/>
  <c r="N38" i="97"/>
  <c r="L34" i="97"/>
  <c r="C60" i="97"/>
  <c r="C48" i="97"/>
  <c r="C36" i="97"/>
  <c r="N85" i="97"/>
  <c r="M62" i="97"/>
  <c r="M48" i="97"/>
  <c r="N37" i="97"/>
  <c r="L50" i="97"/>
  <c r="M37" i="97"/>
  <c r="M85" i="97"/>
  <c r="N61" i="97"/>
  <c r="N43" i="97"/>
  <c r="N74" i="97"/>
  <c r="M61" i="97"/>
  <c r="N36" i="97"/>
  <c r="C32" i="97"/>
  <c r="M74" i="97"/>
  <c r="M36" i="97"/>
  <c r="C31" i="97"/>
  <c r="N76" i="97"/>
  <c r="M76" i="97"/>
  <c r="M38" i="97"/>
  <c r="N31" i="97"/>
  <c r="N77" i="97"/>
  <c r="N65" i="97"/>
  <c r="N53" i="97"/>
  <c r="N41" i="97"/>
  <c r="M77" i="97"/>
  <c r="M65" i="97"/>
  <c r="M53" i="97"/>
  <c r="M41" i="97"/>
  <c r="N52" i="97"/>
  <c r="N40" i="97"/>
  <c r="N32" i="97"/>
  <c r="M52" i="97"/>
  <c r="M40" i="97"/>
  <c r="M32" i="97"/>
  <c r="J2" i="109" l="1"/>
  <c r="T3" i="109"/>
  <c r="C50" i="114"/>
  <c r="C68" i="114"/>
  <c r="I94" i="157" l="1"/>
  <c r="H23" i="150"/>
  <c r="I23" i="150" s="1"/>
  <c r="K23" i="150" s="1"/>
  <c r="C4" i="156"/>
  <c r="F27" i="146" l="1"/>
  <c r="B9" i="168" l="1"/>
  <c r="B10" i="168"/>
  <c r="B11" i="168"/>
  <c r="B12" i="168"/>
  <c r="B13" i="168"/>
  <c r="B14" i="168"/>
  <c r="B15" i="168"/>
  <c r="B16" i="168"/>
  <c r="B17" i="168"/>
  <c r="B18" i="168"/>
  <c r="B19" i="168"/>
  <c r="B20" i="168"/>
  <c r="B21" i="168"/>
  <c r="B22" i="168"/>
  <c r="B23" i="168"/>
  <c r="B24" i="168"/>
  <c r="B25" i="168"/>
  <c r="B26" i="168"/>
  <c r="B27" i="168"/>
  <c r="B28" i="168"/>
  <c r="B29" i="168"/>
  <c r="B30" i="168"/>
  <c r="B31" i="168"/>
  <c r="B32" i="168"/>
  <c r="B33" i="168"/>
  <c r="B34" i="168"/>
  <c r="B35" i="168"/>
  <c r="B36" i="168"/>
  <c r="B37" i="168"/>
  <c r="B38" i="168"/>
  <c r="B39" i="168"/>
  <c r="B40" i="168"/>
  <c r="B41" i="168"/>
  <c r="B42" i="168"/>
  <c r="B43" i="168"/>
  <c r="B44" i="168"/>
  <c r="B45" i="168" s="1"/>
  <c r="B46" i="168" s="1"/>
  <c r="B47" i="168" s="1"/>
  <c r="B48" i="168" s="1"/>
  <c r="B49" i="168" s="1"/>
  <c r="B50" i="168" s="1"/>
  <c r="B51" i="168" s="1"/>
  <c r="B52" i="168" s="1"/>
  <c r="B53" i="168" s="1"/>
  <c r="B54" i="168" s="1"/>
  <c r="B55" i="168" s="1"/>
  <c r="B56" i="168" s="1"/>
  <c r="B57" i="168" s="1"/>
  <c r="B58" i="168" s="1"/>
  <c r="B59" i="168" s="1"/>
  <c r="B8" i="168"/>
  <c r="O25" i="168"/>
  <c r="M46" i="168"/>
  <c r="O46" i="168" s="1"/>
  <c r="M45" i="168"/>
  <c r="O45" i="168" s="1"/>
  <c r="M44" i="168"/>
  <c r="O44" i="168" s="1"/>
  <c r="M43" i="168"/>
  <c r="O43" i="168" s="1"/>
  <c r="N42" i="168"/>
  <c r="O42" i="168" s="1"/>
  <c r="N41" i="168"/>
  <c r="O41" i="168" s="1"/>
  <c r="N40" i="168"/>
  <c r="O40" i="168" s="1"/>
  <c r="N39" i="168"/>
  <c r="O39" i="168" s="1"/>
  <c r="M38" i="168"/>
  <c r="O38" i="168" s="1"/>
  <c r="N37" i="168"/>
  <c r="O37" i="168" s="1"/>
  <c r="N36" i="168"/>
  <c r="O36" i="168" s="1"/>
  <c r="N35" i="168"/>
  <c r="O35" i="168" s="1"/>
  <c r="N34" i="168"/>
  <c r="O34" i="168" s="1"/>
  <c r="N33" i="168"/>
  <c r="O33" i="168" s="1"/>
  <c r="N32" i="168"/>
  <c r="O32" i="168" s="1"/>
  <c r="N31" i="168"/>
  <c r="O31" i="168" s="1"/>
  <c r="N30" i="168"/>
  <c r="O30" i="168" s="1"/>
  <c r="N29" i="168"/>
  <c r="O29" i="168" s="1"/>
  <c r="M28" i="168"/>
  <c r="O28" i="168" s="1"/>
  <c r="N27" i="168"/>
  <c r="O27" i="168" s="1"/>
  <c r="M26" i="168"/>
  <c r="O26" i="168" s="1"/>
  <c r="M25" i="168"/>
  <c r="N24" i="168"/>
  <c r="O24" i="168" s="1"/>
  <c r="N23" i="168"/>
  <c r="O23" i="168" s="1"/>
  <c r="N22" i="168"/>
  <c r="O22" i="168" s="1"/>
  <c r="N21" i="168"/>
  <c r="O21" i="168" s="1"/>
  <c r="N20" i="168"/>
  <c r="O20" i="168" s="1"/>
  <c r="N19" i="168"/>
  <c r="O19" i="168" s="1"/>
  <c r="M18" i="168"/>
  <c r="O18" i="168" s="1"/>
  <c r="M17" i="168"/>
  <c r="O17" i="168" s="1"/>
  <c r="M16" i="168"/>
  <c r="O16" i="168" s="1"/>
  <c r="M15" i="168"/>
  <c r="O15" i="168" s="1"/>
  <c r="M14" i="168"/>
  <c r="O14" i="168" s="1"/>
  <c r="M13" i="168"/>
  <c r="O13" i="168" s="1"/>
  <c r="M12" i="168"/>
  <c r="O12" i="168" s="1"/>
  <c r="M11" i="168"/>
  <c r="O11" i="168" s="1"/>
  <c r="M10" i="168"/>
  <c r="O10" i="168" s="1"/>
  <c r="M9" i="168"/>
  <c r="O9" i="168" s="1"/>
  <c r="M8" i="168"/>
  <c r="O8" i="168" s="1"/>
  <c r="T2" i="168"/>
  <c r="P2" i="168"/>
  <c r="O2" i="168"/>
  <c r="O5" i="168" s="1"/>
  <c r="N2" i="168"/>
  <c r="N5" i="168" s="1"/>
  <c r="D61" i="168"/>
  <c r="H61" i="168"/>
  <c r="C61" i="168"/>
  <c r="E43" i="168"/>
  <c r="E42" i="168"/>
  <c r="E41" i="168"/>
  <c r="E40" i="168"/>
  <c r="E39" i="168"/>
  <c r="E38" i="168"/>
  <c r="E37" i="168"/>
  <c r="E36" i="168"/>
  <c r="I36" i="168" s="1"/>
  <c r="E35" i="168"/>
  <c r="E34" i="168"/>
  <c r="E33" i="168"/>
  <c r="E32" i="168"/>
  <c r="E31" i="168"/>
  <c r="E30" i="168"/>
  <c r="I30" i="168" s="1"/>
  <c r="E29" i="168"/>
  <c r="E28" i="168"/>
  <c r="E27" i="168"/>
  <c r="E26" i="168"/>
  <c r="E25" i="168"/>
  <c r="E24" i="168"/>
  <c r="E23" i="168"/>
  <c r="E22" i="168"/>
  <c r="E21" i="168"/>
  <c r="E20" i="168"/>
  <c r="E18" i="168"/>
  <c r="E17" i="168"/>
  <c r="E16" i="168"/>
  <c r="E15" i="168"/>
  <c r="E14" i="168"/>
  <c r="E13" i="168"/>
  <c r="E12" i="168"/>
  <c r="E11" i="168"/>
  <c r="E10" i="168"/>
  <c r="E9" i="168"/>
  <c r="E8" i="168"/>
  <c r="A1" i="150"/>
  <c r="D24" i="160"/>
  <c r="D15" i="160"/>
  <c r="E15" i="160" s="1"/>
  <c r="I15" i="160" s="1"/>
  <c r="J15" i="160" s="1"/>
  <c r="D14" i="160"/>
  <c r="D13" i="160"/>
  <c r="D43" i="160"/>
  <c r="J71" i="95"/>
  <c r="J72" i="95"/>
  <c r="J73" i="95"/>
  <c r="J74" i="95"/>
  <c r="J75" i="95"/>
  <c r="J76" i="95"/>
  <c r="J77" i="95"/>
  <c r="J78" i="95"/>
  <c r="L89" i="94"/>
  <c r="I6" i="94"/>
  <c r="J6" i="94" s="1"/>
  <c r="E23" i="160"/>
  <c r="J23" i="160" s="1"/>
  <c r="E28" i="160"/>
  <c r="J28" i="160" s="1"/>
  <c r="E21" i="160"/>
  <c r="J21" i="160" s="1"/>
  <c r="B22" i="160"/>
  <c r="B23" i="160"/>
  <c r="B24" i="160"/>
  <c r="B26" i="160"/>
  <c r="B27" i="160"/>
  <c r="B28" i="160"/>
  <c r="B29" i="160"/>
  <c r="B30" i="160"/>
  <c r="B31" i="160"/>
  <c r="B32" i="160"/>
  <c r="B33" i="160"/>
  <c r="B34" i="160"/>
  <c r="B35" i="160"/>
  <c r="B42" i="160"/>
  <c r="B45" i="160"/>
  <c r="B46" i="160"/>
  <c r="B47" i="160"/>
  <c r="B48" i="160"/>
  <c r="B21" i="160"/>
  <c r="B17" i="160"/>
  <c r="B13" i="160"/>
  <c r="B14" i="160"/>
  <c r="B15" i="160"/>
  <c r="B12" i="160"/>
  <c r="M8" i="160"/>
  <c r="M9" i="160"/>
  <c r="M10" i="160"/>
  <c r="M11" i="160"/>
  <c r="M12" i="160"/>
  <c r="M7" i="160"/>
  <c r="F43" i="160"/>
  <c r="F50" i="160" s="1"/>
  <c r="G43" i="160"/>
  <c r="H43" i="160"/>
  <c r="G16" i="160"/>
  <c r="G18" i="160" s="1"/>
  <c r="G19" i="160" s="1"/>
  <c r="H16" i="160"/>
  <c r="H18" i="160" s="1"/>
  <c r="H19" i="160" s="1"/>
  <c r="O20" i="160"/>
  <c r="P20" i="160"/>
  <c r="Q20" i="160"/>
  <c r="H18" i="159"/>
  <c r="K17" i="159"/>
  <c r="K18" i="159" s="1"/>
  <c r="J17" i="159"/>
  <c r="J18" i="159" s="1"/>
  <c r="I18" i="159"/>
  <c r="I15" i="159"/>
  <c r="K14" i="159"/>
  <c r="L14" i="159"/>
  <c r="N14" i="159" s="1"/>
  <c r="K13" i="159"/>
  <c r="L13" i="159" s="1"/>
  <c r="N13" i="159" s="1"/>
  <c r="K12" i="159"/>
  <c r="J12" i="159"/>
  <c r="K11" i="159"/>
  <c r="J11" i="159"/>
  <c r="K10" i="159"/>
  <c r="J10" i="159"/>
  <c r="L10" i="159" s="1"/>
  <c r="N10" i="159" s="1"/>
  <c r="K9" i="159"/>
  <c r="K8" i="159"/>
  <c r="J8" i="159"/>
  <c r="K7" i="159"/>
  <c r="J7" i="159"/>
  <c r="J16" i="159" s="1"/>
  <c r="I34" i="168" l="1"/>
  <c r="L15" i="159"/>
  <c r="N15" i="159" s="1"/>
  <c r="P15" i="159"/>
  <c r="J19" i="159"/>
  <c r="J7" i="130" s="1"/>
  <c r="J6" i="130"/>
  <c r="H50" i="160"/>
  <c r="G50" i="160"/>
  <c r="D45" i="94"/>
  <c r="J45" i="94"/>
  <c r="D87" i="94"/>
  <c r="I45" i="94"/>
  <c r="C45" i="94"/>
  <c r="C87" i="94"/>
  <c r="P5" i="168"/>
  <c r="S5" i="168" s="1"/>
  <c r="P4" i="114" s="1"/>
  <c r="S2" i="168"/>
  <c r="U2" i="168" s="1"/>
  <c r="G16" i="168" s="1"/>
  <c r="I87" i="94"/>
  <c r="J87" i="94"/>
  <c r="G9" i="168"/>
  <c r="I9" i="168" s="1"/>
  <c r="G22" i="168"/>
  <c r="I22" i="168" s="1"/>
  <c r="G34" i="168"/>
  <c r="G12" i="168"/>
  <c r="I12" i="168" s="1"/>
  <c r="G37" i="168"/>
  <c r="I37" i="168" s="1"/>
  <c r="G25" i="168"/>
  <c r="I25" i="168" s="1"/>
  <c r="G18" i="168"/>
  <c r="I18" i="168" s="1"/>
  <c r="G31" i="168"/>
  <c r="I31" i="168" s="1"/>
  <c r="G43" i="168"/>
  <c r="I43" i="168" s="1"/>
  <c r="G32" i="168"/>
  <c r="I32" i="168" s="1"/>
  <c r="G21" i="168"/>
  <c r="I21" i="168" s="1"/>
  <c r="G33" i="168"/>
  <c r="I33" i="168" s="1"/>
  <c r="G10" i="168"/>
  <c r="I10" i="168" s="1"/>
  <c r="G23" i="168"/>
  <c r="I23" i="168" s="1"/>
  <c r="G35" i="168"/>
  <c r="I35" i="168" s="1"/>
  <c r="G11" i="168"/>
  <c r="I11" i="168" s="1"/>
  <c r="G24" i="168"/>
  <c r="I24" i="168" s="1"/>
  <c r="G26" i="168"/>
  <c r="I26" i="168" s="1"/>
  <c r="G13" i="168"/>
  <c r="I13" i="168" s="1"/>
  <c r="G38" i="168"/>
  <c r="I38" i="168" s="1"/>
  <c r="G27" i="168"/>
  <c r="I27" i="168" s="1"/>
  <c r="G39" i="168"/>
  <c r="I39" i="168" s="1"/>
  <c r="G14" i="168"/>
  <c r="G15" i="168"/>
  <c r="G28" i="168"/>
  <c r="I28" i="168" s="1"/>
  <c r="G40" i="168"/>
  <c r="I40" i="168" s="1"/>
  <c r="G29" i="168"/>
  <c r="I29" i="168" s="1"/>
  <c r="G41" i="168"/>
  <c r="I41" i="168" s="1"/>
  <c r="G17" i="168"/>
  <c r="I17" i="168" s="1"/>
  <c r="G42" i="168"/>
  <c r="I42" i="168" s="1"/>
  <c r="G8" i="168"/>
  <c r="I8" i="168" s="1"/>
  <c r="O47" i="168"/>
  <c r="B20" i="146"/>
  <c r="G7" i="146" a="1"/>
  <c r="H19" i="146" s="1"/>
  <c r="B21" i="146"/>
  <c r="N47" i="168"/>
  <c r="M47" i="168"/>
  <c r="F61" i="168"/>
  <c r="E19" i="168"/>
  <c r="L11" i="159"/>
  <c r="N11" i="159" s="1"/>
  <c r="K16" i="159"/>
  <c r="L7" i="159"/>
  <c r="N7" i="159" s="1"/>
  <c r="L12" i="159"/>
  <c r="N12" i="159" s="1"/>
  <c r="H16" i="159"/>
  <c r="H19" i="159" s="1"/>
  <c r="L9" i="159"/>
  <c r="N9" i="159" s="1"/>
  <c r="I16" i="159"/>
  <c r="L8" i="159"/>
  <c r="L17" i="159"/>
  <c r="B7" i="146" l="1"/>
  <c r="I15" i="168"/>
  <c r="H38" i="146"/>
  <c r="B18" i="146"/>
  <c r="I14" i="168"/>
  <c r="B6" i="146" s="1"/>
  <c r="H57" i="97"/>
  <c r="P16" i="159"/>
  <c r="P19" i="159" s="1"/>
  <c r="K19" i="159"/>
  <c r="I7" i="130" s="1"/>
  <c r="I6" i="130"/>
  <c r="I19" i="159"/>
  <c r="K7" i="130" s="1"/>
  <c r="K6" i="130"/>
  <c r="R4" i="114"/>
  <c r="R7" i="114" s="1"/>
  <c r="P7" i="114"/>
  <c r="G20" i="168"/>
  <c r="I20" i="168" s="1"/>
  <c r="H13" i="146" s="1"/>
  <c r="N56" i="114" s="1"/>
  <c r="I16" i="168"/>
  <c r="H10" i="146" s="1"/>
  <c r="N54" i="114" s="1"/>
  <c r="K8" i="146"/>
  <c r="K9" i="146"/>
  <c r="K10" i="146"/>
  <c r="L55" i="114"/>
  <c r="L54" i="114"/>
  <c r="L57" i="114"/>
  <c r="L56" i="114"/>
  <c r="L53" i="114"/>
  <c r="L58" i="114"/>
  <c r="E5" i="146"/>
  <c r="H39" i="146"/>
  <c r="B27" i="146"/>
  <c r="B19" i="146"/>
  <c r="B9" i="146"/>
  <c r="B26" i="146"/>
  <c r="H15" i="146"/>
  <c r="N57" i="114" s="1"/>
  <c r="G19" i="168"/>
  <c r="I19" i="168" s="1"/>
  <c r="B5" i="146"/>
  <c r="H11" i="146"/>
  <c r="H14" i="146"/>
  <c r="G7" i="146"/>
  <c r="H16" i="146"/>
  <c r="H18" i="146"/>
  <c r="H17" i="146"/>
  <c r="N58" i="114" s="1"/>
  <c r="H8" i="146"/>
  <c r="H9" i="146"/>
  <c r="N53" i="114" s="1"/>
  <c r="E61" i="168"/>
  <c r="L18" i="159"/>
  <c r="N17" i="159"/>
  <c r="L16" i="159"/>
  <c r="N8" i="159"/>
  <c r="B8" i="146" l="1"/>
  <c r="L19" i="159"/>
  <c r="G44" i="168"/>
  <c r="I44" i="168" s="1"/>
  <c r="P21" i="159"/>
  <c r="B17" i="146"/>
  <c r="H4" i="146"/>
  <c r="N48" i="114" s="1"/>
  <c r="N49" i="114" s="1"/>
  <c r="L222" i="150"/>
  <c r="K7" i="146"/>
  <c r="L9" i="146"/>
  <c r="L8" i="146"/>
  <c r="L52" i="114"/>
  <c r="H7" i="146"/>
  <c r="N52" i="114" s="1"/>
  <c r="G49" i="115" s="1"/>
  <c r="H37" i="146"/>
  <c r="B28" i="146"/>
  <c r="G61" i="168"/>
  <c r="I61" i="168"/>
  <c r="C40" i="159"/>
  <c r="C34" i="159"/>
  <c r="C31" i="159"/>
  <c r="C11" i="159"/>
  <c r="C13" i="159" s="1"/>
  <c r="C14" i="159" s="1"/>
  <c r="R7" i="160"/>
  <c r="R19" i="160" s="1"/>
  <c r="C48" i="160"/>
  <c r="E48" i="160" s="1"/>
  <c r="J48" i="160" s="1"/>
  <c r="C47" i="160"/>
  <c r="C46" i="160"/>
  <c r="E46" i="160" s="1"/>
  <c r="C45" i="160"/>
  <c r="C42" i="160"/>
  <c r="C37" i="160"/>
  <c r="E37" i="160" s="1"/>
  <c r="J37" i="160" s="1"/>
  <c r="C35" i="160"/>
  <c r="E35" i="160" s="1"/>
  <c r="J35" i="160" s="1"/>
  <c r="C34" i="160"/>
  <c r="E34" i="160" s="1"/>
  <c r="J34" i="160" s="1"/>
  <c r="C33" i="160"/>
  <c r="E33" i="160" s="1"/>
  <c r="E32" i="160"/>
  <c r="J32" i="160" s="1"/>
  <c r="E31" i="160"/>
  <c r="E30" i="160"/>
  <c r="J30" i="160" s="1"/>
  <c r="C29" i="160"/>
  <c r="E29" i="160" s="1"/>
  <c r="J29" i="160" s="1"/>
  <c r="C27" i="160"/>
  <c r="E27" i="160" s="1"/>
  <c r="J27" i="160" s="1"/>
  <c r="C26" i="160"/>
  <c r="E26" i="160" s="1"/>
  <c r="J26" i="160" s="1"/>
  <c r="C24" i="160"/>
  <c r="E24" i="160" s="1"/>
  <c r="C22" i="160"/>
  <c r="C17" i="160"/>
  <c r="C14" i="160"/>
  <c r="E14" i="160" s="1"/>
  <c r="I14" i="160" s="1"/>
  <c r="J14" i="160" s="1"/>
  <c r="C13" i="160"/>
  <c r="E13" i="160" s="1"/>
  <c r="C12" i="160"/>
  <c r="D12" i="160" s="1"/>
  <c r="D16" i="160" s="1"/>
  <c r="D5" i="94"/>
  <c r="B82" i="94"/>
  <c r="B83" i="94"/>
  <c r="B84" i="94"/>
  <c r="B85" i="94"/>
  <c r="B86" i="94"/>
  <c r="B78" i="94"/>
  <c r="B79" i="94"/>
  <c r="B80" i="94"/>
  <c r="B81" i="94"/>
  <c r="B70" i="94"/>
  <c r="B71" i="94"/>
  <c r="B72" i="94"/>
  <c r="B73" i="94"/>
  <c r="B74" i="94"/>
  <c r="B75" i="94"/>
  <c r="B76" i="94"/>
  <c r="B77" i="94"/>
  <c r="C6" i="94"/>
  <c r="D6" i="94" s="1"/>
  <c r="B61" i="94"/>
  <c r="B62" i="94"/>
  <c r="B63" i="94"/>
  <c r="B64" i="94"/>
  <c r="B65" i="94"/>
  <c r="B66" i="94"/>
  <c r="B67" i="94"/>
  <c r="B68" i="94"/>
  <c r="B69" i="94"/>
  <c r="B8" i="94"/>
  <c r="B9" i="94"/>
  <c r="B10" i="94"/>
  <c r="B11" i="94"/>
  <c r="B12" i="94"/>
  <c r="B13" i="94"/>
  <c r="B14" i="94"/>
  <c r="B15" i="94"/>
  <c r="J15" i="94" s="1"/>
  <c r="B16" i="94"/>
  <c r="B17" i="94"/>
  <c r="B18" i="94"/>
  <c r="B19" i="94"/>
  <c r="B20" i="94"/>
  <c r="B21" i="94"/>
  <c r="B22" i="94"/>
  <c r="B23" i="94"/>
  <c r="B24" i="94"/>
  <c r="B25" i="94"/>
  <c r="B26" i="94"/>
  <c r="B27" i="94"/>
  <c r="B28" i="94"/>
  <c r="B29" i="94"/>
  <c r="B30" i="94"/>
  <c r="B31" i="94"/>
  <c r="B32" i="94"/>
  <c r="B33" i="94"/>
  <c r="B34" i="94"/>
  <c r="B35" i="94"/>
  <c r="B36" i="94"/>
  <c r="B37" i="94"/>
  <c r="B38" i="94"/>
  <c r="B39" i="94"/>
  <c r="B40" i="94"/>
  <c r="B41" i="94"/>
  <c r="B42" i="94"/>
  <c r="B43" i="94"/>
  <c r="B44" i="94"/>
  <c r="B46" i="94"/>
  <c r="B47" i="94"/>
  <c r="B48" i="94"/>
  <c r="B49" i="94"/>
  <c r="B50" i="94"/>
  <c r="B51" i="94"/>
  <c r="B52" i="94"/>
  <c r="B53" i="94"/>
  <c r="B54" i="94"/>
  <c r="B55" i="94"/>
  <c r="B56" i="94"/>
  <c r="B57" i="94"/>
  <c r="B58" i="94"/>
  <c r="B59" i="94"/>
  <c r="B60" i="94"/>
  <c r="B7" i="94"/>
  <c r="J46" i="160" l="1"/>
  <c r="C40" i="160"/>
  <c r="J24" i="160"/>
  <c r="J77" i="94"/>
  <c r="J31" i="160"/>
  <c r="J33" i="160"/>
  <c r="I13" i="160"/>
  <c r="C49" i="160"/>
  <c r="D14" i="94"/>
  <c r="C14" i="94"/>
  <c r="B23" i="146"/>
  <c r="R20" i="160"/>
  <c r="C50" i="94"/>
  <c r="D50" i="94"/>
  <c r="C81" i="94"/>
  <c r="D81" i="94"/>
  <c r="C62" i="94"/>
  <c r="D62" i="94"/>
  <c r="D35" i="94"/>
  <c r="C35" i="94"/>
  <c r="C32" i="94"/>
  <c r="D32" i="94"/>
  <c r="C64" i="94"/>
  <c r="D64" i="94"/>
  <c r="C12" i="94"/>
  <c r="D12" i="94"/>
  <c r="D60" i="94"/>
  <c r="C60" i="94"/>
  <c r="D47" i="94"/>
  <c r="C47" i="94"/>
  <c r="C57" i="94"/>
  <c r="D57" i="94"/>
  <c r="C70" i="94"/>
  <c r="D70" i="94"/>
  <c r="C63" i="94"/>
  <c r="D63" i="94"/>
  <c r="C24" i="94"/>
  <c r="D24" i="94"/>
  <c r="C79" i="94"/>
  <c r="D79" i="94"/>
  <c r="D34" i="94"/>
  <c r="C34" i="94"/>
  <c r="C33" i="94"/>
  <c r="D33" i="94"/>
  <c r="C8" i="94"/>
  <c r="D8" i="94"/>
  <c r="C19" i="94"/>
  <c r="D19" i="94"/>
  <c r="C83" i="94"/>
  <c r="D83" i="94"/>
  <c r="C26" i="94"/>
  <c r="D26" i="94"/>
  <c r="C37" i="94"/>
  <c r="D37" i="94"/>
  <c r="D7" i="94"/>
  <c r="C7" i="94"/>
  <c r="C80" i="94"/>
  <c r="D80" i="94"/>
  <c r="D48" i="94"/>
  <c r="C48" i="94"/>
  <c r="C61" i="94"/>
  <c r="D61" i="94"/>
  <c r="C10" i="94"/>
  <c r="D10" i="94"/>
  <c r="C46" i="94"/>
  <c r="D46" i="94"/>
  <c r="C86" i="94"/>
  <c r="D86" i="94"/>
  <c r="C44" i="94"/>
  <c r="D44" i="94"/>
  <c r="C76" i="94"/>
  <c r="D76" i="94"/>
  <c r="D84" i="94"/>
  <c r="C84" i="94"/>
  <c r="C55" i="94"/>
  <c r="D55" i="94"/>
  <c r="C18" i="94"/>
  <c r="D18" i="94"/>
  <c r="C29" i="94"/>
  <c r="D29" i="94"/>
  <c r="C67" i="94"/>
  <c r="D67" i="94"/>
  <c r="C73" i="94"/>
  <c r="D73" i="94"/>
  <c r="C82" i="94"/>
  <c r="D82" i="94"/>
  <c r="C51" i="94"/>
  <c r="D51" i="94"/>
  <c r="C25" i="94"/>
  <c r="D25" i="94"/>
  <c r="C36" i="94"/>
  <c r="D36" i="94"/>
  <c r="D23" i="94"/>
  <c r="C23" i="94"/>
  <c r="D22" i="94"/>
  <c r="C22" i="94"/>
  <c r="C58" i="94"/>
  <c r="D58" i="94"/>
  <c r="C9" i="94"/>
  <c r="D9" i="94"/>
  <c r="C20" i="94"/>
  <c r="D20" i="94"/>
  <c r="C43" i="94"/>
  <c r="D43" i="94"/>
  <c r="C75" i="94"/>
  <c r="D75" i="94"/>
  <c r="C30" i="94"/>
  <c r="D30" i="94"/>
  <c r="C74" i="94"/>
  <c r="D74" i="94"/>
  <c r="C54" i="94"/>
  <c r="D54" i="94"/>
  <c r="C41" i="94"/>
  <c r="D41" i="94"/>
  <c r="C53" i="94"/>
  <c r="D53" i="94"/>
  <c r="C40" i="94"/>
  <c r="D40" i="94"/>
  <c r="C28" i="94"/>
  <c r="D28" i="94"/>
  <c r="C16" i="94"/>
  <c r="D16" i="94"/>
  <c r="D66" i="94"/>
  <c r="C66" i="94"/>
  <c r="C72" i="94"/>
  <c r="D72" i="94"/>
  <c r="C38" i="94"/>
  <c r="D38" i="94"/>
  <c r="C13" i="94"/>
  <c r="D13" i="94"/>
  <c r="C49" i="94"/>
  <c r="D49" i="94"/>
  <c r="C11" i="94"/>
  <c r="D11" i="94"/>
  <c r="C59" i="94"/>
  <c r="D59" i="94"/>
  <c r="P78" i="94"/>
  <c r="D78" i="94"/>
  <c r="C78" i="94"/>
  <c r="C21" i="94"/>
  <c r="D21" i="94"/>
  <c r="D77" i="94"/>
  <c r="C77" i="94"/>
  <c r="C85" i="94"/>
  <c r="D85" i="94"/>
  <c r="C56" i="94"/>
  <c r="D56" i="94"/>
  <c r="C31" i="94"/>
  <c r="D31" i="94"/>
  <c r="C69" i="94"/>
  <c r="D69" i="94"/>
  <c r="C42" i="94"/>
  <c r="D42" i="94"/>
  <c r="C68" i="94"/>
  <c r="D68" i="94"/>
  <c r="D17" i="94"/>
  <c r="C17" i="94"/>
  <c r="C52" i="94"/>
  <c r="D52" i="94"/>
  <c r="C39" i="94"/>
  <c r="D39" i="94"/>
  <c r="C27" i="94"/>
  <c r="D27" i="94"/>
  <c r="C15" i="94"/>
  <c r="D15" i="94"/>
  <c r="D65" i="94"/>
  <c r="C65" i="94"/>
  <c r="C71" i="94"/>
  <c r="D71" i="94"/>
  <c r="D22" i="160"/>
  <c r="D40" i="160" s="1"/>
  <c r="D47" i="160"/>
  <c r="D49" i="160" s="1"/>
  <c r="D17" i="160"/>
  <c r="D18" i="160" s="1"/>
  <c r="D19" i="160" s="1"/>
  <c r="C43" i="160"/>
  <c r="E42" i="160"/>
  <c r="J42" i="160" s="1"/>
  <c r="E45" i="160"/>
  <c r="J45" i="160" s="1"/>
  <c r="L7" i="146"/>
  <c r="L229" i="150"/>
  <c r="P84" i="94"/>
  <c r="N84" i="94"/>
  <c r="O84" i="94"/>
  <c r="N54" i="94"/>
  <c r="O54" i="94"/>
  <c r="P54" i="94"/>
  <c r="N40" i="94"/>
  <c r="O40" i="94"/>
  <c r="P40" i="94"/>
  <c r="P18" i="94"/>
  <c r="N18" i="94"/>
  <c r="O18" i="94"/>
  <c r="N29" i="94"/>
  <c r="O29" i="94"/>
  <c r="P29" i="94"/>
  <c r="P72" i="94"/>
  <c r="N72" i="94"/>
  <c r="O72" i="94"/>
  <c r="P14" i="94"/>
  <c r="O14" i="94"/>
  <c r="N14" i="94"/>
  <c r="N30" i="94"/>
  <c r="P30" i="94"/>
  <c r="O30" i="94"/>
  <c r="N17" i="94"/>
  <c r="O17" i="94"/>
  <c r="P17" i="94"/>
  <c r="P16" i="94"/>
  <c r="N16" i="94"/>
  <c r="O16" i="94"/>
  <c r="P70" i="94"/>
  <c r="N70" i="94"/>
  <c r="O70" i="94"/>
  <c r="N81" i="94"/>
  <c r="O81" i="94"/>
  <c r="P81" i="94"/>
  <c r="P68" i="94"/>
  <c r="N68" i="94"/>
  <c r="O68" i="94"/>
  <c r="O67" i="94"/>
  <c r="P67" i="94"/>
  <c r="N67" i="94"/>
  <c r="N82" i="94"/>
  <c r="P82" i="94"/>
  <c r="O82" i="94"/>
  <c r="O15" i="94"/>
  <c r="P15" i="94"/>
  <c r="N15" i="94"/>
  <c r="P64" i="94"/>
  <c r="N64" i="94"/>
  <c r="O64" i="94"/>
  <c r="N50" i="94"/>
  <c r="O50" i="94"/>
  <c r="P50" i="94"/>
  <c r="N25" i="94"/>
  <c r="P25" i="94"/>
  <c r="O25" i="94"/>
  <c r="P24" i="94"/>
  <c r="N24" i="94"/>
  <c r="O24" i="94"/>
  <c r="P80" i="94"/>
  <c r="N80" i="94"/>
  <c r="O80" i="94"/>
  <c r="O42" i="94"/>
  <c r="P42" i="94"/>
  <c r="N42" i="94"/>
  <c r="O83" i="94"/>
  <c r="N83" i="94"/>
  <c r="P28" i="94"/>
  <c r="N28" i="94"/>
  <c r="O28" i="94"/>
  <c r="N65" i="94"/>
  <c r="O65" i="94"/>
  <c r="P65" i="94"/>
  <c r="P26" i="94"/>
  <c r="O26" i="94"/>
  <c r="N26" i="94"/>
  <c r="P37" i="94"/>
  <c r="N37" i="94"/>
  <c r="O37" i="94"/>
  <c r="O63" i="94"/>
  <c r="P63" i="94"/>
  <c r="N63" i="94"/>
  <c r="N36" i="94"/>
  <c r="O36" i="94"/>
  <c r="P36" i="94"/>
  <c r="N62" i="94"/>
  <c r="O62" i="94"/>
  <c r="P62" i="94"/>
  <c r="P35" i="94"/>
  <c r="N35" i="94"/>
  <c r="O35" i="94"/>
  <c r="N61" i="94"/>
  <c r="O61" i="94"/>
  <c r="P61" i="94"/>
  <c r="P22" i="94"/>
  <c r="O22" i="94"/>
  <c r="N22" i="94"/>
  <c r="N74" i="94"/>
  <c r="O74" i="94"/>
  <c r="P74" i="94"/>
  <c r="N41" i="94"/>
  <c r="O41" i="94"/>
  <c r="P41" i="94"/>
  <c r="N53" i="94"/>
  <c r="O53" i="94"/>
  <c r="P53" i="94"/>
  <c r="P52" i="94"/>
  <c r="N52" i="94"/>
  <c r="O52" i="94"/>
  <c r="O27" i="94"/>
  <c r="P27" i="94"/>
  <c r="N27" i="94"/>
  <c r="O38" i="94"/>
  <c r="P38" i="94"/>
  <c r="N38" i="94"/>
  <c r="P58" i="94"/>
  <c r="O58" i="94"/>
  <c r="N58" i="94"/>
  <c r="N46" i="94"/>
  <c r="O46" i="94"/>
  <c r="P46" i="94"/>
  <c r="N33" i="94"/>
  <c r="O33" i="94"/>
  <c r="P33" i="94"/>
  <c r="N21" i="94"/>
  <c r="O21" i="94"/>
  <c r="P21" i="94"/>
  <c r="N9" i="94"/>
  <c r="O9" i="94"/>
  <c r="P9" i="94"/>
  <c r="N77" i="94"/>
  <c r="O77" i="94"/>
  <c r="P77" i="94"/>
  <c r="O55" i="94"/>
  <c r="P55" i="94"/>
  <c r="N55" i="94"/>
  <c r="N73" i="94"/>
  <c r="O73" i="94"/>
  <c r="P73" i="94"/>
  <c r="P66" i="94"/>
  <c r="N66" i="94"/>
  <c r="O66" i="94"/>
  <c r="P39" i="94"/>
  <c r="N39" i="94"/>
  <c r="O39" i="94"/>
  <c r="O71" i="94"/>
  <c r="P71" i="94"/>
  <c r="N71" i="94"/>
  <c r="O51" i="94"/>
  <c r="P51" i="94"/>
  <c r="N51" i="94"/>
  <c r="N13" i="94"/>
  <c r="O13" i="94"/>
  <c r="P13" i="94"/>
  <c r="N49" i="94"/>
  <c r="O49" i="94"/>
  <c r="P49" i="94"/>
  <c r="P12" i="94"/>
  <c r="N12" i="94"/>
  <c r="O12" i="94"/>
  <c r="P60" i="94"/>
  <c r="N60" i="94"/>
  <c r="O60" i="94"/>
  <c r="P48" i="94"/>
  <c r="N48" i="94"/>
  <c r="O48" i="94"/>
  <c r="O23" i="94"/>
  <c r="P23" i="94"/>
  <c r="N23" i="94"/>
  <c r="O11" i="94"/>
  <c r="P11" i="94"/>
  <c r="N11" i="94"/>
  <c r="O79" i="94"/>
  <c r="P79" i="94"/>
  <c r="N79" i="94"/>
  <c r="O59" i="94"/>
  <c r="P59" i="94"/>
  <c r="N59" i="94"/>
  <c r="O47" i="94"/>
  <c r="P47" i="94"/>
  <c r="N47" i="94"/>
  <c r="O34" i="94"/>
  <c r="P34" i="94"/>
  <c r="N34" i="94"/>
  <c r="N10" i="94"/>
  <c r="O10" i="94"/>
  <c r="P10" i="94"/>
  <c r="N57" i="94"/>
  <c r="O57" i="94"/>
  <c r="P57" i="94"/>
  <c r="N44" i="94"/>
  <c r="O44" i="94"/>
  <c r="P44" i="94"/>
  <c r="N32" i="94"/>
  <c r="O32" i="94"/>
  <c r="P32" i="94"/>
  <c r="P20" i="94"/>
  <c r="N20" i="94"/>
  <c r="O20" i="94"/>
  <c r="P8" i="94"/>
  <c r="R8" i="94" s="1"/>
  <c r="N8" i="94"/>
  <c r="O8" i="94"/>
  <c r="P76" i="94"/>
  <c r="N76" i="94"/>
  <c r="O76" i="94"/>
  <c r="P86" i="94"/>
  <c r="N86" i="94"/>
  <c r="O86" i="94"/>
  <c r="P56" i="94"/>
  <c r="N56" i="94"/>
  <c r="O56" i="94"/>
  <c r="P43" i="94"/>
  <c r="N43" i="94"/>
  <c r="O43" i="94"/>
  <c r="P31" i="94"/>
  <c r="N31" i="94"/>
  <c r="O31" i="94"/>
  <c r="O19" i="94"/>
  <c r="P19" i="94"/>
  <c r="N19" i="94"/>
  <c r="N69" i="94"/>
  <c r="O69" i="94"/>
  <c r="P69" i="94"/>
  <c r="O75" i="94"/>
  <c r="P75" i="94"/>
  <c r="N75" i="94"/>
  <c r="N85" i="94"/>
  <c r="O85" i="94"/>
  <c r="P85" i="94"/>
  <c r="B12" i="146"/>
  <c r="H12" i="146"/>
  <c r="I1" i="168"/>
  <c r="J68" i="94"/>
  <c r="I68" i="94"/>
  <c r="J67" i="94"/>
  <c r="I67" i="94"/>
  <c r="J53" i="94"/>
  <c r="I53" i="94"/>
  <c r="I52" i="94"/>
  <c r="J52" i="94"/>
  <c r="J30" i="94"/>
  <c r="I30" i="94"/>
  <c r="J83" i="94"/>
  <c r="I83" i="94"/>
  <c r="J40" i="94"/>
  <c r="I40" i="94"/>
  <c r="I15" i="94"/>
  <c r="I38" i="94"/>
  <c r="J38" i="94"/>
  <c r="I13" i="94"/>
  <c r="J13" i="94"/>
  <c r="J55" i="94"/>
  <c r="I55" i="94"/>
  <c r="J41" i="94"/>
  <c r="I41" i="94"/>
  <c r="J66" i="94"/>
  <c r="I66" i="94"/>
  <c r="I39" i="94"/>
  <c r="I36" i="94"/>
  <c r="J36" i="94"/>
  <c r="J74" i="94"/>
  <c r="I74" i="94"/>
  <c r="I17" i="94"/>
  <c r="J82" i="94"/>
  <c r="I82" i="94"/>
  <c r="I14" i="94"/>
  <c r="I37" i="94"/>
  <c r="J37" i="94"/>
  <c r="I7" i="94"/>
  <c r="J7" i="94"/>
  <c r="J80" i="94"/>
  <c r="I80" i="94"/>
  <c r="J35" i="94"/>
  <c r="I35" i="94"/>
  <c r="J79" i="94"/>
  <c r="I79" i="94"/>
  <c r="I78" i="94"/>
  <c r="I84" i="94"/>
  <c r="J84" i="94"/>
  <c r="J54" i="94"/>
  <c r="I54" i="94"/>
  <c r="J72" i="94"/>
  <c r="I72" i="94"/>
  <c r="J71" i="94"/>
  <c r="I71" i="94"/>
  <c r="I26" i="94"/>
  <c r="J26" i="94"/>
  <c r="J50" i="94"/>
  <c r="I50" i="94"/>
  <c r="J81" i="94"/>
  <c r="I81" i="94"/>
  <c r="I49" i="94"/>
  <c r="J49" i="94"/>
  <c r="I62" i="94"/>
  <c r="J62" i="94"/>
  <c r="I48" i="94"/>
  <c r="J48" i="94"/>
  <c r="J23" i="94"/>
  <c r="I23" i="94"/>
  <c r="J22" i="94"/>
  <c r="I22" i="94"/>
  <c r="J58" i="94"/>
  <c r="I58" i="94"/>
  <c r="J33" i="94"/>
  <c r="I33" i="94"/>
  <c r="J21" i="94"/>
  <c r="I21" i="94"/>
  <c r="I9" i="94"/>
  <c r="J9" i="94"/>
  <c r="I77" i="94"/>
  <c r="J42" i="94"/>
  <c r="I42" i="94"/>
  <c r="J29" i="94"/>
  <c r="I29" i="94"/>
  <c r="I16" i="94"/>
  <c r="I27" i="94"/>
  <c r="J27" i="94"/>
  <c r="J64" i="94"/>
  <c r="I64" i="94"/>
  <c r="J63" i="94"/>
  <c r="I63" i="94"/>
  <c r="I12" i="94"/>
  <c r="J12" i="94"/>
  <c r="J61" i="94"/>
  <c r="I61" i="94"/>
  <c r="J59" i="94"/>
  <c r="I59" i="94"/>
  <c r="J34" i="94"/>
  <c r="I34" i="94"/>
  <c r="J10" i="94"/>
  <c r="I10" i="94"/>
  <c r="J57" i="94"/>
  <c r="I57" i="94"/>
  <c r="J44" i="94"/>
  <c r="I44" i="94"/>
  <c r="J32" i="94"/>
  <c r="I32" i="94"/>
  <c r="J20" i="94"/>
  <c r="I20" i="94"/>
  <c r="I8" i="94"/>
  <c r="J8" i="94"/>
  <c r="I76" i="94"/>
  <c r="J76" i="94"/>
  <c r="J86" i="94"/>
  <c r="I86" i="94"/>
  <c r="J18" i="94"/>
  <c r="I18" i="94"/>
  <c r="J73" i="94"/>
  <c r="I73" i="94"/>
  <c r="J28" i="94"/>
  <c r="I28" i="94"/>
  <c r="J65" i="94"/>
  <c r="I65" i="94"/>
  <c r="J51" i="94"/>
  <c r="I51" i="94"/>
  <c r="J70" i="94"/>
  <c r="I70" i="94"/>
  <c r="I25" i="94"/>
  <c r="J24" i="94"/>
  <c r="I24" i="94"/>
  <c r="I60" i="94"/>
  <c r="J60" i="94"/>
  <c r="J11" i="94"/>
  <c r="I11" i="94"/>
  <c r="J47" i="94"/>
  <c r="I47" i="94"/>
  <c r="J46" i="94"/>
  <c r="I46" i="94"/>
  <c r="J56" i="94"/>
  <c r="I56" i="94"/>
  <c r="J43" i="94"/>
  <c r="I43" i="94"/>
  <c r="J31" i="94"/>
  <c r="I31" i="94"/>
  <c r="J19" i="94"/>
  <c r="I19" i="94"/>
  <c r="I69" i="94"/>
  <c r="I75" i="94"/>
  <c r="J75" i="94"/>
  <c r="J85" i="94"/>
  <c r="I85" i="94"/>
  <c r="N20" i="160"/>
  <c r="C16" i="160"/>
  <c r="C18" i="160" s="1"/>
  <c r="C19" i="160" s="1"/>
  <c r="E12" i="160"/>
  <c r="J12" i="160" s="1"/>
  <c r="C41" i="159"/>
  <c r="H6" i="82"/>
  <c r="C9" i="198" s="1"/>
  <c r="H3" i="82" l="1"/>
  <c r="C8" i="198"/>
  <c r="C187" i="198" s="1"/>
  <c r="C50" i="160"/>
  <c r="J13" i="160"/>
  <c r="J17" i="94" s="1"/>
  <c r="I16" i="160"/>
  <c r="D50" i="160"/>
  <c r="E47" i="160"/>
  <c r="J47" i="160" s="1"/>
  <c r="J78" i="94"/>
  <c r="E17" i="160"/>
  <c r="J17" i="160" s="1"/>
  <c r="J25" i="94" s="1"/>
  <c r="E22" i="160"/>
  <c r="J49" i="160"/>
  <c r="E43" i="160"/>
  <c r="N55" i="114"/>
  <c r="L10" i="146"/>
  <c r="C27" i="114"/>
  <c r="E27" i="114" s="1"/>
  <c r="E16" i="160"/>
  <c r="D89" i="94"/>
  <c r="D91" i="94" s="1"/>
  <c r="D92" i="94" s="1"/>
  <c r="E40" i="160" l="1"/>
  <c r="J22" i="160"/>
  <c r="E49" i="160"/>
  <c r="E18" i="160"/>
  <c r="E19" i="160" s="1"/>
  <c r="E50" i="160" s="1"/>
  <c r="J43" i="160"/>
  <c r="J14" i="94"/>
  <c r="C33" i="114"/>
  <c r="J69" i="94"/>
  <c r="J16" i="160"/>
  <c r="J18" i="160" s="1"/>
  <c r="J19" i="160" s="1"/>
  <c r="J16" i="94"/>
  <c r="J39" i="94" l="1"/>
  <c r="J89" i="94" s="1"/>
  <c r="J91" i="94" s="1"/>
  <c r="C185" i="150" s="1"/>
  <c r="J40" i="160"/>
  <c r="J50" i="160" s="1"/>
  <c r="H175" i="150"/>
  <c r="I175" i="150"/>
  <c r="G175" i="150"/>
  <c r="D15" i="82"/>
  <c r="H51" i="158"/>
  <c r="I51" i="158" s="1"/>
  <c r="K51" i="158" s="1"/>
  <c r="E182" i="158"/>
  <c r="H171" i="158"/>
  <c r="G170" i="158"/>
  <c r="I168" i="158"/>
  <c r="K168" i="158" s="1"/>
  <c r="G167" i="158"/>
  <c r="I163" i="158"/>
  <c r="K163" i="158" s="1"/>
  <c r="I162" i="158"/>
  <c r="K162" i="158" s="1"/>
  <c r="I161" i="158"/>
  <c r="K161" i="158" s="1"/>
  <c r="I160" i="158"/>
  <c r="K160" i="158" s="1"/>
  <c r="H159" i="158"/>
  <c r="I156" i="158"/>
  <c r="K156" i="158" s="1"/>
  <c r="I155" i="158"/>
  <c r="K155" i="158" s="1"/>
  <c r="H154" i="158"/>
  <c r="I153" i="158"/>
  <c r="K153" i="158" s="1"/>
  <c r="I151" i="158"/>
  <c r="K151" i="158" s="1"/>
  <c r="H148" i="158"/>
  <c r="I147" i="158"/>
  <c r="K147" i="158" s="1"/>
  <c r="H146" i="158"/>
  <c r="I145" i="158"/>
  <c r="K145" i="158" s="1"/>
  <c r="I142" i="158"/>
  <c r="K142" i="158" s="1"/>
  <c r="G140" i="158"/>
  <c r="I139" i="158"/>
  <c r="K139" i="158" s="1"/>
  <c r="I135" i="158"/>
  <c r="K135" i="158" s="1"/>
  <c r="G134" i="158"/>
  <c r="I133" i="158"/>
  <c r="K133" i="158" s="1"/>
  <c r="I132" i="158"/>
  <c r="K132" i="158" s="1"/>
  <c r="I131" i="158"/>
  <c r="K131" i="158" s="1"/>
  <c r="G130" i="158"/>
  <c r="I128" i="158"/>
  <c r="K128" i="158" s="1"/>
  <c r="H127" i="158"/>
  <c r="G126" i="158"/>
  <c r="I124" i="158"/>
  <c r="K124" i="158" s="1"/>
  <c r="H123" i="158"/>
  <c r="I122" i="158"/>
  <c r="K122" i="158" s="1"/>
  <c r="I120" i="158"/>
  <c r="K120" i="158" s="1"/>
  <c r="I119" i="158"/>
  <c r="K119" i="158" s="1"/>
  <c r="H118" i="158"/>
  <c r="H116" i="158"/>
  <c r="H115" i="158"/>
  <c r="G114" i="158"/>
  <c r="I113" i="158"/>
  <c r="K113" i="158" s="1"/>
  <c r="I112" i="158"/>
  <c r="K112" i="158" s="1"/>
  <c r="H109" i="158"/>
  <c r="I108" i="158"/>
  <c r="K108" i="158" s="1"/>
  <c r="G106" i="158"/>
  <c r="H104" i="158"/>
  <c r="G102" i="158"/>
  <c r="G99" i="158"/>
  <c r="G97" i="158"/>
  <c r="I94" i="158"/>
  <c r="K94" i="158" s="1"/>
  <c r="G92" i="158"/>
  <c r="G82" i="158"/>
  <c r="G80" i="158"/>
  <c r="G69" i="158"/>
  <c r="G66" i="158"/>
  <c r="G60" i="158"/>
  <c r="H49" i="158"/>
  <c r="G44" i="158"/>
  <c r="G29" i="158"/>
  <c r="G28" i="158"/>
  <c r="G9" i="158"/>
  <c r="A8" i="158"/>
  <c r="C8" i="158" s="1"/>
  <c r="C182" i="158" s="1"/>
  <c r="B17" i="150" l="1"/>
  <c r="G8" i="158"/>
  <c r="B8" i="158"/>
  <c r="H155" i="158"/>
  <c r="J92" i="94"/>
  <c r="I149" i="158"/>
  <c r="K149" i="158" s="1"/>
  <c r="G171" i="158"/>
  <c r="G32" i="158"/>
  <c r="H105" i="158"/>
  <c r="I171" i="158"/>
  <c r="K171" i="158" s="1"/>
  <c r="G12" i="158"/>
  <c r="G34" i="158"/>
  <c r="H47" i="158"/>
  <c r="H131" i="158"/>
  <c r="G132" i="158"/>
  <c r="G71" i="158"/>
  <c r="I123" i="158"/>
  <c r="K123" i="158" s="1"/>
  <c r="I118" i="158"/>
  <c r="K118" i="158" s="1"/>
  <c r="H132" i="158"/>
  <c r="I154" i="158"/>
  <c r="K154" i="158" s="1"/>
  <c r="G119" i="158"/>
  <c r="H119" i="158"/>
  <c r="G26" i="158"/>
  <c r="G68" i="158"/>
  <c r="G70" i="158"/>
  <c r="G122" i="158"/>
  <c r="G41" i="158"/>
  <c r="H102" i="158"/>
  <c r="I116" i="158"/>
  <c r="K116" i="158" s="1"/>
  <c r="I127" i="158"/>
  <c r="K127" i="158" s="1"/>
  <c r="H134" i="158"/>
  <c r="I159" i="158"/>
  <c r="K159" i="158" s="1"/>
  <c r="H167" i="158"/>
  <c r="G52" i="158"/>
  <c r="H52" i="158"/>
  <c r="G24" i="158"/>
  <c r="I102" i="158"/>
  <c r="K102" i="158" s="1"/>
  <c r="I134" i="158"/>
  <c r="K134" i="158" s="1"/>
  <c r="I167" i="158"/>
  <c r="K167" i="158" s="1"/>
  <c r="G59" i="158"/>
  <c r="G75" i="158"/>
  <c r="I100" i="158"/>
  <c r="K100" i="158" s="1"/>
  <c r="H151" i="158"/>
  <c r="H97" i="158"/>
  <c r="H117" i="158"/>
  <c r="G48" i="158"/>
  <c r="G56" i="158"/>
  <c r="G90" i="158"/>
  <c r="I97" i="158"/>
  <c r="K97" i="158" s="1"/>
  <c r="I103" i="158"/>
  <c r="K103" i="158" s="1"/>
  <c r="G123" i="158"/>
  <c r="G155" i="158"/>
  <c r="H98" i="158"/>
  <c r="G112" i="158"/>
  <c r="G163" i="158"/>
  <c r="I98" i="158"/>
  <c r="K98" i="158" s="1"/>
  <c r="H163" i="158"/>
  <c r="G15" i="158"/>
  <c r="G63" i="158"/>
  <c r="G87" i="158"/>
  <c r="H139" i="158"/>
  <c r="G45" i="158"/>
  <c r="H108" i="158"/>
  <c r="G127" i="158"/>
  <c r="G159" i="158"/>
  <c r="G65" i="158"/>
  <c r="G13" i="158"/>
  <c r="G95" i="158"/>
  <c r="G11" i="158"/>
  <c r="G25" i="158"/>
  <c r="H46" i="158"/>
  <c r="G40" i="158"/>
  <c r="G55" i="158"/>
  <c r="I96" i="158"/>
  <c r="K96" i="158" s="1"/>
  <c r="G96" i="158"/>
  <c r="G101" i="158"/>
  <c r="I101" i="158"/>
  <c r="K101" i="158" s="1"/>
  <c r="H101" i="158"/>
  <c r="I115" i="158"/>
  <c r="K115" i="158" s="1"/>
  <c r="G67" i="158"/>
  <c r="I150" i="158"/>
  <c r="K150" i="158" s="1"/>
  <c r="H150" i="158"/>
  <c r="G150" i="158"/>
  <c r="G88" i="158"/>
  <c r="I136" i="158"/>
  <c r="K136" i="158" s="1"/>
  <c r="H136" i="158"/>
  <c r="G136" i="158"/>
  <c r="G36" i="158"/>
  <c r="I107" i="158"/>
  <c r="K107" i="158" s="1"/>
  <c r="H107" i="158"/>
  <c r="G107" i="158"/>
  <c r="I111" i="158"/>
  <c r="K111" i="158" s="1"/>
  <c r="I121" i="158"/>
  <c r="K121" i="158" s="1"/>
  <c r="G85" i="158"/>
  <c r="G117" i="158"/>
  <c r="I117" i="158"/>
  <c r="K117" i="158" s="1"/>
  <c r="G39" i="158"/>
  <c r="G17" i="158"/>
  <c r="G74" i="158"/>
  <c r="G50" i="158"/>
  <c r="G46" i="158"/>
  <c r="H122" i="158"/>
  <c r="H130" i="158"/>
  <c r="G143" i="158"/>
  <c r="H143" i="158"/>
  <c r="G86" i="158"/>
  <c r="G128" i="158"/>
  <c r="I143" i="158"/>
  <c r="K143" i="158" s="1"/>
  <c r="G147" i="158"/>
  <c r="G156" i="158"/>
  <c r="G168" i="158"/>
  <c r="I130" i="158"/>
  <c r="K130" i="158" s="1"/>
  <c r="G84" i="158"/>
  <c r="H99" i="158"/>
  <c r="G104" i="158"/>
  <c r="G110" i="158"/>
  <c r="H128" i="158"/>
  <c r="G135" i="158"/>
  <c r="H147" i="158"/>
  <c r="H156" i="158"/>
  <c r="H168" i="158"/>
  <c r="G94" i="158"/>
  <c r="I99" i="158"/>
  <c r="K99" i="158" s="1"/>
  <c r="H110" i="158"/>
  <c r="G116" i="158"/>
  <c r="G118" i="158"/>
  <c r="H135" i="158"/>
  <c r="G79" i="158"/>
  <c r="G16" i="158"/>
  <c r="G33" i="158"/>
  <c r="I110" i="158"/>
  <c r="K110" i="158" s="1"/>
  <c r="G131" i="158"/>
  <c r="G139" i="158"/>
  <c r="G151" i="158"/>
  <c r="G172" i="158"/>
  <c r="H172" i="158"/>
  <c r="I172" i="158"/>
  <c r="K172" i="158" s="1"/>
  <c r="G58" i="158"/>
  <c r="G30" i="158"/>
  <c r="G18" i="158"/>
  <c r="G42" i="158"/>
  <c r="G49" i="158"/>
  <c r="G10" i="158"/>
  <c r="G14" i="158"/>
  <c r="G19" i="158"/>
  <c r="G21" i="158"/>
  <c r="G22" i="158"/>
  <c r="G27" i="158"/>
  <c r="G31" i="158"/>
  <c r="G35" i="158"/>
  <c r="G37" i="158"/>
  <c r="G38" i="158"/>
  <c r="G43" i="158"/>
  <c r="G47" i="158"/>
  <c r="G73" i="158"/>
  <c r="G76" i="158"/>
  <c r="G78" i="158"/>
  <c r="G81" i="158"/>
  <c r="G83" i="158"/>
  <c r="G91" i="158"/>
  <c r="G93" i="158"/>
  <c r="I93" i="158"/>
  <c r="K93" i="158" s="1"/>
  <c r="I95" i="158"/>
  <c r="K95" i="158" s="1"/>
  <c r="H96" i="158"/>
  <c r="G98" i="158"/>
  <c r="H100" i="158"/>
  <c r="G100" i="158"/>
  <c r="H103" i="158"/>
  <c r="G103" i="158"/>
  <c r="I104" i="158"/>
  <c r="K104" i="158" s="1"/>
  <c r="G105" i="158"/>
  <c r="I105" i="158"/>
  <c r="K105" i="158" s="1"/>
  <c r="I106" i="158"/>
  <c r="K106" i="158" s="1"/>
  <c r="H106" i="158"/>
  <c r="G108" i="158"/>
  <c r="G109" i="158"/>
  <c r="I109" i="158"/>
  <c r="K109" i="158" s="1"/>
  <c r="H111" i="158"/>
  <c r="G111" i="158"/>
  <c r="G113" i="158"/>
  <c r="H113" i="158"/>
  <c r="I114" i="158"/>
  <c r="K114" i="158" s="1"/>
  <c r="H114" i="158"/>
  <c r="G115" i="158"/>
  <c r="H124" i="158"/>
  <c r="G124" i="158"/>
  <c r="G138" i="158"/>
  <c r="I138" i="158"/>
  <c r="K138" i="158" s="1"/>
  <c r="H138" i="158"/>
  <c r="H129" i="158"/>
  <c r="G129" i="158"/>
  <c r="I158" i="158"/>
  <c r="K158" i="158" s="1"/>
  <c r="H158" i="158"/>
  <c r="G158" i="158"/>
  <c r="I164" i="158"/>
  <c r="K164" i="158" s="1"/>
  <c r="H164" i="158"/>
  <c r="G164" i="158"/>
  <c r="H125" i="158"/>
  <c r="G125" i="158"/>
  <c r="G77" i="158"/>
  <c r="I146" i="158"/>
  <c r="K146" i="158" s="1"/>
  <c r="I125" i="158"/>
  <c r="K125" i="158" s="1"/>
  <c r="H112" i="158"/>
  <c r="H120" i="158"/>
  <c r="G120" i="158"/>
  <c r="I129" i="158"/>
  <c r="K129" i="158" s="1"/>
  <c r="G142" i="158"/>
  <c r="I144" i="158"/>
  <c r="K144" i="158" s="1"/>
  <c r="H144" i="158"/>
  <c r="G148" i="158"/>
  <c r="I166" i="158"/>
  <c r="K166" i="158" s="1"/>
  <c r="G166" i="158"/>
  <c r="H166" i="158"/>
  <c r="I126" i="158"/>
  <c r="K126" i="158" s="1"/>
  <c r="H126" i="158"/>
  <c r="H142" i="158"/>
  <c r="G146" i="158"/>
  <c r="H152" i="158"/>
  <c r="G152" i="158"/>
  <c r="H141" i="158"/>
  <c r="G141" i="158"/>
  <c r="I141" i="158"/>
  <c r="K141" i="158" s="1"/>
  <c r="G144" i="158"/>
  <c r="I148" i="158"/>
  <c r="K148" i="158" s="1"/>
  <c r="I152" i="158"/>
  <c r="K152" i="158" s="1"/>
  <c r="G89" i="158"/>
  <c r="H121" i="158"/>
  <c r="G121" i="158"/>
  <c r="H145" i="158"/>
  <c r="G145" i="158"/>
  <c r="H149" i="158"/>
  <c r="G149" i="158"/>
  <c r="H165" i="158"/>
  <c r="G165" i="158"/>
  <c r="H157" i="158"/>
  <c r="G157" i="158"/>
  <c r="H137" i="158"/>
  <c r="G137" i="158"/>
  <c r="G160" i="158"/>
  <c r="I165" i="158"/>
  <c r="K165" i="158" s="1"/>
  <c r="H169" i="158"/>
  <c r="G169" i="158"/>
  <c r="H160" i="158"/>
  <c r="G162" i="158"/>
  <c r="H140" i="158"/>
  <c r="H153" i="158"/>
  <c r="G153" i="158"/>
  <c r="G154" i="158"/>
  <c r="I157" i="158"/>
  <c r="K157" i="158" s="1"/>
  <c r="H161" i="158"/>
  <c r="G161" i="158"/>
  <c r="H162" i="158"/>
  <c r="H133" i="158"/>
  <c r="G133" i="158"/>
  <c r="I137" i="158"/>
  <c r="K137" i="158" s="1"/>
  <c r="I140" i="158"/>
  <c r="K140" i="158" s="1"/>
  <c r="I170" i="158"/>
  <c r="K170" i="158" s="1"/>
  <c r="H170" i="158"/>
  <c r="I67" i="157" l="1"/>
  <c r="C136" i="157"/>
  <c r="C103" i="157"/>
  <c r="A102" i="157"/>
  <c r="A96" i="157"/>
  <c r="A9" i="111" s="1"/>
  <c r="I93" i="157"/>
  <c r="E90" i="157"/>
  <c r="E92" i="157" s="1"/>
  <c r="C90" i="157"/>
  <c r="C92" i="157" s="1"/>
  <c r="I88" i="157"/>
  <c r="I87" i="157"/>
  <c r="I86" i="157"/>
  <c r="A84" i="157"/>
  <c r="A83" i="157"/>
  <c r="A52" i="157"/>
  <c r="A50" i="157"/>
  <c r="A9" i="157"/>
  <c r="H174" i="150"/>
  <c r="C31" i="149"/>
  <c r="B31" i="149"/>
  <c r="D27" i="149"/>
  <c r="D26" i="149"/>
  <c r="D25" i="149"/>
  <c r="D24" i="149"/>
  <c r="D23" i="149"/>
  <c r="D22" i="149"/>
  <c r="D21" i="149"/>
  <c r="D20" i="149"/>
  <c r="D19" i="149"/>
  <c r="D18" i="149"/>
  <c r="D17" i="149"/>
  <c r="D16" i="149"/>
  <c r="D15" i="149"/>
  <c r="D14" i="149"/>
  <c r="D13" i="149"/>
  <c r="D12" i="149"/>
  <c r="D11" i="149"/>
  <c r="D10" i="149"/>
  <c r="D9" i="149"/>
  <c r="D8" i="149"/>
  <c r="D7" i="149"/>
  <c r="D6" i="149"/>
  <c r="D11" i="111" l="1"/>
  <c r="J5" i="111"/>
  <c r="F7" i="111"/>
  <c r="F11" i="111" s="1"/>
  <c r="B2" i="130"/>
  <c r="B10" i="130" s="1"/>
  <c r="L38" i="114"/>
  <c r="A37" i="114"/>
  <c r="E8" i="157"/>
  <c r="F2" i="109" s="1"/>
  <c r="C10" i="157"/>
  <c r="A2" i="158"/>
  <c r="B182" i="158"/>
  <c r="D31" i="149"/>
  <c r="C96" i="157"/>
  <c r="E96" i="157"/>
  <c r="G174" i="150"/>
  <c r="L27" i="95"/>
  <c r="I27" i="95"/>
  <c r="K3" i="155"/>
  <c r="J3" i="155" s="1"/>
  <c r="K4" i="155"/>
  <c r="J4" i="155" s="1"/>
  <c r="K5" i="155"/>
  <c r="J5" i="155" s="1"/>
  <c r="K6" i="155"/>
  <c r="J6" i="155" s="1"/>
  <c r="K7" i="155"/>
  <c r="J7" i="155" s="1"/>
  <c r="D20" i="155"/>
  <c r="D19" i="155"/>
  <c r="D18" i="155"/>
  <c r="D8" i="155"/>
  <c r="C7" i="158" l="1"/>
  <c r="K184" i="158"/>
  <c r="K183" i="158" s="1"/>
  <c r="C2" i="130"/>
  <c r="C10" i="130" s="1"/>
  <c r="E10" i="157"/>
  <c r="U8" i="157" s="1"/>
  <c r="T8" i="157"/>
  <c r="AP7" i="198" s="1"/>
  <c r="D2" i="109"/>
  <c r="B7" i="158"/>
  <c r="F7" i="158"/>
  <c r="D23" i="155"/>
  <c r="D28" i="155" s="1"/>
  <c r="D24" i="155"/>
  <c r="D29" i="155" s="1"/>
  <c r="D56" i="156"/>
  <c r="C56" i="156"/>
  <c r="L7" i="150" l="1"/>
  <c r="L7" i="158"/>
  <c r="L247" i="158" s="1"/>
  <c r="D30" i="155"/>
  <c r="D25" i="155"/>
  <c r="D32" i="155" s="1"/>
  <c r="D34" i="155" s="1"/>
  <c r="C21" i="156"/>
  <c r="C5" i="156"/>
  <c r="I7" i="156"/>
  <c r="H7" i="156"/>
  <c r="I6" i="156"/>
  <c r="H6" i="156"/>
  <c r="I5" i="156"/>
  <c r="H5" i="156"/>
  <c r="I4" i="156"/>
  <c r="H4" i="156"/>
  <c r="I3" i="156"/>
  <c r="H3" i="156"/>
  <c r="C20" i="155"/>
  <c r="C18" i="155"/>
  <c r="H7" i="155"/>
  <c r="G7" i="155"/>
  <c r="H6" i="155"/>
  <c r="G6" i="155"/>
  <c r="H4" i="155"/>
  <c r="G4" i="155"/>
  <c r="H3" i="155"/>
  <c r="G3" i="155"/>
  <c r="E137" i="157" l="1"/>
  <c r="E34" i="112" s="1"/>
  <c r="E157" i="200"/>
  <c r="C28" i="156"/>
  <c r="G49" i="114"/>
  <c r="D15" i="156"/>
  <c r="C15" i="156"/>
  <c r="C27" i="156"/>
  <c r="C29" i="156"/>
  <c r="C6" i="156"/>
  <c r="H5" i="155"/>
  <c r="G5" i="155"/>
  <c r="C19" i="155"/>
  <c r="C23" i="155" s="1"/>
  <c r="C28" i="155" s="1"/>
  <c r="C33" i="156" l="1"/>
  <c r="C38" i="156" s="1"/>
  <c r="C32" i="156"/>
  <c r="C37" i="156" s="1"/>
  <c r="D18" i="156"/>
  <c r="C18" i="156"/>
  <c r="C7" i="156"/>
  <c r="D9" i="155" s="1"/>
  <c r="D36" i="155" s="1"/>
  <c r="M26" i="95" s="1"/>
  <c r="D43" i="156"/>
  <c r="D45" i="156" s="1"/>
  <c r="C24" i="155"/>
  <c r="C29" i="155" s="1"/>
  <c r="C30" i="155" s="1"/>
  <c r="M27" i="95" l="1"/>
  <c r="J27" i="95" s="1"/>
  <c r="J26" i="95"/>
  <c r="C39" i="156"/>
  <c r="C34" i="156"/>
  <c r="C41" i="156" s="1"/>
  <c r="C43" i="156" s="1"/>
  <c r="C45" i="156" s="1"/>
  <c r="E45" i="156" s="1"/>
  <c r="C25" i="155"/>
  <c r="C32" i="155" s="1"/>
  <c r="C34" i="155" s="1"/>
  <c r="C36" i="155" s="1"/>
  <c r="M23" i="95" s="1"/>
  <c r="H59" i="156" l="1"/>
  <c r="H60" i="156"/>
  <c r="H61" i="156" s="1"/>
  <c r="L24" i="95"/>
  <c r="I24" i="95"/>
  <c r="M24" i="95"/>
  <c r="H30" i="146"/>
  <c r="M10" i="95" l="1"/>
  <c r="M11" i="95" s="1"/>
  <c r="L194" i="150"/>
  <c r="G34" i="115"/>
  <c r="B23" i="179"/>
  <c r="J24" i="95"/>
  <c r="J23" i="95"/>
  <c r="C28" i="179" l="1"/>
  <c r="G35" i="115"/>
  <c r="D28" i="179" l="1"/>
  <c r="E76" i="114"/>
  <c r="E22" i="39"/>
  <c r="AM26" i="198" s="1"/>
  <c r="D22" i="39"/>
  <c r="AL26" i="198" s="1"/>
  <c r="AO101" i="198" l="1"/>
  <c r="H23" i="107"/>
  <c r="I23" i="107"/>
  <c r="F28" i="179"/>
  <c r="C29" i="179" s="1"/>
  <c r="D29" i="179" s="1"/>
  <c r="F29" i="179" s="1"/>
  <c r="C30" i="179" s="1"/>
  <c r="D30" i="179" s="1"/>
  <c r="H26" i="158"/>
  <c r="I26" i="158"/>
  <c r="K26" i="158" s="1"/>
  <c r="F30" i="179" l="1"/>
  <c r="C31" i="179" s="1"/>
  <c r="D31" i="179" s="1"/>
  <c r="F31" i="179" s="1"/>
  <c r="C32" i="179" s="1"/>
  <c r="D32" i="179" s="1"/>
  <c r="F32" i="179" s="1"/>
  <c r="C33" i="179" s="1"/>
  <c r="D33" i="179" s="1"/>
  <c r="F33" i="179" s="1"/>
  <c r="H5" i="114" s="1"/>
  <c r="D35" i="179"/>
  <c r="L246" i="150"/>
  <c r="E182" i="150"/>
  <c r="I103" i="150"/>
  <c r="K103" i="150" s="1"/>
  <c r="H97" i="150"/>
  <c r="I93" i="150"/>
  <c r="G82" i="150"/>
  <c r="H47" i="150"/>
  <c r="A8" i="150"/>
  <c r="A2" i="150"/>
  <c r="K186" i="150" s="1"/>
  <c r="C8" i="150" l="1"/>
  <c r="B47" i="179"/>
  <c r="B39" i="179"/>
  <c r="C79" i="114"/>
  <c r="B40" i="179"/>
  <c r="G36" i="115"/>
  <c r="B48" i="179"/>
  <c r="B51" i="179"/>
  <c r="F34" i="179"/>
  <c r="G30" i="150"/>
  <c r="G97" i="150"/>
  <c r="H106" i="150"/>
  <c r="G116" i="150"/>
  <c r="G128" i="150"/>
  <c r="H151" i="150"/>
  <c r="G8" i="150"/>
  <c r="G19" i="150"/>
  <c r="G51" i="150"/>
  <c r="G77" i="150"/>
  <c r="I107" i="150"/>
  <c r="I141" i="150"/>
  <c r="K141" i="150" s="1"/>
  <c r="I98" i="150"/>
  <c r="G118" i="150"/>
  <c r="I153" i="150"/>
  <c r="K153" i="150" s="1"/>
  <c r="G21" i="150"/>
  <c r="G90" i="150"/>
  <c r="G99" i="150"/>
  <c r="H108" i="150"/>
  <c r="H119" i="150"/>
  <c r="H143" i="150"/>
  <c r="G20" i="150"/>
  <c r="I100" i="150"/>
  <c r="G120" i="150"/>
  <c r="I132" i="150"/>
  <c r="K132" i="150" s="1"/>
  <c r="I101" i="150"/>
  <c r="H132" i="150"/>
  <c r="H145" i="150"/>
  <c r="G12" i="150"/>
  <c r="G47" i="150"/>
  <c r="I102" i="150"/>
  <c r="H110" i="150"/>
  <c r="I122" i="150"/>
  <c r="I145" i="150"/>
  <c r="G157" i="150"/>
  <c r="H169" i="150"/>
  <c r="G16" i="150"/>
  <c r="G39" i="150"/>
  <c r="G56" i="150"/>
  <c r="I97" i="150"/>
  <c r="K97" i="150" s="1"/>
  <c r="G105" i="150"/>
  <c r="G115" i="150"/>
  <c r="H127" i="150"/>
  <c r="G103" i="150"/>
  <c r="G111" i="150"/>
  <c r="H123" i="150"/>
  <c r="H135" i="150"/>
  <c r="G15" i="150"/>
  <c r="G95" i="150"/>
  <c r="G14" i="150"/>
  <c r="G37" i="150"/>
  <c r="I112" i="150"/>
  <c r="G124" i="150"/>
  <c r="H159" i="150"/>
  <c r="H171" i="150"/>
  <c r="H104" i="150"/>
  <c r="H114" i="150"/>
  <c r="H126" i="150"/>
  <c r="H149" i="150"/>
  <c r="H161" i="150"/>
  <c r="H173" i="150"/>
  <c r="G22" i="150"/>
  <c r="G17" i="150"/>
  <c r="G41" i="150"/>
  <c r="G9" i="150"/>
  <c r="H155" i="150"/>
  <c r="H98" i="150"/>
  <c r="I106" i="150"/>
  <c r="K106" i="150" s="1"/>
  <c r="G149" i="150"/>
  <c r="H52" i="150"/>
  <c r="H156" i="150"/>
  <c r="H99" i="150"/>
  <c r="I94" i="150"/>
  <c r="K94" i="150" s="1"/>
  <c r="G153" i="150"/>
  <c r="I104" i="150"/>
  <c r="G40" i="150"/>
  <c r="G46" i="150"/>
  <c r="H120" i="150"/>
  <c r="G10" i="150"/>
  <c r="H111" i="150"/>
  <c r="I120" i="150"/>
  <c r="H128" i="150"/>
  <c r="H164" i="150"/>
  <c r="G35" i="150"/>
  <c r="G52" i="150"/>
  <c r="I95" i="150"/>
  <c r="K95" i="150" s="1"/>
  <c r="G106" i="150"/>
  <c r="G50" i="150"/>
  <c r="H140" i="150"/>
  <c r="G148" i="150"/>
  <c r="G36" i="150"/>
  <c r="H107" i="150"/>
  <c r="I123" i="150"/>
  <c r="I140" i="150"/>
  <c r="G18" i="150"/>
  <c r="I131" i="150"/>
  <c r="K131" i="150" s="1"/>
  <c r="I144" i="150"/>
  <c r="K144" i="150" s="1"/>
  <c r="I160" i="150"/>
  <c r="G11" i="150"/>
  <c r="G28" i="150"/>
  <c r="G31" i="150"/>
  <c r="G42" i="150"/>
  <c r="G45" i="150"/>
  <c r="G89" i="150"/>
  <c r="G49" i="150"/>
  <c r="H115" i="150"/>
  <c r="I127" i="150"/>
  <c r="G140" i="150"/>
  <c r="G145" i="150"/>
  <c r="G156" i="150"/>
  <c r="I161" i="150"/>
  <c r="H167" i="150"/>
  <c r="I115" i="150"/>
  <c r="G32" i="150"/>
  <c r="G81" i="150"/>
  <c r="G98" i="150"/>
  <c r="I156" i="150"/>
  <c r="H168" i="150"/>
  <c r="G25" i="150"/>
  <c r="G43" i="150"/>
  <c r="H124" i="150"/>
  <c r="G141" i="150"/>
  <c r="G152" i="150"/>
  <c r="H157" i="150"/>
  <c r="H103" i="150"/>
  <c r="I111" i="150"/>
  <c r="I124" i="150"/>
  <c r="H130" i="150"/>
  <c r="I157" i="150"/>
  <c r="K157" i="150" s="1"/>
  <c r="G164" i="150"/>
  <c r="I99" i="150"/>
  <c r="I119" i="150"/>
  <c r="H136" i="150"/>
  <c r="I148" i="150"/>
  <c r="I164" i="150"/>
  <c r="K164" i="150" s="1"/>
  <c r="H131" i="150"/>
  <c r="H172" i="150"/>
  <c r="G169" i="150"/>
  <c r="G74" i="150"/>
  <c r="G78" i="150"/>
  <c r="G86" i="150"/>
  <c r="G161" i="150"/>
  <c r="I114" i="150"/>
  <c r="K114" i="150" s="1"/>
  <c r="B7" i="150"/>
  <c r="C7" i="150" s="1"/>
  <c r="F7" i="150"/>
  <c r="G24" i="150"/>
  <c r="G26" i="150"/>
  <c r="G34" i="150"/>
  <c r="G127" i="150"/>
  <c r="G131" i="150"/>
  <c r="G29" i="150"/>
  <c r="G38" i="150"/>
  <c r="G102" i="150"/>
  <c r="G75" i="150"/>
  <c r="G79" i="150"/>
  <c r="G87" i="150"/>
  <c r="G91" i="150"/>
  <c r="H102" i="150"/>
  <c r="G119" i="150"/>
  <c r="G144" i="150"/>
  <c r="G33" i="150"/>
  <c r="G44" i="150"/>
  <c r="G83" i="150"/>
  <c r="G107" i="150"/>
  <c r="G132" i="150"/>
  <c r="G136" i="150"/>
  <c r="H144" i="150"/>
  <c r="H148" i="150"/>
  <c r="G172" i="150"/>
  <c r="G57" i="150"/>
  <c r="H116" i="150"/>
  <c r="I136" i="150"/>
  <c r="K136" i="150" s="1"/>
  <c r="H141" i="150"/>
  <c r="H152" i="150"/>
  <c r="G168" i="150"/>
  <c r="I152" i="150"/>
  <c r="G160" i="150"/>
  <c r="G94" i="150"/>
  <c r="I116" i="150"/>
  <c r="G123" i="150"/>
  <c r="G101" i="150"/>
  <c r="G114" i="150"/>
  <c r="I149" i="150"/>
  <c r="H160" i="150"/>
  <c r="I168" i="150"/>
  <c r="G76" i="150"/>
  <c r="G80" i="150"/>
  <c r="G85" i="150"/>
  <c r="G88" i="150"/>
  <c r="G93" i="150"/>
  <c r="H96" i="150"/>
  <c r="G96" i="150"/>
  <c r="I96" i="150"/>
  <c r="G108" i="150"/>
  <c r="I108" i="150"/>
  <c r="K108" i="150" s="1"/>
  <c r="I110" i="150"/>
  <c r="G110" i="150"/>
  <c r="G112" i="150"/>
  <c r="H112" i="150"/>
  <c r="I113" i="150"/>
  <c r="H113" i="150"/>
  <c r="G113" i="150"/>
  <c r="I117" i="150"/>
  <c r="H117" i="150"/>
  <c r="G117" i="150"/>
  <c r="H118" i="150"/>
  <c r="I118" i="150"/>
  <c r="I121" i="150"/>
  <c r="H121" i="150"/>
  <c r="G121" i="150"/>
  <c r="H122" i="150"/>
  <c r="G122" i="150"/>
  <c r="I128" i="150"/>
  <c r="K128" i="150" s="1"/>
  <c r="I129" i="150"/>
  <c r="H129" i="150"/>
  <c r="G129" i="150"/>
  <c r="I137" i="150"/>
  <c r="K137" i="150" s="1"/>
  <c r="H137" i="150"/>
  <c r="G137" i="150"/>
  <c r="I138" i="150"/>
  <c r="H138" i="150"/>
  <c r="G138" i="150"/>
  <c r="I139" i="150"/>
  <c r="K139" i="150" s="1"/>
  <c r="G139" i="150"/>
  <c r="H139" i="150"/>
  <c r="I147" i="150"/>
  <c r="K147" i="150" s="1"/>
  <c r="G147" i="150"/>
  <c r="H147" i="150"/>
  <c r="I154" i="150"/>
  <c r="H154" i="150"/>
  <c r="G154" i="150"/>
  <c r="I163" i="150"/>
  <c r="G163" i="150"/>
  <c r="H163" i="150"/>
  <c r="I133" i="150"/>
  <c r="K133" i="150" s="1"/>
  <c r="H133" i="150"/>
  <c r="G133" i="150"/>
  <c r="I143" i="150"/>
  <c r="K143" i="150" s="1"/>
  <c r="G143" i="150"/>
  <c r="G84" i="150"/>
  <c r="H100" i="150"/>
  <c r="G100" i="150"/>
  <c r="H101" i="150"/>
  <c r="I105" i="150"/>
  <c r="H105" i="150"/>
  <c r="I126" i="150"/>
  <c r="G92" i="150"/>
  <c r="I109" i="150"/>
  <c r="H109" i="150"/>
  <c r="G109" i="150"/>
  <c r="I125" i="150"/>
  <c r="K125" i="150" s="1"/>
  <c r="H125" i="150"/>
  <c r="G125" i="150"/>
  <c r="I135" i="150"/>
  <c r="K135" i="150" s="1"/>
  <c r="G135" i="150"/>
  <c r="I150" i="150"/>
  <c r="H150" i="150"/>
  <c r="G150" i="150"/>
  <c r="I159" i="150"/>
  <c r="G159" i="150"/>
  <c r="G165" i="150"/>
  <c r="I169" i="150"/>
  <c r="H165" i="150"/>
  <c r="I130" i="150"/>
  <c r="K130" i="150" s="1"/>
  <c r="G130" i="150"/>
  <c r="I146" i="150"/>
  <c r="K146" i="150" s="1"/>
  <c r="H146" i="150"/>
  <c r="G146" i="150"/>
  <c r="I155" i="150"/>
  <c r="G155" i="150"/>
  <c r="I165" i="150"/>
  <c r="K165" i="150" s="1"/>
  <c r="H170" i="150"/>
  <c r="G170" i="150"/>
  <c r="G104" i="150"/>
  <c r="I142" i="150"/>
  <c r="K142" i="150" s="1"/>
  <c r="H142" i="150"/>
  <c r="G142" i="150"/>
  <c r="I151" i="150"/>
  <c r="G151" i="150"/>
  <c r="I166" i="150"/>
  <c r="H166" i="150"/>
  <c r="G166" i="150"/>
  <c r="G173" i="150"/>
  <c r="I173" i="150"/>
  <c r="I162" i="150"/>
  <c r="H162" i="150"/>
  <c r="G162" i="150"/>
  <c r="G171" i="150"/>
  <c r="H153" i="150"/>
  <c r="G126" i="150"/>
  <c r="I158" i="150"/>
  <c r="K158" i="150" s="1"/>
  <c r="H158" i="150"/>
  <c r="G158" i="150"/>
  <c r="I167" i="150"/>
  <c r="G167" i="150"/>
  <c r="F30" i="147" l="1"/>
  <c r="F29" i="147"/>
  <c r="F26" i="147"/>
  <c r="F17" i="147"/>
  <c r="F18" i="147"/>
  <c r="F19" i="147"/>
  <c r="F20" i="147"/>
  <c r="F21" i="147"/>
  <c r="F22" i="147"/>
  <c r="F23" i="147"/>
  <c r="F16" i="147"/>
  <c r="F12" i="147"/>
  <c r="F9" i="147"/>
  <c r="F10" i="147"/>
  <c r="F8" i="147"/>
  <c r="E26" i="147"/>
  <c r="E27" i="147" s="1"/>
  <c r="D18" i="147"/>
  <c r="E18" i="147" s="1"/>
  <c r="E30" i="147"/>
  <c r="E29" i="147"/>
  <c r="E31" i="147" s="1"/>
  <c r="E17" i="147"/>
  <c r="E19" i="147"/>
  <c r="E12" i="147"/>
  <c r="E10" i="147"/>
  <c r="E9" i="147"/>
  <c r="E8" i="147"/>
  <c r="E11" i="147" s="1"/>
  <c r="D31" i="147"/>
  <c r="D11" i="147"/>
  <c r="D13" i="147" s="1"/>
  <c r="D14" i="147" s="1"/>
  <c r="B30" i="147"/>
  <c r="C30" i="147" s="1"/>
  <c r="B29" i="147"/>
  <c r="B31" i="147" s="1"/>
  <c r="B26" i="147"/>
  <c r="C26" i="147" s="1"/>
  <c r="C27" i="147" s="1"/>
  <c r="B23" i="147"/>
  <c r="C23" i="147" s="1"/>
  <c r="D23" i="147" s="1"/>
  <c r="B22" i="147"/>
  <c r="C22" i="147" s="1"/>
  <c r="D22" i="147" s="1"/>
  <c r="E22" i="147" s="1"/>
  <c r="B21" i="147"/>
  <c r="C21" i="147" s="1"/>
  <c r="B20" i="147"/>
  <c r="C20" i="147" s="1"/>
  <c r="D20" i="147" s="1"/>
  <c r="E20" i="147" s="1"/>
  <c r="B19" i="147"/>
  <c r="C19" i="147" s="1"/>
  <c r="B18" i="147"/>
  <c r="C18" i="147" s="1"/>
  <c r="B17" i="147"/>
  <c r="C17" i="147" s="1"/>
  <c r="B16" i="147"/>
  <c r="C16" i="147" s="1"/>
  <c r="D16" i="147" s="1"/>
  <c r="E16" i="147" s="1"/>
  <c r="B12" i="147"/>
  <c r="C12" i="147" s="1"/>
  <c r="B10" i="147"/>
  <c r="C10" i="147" s="1"/>
  <c r="B9" i="147"/>
  <c r="C9" i="147" s="1"/>
  <c r="B8" i="147"/>
  <c r="C8" i="147" s="1"/>
  <c r="K21" i="95"/>
  <c r="K15" i="86" s="1"/>
  <c r="K14" i="95"/>
  <c r="K15" i="95"/>
  <c r="K9" i="86" s="1"/>
  <c r="K16" i="95"/>
  <c r="K10" i="86" s="1"/>
  <c r="K17" i="95"/>
  <c r="K11" i="86" s="1"/>
  <c r="K18" i="95"/>
  <c r="K12" i="86" s="1"/>
  <c r="K20" i="95"/>
  <c r="K14" i="86" s="1"/>
  <c r="K7" i="86"/>
  <c r="K8" i="86" l="1"/>
  <c r="AJ53" i="198"/>
  <c r="AJ25" i="198"/>
  <c r="AD89" i="198"/>
  <c r="AD61" i="198"/>
  <c r="AD33" i="198"/>
  <c r="X69" i="198"/>
  <c r="X13" i="198"/>
  <c r="R77" i="198"/>
  <c r="R49" i="198"/>
  <c r="L18" i="198"/>
  <c r="L46" i="198"/>
  <c r="L74" i="198"/>
  <c r="AJ79" i="198"/>
  <c r="AJ23" i="198"/>
  <c r="AD31" i="198"/>
  <c r="X11" i="198"/>
  <c r="L76" i="198"/>
  <c r="AD57" i="198"/>
  <c r="R45" i="198"/>
  <c r="L50" i="198"/>
  <c r="AD84" i="198"/>
  <c r="AD56" i="198"/>
  <c r="AD28" i="198"/>
  <c r="X36" i="198"/>
  <c r="L23" i="198"/>
  <c r="L79" i="198"/>
  <c r="AJ75" i="198"/>
  <c r="AJ19" i="198"/>
  <c r="AD55" i="198"/>
  <c r="R71" i="198"/>
  <c r="L52" i="198"/>
  <c r="AJ74" i="198"/>
  <c r="AD82" i="198"/>
  <c r="X62" i="198"/>
  <c r="R98" i="198"/>
  <c r="R42" i="198"/>
  <c r="AJ45" i="198"/>
  <c r="AJ17" i="198"/>
  <c r="AD25" i="198"/>
  <c r="X89" i="198"/>
  <c r="R69" i="198"/>
  <c r="L82" i="198"/>
  <c r="R56" i="198"/>
  <c r="L40" i="198"/>
  <c r="AD37" i="198"/>
  <c r="L42" i="198"/>
  <c r="L15" i="198"/>
  <c r="AD35" i="198"/>
  <c r="L16" i="198"/>
  <c r="AJ80" i="198"/>
  <c r="AJ52" i="198"/>
  <c r="AJ24" i="198"/>
  <c r="AD60" i="198"/>
  <c r="AD32" i="198"/>
  <c r="X96" i="198"/>
  <c r="X68" i="198"/>
  <c r="X40" i="198"/>
  <c r="X12" i="198"/>
  <c r="R76" i="198"/>
  <c r="R48" i="198"/>
  <c r="R20" i="198"/>
  <c r="L19" i="198"/>
  <c r="L47" i="198"/>
  <c r="L75" i="198"/>
  <c r="AD59" i="198"/>
  <c r="X67" i="198"/>
  <c r="R47" i="198"/>
  <c r="R19" i="198"/>
  <c r="L48" i="198"/>
  <c r="AD29" i="198"/>
  <c r="AJ76" i="198"/>
  <c r="R72" i="198"/>
  <c r="L51" i="198"/>
  <c r="R14" i="198"/>
  <c r="AJ73" i="198"/>
  <c r="AD53" i="198"/>
  <c r="X33" i="198"/>
  <c r="L54" i="198"/>
  <c r="AD11" i="198"/>
  <c r="AJ29" i="198"/>
  <c r="AJ51" i="198"/>
  <c r="X39" i="198"/>
  <c r="R75" i="198"/>
  <c r="L20" i="198"/>
  <c r="X65" i="198"/>
  <c r="AJ20" i="198"/>
  <c r="X91" i="198"/>
  <c r="X63" i="198"/>
  <c r="X35" i="198"/>
  <c r="R15" i="198"/>
  <c r="L80" i="198"/>
  <c r="L25" i="198"/>
  <c r="R13" i="198"/>
  <c r="AD39" i="198"/>
  <c r="AJ58" i="198"/>
  <c r="AD64" i="198"/>
  <c r="I35" i="200" s="1"/>
  <c r="L72" i="198"/>
  <c r="AJ78" i="198"/>
  <c r="AJ50" i="198"/>
  <c r="AJ22" i="198"/>
  <c r="K15" i="200" s="1"/>
  <c r="AD86" i="198"/>
  <c r="AD58" i="198"/>
  <c r="X66" i="198"/>
  <c r="X10" i="198"/>
  <c r="R74" i="198"/>
  <c r="E39" i="200" s="1"/>
  <c r="E20" i="202" s="1"/>
  <c r="R46" i="198"/>
  <c r="R18" i="198"/>
  <c r="L21" i="198"/>
  <c r="C17" i="200" s="1"/>
  <c r="C7" i="202" s="1"/>
  <c r="L49" i="198"/>
  <c r="L77" i="198"/>
  <c r="AJ77" i="198"/>
  <c r="AJ49" i="198"/>
  <c r="AD85" i="198"/>
  <c r="X37" i="198"/>
  <c r="R73" i="198"/>
  <c r="R17" i="198"/>
  <c r="L22" i="198"/>
  <c r="C15" i="200" s="1"/>
  <c r="L78" i="198"/>
  <c r="AJ48" i="198"/>
  <c r="X64" i="198"/>
  <c r="G35" i="200" s="1"/>
  <c r="AJ47" i="198"/>
  <c r="AD83" i="198"/>
  <c r="R43" i="198"/>
  <c r="L24" i="198"/>
  <c r="AJ46" i="198"/>
  <c r="AJ18" i="198"/>
  <c r="AD54" i="198"/>
  <c r="X90" i="198"/>
  <c r="X34" i="198"/>
  <c r="R70" i="198"/>
  <c r="L53" i="198"/>
  <c r="X61" i="198"/>
  <c r="X20" i="198"/>
  <c r="L68" i="198"/>
  <c r="AJ86" i="198"/>
  <c r="X46" i="198"/>
  <c r="L98" i="198"/>
  <c r="L43" i="198"/>
  <c r="AJ83" i="198"/>
  <c r="L11" i="198"/>
  <c r="R53" i="198"/>
  <c r="R23" i="198"/>
  <c r="L13" i="198"/>
  <c r="X71" i="198"/>
  <c r="AJ72" i="198"/>
  <c r="AD80" i="198"/>
  <c r="AD52" i="198"/>
  <c r="AD24" i="198"/>
  <c r="X60" i="198"/>
  <c r="X32" i="198"/>
  <c r="R96" i="198"/>
  <c r="R68" i="198"/>
  <c r="R40" i="198"/>
  <c r="R12" i="198"/>
  <c r="L55" i="198"/>
  <c r="L83" i="198"/>
  <c r="X59" i="198"/>
  <c r="L56" i="198"/>
  <c r="AJ70" i="198"/>
  <c r="X86" i="198"/>
  <c r="R66" i="198"/>
  <c r="R10" i="198"/>
  <c r="L29" i="198"/>
  <c r="L85" i="198"/>
  <c r="AJ13" i="198"/>
  <c r="AD77" i="198"/>
  <c r="X57" i="198"/>
  <c r="R65" i="198"/>
  <c r="R37" i="198"/>
  <c r="L58" i="198"/>
  <c r="L86" i="198"/>
  <c r="AJ68" i="198"/>
  <c r="AD76" i="198"/>
  <c r="X56" i="198"/>
  <c r="R36" i="198"/>
  <c r="L59" i="198"/>
  <c r="R58" i="198"/>
  <c r="X77" i="198"/>
  <c r="R29" i="198"/>
  <c r="AJ32" i="198"/>
  <c r="AJ31" i="198"/>
  <c r="X47" i="198"/>
  <c r="R55" i="198"/>
  <c r="R82" i="198"/>
  <c r="AD65" i="198"/>
  <c r="R52" i="198"/>
  <c r="L71" i="198"/>
  <c r="X43" i="198"/>
  <c r="AJ71" i="198"/>
  <c r="AJ43" i="198"/>
  <c r="AJ15" i="198"/>
  <c r="AD79" i="198"/>
  <c r="AD51" i="198"/>
  <c r="AD23" i="198"/>
  <c r="X31" i="198"/>
  <c r="R67" i="198"/>
  <c r="R39" i="198"/>
  <c r="R11" i="198"/>
  <c r="L28" i="198"/>
  <c r="L84" i="198"/>
  <c r="AJ98" i="198"/>
  <c r="AJ42" i="198"/>
  <c r="AJ14" i="198"/>
  <c r="AD78" i="198"/>
  <c r="AD50" i="198"/>
  <c r="AD22" i="198"/>
  <c r="I15" i="200" s="1"/>
  <c r="X58" i="198"/>
  <c r="L57" i="198"/>
  <c r="AJ69" i="198"/>
  <c r="AD49" i="198"/>
  <c r="X85" i="198"/>
  <c r="X29" i="198"/>
  <c r="AJ96" i="198"/>
  <c r="AJ40" i="198"/>
  <c r="AJ12" i="198"/>
  <c r="AD48" i="198"/>
  <c r="AD20" i="198"/>
  <c r="X84" i="198"/>
  <c r="X28" i="198"/>
  <c r="R64" i="198"/>
  <c r="E35" i="200" s="1"/>
  <c r="L31" i="198"/>
  <c r="AD69" i="198"/>
  <c r="R85" i="198"/>
  <c r="R57" i="198"/>
  <c r="AJ60" i="198"/>
  <c r="AD12" i="198"/>
  <c r="R28" i="198"/>
  <c r="L67" i="198"/>
  <c r="X19" i="198"/>
  <c r="X18" i="198"/>
  <c r="AJ85" i="198"/>
  <c r="AD36" i="198"/>
  <c r="AD63" i="198"/>
  <c r="AJ67" i="198"/>
  <c r="AJ39" i="198"/>
  <c r="AJ11" i="198"/>
  <c r="AD75" i="198"/>
  <c r="AD47" i="198"/>
  <c r="AD19" i="198"/>
  <c r="X83" i="198"/>
  <c r="X55" i="198"/>
  <c r="R91" i="198"/>
  <c r="R63" i="198"/>
  <c r="R35" i="198"/>
  <c r="L32" i="198"/>
  <c r="L60" i="198"/>
  <c r="AJ65" i="198"/>
  <c r="AD17" i="198"/>
  <c r="X53" i="198"/>
  <c r="X25" i="198"/>
  <c r="R89" i="198"/>
  <c r="L62" i="198"/>
  <c r="AD16" i="198"/>
  <c r="X52" i="198"/>
  <c r="R60" i="198"/>
  <c r="X23" i="198"/>
  <c r="AJ62" i="198"/>
  <c r="AJ34" i="198"/>
  <c r="AD70" i="198"/>
  <c r="AD14" i="198"/>
  <c r="X50" i="198"/>
  <c r="R86" i="198"/>
  <c r="X76" i="198"/>
  <c r="AD66" i="198"/>
  <c r="X74" i="198"/>
  <c r="R54" i="198"/>
  <c r="L14" i="198"/>
  <c r="R80" i="198"/>
  <c r="AD91" i="198"/>
  <c r="R79" i="198"/>
  <c r="AJ66" i="198"/>
  <c r="AJ10" i="198"/>
  <c r="AD74" i="198"/>
  <c r="AD46" i="198"/>
  <c r="AD18" i="198"/>
  <c r="X82" i="198"/>
  <c r="X54" i="198"/>
  <c r="R90" i="198"/>
  <c r="R62" i="198"/>
  <c r="R34" i="198"/>
  <c r="L33" i="198"/>
  <c r="L61" i="198"/>
  <c r="L89" i="198"/>
  <c r="AJ37" i="198"/>
  <c r="AD73" i="198"/>
  <c r="AD45" i="198"/>
  <c r="R61" i="198"/>
  <c r="R33" i="198"/>
  <c r="L34" i="198"/>
  <c r="L90" i="198"/>
  <c r="AJ64" i="198"/>
  <c r="K35" i="200" s="1"/>
  <c r="AJ36" i="198"/>
  <c r="X80" i="198"/>
  <c r="X24" i="198"/>
  <c r="R32" i="198"/>
  <c r="L35" i="198"/>
  <c r="AJ91" i="198"/>
  <c r="AJ63" i="198"/>
  <c r="AJ35" i="198"/>
  <c r="AD71" i="198"/>
  <c r="AD43" i="198"/>
  <c r="AD15" i="198"/>
  <c r="X79" i="198"/>
  <c r="X51" i="198"/>
  <c r="R59" i="198"/>
  <c r="L36" i="198"/>
  <c r="AJ90" i="198"/>
  <c r="AD98" i="198"/>
  <c r="AD42" i="198"/>
  <c r="X78" i="198"/>
  <c r="X22" i="198"/>
  <c r="G15" i="200" s="1"/>
  <c r="L65" i="198"/>
  <c r="AJ89" i="198"/>
  <c r="AJ61" i="198"/>
  <c r="AJ33" i="198"/>
  <c r="AD13" i="198"/>
  <c r="L10" i="198"/>
  <c r="AD96" i="198"/>
  <c r="AD40" i="198"/>
  <c r="X48" i="198"/>
  <c r="L39" i="198"/>
  <c r="AJ59" i="198"/>
  <c r="X75" i="198"/>
  <c r="R83" i="198"/>
  <c r="L96" i="198"/>
  <c r="X17" i="198"/>
  <c r="R25" i="198"/>
  <c r="L70" i="198"/>
  <c r="AJ28" i="198"/>
  <c r="R24" i="198"/>
  <c r="AJ55" i="198"/>
  <c r="L44" i="198"/>
  <c r="AD72" i="198"/>
  <c r="L63" i="198"/>
  <c r="L91" i="198"/>
  <c r="R31" i="198"/>
  <c r="L64" i="198"/>
  <c r="C35" i="200" s="1"/>
  <c r="L37" i="198"/>
  <c r="X49" i="198"/>
  <c r="R84" i="198"/>
  <c r="AJ57" i="198"/>
  <c r="AJ84" i="198"/>
  <c r="L66" i="198"/>
  <c r="AD68" i="198"/>
  <c r="AD67" i="198"/>
  <c r="AD10" i="198"/>
  <c r="X73" i="198"/>
  <c r="X72" i="198"/>
  <c r="R51" i="198"/>
  <c r="AJ82" i="198"/>
  <c r="AJ54" i="198"/>
  <c r="AD90" i="198"/>
  <c r="AD62" i="198"/>
  <c r="AD34" i="198"/>
  <c r="X98" i="198"/>
  <c r="X70" i="198"/>
  <c r="X42" i="198"/>
  <c r="X14" i="198"/>
  <c r="R78" i="198"/>
  <c r="R50" i="198"/>
  <c r="R22" i="198"/>
  <c r="E15" i="200" s="1"/>
  <c r="L17" i="198"/>
  <c r="L45" i="198"/>
  <c r="L73" i="198"/>
  <c r="L12" i="198"/>
  <c r="L69" i="198"/>
  <c r="X45" i="198"/>
  <c r="AJ56" i="198"/>
  <c r="X15" i="198"/>
  <c r="C11" i="147"/>
  <c r="C29" i="147"/>
  <c r="C31" i="147" s="1"/>
  <c r="E23" i="147"/>
  <c r="C24" i="147"/>
  <c r="D21" i="147"/>
  <c r="E21" i="147" s="1"/>
  <c r="D27" i="147"/>
  <c r="E24" i="147"/>
  <c r="E13" i="147"/>
  <c r="E14" i="147" s="1"/>
  <c r="C13" i="147"/>
  <c r="C14" i="147" s="1"/>
  <c r="B27" i="147"/>
  <c r="B11" i="147"/>
  <c r="B24" i="147"/>
  <c r="E18" i="39"/>
  <c r="D18" i="39"/>
  <c r="L13" i="95"/>
  <c r="J9" i="95"/>
  <c r="J12" i="95"/>
  <c r="J22" i="95"/>
  <c r="J79" i="95"/>
  <c r="J80" i="95"/>
  <c r="J81" i="95"/>
  <c r="J82" i="95"/>
  <c r="J83" i="95"/>
  <c r="J84" i="95"/>
  <c r="J85" i="95"/>
  <c r="J86" i="95"/>
  <c r="J87" i="95"/>
  <c r="J88" i="95"/>
  <c r="J89" i="95"/>
  <c r="J90" i="95"/>
  <c r="J91" i="95"/>
  <c r="J92" i="95"/>
  <c r="J93" i="95"/>
  <c r="J94" i="95"/>
  <c r="J95" i="95"/>
  <c r="J96" i="95"/>
  <c r="J97" i="95"/>
  <c r="J98" i="95"/>
  <c r="J99" i="95"/>
  <c r="J100" i="95"/>
  <c r="J101" i="95"/>
  <c r="J102" i="95"/>
  <c r="J103" i="95"/>
  <c r="J104" i="95"/>
  <c r="J105" i="95"/>
  <c r="J106" i="95"/>
  <c r="J107" i="95"/>
  <c r="J108" i="95"/>
  <c r="J109" i="95"/>
  <c r="J110" i="95"/>
  <c r="J111" i="95"/>
  <c r="J112" i="95"/>
  <c r="J113" i="95"/>
  <c r="J114" i="95"/>
  <c r="J115" i="95"/>
  <c r="J116" i="95"/>
  <c r="J117" i="95"/>
  <c r="J118" i="95"/>
  <c r="J119" i="95"/>
  <c r="J120" i="95"/>
  <c r="J121" i="95"/>
  <c r="J122" i="95"/>
  <c r="J123" i="95"/>
  <c r="J124" i="95"/>
  <c r="J125" i="95"/>
  <c r="L10" i="95"/>
  <c r="L6" i="95"/>
  <c r="L7" i="95" s="1"/>
  <c r="I22" i="107"/>
  <c r="H22" i="107"/>
  <c r="H21" i="39"/>
  <c r="H31" i="146"/>
  <c r="I32" i="146" s="1"/>
  <c r="F35" i="146"/>
  <c r="F36" i="146" s="1"/>
  <c r="F37" i="146" s="1"/>
  <c r="F38" i="146" s="1"/>
  <c r="F39" i="146" s="1"/>
  <c r="F40" i="146" s="1"/>
  <c r="F41" i="146" s="1"/>
  <c r="F42" i="146" s="1"/>
  <c r="F31" i="146"/>
  <c r="E4" i="146"/>
  <c r="H27" i="146" s="1"/>
  <c r="C33" i="200" l="1"/>
  <c r="C17" i="202" s="1"/>
  <c r="G39" i="200"/>
  <c r="G20" i="202" s="1"/>
  <c r="K39" i="200"/>
  <c r="K20" i="202" s="1"/>
  <c r="I39" i="200"/>
  <c r="I20" i="202" s="1"/>
  <c r="I14" i="200"/>
  <c r="I6" i="202" s="1"/>
  <c r="G18" i="200"/>
  <c r="E18" i="200"/>
  <c r="G36" i="200"/>
  <c r="G14" i="200"/>
  <c r="G6" i="202" s="1"/>
  <c r="K23" i="200"/>
  <c r="K10" i="202" s="1"/>
  <c r="C18" i="200"/>
  <c r="E23" i="200"/>
  <c r="E10" i="202" s="1"/>
  <c r="I23" i="200"/>
  <c r="I10" i="202" s="1"/>
  <c r="E34" i="200"/>
  <c r="E18" i="202" s="1"/>
  <c r="E14" i="200"/>
  <c r="E6" i="202" s="1"/>
  <c r="K16" i="200"/>
  <c r="I36" i="200"/>
  <c r="E16" i="200"/>
  <c r="K18" i="200"/>
  <c r="K34" i="200"/>
  <c r="K18" i="202" s="1"/>
  <c r="I16" i="200"/>
  <c r="G34" i="200"/>
  <c r="G18" i="202" s="1"/>
  <c r="K14" i="200"/>
  <c r="K6" i="202" s="1"/>
  <c r="I34" i="200"/>
  <c r="I18" i="202" s="1"/>
  <c r="E36" i="200"/>
  <c r="G16" i="200"/>
  <c r="K36" i="200"/>
  <c r="G23" i="200"/>
  <c r="G10" i="202" s="1"/>
  <c r="I18" i="200"/>
  <c r="C16" i="200"/>
  <c r="C39" i="200"/>
  <c r="C20" i="202" s="1"/>
  <c r="C14" i="200"/>
  <c r="C6" i="202" s="1"/>
  <c r="C36" i="200"/>
  <c r="C34" i="200"/>
  <c r="C18" i="202" s="1"/>
  <c r="C23" i="200"/>
  <c r="C10" i="202" s="1"/>
  <c r="R16" i="198"/>
  <c r="AJ16" i="198"/>
  <c r="L8" i="198"/>
  <c r="X16" i="198"/>
  <c r="H18" i="107"/>
  <c r="I18" i="107"/>
  <c r="L14" i="95"/>
  <c r="L7" i="86"/>
  <c r="L11" i="95"/>
  <c r="C32" i="147"/>
  <c r="H25" i="158"/>
  <c r="I25" i="158"/>
  <c r="K25" i="158" s="1"/>
  <c r="H21" i="158"/>
  <c r="I21" i="158"/>
  <c r="K21" i="158" s="1"/>
  <c r="J10" i="95"/>
  <c r="H3" i="146"/>
  <c r="C145" i="157" s="1"/>
  <c r="H25" i="150"/>
  <c r="H21" i="150"/>
  <c r="I25" i="150"/>
  <c r="K25" i="150" s="1"/>
  <c r="I21" i="150"/>
  <c r="J11" i="95"/>
  <c r="E32" i="147"/>
  <c r="D24" i="147"/>
  <c r="D32" i="147" s="1"/>
  <c r="B13" i="147"/>
  <c r="B29" i="146"/>
  <c r="B10" i="146"/>
  <c r="B13" i="146" s="1"/>
  <c r="E6" i="146"/>
  <c r="L15" i="95" l="1"/>
  <c r="L8" i="86"/>
  <c r="H5" i="146"/>
  <c r="B30" i="146"/>
  <c r="B33" i="146" s="1"/>
  <c r="B14" i="147"/>
  <c r="L16" i="95" l="1"/>
  <c r="L9" i="86"/>
  <c r="H20" i="146"/>
  <c r="N27" i="114" s="1"/>
  <c r="M20" i="95"/>
  <c r="B32" i="147"/>
  <c r="I28" i="146"/>
  <c r="H42" i="146"/>
  <c r="M21" i="95" s="1"/>
  <c r="AJ30" i="198" l="1"/>
  <c r="X30" i="198"/>
  <c r="AD30" i="198"/>
  <c r="L30" i="198"/>
  <c r="R30" i="198"/>
  <c r="J21" i="95"/>
  <c r="M15" i="86"/>
  <c r="J15" i="86" s="1"/>
  <c r="J20" i="95"/>
  <c r="M14" i="86"/>
  <c r="J14" i="86" s="1"/>
  <c r="L17" i="95"/>
  <c r="L10" i="86"/>
  <c r="N28" i="114"/>
  <c r="P27" i="114"/>
  <c r="P28" i="114" s="1"/>
  <c r="N59" i="114"/>
  <c r="N60" i="114" s="1"/>
  <c r="C7" i="184"/>
  <c r="L11" i="146"/>
  <c r="H40" i="146"/>
  <c r="H21" i="146"/>
  <c r="H23" i="146" s="1"/>
  <c r="E26" i="39"/>
  <c r="D26" i="39"/>
  <c r="H12" i="39"/>
  <c r="H29" i="39"/>
  <c r="H30" i="39"/>
  <c r="H31" i="39"/>
  <c r="H28" i="39"/>
  <c r="E25" i="39"/>
  <c r="D25" i="39"/>
  <c r="E81" i="39"/>
  <c r="D81" i="39"/>
  <c r="E79" i="39"/>
  <c r="D79" i="39"/>
  <c r="E78" i="39"/>
  <c r="D78" i="39"/>
  <c r="E77" i="39"/>
  <c r="H27" i="39"/>
  <c r="AM81" i="198" l="1"/>
  <c r="AO81" i="198" s="1"/>
  <c r="H76" i="107"/>
  <c r="H77" i="107"/>
  <c r="I78" i="107"/>
  <c r="AM82" i="198"/>
  <c r="AO82" i="198" s="1"/>
  <c r="I25" i="107"/>
  <c r="I26" i="107"/>
  <c r="AM29" i="198"/>
  <c r="I76" i="107"/>
  <c r="H78" i="107"/>
  <c r="AL82" i="198"/>
  <c r="H25" i="107"/>
  <c r="I77" i="107"/>
  <c r="H26" i="107"/>
  <c r="AL29" i="198"/>
  <c r="L18" i="95"/>
  <c r="L11" i="86"/>
  <c r="BO7" i="184"/>
  <c r="BN7" i="184"/>
  <c r="BM7" i="184"/>
  <c r="AK7" i="184"/>
  <c r="R7" i="184"/>
  <c r="S7" i="184"/>
  <c r="BD7" i="184"/>
  <c r="BA7" i="184"/>
  <c r="AY7" i="184"/>
  <c r="AW7" i="184"/>
  <c r="AD7" i="184"/>
  <c r="K7" i="184"/>
  <c r="O7" i="184"/>
  <c r="AL7" i="184"/>
  <c r="BL7" i="184"/>
  <c r="AJ7" i="184"/>
  <c r="H7" i="184"/>
  <c r="AE7" i="184"/>
  <c r="U7" i="184"/>
  <c r="BB7" i="184"/>
  <c r="Y7" i="184"/>
  <c r="AX7" i="184"/>
  <c r="AT7" i="184"/>
  <c r="AR7" i="184"/>
  <c r="AP7" i="184"/>
  <c r="AN7" i="184"/>
  <c r="BK7" i="184"/>
  <c r="AI7" i="184"/>
  <c r="BG7" i="184"/>
  <c r="T7" i="184"/>
  <c r="V7" i="184"/>
  <c r="X7" i="184"/>
  <c r="AZ7" i="184"/>
  <c r="AV7" i="184"/>
  <c r="I7" i="184"/>
  <c r="AQ7" i="184"/>
  <c r="N7" i="184"/>
  <c r="AM7" i="184"/>
  <c r="BJ7" i="184"/>
  <c r="AH7" i="184"/>
  <c r="BF7" i="184"/>
  <c r="BC7" i="184"/>
  <c r="AA7" i="184"/>
  <c r="AC7" i="184"/>
  <c r="J7" i="184"/>
  <c r="M7" i="184"/>
  <c r="P7" i="184"/>
  <c r="Q7" i="184"/>
  <c r="BI7" i="184"/>
  <c r="AG7" i="184"/>
  <c r="AF7" i="184"/>
  <c r="BE7" i="184"/>
  <c r="W7" i="184"/>
  <c r="Z7" i="184"/>
  <c r="AB7" i="184"/>
  <c r="AU7" i="184"/>
  <c r="AS7" i="184"/>
  <c r="L7" i="184"/>
  <c r="AO7" i="184"/>
  <c r="BH7" i="184"/>
  <c r="G7" i="184"/>
  <c r="H78" i="158"/>
  <c r="H75" i="107"/>
  <c r="I78" i="158"/>
  <c r="K78" i="158" s="1"/>
  <c r="I75" i="107"/>
  <c r="L12" i="146"/>
  <c r="M11" i="146" s="1"/>
  <c r="M19" i="95"/>
  <c r="U19" i="95" s="1"/>
  <c r="I42" i="146"/>
  <c r="H79" i="158"/>
  <c r="I79" i="158"/>
  <c r="K79" i="158" s="1"/>
  <c r="H80" i="158"/>
  <c r="H81" i="158"/>
  <c r="I81" i="158"/>
  <c r="K81" i="158" s="1"/>
  <c r="H28" i="158"/>
  <c r="I28" i="158"/>
  <c r="K28" i="158" s="1"/>
  <c r="I29" i="158"/>
  <c r="K29" i="158" s="1"/>
  <c r="I80" i="158"/>
  <c r="K80" i="158" s="1"/>
  <c r="H29" i="158"/>
  <c r="I81" i="150"/>
  <c r="K81" i="150" s="1"/>
  <c r="I80" i="150"/>
  <c r="H81" i="150"/>
  <c r="H79" i="150"/>
  <c r="I79" i="150"/>
  <c r="H29" i="150"/>
  <c r="H80" i="150"/>
  <c r="I29" i="150"/>
  <c r="R19" i="95" l="1"/>
  <c r="K97" i="198"/>
  <c r="W97" i="198"/>
  <c r="AC97" i="198"/>
  <c r="Q97" i="198"/>
  <c r="AI97" i="198"/>
  <c r="J19" i="95"/>
  <c r="M13" i="86"/>
  <c r="J13" i="86" s="1"/>
  <c r="L12" i="86"/>
  <c r="L20" i="95"/>
  <c r="L19" i="95"/>
  <c r="L13" i="86" s="1"/>
  <c r="G11" i="184"/>
  <c r="M8" i="146"/>
  <c r="M9" i="146"/>
  <c r="M7" i="146"/>
  <c r="M10" i="146"/>
  <c r="H11" i="184"/>
  <c r="K36" i="145"/>
  <c r="J36" i="145"/>
  <c r="I36" i="145"/>
  <c r="H36" i="145"/>
  <c r="F36" i="145"/>
  <c r="E36" i="145"/>
  <c r="D36" i="145"/>
  <c r="C36" i="145"/>
  <c r="K23" i="145"/>
  <c r="J23" i="145"/>
  <c r="I23" i="145"/>
  <c r="F23" i="145"/>
  <c r="E23" i="145"/>
  <c r="D23" i="145"/>
  <c r="I15" i="145"/>
  <c r="J15" i="145" s="1"/>
  <c r="K15" i="145" s="1"/>
  <c r="C8" i="145"/>
  <c r="C9" i="145" s="1"/>
  <c r="H32" i="39"/>
  <c r="E175" i="39"/>
  <c r="AD97" i="198" l="1"/>
  <c r="AJ97" i="198"/>
  <c r="X97" i="198"/>
  <c r="R97" i="198"/>
  <c r="L97" i="198"/>
  <c r="AD26" i="198"/>
  <c r="L26" i="198"/>
  <c r="R26" i="198"/>
  <c r="AJ26" i="198"/>
  <c r="X26" i="198"/>
  <c r="AM179" i="198"/>
  <c r="I174" i="158"/>
  <c r="K174" i="158" s="1"/>
  <c r="L21" i="95"/>
  <c r="L15" i="86" s="1"/>
  <c r="L14" i="86"/>
  <c r="N82" i="97"/>
  <c r="I174" i="150"/>
  <c r="I11" i="184"/>
  <c r="C19" i="184" s="1"/>
  <c r="I169" i="158"/>
  <c r="K169" i="158" s="1"/>
  <c r="I167" i="107"/>
  <c r="N81" i="97"/>
  <c r="P83" i="94"/>
  <c r="I172" i="150"/>
  <c r="I170" i="150"/>
  <c r="K170" i="150" s="1"/>
  <c r="I171" i="150"/>
  <c r="E18" i="145"/>
  <c r="E30" i="145" s="1"/>
  <c r="E32" i="145" s="1"/>
  <c r="F18" i="145"/>
  <c r="F20" i="145" s="1"/>
  <c r="F21" i="145" s="1"/>
  <c r="H18" i="145"/>
  <c r="I18" i="145"/>
  <c r="J18" i="145"/>
  <c r="K37" i="145"/>
  <c r="J37" i="145"/>
  <c r="I37" i="145"/>
  <c r="E37" i="145"/>
  <c r="C10" i="145"/>
  <c r="D37" i="145"/>
  <c r="C37" i="145"/>
  <c r="K18" i="145"/>
  <c r="F37" i="145"/>
  <c r="H37" i="145"/>
  <c r="J11" i="184" l="1"/>
  <c r="F34" i="145"/>
  <c r="F35" i="145" s="1"/>
  <c r="F38" i="145" s="1"/>
  <c r="E34" i="145"/>
  <c r="E35" i="145" s="1"/>
  <c r="E38" i="145" s="1"/>
  <c r="E40" i="145" s="1"/>
  <c r="E20" i="145"/>
  <c r="E21" i="145" s="1"/>
  <c r="F30" i="145"/>
  <c r="F32" i="145" s="1"/>
  <c r="H30" i="145"/>
  <c r="H32" i="145" s="1"/>
  <c r="H34" i="145"/>
  <c r="H35" i="145" s="1"/>
  <c r="H38" i="145" s="1"/>
  <c r="H19" i="145"/>
  <c r="H23" i="145" s="1"/>
  <c r="E24" i="145"/>
  <c r="D18" i="145"/>
  <c r="J20" i="145"/>
  <c r="J21" i="145" s="1"/>
  <c r="J34" i="145"/>
  <c r="J35" i="145" s="1"/>
  <c r="J38" i="145" s="1"/>
  <c r="J30" i="145"/>
  <c r="J32" i="145" s="1"/>
  <c r="K20" i="145"/>
  <c r="K21" i="145" s="1"/>
  <c r="K34" i="145"/>
  <c r="K35" i="145" s="1"/>
  <c r="K38" i="145" s="1"/>
  <c r="K30" i="145"/>
  <c r="K32" i="145" s="1"/>
  <c r="I20" i="145"/>
  <c r="I21" i="145" s="1"/>
  <c r="I34" i="145"/>
  <c r="I35" i="145" s="1"/>
  <c r="I38" i="145" s="1"/>
  <c r="I30" i="145"/>
  <c r="I32" i="145" s="1"/>
  <c r="C18" i="145"/>
  <c r="F24" i="145"/>
  <c r="K11" i="184" l="1"/>
  <c r="F40" i="145"/>
  <c r="I40" i="145"/>
  <c r="K40" i="145"/>
  <c r="E25" i="145"/>
  <c r="D30" i="145"/>
  <c r="D32" i="145" s="1"/>
  <c r="D20" i="145"/>
  <c r="D21" i="145" s="1"/>
  <c r="D34" i="145"/>
  <c r="D35" i="145" s="1"/>
  <c r="D38" i="145" s="1"/>
  <c r="F25" i="145"/>
  <c r="I24" i="145"/>
  <c r="H40" i="145"/>
  <c r="J40" i="145"/>
  <c r="H20" i="145"/>
  <c r="H21" i="145" s="1"/>
  <c r="K24" i="145"/>
  <c r="J24" i="145"/>
  <c r="C30" i="145"/>
  <c r="C32" i="145" s="1"/>
  <c r="C19" i="145"/>
  <c r="C23" i="145" s="1"/>
  <c r="C34" i="145"/>
  <c r="C35" i="145" s="1"/>
  <c r="C38" i="145" s="1"/>
  <c r="D160" i="86"/>
  <c r="C161" i="86"/>
  <c r="C140" i="86"/>
  <c r="C141" i="86"/>
  <c r="D144" i="86"/>
  <c r="C146" i="86"/>
  <c r="C147" i="86"/>
  <c r="D156" i="86"/>
  <c r="C158" i="86"/>
  <c r="C159" i="86"/>
  <c r="D3" i="86"/>
  <c r="C3" i="86"/>
  <c r="D25" i="82"/>
  <c r="B28" i="198" s="1"/>
  <c r="D24" i="82"/>
  <c r="D23" i="82"/>
  <c r="D22" i="82"/>
  <c r="D21" i="82"/>
  <c r="D20" i="82"/>
  <c r="D19" i="82"/>
  <c r="D18" i="82"/>
  <c r="D17" i="82"/>
  <c r="D16" i="82"/>
  <c r="D14" i="82"/>
  <c r="B17" i="198" s="1"/>
  <c r="D13" i="82"/>
  <c r="D12" i="82"/>
  <c r="D11" i="82"/>
  <c r="D10" i="82"/>
  <c r="D9" i="82"/>
  <c r="D8" i="82"/>
  <c r="D7" i="82"/>
  <c r="D6" i="82"/>
  <c r="D3" i="95"/>
  <c r="C3" i="95"/>
  <c r="D95" i="39"/>
  <c r="E91" i="39"/>
  <c r="AM95" i="198" s="1"/>
  <c r="D91" i="39"/>
  <c r="AL95" i="198" s="1"/>
  <c r="E90" i="39"/>
  <c r="AM94" i="198" s="1"/>
  <c r="AO94" i="198" s="1"/>
  <c r="D90" i="39"/>
  <c r="E89" i="39"/>
  <c r="AM93" i="198" s="1"/>
  <c r="D89" i="39"/>
  <c r="E88" i="39"/>
  <c r="D88" i="39"/>
  <c r="E87" i="39"/>
  <c r="D87" i="39"/>
  <c r="D83" i="39"/>
  <c r="E76" i="39"/>
  <c r="D76" i="39"/>
  <c r="E75" i="39"/>
  <c r="AM79" i="198" s="1"/>
  <c r="D75" i="39"/>
  <c r="AL79" i="198" s="1"/>
  <c r="E74" i="39"/>
  <c r="AM78" i="198" s="1"/>
  <c r="AO78" i="198" s="1"/>
  <c r="D74" i="39"/>
  <c r="AL78" i="198" s="1"/>
  <c r="E72" i="39"/>
  <c r="D72" i="39"/>
  <c r="E71" i="39"/>
  <c r="I69" i="107" s="1"/>
  <c r="D71" i="39"/>
  <c r="H69" i="107" s="1"/>
  <c r="E69" i="39"/>
  <c r="D69" i="39"/>
  <c r="E68" i="39"/>
  <c r="D68" i="39"/>
  <c r="E67" i="39"/>
  <c r="D67" i="39"/>
  <c r="E60" i="39"/>
  <c r="D60" i="39"/>
  <c r="E59" i="39"/>
  <c r="D59" i="39"/>
  <c r="E58" i="39"/>
  <c r="I56" i="107" s="1"/>
  <c r="D58" i="39"/>
  <c r="H56" i="107" s="1"/>
  <c r="E57" i="39"/>
  <c r="D57" i="39"/>
  <c r="E56" i="39"/>
  <c r="D56" i="39"/>
  <c r="E55" i="39"/>
  <c r="D55" i="39"/>
  <c r="E53" i="39"/>
  <c r="D53" i="39"/>
  <c r="E51" i="39"/>
  <c r="E50" i="39"/>
  <c r="E48" i="39"/>
  <c r="AM49" i="198" s="1"/>
  <c r="E46" i="39"/>
  <c r="E45" i="39"/>
  <c r="E44" i="39"/>
  <c r="D44" i="39"/>
  <c r="E43" i="39"/>
  <c r="D43" i="39"/>
  <c r="AL47" i="198" s="1"/>
  <c r="E42" i="39"/>
  <c r="D42" i="39"/>
  <c r="AL46" i="198" s="1"/>
  <c r="E38" i="39"/>
  <c r="D38" i="39"/>
  <c r="E37" i="39"/>
  <c r="D37" i="39"/>
  <c r="E10" i="39"/>
  <c r="D10" i="39"/>
  <c r="E36" i="39"/>
  <c r="D36" i="39"/>
  <c r="E35" i="39"/>
  <c r="D35" i="39"/>
  <c r="E32" i="39"/>
  <c r="D32" i="39"/>
  <c r="E31" i="39"/>
  <c r="D31" i="39"/>
  <c r="E30" i="39"/>
  <c r="D30" i="39"/>
  <c r="E29" i="39"/>
  <c r="D29" i="39"/>
  <c r="E28" i="39"/>
  <c r="D28" i="39"/>
  <c r="E27" i="39"/>
  <c r="D27" i="39"/>
  <c r="E24" i="39"/>
  <c r="AM28" i="198" s="1"/>
  <c r="AO28" i="198" s="1"/>
  <c r="D24" i="39"/>
  <c r="AL28" i="198" s="1"/>
  <c r="E17" i="39"/>
  <c r="AM21" i="198" s="1"/>
  <c r="AO136" i="198" s="1"/>
  <c r="D17" i="39"/>
  <c r="AL21" i="198" s="1"/>
  <c r="E14" i="39"/>
  <c r="D14" i="39"/>
  <c r="E6" i="39"/>
  <c r="D6" i="39"/>
  <c r="E16" i="39"/>
  <c r="D16" i="39"/>
  <c r="E13" i="39"/>
  <c r="D13" i="39"/>
  <c r="E12" i="39"/>
  <c r="D12" i="39"/>
  <c r="E9" i="39"/>
  <c r="D9" i="39"/>
  <c r="E8" i="39"/>
  <c r="D8" i="39"/>
  <c r="E7" i="39"/>
  <c r="D7" i="39"/>
  <c r="J7" i="95"/>
  <c r="C183" i="95" l="1"/>
  <c r="D183" i="95"/>
  <c r="C178" i="95"/>
  <c r="C182" i="95"/>
  <c r="C181" i="95"/>
  <c r="C180" i="95"/>
  <c r="C179" i="95"/>
  <c r="D178" i="95"/>
  <c r="F178" i="95" s="1"/>
  <c r="D181" i="95"/>
  <c r="D182" i="95"/>
  <c r="D180" i="95"/>
  <c r="F180" i="95" s="1"/>
  <c r="D179" i="95"/>
  <c r="F179" i="95" s="1"/>
  <c r="H10" i="107"/>
  <c r="AL14" i="198"/>
  <c r="I10" i="107"/>
  <c r="AM14" i="198"/>
  <c r="AM80" i="198"/>
  <c r="AL80" i="198"/>
  <c r="I13" i="107"/>
  <c r="AM16" i="198"/>
  <c r="H91" i="107"/>
  <c r="AL99" i="198"/>
  <c r="H95" i="158"/>
  <c r="H12" i="107"/>
  <c r="AL15" i="198"/>
  <c r="H87" i="107"/>
  <c r="AL91" i="198"/>
  <c r="I12" i="107"/>
  <c r="AM15" i="198"/>
  <c r="H57" i="107"/>
  <c r="H60" i="150"/>
  <c r="I57" i="107"/>
  <c r="I60" i="150"/>
  <c r="I16" i="107"/>
  <c r="I36" i="107"/>
  <c r="AM39" i="198"/>
  <c r="AO39" i="198" s="1"/>
  <c r="I87" i="107"/>
  <c r="AM91" i="198"/>
  <c r="H13" i="107"/>
  <c r="AL16" i="198"/>
  <c r="H88" i="107"/>
  <c r="AL92" i="198"/>
  <c r="I6" i="107"/>
  <c r="B8" i="150"/>
  <c r="B8" i="198"/>
  <c r="H37" i="107"/>
  <c r="AL40" i="198"/>
  <c r="I37" i="107"/>
  <c r="AM40" i="198"/>
  <c r="AO40" i="198" s="1"/>
  <c r="H68" i="150"/>
  <c r="H6" i="107"/>
  <c r="H38" i="107"/>
  <c r="H67" i="107"/>
  <c r="H70" i="150"/>
  <c r="AM92" i="198"/>
  <c r="I92" i="158"/>
  <c r="K92" i="158" s="1"/>
  <c r="H16" i="107"/>
  <c r="H17" i="107"/>
  <c r="AL20" i="198"/>
  <c r="H20" i="158"/>
  <c r="I38" i="107"/>
  <c r="K69" i="107" s="1"/>
  <c r="H66" i="107"/>
  <c r="H69" i="150"/>
  <c r="H14" i="107"/>
  <c r="AL17" i="198"/>
  <c r="I66" i="107"/>
  <c r="I69" i="150"/>
  <c r="I67" i="107"/>
  <c r="I70" i="150"/>
  <c r="I40" i="107"/>
  <c r="AM43" i="198"/>
  <c r="B11" i="150"/>
  <c r="B11" i="198"/>
  <c r="H40" i="107"/>
  <c r="AL43" i="198"/>
  <c r="B10" i="150"/>
  <c r="B10" i="198"/>
  <c r="H70" i="107"/>
  <c r="AL73" i="198"/>
  <c r="H73" i="150"/>
  <c r="H41" i="107"/>
  <c r="AL44" i="198"/>
  <c r="B15" i="150"/>
  <c r="B15" i="198"/>
  <c r="I17" i="107"/>
  <c r="AM20" i="198"/>
  <c r="I20" i="158"/>
  <c r="K20" i="158" s="1"/>
  <c r="B12" i="150"/>
  <c r="B12" i="198"/>
  <c r="B16" i="150"/>
  <c r="B16" i="198"/>
  <c r="H27" i="150"/>
  <c r="AL27" i="198"/>
  <c r="I42" i="107"/>
  <c r="H28" i="107"/>
  <c r="AL31" i="198"/>
  <c r="I27" i="150"/>
  <c r="AM27" i="198"/>
  <c r="I43" i="107"/>
  <c r="K152" i="107" s="1"/>
  <c r="AM46" i="198"/>
  <c r="I27" i="107"/>
  <c r="AM30" i="198"/>
  <c r="B18" i="150"/>
  <c r="B18" i="198"/>
  <c r="I48" i="107"/>
  <c r="I29" i="107"/>
  <c r="AM32" i="198"/>
  <c r="B21" i="150"/>
  <c r="B21" i="198"/>
  <c r="H31" i="107"/>
  <c r="AL34" i="198"/>
  <c r="I68" i="150"/>
  <c r="B14" i="150"/>
  <c r="B14" i="198"/>
  <c r="H27" i="107"/>
  <c r="AL30" i="198"/>
  <c r="I70" i="107"/>
  <c r="AM73" i="198"/>
  <c r="I73" i="150"/>
  <c r="I44" i="107"/>
  <c r="AM47" i="198"/>
  <c r="H72" i="107"/>
  <c r="H73" i="107"/>
  <c r="AL76" i="198"/>
  <c r="B20" i="150"/>
  <c r="B20" i="198"/>
  <c r="H51" i="107"/>
  <c r="H54" i="158"/>
  <c r="H54" i="150"/>
  <c r="H30" i="107"/>
  <c r="AL33" i="198"/>
  <c r="B25" i="150"/>
  <c r="B25" i="198"/>
  <c r="H36" i="107"/>
  <c r="AL39" i="198"/>
  <c r="B9" i="150"/>
  <c r="B9" i="198"/>
  <c r="I14" i="107"/>
  <c r="AM17" i="198"/>
  <c r="AO17" i="198" s="1"/>
  <c r="I41" i="107"/>
  <c r="AM44" i="198"/>
  <c r="B13" i="150"/>
  <c r="B13" i="198"/>
  <c r="B23" i="150"/>
  <c r="B23" i="198"/>
  <c r="H8" i="107"/>
  <c r="AL11" i="198"/>
  <c r="B26" i="150"/>
  <c r="B26" i="198"/>
  <c r="B24" i="150"/>
  <c r="B24" i="198"/>
  <c r="I7" i="107"/>
  <c r="AM10" i="198"/>
  <c r="AO10" i="198" s="1"/>
  <c r="I85" i="107"/>
  <c r="B27" i="150"/>
  <c r="B27" i="198"/>
  <c r="I72" i="107"/>
  <c r="I28" i="107"/>
  <c r="AM31" i="198"/>
  <c r="B19" i="150"/>
  <c r="B19" i="198"/>
  <c r="H29" i="107"/>
  <c r="AL32" i="198"/>
  <c r="I49" i="107"/>
  <c r="AM52" i="198"/>
  <c r="AO52" i="198" s="1"/>
  <c r="I51" i="107"/>
  <c r="I54" i="158"/>
  <c r="K54" i="158" s="1"/>
  <c r="I54" i="150"/>
  <c r="K54" i="150" s="1"/>
  <c r="B22" i="150"/>
  <c r="B22" i="198"/>
  <c r="I30" i="107"/>
  <c r="AM33" i="198"/>
  <c r="H80" i="107"/>
  <c r="H7" i="107"/>
  <c r="AL10" i="198"/>
  <c r="H84" i="107"/>
  <c r="I31" i="107"/>
  <c r="K167" i="107" s="1"/>
  <c r="AM34" i="198"/>
  <c r="AO34" i="198" s="1"/>
  <c r="H54" i="107"/>
  <c r="H57" i="158"/>
  <c r="I84" i="107"/>
  <c r="H32" i="107"/>
  <c r="AL35" i="198"/>
  <c r="I54" i="107"/>
  <c r="AO57" i="198"/>
  <c r="I57" i="158"/>
  <c r="K57" i="158" s="1"/>
  <c r="H85" i="107"/>
  <c r="I8" i="107"/>
  <c r="AM11" i="198"/>
  <c r="AO11" i="198" s="1"/>
  <c r="I32" i="107"/>
  <c r="AM35" i="198"/>
  <c r="AO35" i="198" s="1"/>
  <c r="H55" i="107"/>
  <c r="H58" i="150"/>
  <c r="H9" i="107"/>
  <c r="AL12" i="198"/>
  <c r="H35" i="107"/>
  <c r="I55" i="107"/>
  <c r="I58" i="150"/>
  <c r="H86" i="107"/>
  <c r="I73" i="107"/>
  <c r="AM76" i="198"/>
  <c r="I9" i="107"/>
  <c r="AM12" i="198"/>
  <c r="I35" i="107"/>
  <c r="I86" i="107"/>
  <c r="C176" i="86"/>
  <c r="C177" i="86"/>
  <c r="C175" i="86"/>
  <c r="C178" i="86"/>
  <c r="C174" i="86"/>
  <c r="C173" i="86"/>
  <c r="D177" i="86"/>
  <c r="D176" i="86"/>
  <c r="D175" i="86"/>
  <c r="D178" i="86"/>
  <c r="D174" i="86"/>
  <c r="D173" i="86"/>
  <c r="C121" i="86"/>
  <c r="C172" i="86"/>
  <c r="C168" i="86"/>
  <c r="C169" i="86"/>
  <c r="C165" i="86"/>
  <c r="C166" i="86"/>
  <c r="C167" i="86"/>
  <c r="C171" i="86"/>
  <c r="C170" i="86"/>
  <c r="C163" i="86"/>
  <c r="C162" i="86"/>
  <c r="C164" i="86"/>
  <c r="D17" i="86"/>
  <c r="D171" i="86"/>
  <c r="D168" i="86"/>
  <c r="D169" i="86"/>
  <c r="D166" i="86"/>
  <c r="D167" i="86"/>
  <c r="D172" i="86"/>
  <c r="D165" i="86"/>
  <c r="D170" i="86"/>
  <c r="D162" i="86"/>
  <c r="D164" i="86"/>
  <c r="D163" i="86"/>
  <c r="D3" i="82"/>
  <c r="C153" i="86"/>
  <c r="C152" i="86"/>
  <c r="D110" i="86"/>
  <c r="D150" i="86"/>
  <c r="C175" i="95"/>
  <c r="C176" i="95"/>
  <c r="C177" i="95"/>
  <c r="C174" i="95"/>
  <c r="D176" i="95"/>
  <c r="D175" i="95"/>
  <c r="D174" i="95"/>
  <c r="D177" i="95"/>
  <c r="I77" i="158"/>
  <c r="K77" i="158" s="1"/>
  <c r="I74" i="107"/>
  <c r="H58" i="107"/>
  <c r="H27" i="158"/>
  <c r="H24" i="107"/>
  <c r="I58" i="107"/>
  <c r="I27" i="158"/>
  <c r="K27" i="158" s="1"/>
  <c r="I24" i="107"/>
  <c r="H56" i="158"/>
  <c r="H53" i="107"/>
  <c r="H68" i="158"/>
  <c r="H65" i="107"/>
  <c r="H77" i="158"/>
  <c r="H74" i="107"/>
  <c r="I91" i="158"/>
  <c r="K91" i="158" s="1"/>
  <c r="I88" i="107"/>
  <c r="K88" i="107" s="1"/>
  <c r="H45" i="158"/>
  <c r="H42" i="107"/>
  <c r="I49" i="158"/>
  <c r="K49" i="158" s="1"/>
  <c r="I46" i="107"/>
  <c r="I56" i="158"/>
  <c r="K56" i="158" s="1"/>
  <c r="I53" i="107"/>
  <c r="I68" i="158"/>
  <c r="K68" i="158" s="1"/>
  <c r="I65" i="107"/>
  <c r="L11" i="184"/>
  <c r="C20" i="184" s="1"/>
  <c r="C172" i="95"/>
  <c r="C173" i="95"/>
  <c r="D172" i="95"/>
  <c r="D173" i="95"/>
  <c r="H10" i="158"/>
  <c r="I10" i="158"/>
  <c r="K10" i="158" s="1"/>
  <c r="H11" i="158"/>
  <c r="I11" i="158"/>
  <c r="K11" i="158" s="1"/>
  <c r="I12" i="158"/>
  <c r="K12" i="158" s="1"/>
  <c r="I15" i="158"/>
  <c r="K15" i="158" s="1"/>
  <c r="H16" i="158"/>
  <c r="I16" i="158"/>
  <c r="K16" i="158" s="1"/>
  <c r="H19" i="158"/>
  <c r="I19" i="158"/>
  <c r="K19" i="158" s="1"/>
  <c r="H17" i="158"/>
  <c r="I17" i="158"/>
  <c r="K17" i="158" s="1"/>
  <c r="H30" i="158"/>
  <c r="I30" i="158"/>
  <c r="K30" i="158" s="1"/>
  <c r="I31" i="158"/>
  <c r="K31" i="158" s="1"/>
  <c r="H32" i="158"/>
  <c r="H33" i="158"/>
  <c r="I33" i="158"/>
  <c r="K33" i="158" s="1"/>
  <c r="H34" i="158"/>
  <c r="H35" i="158"/>
  <c r="I35" i="158"/>
  <c r="K35" i="158" s="1"/>
  <c r="H38" i="158"/>
  <c r="I38" i="158"/>
  <c r="K38" i="158" s="1"/>
  <c r="H39" i="158"/>
  <c r="I39" i="158"/>
  <c r="K39" i="158" s="1"/>
  <c r="H13" i="158"/>
  <c r="I13" i="158"/>
  <c r="K13" i="158" s="1"/>
  <c r="H40" i="158"/>
  <c r="I40" i="158"/>
  <c r="K40" i="158" s="1"/>
  <c r="H41" i="158"/>
  <c r="I41" i="158"/>
  <c r="K41" i="158" s="1"/>
  <c r="H43" i="158"/>
  <c r="I43" i="158"/>
  <c r="K43" i="158" s="1"/>
  <c r="I44" i="158"/>
  <c r="K44" i="158" s="1"/>
  <c r="I45" i="158"/>
  <c r="K45" i="158" s="1"/>
  <c r="I46" i="158"/>
  <c r="K46" i="158" s="1"/>
  <c r="I47" i="158"/>
  <c r="K47" i="158" s="1"/>
  <c r="I52" i="158"/>
  <c r="K52" i="158" s="1"/>
  <c r="H58" i="158"/>
  <c r="I58" i="158"/>
  <c r="K58" i="158" s="1"/>
  <c r="H59" i="158"/>
  <c r="I59" i="158"/>
  <c r="K59" i="158" s="1"/>
  <c r="H60" i="158"/>
  <c r="I60" i="158"/>
  <c r="K60" i="158" s="1"/>
  <c r="H69" i="158"/>
  <c r="I69" i="158"/>
  <c r="K69" i="158" s="1"/>
  <c r="H70" i="158"/>
  <c r="H73" i="158"/>
  <c r="I73" i="158"/>
  <c r="K73" i="158" s="1"/>
  <c r="H75" i="158"/>
  <c r="I75" i="158"/>
  <c r="K75" i="158" s="1"/>
  <c r="H76" i="158"/>
  <c r="I76" i="158"/>
  <c r="K76" i="158" s="1"/>
  <c r="H88" i="158"/>
  <c r="I88" i="158"/>
  <c r="K88" i="158" s="1"/>
  <c r="H89" i="158"/>
  <c r="I89" i="158"/>
  <c r="K89" i="158" s="1"/>
  <c r="H90" i="158"/>
  <c r="I90" i="158"/>
  <c r="K90" i="158" s="1"/>
  <c r="H95" i="150"/>
  <c r="H12" i="158"/>
  <c r="H15" i="158"/>
  <c r="H9" i="158"/>
  <c r="I9" i="158"/>
  <c r="K9" i="158" s="1"/>
  <c r="H31" i="158"/>
  <c r="I32" i="158"/>
  <c r="K32" i="158" s="1"/>
  <c r="I34" i="158"/>
  <c r="K34" i="158" s="1"/>
  <c r="H44" i="158"/>
  <c r="I70" i="158"/>
  <c r="K70" i="158" s="1"/>
  <c r="H91" i="158"/>
  <c r="I52" i="150"/>
  <c r="K52" i="150" s="1"/>
  <c r="H28" i="150"/>
  <c r="I28" i="150"/>
  <c r="K28" i="150" s="1"/>
  <c r="H78" i="150"/>
  <c r="I92" i="150"/>
  <c r="H46" i="150"/>
  <c r="I78" i="150"/>
  <c r="K78" i="150" s="1"/>
  <c r="C171" i="95"/>
  <c r="C170" i="95"/>
  <c r="D170" i="95"/>
  <c r="D171" i="95"/>
  <c r="C169" i="95"/>
  <c r="C168" i="95"/>
  <c r="D168" i="95"/>
  <c r="D169" i="95"/>
  <c r="H15" i="150"/>
  <c r="H26" i="150"/>
  <c r="H35" i="150"/>
  <c r="H90" i="150"/>
  <c r="H12" i="150"/>
  <c r="H20" i="150"/>
  <c r="H34" i="150"/>
  <c r="H41" i="150"/>
  <c r="H89" i="150"/>
  <c r="I12" i="150"/>
  <c r="I20" i="150"/>
  <c r="K20" i="150" s="1"/>
  <c r="I34" i="150"/>
  <c r="K34" i="150" s="1"/>
  <c r="I41" i="150"/>
  <c r="I89" i="150"/>
  <c r="I15" i="150"/>
  <c r="K15" i="150" s="1"/>
  <c r="I26" i="150"/>
  <c r="K26" i="150" s="1"/>
  <c r="I35" i="150"/>
  <c r="K35" i="150" s="1"/>
  <c r="H76" i="150"/>
  <c r="I90" i="150"/>
  <c r="H11" i="150"/>
  <c r="H17" i="150"/>
  <c r="H33" i="150"/>
  <c r="H40" i="150"/>
  <c r="H88" i="150"/>
  <c r="I11" i="150"/>
  <c r="K11" i="150" s="1"/>
  <c r="I17" i="150"/>
  <c r="K17" i="150" s="1"/>
  <c r="I33" i="150"/>
  <c r="I40" i="150"/>
  <c r="K40" i="150" s="1"/>
  <c r="I88" i="150"/>
  <c r="H16" i="150"/>
  <c r="H30" i="150"/>
  <c r="H44" i="150"/>
  <c r="I76" i="150"/>
  <c r="H91" i="150"/>
  <c r="I16" i="150"/>
  <c r="K16" i="150" s="1"/>
  <c r="I30" i="150"/>
  <c r="I44" i="150"/>
  <c r="H57" i="150"/>
  <c r="H77" i="150"/>
  <c r="I91" i="150"/>
  <c r="H19" i="150"/>
  <c r="H31" i="150"/>
  <c r="H39" i="150"/>
  <c r="H45" i="150"/>
  <c r="I57" i="150"/>
  <c r="K57" i="150" s="1"/>
  <c r="I77" i="150"/>
  <c r="I19" i="150"/>
  <c r="I31" i="150"/>
  <c r="I39" i="150"/>
  <c r="K39" i="150" s="1"/>
  <c r="I45" i="150"/>
  <c r="H10" i="150"/>
  <c r="H9" i="150"/>
  <c r="H32" i="150"/>
  <c r="I46" i="150"/>
  <c r="I10" i="150"/>
  <c r="K10" i="150" s="1"/>
  <c r="I9" i="150"/>
  <c r="I32" i="150"/>
  <c r="I47" i="150"/>
  <c r="C167" i="95"/>
  <c r="D167" i="95"/>
  <c r="C163" i="95"/>
  <c r="C166" i="95"/>
  <c r="C164" i="95"/>
  <c r="C162" i="95"/>
  <c r="C165" i="95"/>
  <c r="D165" i="95"/>
  <c r="D163" i="95"/>
  <c r="D166" i="95"/>
  <c r="D162" i="95"/>
  <c r="D164" i="95"/>
  <c r="D131" i="95"/>
  <c r="D161" i="95"/>
  <c r="C47" i="95"/>
  <c r="C31" i="95"/>
  <c r="C43" i="95"/>
  <c r="C30" i="95"/>
  <c r="C73" i="95"/>
  <c r="C58" i="95"/>
  <c r="C72" i="95"/>
  <c r="C61" i="95"/>
  <c r="C121" i="95"/>
  <c r="C110" i="95"/>
  <c r="C17" i="95"/>
  <c r="C109" i="95"/>
  <c r="C13" i="95"/>
  <c r="C127" i="95"/>
  <c r="C98" i="95"/>
  <c r="C146" i="95"/>
  <c r="C143" i="95"/>
  <c r="C158" i="95"/>
  <c r="C59" i="95"/>
  <c r="D129" i="95"/>
  <c r="D145" i="95"/>
  <c r="D111" i="95"/>
  <c r="D16" i="95"/>
  <c r="C42" i="95"/>
  <c r="C28" i="95"/>
  <c r="C12" i="95"/>
  <c r="D95" i="95"/>
  <c r="C70" i="95"/>
  <c r="C119" i="95"/>
  <c r="D107" i="95"/>
  <c r="C126" i="95"/>
  <c r="C142" i="95"/>
  <c r="D157" i="95"/>
  <c r="D56" i="95"/>
  <c r="C55" i="95"/>
  <c r="C41" i="95"/>
  <c r="C26" i="95"/>
  <c r="D11" i="95"/>
  <c r="D94" i="95"/>
  <c r="D81" i="95"/>
  <c r="D69" i="95"/>
  <c r="C118" i="95"/>
  <c r="C106" i="95"/>
  <c r="D125" i="95"/>
  <c r="D140" i="95"/>
  <c r="D130" i="95"/>
  <c r="D60" i="95"/>
  <c r="C54" i="95"/>
  <c r="D40" i="95"/>
  <c r="D24" i="95"/>
  <c r="C10" i="95"/>
  <c r="D93" i="95"/>
  <c r="D80" i="95"/>
  <c r="D68" i="95"/>
  <c r="D117" i="95"/>
  <c r="D105" i="95"/>
  <c r="C124" i="95"/>
  <c r="C139" i="95"/>
  <c r="D155" i="95"/>
  <c r="D32" i="95"/>
  <c r="D99" i="95"/>
  <c r="D62" i="95"/>
  <c r="D46" i="95"/>
  <c r="D44" i="95"/>
  <c r="D29" i="95"/>
  <c r="D108" i="95"/>
  <c r="D53" i="95"/>
  <c r="C38" i="95"/>
  <c r="D23" i="95"/>
  <c r="D9" i="95"/>
  <c r="D91" i="95"/>
  <c r="C67" i="95"/>
  <c r="C116" i="95"/>
  <c r="C104" i="95"/>
  <c r="D123" i="95"/>
  <c r="C138" i="95"/>
  <c r="C154" i="95"/>
  <c r="D15" i="95"/>
  <c r="D83" i="95"/>
  <c r="D52" i="95"/>
  <c r="C37" i="95"/>
  <c r="D7" i="95"/>
  <c r="D78" i="95"/>
  <c r="C66" i="95"/>
  <c r="D115" i="95"/>
  <c r="C103" i="95"/>
  <c r="D122" i="95"/>
  <c r="D137" i="95"/>
  <c r="D152" i="95"/>
  <c r="C50" i="95"/>
  <c r="D36" i="95"/>
  <c r="D21" i="95"/>
  <c r="C102" i="95"/>
  <c r="C77" i="95"/>
  <c r="C65" i="95"/>
  <c r="C114" i="95"/>
  <c r="D133" i="95"/>
  <c r="C150" i="95"/>
  <c r="C136" i="95"/>
  <c r="D151" i="95"/>
  <c r="D71" i="95"/>
  <c r="D120" i="95"/>
  <c r="C49" i="95"/>
  <c r="D35" i="95"/>
  <c r="D19" i="95"/>
  <c r="C101" i="95"/>
  <c r="C76" i="95"/>
  <c r="C64" i="95"/>
  <c r="C113" i="95"/>
  <c r="D132" i="95"/>
  <c r="D149" i="95"/>
  <c r="C134" i="95"/>
  <c r="D74" i="95"/>
  <c r="D84" i="95"/>
  <c r="D128" i="95"/>
  <c r="D144" i="95"/>
  <c r="D160" i="95"/>
  <c r="D48" i="95"/>
  <c r="D34" i="95"/>
  <c r="C18" i="95"/>
  <c r="D100" i="95"/>
  <c r="D87" i="95"/>
  <c r="D75" i="95"/>
  <c r="D63" i="95"/>
  <c r="D112" i="95"/>
  <c r="C148" i="95"/>
  <c r="D96" i="95"/>
  <c r="C34" i="95"/>
  <c r="D58" i="95"/>
  <c r="C19" i="95"/>
  <c r="C78" i="95"/>
  <c r="D161" i="86"/>
  <c r="F161" i="86" s="1"/>
  <c r="C157" i="95"/>
  <c r="D31" i="95"/>
  <c r="D55" i="95"/>
  <c r="C7" i="95"/>
  <c r="C145" i="95"/>
  <c r="D158" i="95"/>
  <c r="C160" i="86"/>
  <c r="F160" i="86" s="1"/>
  <c r="D124" i="95"/>
  <c r="D98" i="95"/>
  <c r="C84" i="95"/>
  <c r="D61" i="95"/>
  <c r="D64" i="95"/>
  <c r="D40" i="145"/>
  <c r="C40" i="145"/>
  <c r="I25" i="145"/>
  <c r="D24" i="145"/>
  <c r="K25" i="145"/>
  <c r="J25" i="145"/>
  <c r="H24" i="145"/>
  <c r="C20" i="145"/>
  <c r="C21" i="145" s="1"/>
  <c r="C133" i="95"/>
  <c r="D136" i="95"/>
  <c r="C130" i="95"/>
  <c r="D88" i="95"/>
  <c r="D49" i="95"/>
  <c r="C53" i="95"/>
  <c r="C160" i="95"/>
  <c r="C111" i="95"/>
  <c r="D114" i="95"/>
  <c r="D77" i="95"/>
  <c r="D37" i="95"/>
  <c r="D109" i="95"/>
  <c r="D67" i="95"/>
  <c r="D30" i="95"/>
  <c r="C151" i="95"/>
  <c r="D143" i="95"/>
  <c r="D103" i="95"/>
  <c r="D65" i="95"/>
  <c r="D17" i="95"/>
  <c r="C131" i="95"/>
  <c r="C62" i="95"/>
  <c r="D89" i="95"/>
  <c r="D54" i="95"/>
  <c r="C128" i="95"/>
  <c r="D121" i="95"/>
  <c r="D42" i="95"/>
  <c r="C7" i="86"/>
  <c r="C29" i="95"/>
  <c r="C137" i="95"/>
  <c r="C132" i="95"/>
  <c r="C74" i="95"/>
  <c r="C56" i="95"/>
  <c r="C112" i="95"/>
  <c r="D118" i="95"/>
  <c r="D79" i="95"/>
  <c r="D41" i="95"/>
  <c r="D138" i="95"/>
  <c r="D101" i="95"/>
  <c r="C52" i="95"/>
  <c r="C100" i="95"/>
  <c r="D113" i="95"/>
  <c r="D72" i="95"/>
  <c r="D13" i="95"/>
  <c r="C32" i="95"/>
  <c r="C99" i="95"/>
  <c r="D142" i="95"/>
  <c r="D38" i="95"/>
  <c r="D12" i="95"/>
  <c r="D85" i="95"/>
  <c r="C155" i="95"/>
  <c r="D134" i="95"/>
  <c r="D106" i="95"/>
  <c r="C21" i="95"/>
  <c r="C16" i="95"/>
  <c r="C152" i="95"/>
  <c r="C129" i="95"/>
  <c r="D28" i="95"/>
  <c r="C46" i="95"/>
  <c r="C15" i="95"/>
  <c r="C81" i="95"/>
  <c r="D76" i="95"/>
  <c r="D26" i="95"/>
  <c r="C44" i="95"/>
  <c r="C149" i="95"/>
  <c r="C125" i="95"/>
  <c r="D150" i="95"/>
  <c r="D73" i="95"/>
  <c r="D50" i="95"/>
  <c r="D110" i="95"/>
  <c r="C40" i="95"/>
  <c r="D146" i="95"/>
  <c r="D97" i="95"/>
  <c r="D14" i="86"/>
  <c r="C9" i="95"/>
  <c r="C140" i="95"/>
  <c r="C69" i="95"/>
  <c r="C35" i="95"/>
  <c r="C115" i="95"/>
  <c r="C94" i="95"/>
  <c r="C71" i="95"/>
  <c r="D10" i="95"/>
  <c r="C57" i="95"/>
  <c r="D57" i="95"/>
  <c r="C45" i="95"/>
  <c r="D45" i="95"/>
  <c r="C33" i="95"/>
  <c r="D33" i="95"/>
  <c r="C20" i="95"/>
  <c r="D20" i="95"/>
  <c r="C8" i="95"/>
  <c r="D8" i="95"/>
  <c r="D92" i="95"/>
  <c r="C141" i="95"/>
  <c r="D141" i="95"/>
  <c r="D159" i="95"/>
  <c r="C159" i="95"/>
  <c r="C36" i="95"/>
  <c r="C117" i="95"/>
  <c r="C95" i="95"/>
  <c r="D119" i="95"/>
  <c r="D70" i="95"/>
  <c r="C11" i="95"/>
  <c r="D66" i="95"/>
  <c r="C60" i="95"/>
  <c r="D82" i="95"/>
  <c r="D47" i="95"/>
  <c r="C108" i="95"/>
  <c r="C68" i="95"/>
  <c r="D51" i="95"/>
  <c r="C51" i="95"/>
  <c r="D39" i="95"/>
  <c r="C39" i="95"/>
  <c r="D27" i="95"/>
  <c r="C27" i="95"/>
  <c r="D14" i="95"/>
  <c r="C14" i="95"/>
  <c r="D147" i="95"/>
  <c r="C147" i="95"/>
  <c r="D135" i="95"/>
  <c r="C135" i="95"/>
  <c r="C153" i="95"/>
  <c r="D153" i="95"/>
  <c r="C63" i="95"/>
  <c r="D148" i="95"/>
  <c r="D127" i="95"/>
  <c r="D22" i="95"/>
  <c r="C48" i="95"/>
  <c r="C107" i="95"/>
  <c r="D43" i="95"/>
  <c r="C23" i="95"/>
  <c r="C144" i="95"/>
  <c r="C105" i="95"/>
  <c r="D126" i="95"/>
  <c r="D59" i="95"/>
  <c r="D18" i="95"/>
  <c r="D90" i="95"/>
  <c r="C120" i="95"/>
  <c r="C75" i="95"/>
  <c r="D139" i="95"/>
  <c r="D102" i="95"/>
  <c r="D86" i="95"/>
  <c r="C123" i="95"/>
  <c r="D116" i="95"/>
  <c r="D104" i="95"/>
  <c r="M18" i="95"/>
  <c r="M15" i="95"/>
  <c r="M14" i="95"/>
  <c r="C115" i="86"/>
  <c r="C91" i="86"/>
  <c r="D154" i="86"/>
  <c r="D148" i="86"/>
  <c r="D142" i="86"/>
  <c r="C154" i="86"/>
  <c r="C148" i="86"/>
  <c r="C142" i="86"/>
  <c r="D89" i="86"/>
  <c r="D159" i="86"/>
  <c r="F159" i="86" s="1"/>
  <c r="D153" i="86"/>
  <c r="D147" i="86"/>
  <c r="F147" i="86" s="1"/>
  <c r="D141" i="86"/>
  <c r="F141" i="86" s="1"/>
  <c r="D158" i="86"/>
  <c r="F158" i="86" s="1"/>
  <c r="D152" i="86"/>
  <c r="D146" i="86"/>
  <c r="F146" i="86" s="1"/>
  <c r="D140" i="86"/>
  <c r="F140" i="86" s="1"/>
  <c r="C61" i="86"/>
  <c r="C26" i="86"/>
  <c r="D157" i="86"/>
  <c r="D151" i="86"/>
  <c r="D145" i="86"/>
  <c r="C131" i="86"/>
  <c r="C49" i="86"/>
  <c r="C25" i="86"/>
  <c r="C157" i="86"/>
  <c r="C151" i="86"/>
  <c r="C145" i="86"/>
  <c r="C130" i="86"/>
  <c r="C58" i="86"/>
  <c r="C150" i="86"/>
  <c r="C155" i="86"/>
  <c r="C149" i="86"/>
  <c r="C143" i="86"/>
  <c r="D155" i="86"/>
  <c r="D149" i="86"/>
  <c r="D143" i="86"/>
  <c r="C98" i="86"/>
  <c r="C37" i="86"/>
  <c r="C16" i="86"/>
  <c r="C109" i="86"/>
  <c r="C97" i="86"/>
  <c r="C47" i="86"/>
  <c r="C119" i="86"/>
  <c r="C56" i="86"/>
  <c r="C35" i="86"/>
  <c r="C139" i="86"/>
  <c r="C128" i="86"/>
  <c r="C107" i="86"/>
  <c r="C65" i="86"/>
  <c r="C55" i="86"/>
  <c r="C34" i="86"/>
  <c r="C23" i="86"/>
  <c r="C13" i="86"/>
  <c r="C127" i="86"/>
  <c r="C106" i="86"/>
  <c r="C95" i="86"/>
  <c r="C76" i="86"/>
  <c r="C44" i="86"/>
  <c r="C22" i="86"/>
  <c r="C116" i="86"/>
  <c r="C94" i="86"/>
  <c r="C85" i="86"/>
  <c r="C43" i="86"/>
  <c r="C136" i="86"/>
  <c r="D74" i="86"/>
  <c r="C62" i="86"/>
  <c r="D53" i="86"/>
  <c r="C11" i="86"/>
  <c r="C135" i="86"/>
  <c r="D125" i="86"/>
  <c r="C73" i="86"/>
  <c r="C52" i="86"/>
  <c r="C20" i="86"/>
  <c r="C134" i="86"/>
  <c r="C124" i="86"/>
  <c r="D92" i="86"/>
  <c r="C41" i="86"/>
  <c r="C29" i="86"/>
  <c r="C19" i="86"/>
  <c r="C133" i="86"/>
  <c r="C113" i="86"/>
  <c r="C101" i="86"/>
  <c r="C92" i="86"/>
  <c r="C71" i="86"/>
  <c r="C40" i="86"/>
  <c r="C8" i="86"/>
  <c r="D132" i="86"/>
  <c r="C112" i="86"/>
  <c r="C70" i="86"/>
  <c r="C59" i="86"/>
  <c r="D134" i="86"/>
  <c r="D121" i="86"/>
  <c r="D113" i="86"/>
  <c r="D85" i="86"/>
  <c r="D77" i="86"/>
  <c r="D49" i="86"/>
  <c r="D41" i="86"/>
  <c r="D13" i="86"/>
  <c r="D106" i="86"/>
  <c r="D98" i="86"/>
  <c r="D70" i="86"/>
  <c r="D62" i="86"/>
  <c r="D34" i="86"/>
  <c r="D26" i="86"/>
  <c r="D64" i="86"/>
  <c r="D127" i="86"/>
  <c r="D119" i="86"/>
  <c r="D91" i="86"/>
  <c r="D83" i="86"/>
  <c r="D55" i="86"/>
  <c r="D47" i="86"/>
  <c r="D19" i="86"/>
  <c r="D11" i="86"/>
  <c r="D139" i="86"/>
  <c r="D133" i="86"/>
  <c r="D112" i="86"/>
  <c r="D104" i="86"/>
  <c r="D76" i="86"/>
  <c r="D68" i="86"/>
  <c r="D40" i="86"/>
  <c r="D32" i="86"/>
  <c r="D128" i="86"/>
  <c r="D100" i="86"/>
  <c r="D20" i="86"/>
  <c r="C138" i="86"/>
  <c r="C118" i="86"/>
  <c r="C104" i="86"/>
  <c r="D97" i="86"/>
  <c r="C68" i="86"/>
  <c r="D61" i="86"/>
  <c r="C46" i="86"/>
  <c r="C32" i="86"/>
  <c r="D25" i="86"/>
  <c r="C10" i="86"/>
  <c r="D137" i="86"/>
  <c r="C132" i="86"/>
  <c r="C125" i="86"/>
  <c r="D118" i="86"/>
  <c r="C103" i="86"/>
  <c r="D82" i="86"/>
  <c r="C67" i="86"/>
  <c r="C53" i="86"/>
  <c r="D46" i="86"/>
  <c r="D38" i="86"/>
  <c r="C31" i="86"/>
  <c r="C17" i="86"/>
  <c r="D10" i="86"/>
  <c r="C137" i="86"/>
  <c r="D131" i="86"/>
  <c r="C110" i="86"/>
  <c r="D103" i="86"/>
  <c r="D95" i="86"/>
  <c r="C74" i="86"/>
  <c r="D67" i="86"/>
  <c r="D59" i="86"/>
  <c r="C38" i="86"/>
  <c r="D31" i="86"/>
  <c r="D23" i="86"/>
  <c r="D28" i="86"/>
  <c r="D124" i="86"/>
  <c r="D116" i="86"/>
  <c r="D88" i="86"/>
  <c r="D80" i="86"/>
  <c r="D52" i="86"/>
  <c r="D44" i="86"/>
  <c r="D16" i="86"/>
  <c r="D8" i="86"/>
  <c r="D56" i="86"/>
  <c r="D136" i="86"/>
  <c r="D109" i="86"/>
  <c r="D101" i="86"/>
  <c r="D73" i="86"/>
  <c r="D65" i="86"/>
  <c r="D37" i="86"/>
  <c r="D29" i="86"/>
  <c r="D130" i="86"/>
  <c r="D122" i="86"/>
  <c r="D94" i="86"/>
  <c r="D86" i="86"/>
  <c r="D58" i="86"/>
  <c r="D50" i="86"/>
  <c r="D22" i="86"/>
  <c r="D135" i="86"/>
  <c r="C122" i="86"/>
  <c r="D115" i="86"/>
  <c r="D107" i="86"/>
  <c r="C100" i="86"/>
  <c r="C86" i="86"/>
  <c r="D79" i="86"/>
  <c r="D71" i="86"/>
  <c r="C64" i="86"/>
  <c r="C50" i="86"/>
  <c r="D43" i="86"/>
  <c r="D35" i="86"/>
  <c r="C28" i="86"/>
  <c r="C14" i="86"/>
  <c r="D7" i="86"/>
  <c r="C120" i="86"/>
  <c r="D120" i="86"/>
  <c r="C96" i="86"/>
  <c r="D96" i="86"/>
  <c r="D72" i="86"/>
  <c r="C54" i="86"/>
  <c r="D54" i="86"/>
  <c r="C18" i="86"/>
  <c r="D18" i="86"/>
  <c r="C108" i="86"/>
  <c r="D108" i="86"/>
  <c r="C84" i="86"/>
  <c r="D84" i="86"/>
  <c r="C66" i="86"/>
  <c r="D66" i="86"/>
  <c r="C48" i="86"/>
  <c r="D48" i="86"/>
  <c r="C12" i="86"/>
  <c r="D12" i="86"/>
  <c r="C102" i="86"/>
  <c r="D102" i="86"/>
  <c r="D78" i="86"/>
  <c r="C60" i="86"/>
  <c r="D60" i="86"/>
  <c r="D24" i="86"/>
  <c r="C114" i="86"/>
  <c r="D114" i="86"/>
  <c r="C30" i="86"/>
  <c r="D30" i="86"/>
  <c r="C126" i="86"/>
  <c r="D126" i="86"/>
  <c r="C42" i="86"/>
  <c r="D42" i="86"/>
  <c r="D90" i="86"/>
  <c r="C36" i="86"/>
  <c r="D36" i="86"/>
  <c r="C129" i="86"/>
  <c r="D129" i="86"/>
  <c r="C123" i="86"/>
  <c r="D123" i="86"/>
  <c r="C117" i="86"/>
  <c r="D117" i="86"/>
  <c r="C111" i="86"/>
  <c r="D111" i="86"/>
  <c r="C105" i="86"/>
  <c r="D105" i="86"/>
  <c r="C99" i="86"/>
  <c r="D99" i="86"/>
  <c r="D93" i="86"/>
  <c r="D87" i="86"/>
  <c r="C81" i="86"/>
  <c r="D81" i="86"/>
  <c r="C75" i="86"/>
  <c r="D75" i="86"/>
  <c r="C69" i="86"/>
  <c r="D69" i="86"/>
  <c r="C63" i="86"/>
  <c r="D63" i="86"/>
  <c r="C57" i="86"/>
  <c r="D57" i="86"/>
  <c r="C51" i="86"/>
  <c r="D51" i="86"/>
  <c r="C45" i="86"/>
  <c r="D45" i="86"/>
  <c r="C39" i="86"/>
  <c r="D39" i="86"/>
  <c r="C33" i="86"/>
  <c r="D33" i="86"/>
  <c r="C27" i="86"/>
  <c r="D27" i="86"/>
  <c r="C21" i="86"/>
  <c r="D21" i="86"/>
  <c r="C15" i="86"/>
  <c r="D15" i="86"/>
  <c r="C9" i="86"/>
  <c r="D9" i="86"/>
  <c r="D138" i="86"/>
  <c r="C122" i="95"/>
  <c r="C83" i="95"/>
  <c r="J6" i="95"/>
  <c r="B4" i="198" l="1"/>
  <c r="AO16" i="198"/>
  <c r="AO20" i="198"/>
  <c r="AO142" i="198"/>
  <c r="AO12" i="198"/>
  <c r="F183" i="95"/>
  <c r="F181" i="95"/>
  <c r="F182" i="95"/>
  <c r="X95" i="198"/>
  <c r="G43" i="200" s="1"/>
  <c r="AJ95" i="198"/>
  <c r="K43" i="200" s="1"/>
  <c r="L95" i="198"/>
  <c r="C43" i="200" s="1"/>
  <c r="C24" i="202" s="1"/>
  <c r="AD95" i="198"/>
  <c r="I43" i="200" s="1"/>
  <c r="R95" i="198"/>
  <c r="E43" i="200" s="1"/>
  <c r="E116" i="200" s="1"/>
  <c r="AJ94" i="198"/>
  <c r="R94" i="198"/>
  <c r="L94" i="198"/>
  <c r="X94" i="198"/>
  <c r="AD94" i="198"/>
  <c r="AJ93" i="198"/>
  <c r="R93" i="198"/>
  <c r="X93" i="198"/>
  <c r="L93" i="198"/>
  <c r="AD93" i="198"/>
  <c r="K51" i="107"/>
  <c r="K123" i="107"/>
  <c r="K142" i="107"/>
  <c r="K80" i="107"/>
  <c r="K109" i="107"/>
  <c r="K139" i="107"/>
  <c r="K94" i="107"/>
  <c r="K98" i="107"/>
  <c r="K37" i="107"/>
  <c r="K156" i="107"/>
  <c r="K159" i="107"/>
  <c r="K107" i="107"/>
  <c r="K161" i="107"/>
  <c r="K129" i="107"/>
  <c r="K157" i="107"/>
  <c r="K49" i="107"/>
  <c r="K115" i="107"/>
  <c r="K136" i="107"/>
  <c r="K100" i="107"/>
  <c r="K108" i="107"/>
  <c r="K92" i="107"/>
  <c r="K126" i="107"/>
  <c r="K122" i="107"/>
  <c r="K117" i="107"/>
  <c r="K165" i="107"/>
  <c r="K137" i="107"/>
  <c r="K164" i="107"/>
  <c r="K119" i="107"/>
  <c r="K35" i="107"/>
  <c r="K105" i="107"/>
  <c r="K154" i="107"/>
  <c r="K93" i="107"/>
  <c r="K113" i="107"/>
  <c r="K133" i="107"/>
  <c r="K150" i="107"/>
  <c r="K101" i="107"/>
  <c r="K140" i="107"/>
  <c r="K102" i="107"/>
  <c r="K127" i="107"/>
  <c r="K99" i="107"/>
  <c r="K90" i="107"/>
  <c r="K148" i="107"/>
  <c r="K144" i="107"/>
  <c r="K118" i="107"/>
  <c r="K111" i="107"/>
  <c r="K110" i="107"/>
  <c r="K95" i="107"/>
  <c r="K97" i="107"/>
  <c r="K158" i="107"/>
  <c r="K155" i="107"/>
  <c r="K124" i="107"/>
  <c r="K106" i="107"/>
  <c r="K16" i="107"/>
  <c r="F169" i="86"/>
  <c r="K48" i="107"/>
  <c r="K70" i="107"/>
  <c r="K54" i="107"/>
  <c r="K53" i="107"/>
  <c r="F150" i="86"/>
  <c r="K149" i="107"/>
  <c r="K143" i="107"/>
  <c r="AO91" i="198"/>
  <c r="K46" i="107"/>
  <c r="K36" i="107"/>
  <c r="K120" i="107"/>
  <c r="K163" i="107"/>
  <c r="F175" i="86"/>
  <c r="K166" i="107"/>
  <c r="K138" i="107"/>
  <c r="K91" i="107"/>
  <c r="K160" i="107"/>
  <c r="K125" i="107"/>
  <c r="K135" i="107"/>
  <c r="K146" i="107"/>
  <c r="K112" i="107"/>
  <c r="AO31" i="198"/>
  <c r="AO179" i="198"/>
  <c r="K141" i="107"/>
  <c r="K104" i="107"/>
  <c r="K134" i="107"/>
  <c r="AO32" i="198"/>
  <c r="AO79" i="198"/>
  <c r="K162" i="107"/>
  <c r="K145" i="107"/>
  <c r="K170" i="107"/>
  <c r="K114" i="107"/>
  <c r="AO15" i="198"/>
  <c r="AO21" i="198"/>
  <c r="AO114" i="198"/>
  <c r="AO124" i="198"/>
  <c r="AO100" i="198"/>
  <c r="AO112" i="198"/>
  <c r="AO171" i="198"/>
  <c r="AO115" i="198"/>
  <c r="AO125" i="198"/>
  <c r="AO167" i="198"/>
  <c r="AO106" i="198"/>
  <c r="AO160" i="198"/>
  <c r="AO105" i="198"/>
  <c r="AO166" i="198"/>
  <c r="AO128" i="198"/>
  <c r="AO164" i="198"/>
  <c r="AO120" i="198"/>
  <c r="AO173" i="198"/>
  <c r="AO132" i="198"/>
  <c r="AO168" i="198"/>
  <c r="AO126" i="198"/>
  <c r="AO122" i="198"/>
  <c r="AO154" i="198"/>
  <c r="AO159" i="198"/>
  <c r="AO131" i="198"/>
  <c r="AO127" i="198"/>
  <c r="AO121" i="198"/>
  <c r="AO109" i="198"/>
  <c r="AO153" i="198"/>
  <c r="AO155" i="198"/>
  <c r="AO103" i="198"/>
  <c r="AO102" i="198"/>
  <c r="AO161" i="198"/>
  <c r="AO116" i="198"/>
  <c r="AO182" i="198"/>
  <c r="AO181" i="198"/>
  <c r="AO156" i="198"/>
  <c r="AO129" i="198"/>
  <c r="AO157" i="198"/>
  <c r="AO172" i="198"/>
  <c r="AO123" i="198"/>
  <c r="AO104" i="198"/>
  <c r="AO118" i="198"/>
  <c r="AO174" i="198"/>
  <c r="AO180" i="198"/>
  <c r="AO150" i="198"/>
  <c r="AO177" i="198"/>
  <c r="AO184" i="198"/>
  <c r="AO110" i="198"/>
  <c r="AO117" i="198"/>
  <c r="AO178" i="198"/>
  <c r="AO134" i="198"/>
  <c r="AO165" i="198"/>
  <c r="AO145" i="198"/>
  <c r="AO143" i="198"/>
  <c r="K128" i="107"/>
  <c r="K96" i="107"/>
  <c r="K131" i="107"/>
  <c r="AO33" i="198"/>
  <c r="AO80" i="198"/>
  <c r="K169" i="107"/>
  <c r="K147" i="107"/>
  <c r="K151" i="107"/>
  <c r="AO73" i="198"/>
  <c r="K132" i="107"/>
  <c r="K121" i="107"/>
  <c r="K168" i="107"/>
  <c r="B187" i="198"/>
  <c r="K116" i="107"/>
  <c r="K130" i="107"/>
  <c r="K153" i="107"/>
  <c r="K103" i="107"/>
  <c r="K89" i="107"/>
  <c r="F121" i="86"/>
  <c r="F171" i="86"/>
  <c r="F173" i="86"/>
  <c r="F174" i="86"/>
  <c r="F178" i="86"/>
  <c r="F177" i="86"/>
  <c r="F176" i="86"/>
  <c r="F152" i="86"/>
  <c r="F17" i="86"/>
  <c r="F167" i="86"/>
  <c r="F170" i="86"/>
  <c r="F166" i="86"/>
  <c r="F165" i="86"/>
  <c r="F153" i="86"/>
  <c r="F162" i="86"/>
  <c r="F163" i="86"/>
  <c r="F168" i="86"/>
  <c r="F110" i="86"/>
  <c r="F164" i="86"/>
  <c r="F172" i="86"/>
  <c r="J14" i="95"/>
  <c r="M8" i="86"/>
  <c r="C88" i="86" s="1"/>
  <c r="F88" i="86" s="1"/>
  <c r="J15" i="95"/>
  <c r="M9" i="86"/>
  <c r="C89" i="86" s="1"/>
  <c r="F89" i="86" s="1"/>
  <c r="J18" i="95"/>
  <c r="M12" i="86"/>
  <c r="C90" i="86" s="1"/>
  <c r="F90" i="86" s="1"/>
  <c r="F176" i="95"/>
  <c r="F177" i="95"/>
  <c r="F174" i="95"/>
  <c r="F175" i="95"/>
  <c r="F38" i="86"/>
  <c r="F28" i="86"/>
  <c r="K24" i="107"/>
  <c r="K23" i="107"/>
  <c r="M11" i="184"/>
  <c r="F173" i="95"/>
  <c r="F172" i="95"/>
  <c r="F59" i="95"/>
  <c r="F7" i="86"/>
  <c r="F75" i="95"/>
  <c r="F170" i="95"/>
  <c r="F171" i="95"/>
  <c r="C4" i="150"/>
  <c r="C186" i="150" s="1"/>
  <c r="C182" i="150"/>
  <c r="B4" i="150"/>
  <c r="B182" i="150"/>
  <c r="F123" i="95"/>
  <c r="F81" i="95"/>
  <c r="F121" i="95"/>
  <c r="F10" i="95"/>
  <c r="F44" i="95"/>
  <c r="F108" i="95"/>
  <c r="F168" i="95"/>
  <c r="F47" i="95"/>
  <c r="F169" i="95"/>
  <c r="C89" i="95"/>
  <c r="F89" i="95" s="1"/>
  <c r="F126" i="95"/>
  <c r="F106" i="95"/>
  <c r="F113" i="95"/>
  <c r="F100" i="95"/>
  <c r="F70" i="95"/>
  <c r="F14" i="86"/>
  <c r="F127" i="95"/>
  <c r="F115" i="95"/>
  <c r="F129" i="95"/>
  <c r="F152" i="95"/>
  <c r="F68" i="95"/>
  <c r="F73" i="95"/>
  <c r="F109" i="95"/>
  <c r="F111" i="95"/>
  <c r="F157" i="95"/>
  <c r="F140" i="95"/>
  <c r="F50" i="95"/>
  <c r="F155" i="95"/>
  <c r="F28" i="95"/>
  <c r="F60" i="95"/>
  <c r="C86" i="95"/>
  <c r="F86" i="95" s="1"/>
  <c r="C88" i="95"/>
  <c r="F88" i="95" s="1"/>
  <c r="F130" i="95"/>
  <c r="F124" i="95"/>
  <c r="F43" i="95"/>
  <c r="F31" i="95"/>
  <c r="F83" i="95"/>
  <c r="F49" i="95"/>
  <c r="F38" i="95"/>
  <c r="F148" i="95"/>
  <c r="F98" i="95"/>
  <c r="F105" i="95"/>
  <c r="F36" i="95"/>
  <c r="C22" i="95"/>
  <c r="F22" i="95" s="1"/>
  <c r="M13" i="95"/>
  <c r="F41" i="95"/>
  <c r="F21" i="95"/>
  <c r="F15" i="95"/>
  <c r="F137" i="95"/>
  <c r="F42" i="95"/>
  <c r="F53" i="95"/>
  <c r="F125" i="95"/>
  <c r="F151" i="95"/>
  <c r="F149" i="95"/>
  <c r="F142" i="95"/>
  <c r="F136" i="95"/>
  <c r="F145" i="95"/>
  <c r="F117" i="95"/>
  <c r="F13" i="95"/>
  <c r="F132" i="95"/>
  <c r="F139" i="95"/>
  <c r="F150" i="95"/>
  <c r="F52" i="95"/>
  <c r="F71" i="95"/>
  <c r="F146" i="95"/>
  <c r="F30" i="95"/>
  <c r="F120" i="95"/>
  <c r="F16" i="95"/>
  <c r="F63" i="95"/>
  <c r="F9" i="95"/>
  <c r="F112" i="95"/>
  <c r="F56" i="95"/>
  <c r="F74" i="95"/>
  <c r="F37" i="95"/>
  <c r="F55" i="95"/>
  <c r="F122" i="95"/>
  <c r="F23" i="95"/>
  <c r="F134" i="95"/>
  <c r="F43" i="86"/>
  <c r="F135" i="86"/>
  <c r="F167" i="95"/>
  <c r="F110" i="95"/>
  <c r="F131" i="95"/>
  <c r="F76" i="95"/>
  <c r="F114" i="95"/>
  <c r="F66" i="95"/>
  <c r="F101" i="95"/>
  <c r="F78" i="95"/>
  <c r="F128" i="95"/>
  <c r="F77" i="95"/>
  <c r="F160" i="95"/>
  <c r="F61" i="95"/>
  <c r="F116" i="95"/>
  <c r="F33" i="95"/>
  <c r="F8" i="95"/>
  <c r="F95" i="95"/>
  <c r="F72" i="95"/>
  <c r="F11" i="95"/>
  <c r="F40" i="95"/>
  <c r="F32" i="95"/>
  <c r="F54" i="95"/>
  <c r="F58" i="95"/>
  <c r="F102" i="95"/>
  <c r="F143" i="95"/>
  <c r="F12" i="95"/>
  <c r="F26" i="95"/>
  <c r="F45" i="95"/>
  <c r="F165" i="95"/>
  <c r="F125" i="86"/>
  <c r="F49" i="86"/>
  <c r="F71" i="86"/>
  <c r="F134" i="86"/>
  <c r="F127" i="86"/>
  <c r="F143" i="86"/>
  <c r="F128" i="86"/>
  <c r="F113" i="86"/>
  <c r="F162" i="95"/>
  <c r="F164" i="95"/>
  <c r="F64" i="95"/>
  <c r="F133" i="95"/>
  <c r="F118" i="95"/>
  <c r="F166" i="95"/>
  <c r="F163" i="95"/>
  <c r="F17" i="95"/>
  <c r="F107" i="95"/>
  <c r="F29" i="95"/>
  <c r="F103" i="95"/>
  <c r="F18" i="95"/>
  <c r="F138" i="95"/>
  <c r="F20" i="95"/>
  <c r="F141" i="95"/>
  <c r="F34" i="95"/>
  <c r="F19" i="95"/>
  <c r="F67" i="95"/>
  <c r="F94" i="95"/>
  <c r="F35" i="95"/>
  <c r="F99" i="95"/>
  <c r="F144" i="95"/>
  <c r="F62" i="95"/>
  <c r="F158" i="95"/>
  <c r="F84" i="95"/>
  <c r="F7" i="95"/>
  <c r="F65" i="95"/>
  <c r="F104" i="95"/>
  <c r="F46" i="95"/>
  <c r="F69" i="95"/>
  <c r="F57" i="95"/>
  <c r="F48" i="95"/>
  <c r="F119" i="95"/>
  <c r="F153" i="95"/>
  <c r="F34" i="86"/>
  <c r="F55" i="86"/>
  <c r="F41" i="86"/>
  <c r="F135" i="95"/>
  <c r="F136" i="86"/>
  <c r="F119" i="86"/>
  <c r="F147" i="95"/>
  <c r="F94" i="86"/>
  <c r="F91" i="86"/>
  <c r="F52" i="86"/>
  <c r="F37" i="86"/>
  <c r="F51" i="95"/>
  <c r="F61" i="86"/>
  <c r="F19" i="86"/>
  <c r="F109" i="86"/>
  <c r="F31" i="86"/>
  <c r="F74" i="86"/>
  <c r="F25" i="86"/>
  <c r="F124" i="86"/>
  <c r="F137" i="86"/>
  <c r="F35" i="86"/>
  <c r="F10" i="86"/>
  <c r="F13" i="86"/>
  <c r="F22" i="86"/>
  <c r="F56" i="86"/>
  <c r="F64" i="86"/>
  <c r="F14" i="95"/>
  <c r="F159" i="95"/>
  <c r="F53" i="86"/>
  <c r="F47" i="86"/>
  <c r="F16" i="86"/>
  <c r="F95" i="86"/>
  <c r="F27" i="95"/>
  <c r="F85" i="86"/>
  <c r="F107" i="86"/>
  <c r="F39" i="95"/>
  <c r="F131" i="86"/>
  <c r="F11" i="86"/>
  <c r="F15" i="86"/>
  <c r="F51" i="86"/>
  <c r="F123" i="86"/>
  <c r="F23" i="86"/>
  <c r="H25" i="145"/>
  <c r="D25" i="145"/>
  <c r="C24" i="145"/>
  <c r="C25" i="145" s="1"/>
  <c r="F115" i="86"/>
  <c r="F44" i="86"/>
  <c r="F155" i="86"/>
  <c r="F130" i="86"/>
  <c r="F148" i="86"/>
  <c r="F8" i="86"/>
  <c r="F149" i="86"/>
  <c r="F100" i="86"/>
  <c r="F29" i="86"/>
  <c r="F139" i="86"/>
  <c r="F138" i="86"/>
  <c r="F132" i="86"/>
  <c r="F26" i="86"/>
  <c r="F145" i="86"/>
  <c r="F142" i="86"/>
  <c r="F101" i="86"/>
  <c r="F98" i="86"/>
  <c r="F151" i="86"/>
  <c r="F112" i="86"/>
  <c r="F157" i="86"/>
  <c r="F12" i="86"/>
  <c r="F54" i="86"/>
  <c r="F50" i="86"/>
  <c r="F67" i="86"/>
  <c r="F92" i="86"/>
  <c r="F65" i="86"/>
  <c r="F103" i="86"/>
  <c r="F66" i="86"/>
  <c r="F76" i="86"/>
  <c r="F97" i="86"/>
  <c r="F122" i="86"/>
  <c r="F62" i="86"/>
  <c r="F154" i="86"/>
  <c r="F20" i="86"/>
  <c r="F70" i="86"/>
  <c r="F59" i="86"/>
  <c r="F73" i="86"/>
  <c r="F58" i="86"/>
  <c r="F32" i="86"/>
  <c r="F40" i="86"/>
  <c r="F46" i="86"/>
  <c r="F106" i="86"/>
  <c r="F68" i="86"/>
  <c r="F116" i="86"/>
  <c r="F133" i="86"/>
  <c r="F102" i="86"/>
  <c r="F33" i="86"/>
  <c r="F69" i="86"/>
  <c r="F105" i="86"/>
  <c r="F36" i="86"/>
  <c r="F30" i="86"/>
  <c r="F104" i="86"/>
  <c r="F118" i="86"/>
  <c r="F96" i="86"/>
  <c r="F86" i="86"/>
  <c r="F21" i="86"/>
  <c r="F57" i="86"/>
  <c r="F129" i="86"/>
  <c r="F42" i="86"/>
  <c r="F108" i="86"/>
  <c r="F126" i="86"/>
  <c r="F18" i="86"/>
  <c r="F27" i="86"/>
  <c r="F63" i="86"/>
  <c r="F99" i="86"/>
  <c r="F48" i="86"/>
  <c r="F39" i="86"/>
  <c r="F75" i="86"/>
  <c r="F111" i="86"/>
  <c r="F114" i="86"/>
  <c r="F60" i="86"/>
  <c r="F9" i="86"/>
  <c r="F45" i="86"/>
  <c r="F81" i="86"/>
  <c r="F117" i="86"/>
  <c r="F84" i="86"/>
  <c r="F120" i="86"/>
  <c r="G24" i="202" l="1"/>
  <c r="E117" i="200"/>
  <c r="I24" i="202"/>
  <c r="E118" i="200"/>
  <c r="K24" i="202"/>
  <c r="E119" i="200"/>
  <c r="E115" i="200"/>
  <c r="E24" i="202"/>
  <c r="X92" i="198"/>
  <c r="AD92" i="198"/>
  <c r="R92" i="198"/>
  <c r="AJ92" i="198"/>
  <c r="L92" i="198"/>
  <c r="C90" i="95"/>
  <c r="F90" i="95" s="1"/>
  <c r="J9" i="86"/>
  <c r="C79" i="86"/>
  <c r="F79" i="86" s="1"/>
  <c r="M7" i="86"/>
  <c r="C87" i="86" s="1"/>
  <c r="F87" i="86" s="1"/>
  <c r="J8" i="86"/>
  <c r="C78" i="86"/>
  <c r="F78" i="86" s="1"/>
  <c r="J12" i="86"/>
  <c r="C80" i="86"/>
  <c r="F80" i="86" s="1"/>
  <c r="N11" i="184"/>
  <c r="C87" i="95"/>
  <c r="F87" i="95" s="1"/>
  <c r="M17" i="95"/>
  <c r="J13" i="95"/>
  <c r="C79" i="95"/>
  <c r="F79" i="95" s="1"/>
  <c r="C85" i="95" l="1"/>
  <c r="F85" i="95" s="1"/>
  <c r="J7" i="86"/>
  <c r="C77" i="86"/>
  <c r="F77" i="86" s="1"/>
  <c r="C82" i="95"/>
  <c r="F82" i="95" s="1"/>
  <c r="M11" i="86"/>
  <c r="C82" i="86" s="1"/>
  <c r="F82" i="86" s="1"/>
  <c r="O11" i="184"/>
  <c r="C21" i="184" s="1"/>
  <c r="J17" i="95"/>
  <c r="C80" i="95"/>
  <c r="F80" i="95" s="1"/>
  <c r="M16" i="95"/>
  <c r="E73" i="39"/>
  <c r="D73" i="39"/>
  <c r="L99" i="198" l="1"/>
  <c r="C97" i="95"/>
  <c r="F97" i="95" s="1"/>
  <c r="AJ87" i="198"/>
  <c r="AD87" i="198"/>
  <c r="X87" i="198"/>
  <c r="R87" i="198"/>
  <c r="L87" i="198"/>
  <c r="AL77" i="198"/>
  <c r="AM77" i="198"/>
  <c r="C93" i="95"/>
  <c r="F93" i="95" s="1"/>
  <c r="M10" i="86"/>
  <c r="C93" i="86" s="1"/>
  <c r="F93" i="86" s="1"/>
  <c r="J11" i="86"/>
  <c r="C72" i="86"/>
  <c r="F72" i="86" s="1"/>
  <c r="H74" i="158"/>
  <c r="H71" i="107"/>
  <c r="I74" i="158"/>
  <c r="K74" i="158" s="1"/>
  <c r="I71" i="107"/>
  <c r="P11" i="184"/>
  <c r="I74" i="150"/>
  <c r="I75" i="150"/>
  <c r="H74" i="150"/>
  <c r="H75" i="150"/>
  <c r="C91" i="95"/>
  <c r="F91" i="95" s="1"/>
  <c r="J16" i="95"/>
  <c r="J10" i="86" l="1"/>
  <c r="C83" i="86"/>
  <c r="F83" i="86" s="1"/>
  <c r="Q11" i="184"/>
  <c r="J3" i="111"/>
  <c r="R11" i="184" l="1"/>
  <c r="C22" i="184" l="1"/>
  <c r="D22" i="184" s="1"/>
  <c r="R13" i="184"/>
  <c r="N32" i="114" s="1"/>
  <c r="N33" i="114" s="1"/>
  <c r="D156" i="95"/>
  <c r="S11" i="184"/>
  <c r="N38" i="114" l="1"/>
  <c r="M18" i="86"/>
  <c r="C156" i="86" s="1"/>
  <c r="F156" i="86" s="1"/>
  <c r="S155" i="105"/>
  <c r="M29" i="95"/>
  <c r="C96" i="95" s="1"/>
  <c r="F96" i="95" s="1"/>
  <c r="D154" i="95"/>
  <c r="F154" i="95" s="1"/>
  <c r="T11" i="184"/>
  <c r="K177" i="107"/>
  <c r="E20" i="39"/>
  <c r="D20" i="39"/>
  <c r="H9" i="39"/>
  <c r="P32" i="114" l="1"/>
  <c r="P33" i="114" s="1"/>
  <c r="M30" i="95"/>
  <c r="J29" i="95"/>
  <c r="C92" i="95"/>
  <c r="F92" i="95" s="1"/>
  <c r="P155" i="105"/>
  <c r="S156" i="105"/>
  <c r="J157" i="105"/>
  <c r="M157" i="105" s="1"/>
  <c r="T2" i="105"/>
  <c r="M19" i="86"/>
  <c r="J18" i="86"/>
  <c r="C144" i="86"/>
  <c r="F144" i="86" s="1"/>
  <c r="D25" i="95"/>
  <c r="H20" i="107"/>
  <c r="U11" i="184"/>
  <c r="C23" i="184" s="1"/>
  <c r="I20" i="107"/>
  <c r="D64" i="39"/>
  <c r="AL68" i="198" s="1"/>
  <c r="E64" i="39"/>
  <c r="AM68" i="198" s="1"/>
  <c r="D65" i="39"/>
  <c r="AL69" i="198" s="1"/>
  <c r="E65" i="39"/>
  <c r="D66" i="39"/>
  <c r="AL70" i="198" s="1"/>
  <c r="E66" i="39"/>
  <c r="AM70" i="198" s="1"/>
  <c r="D70" i="39"/>
  <c r="AL74" i="198" s="1"/>
  <c r="E70" i="39"/>
  <c r="AM74" i="198" s="1"/>
  <c r="AO137" i="198" s="1"/>
  <c r="D82" i="39"/>
  <c r="E82" i="39"/>
  <c r="D84" i="39"/>
  <c r="E84" i="39"/>
  <c r="D85" i="39"/>
  <c r="AL89" i="198" s="1"/>
  <c r="E85" i="39"/>
  <c r="D86" i="39"/>
  <c r="AL90" i="198" s="1"/>
  <c r="E86" i="39"/>
  <c r="AM90" i="198" s="1"/>
  <c r="AL93" i="198"/>
  <c r="D94" i="39"/>
  <c r="AL98" i="198" s="1"/>
  <c r="AL85" i="198" l="1"/>
  <c r="AL88" i="198"/>
  <c r="AM85" i="198"/>
  <c r="AM88" i="198"/>
  <c r="I63" i="107"/>
  <c r="K63" i="107" s="1"/>
  <c r="AM69" i="198"/>
  <c r="AM86" i="198"/>
  <c r="AM89" i="198"/>
  <c r="AO89" i="198" s="1"/>
  <c r="H79" i="107"/>
  <c r="AL83" i="198"/>
  <c r="H83" i="158"/>
  <c r="H82" i="107"/>
  <c r="AL86" i="198"/>
  <c r="AM83" i="198"/>
  <c r="AO83" i="198" s="1"/>
  <c r="I83" i="158"/>
  <c r="K83" i="158" s="1"/>
  <c r="AM71" i="198"/>
  <c r="AO71" i="198" s="1"/>
  <c r="I71" i="150"/>
  <c r="AL71" i="198"/>
  <c r="H71" i="150"/>
  <c r="H64" i="107"/>
  <c r="H67" i="150"/>
  <c r="I67" i="150"/>
  <c r="AM87" i="198"/>
  <c r="AO87" i="198" s="1"/>
  <c r="I87" i="158"/>
  <c r="K87" i="158" s="1"/>
  <c r="AL87" i="198"/>
  <c r="H87" i="158"/>
  <c r="I65" i="150"/>
  <c r="H65" i="150"/>
  <c r="AL94" i="198"/>
  <c r="H94" i="158"/>
  <c r="P38" i="114"/>
  <c r="J19" i="86"/>
  <c r="C24" i="86"/>
  <c r="F24" i="86" s="1"/>
  <c r="P156" i="105"/>
  <c r="J26" i="105"/>
  <c r="J30" i="95"/>
  <c r="I65" i="158"/>
  <c r="K65" i="158" s="1"/>
  <c r="I62" i="107"/>
  <c r="K62" i="107" s="1"/>
  <c r="H65" i="158"/>
  <c r="H62" i="107"/>
  <c r="I82" i="158"/>
  <c r="K82" i="158" s="1"/>
  <c r="I79" i="107"/>
  <c r="V11" i="184"/>
  <c r="I84" i="158"/>
  <c r="K84" i="158" s="1"/>
  <c r="I81" i="107"/>
  <c r="H84" i="158"/>
  <c r="H81" i="107"/>
  <c r="I67" i="158"/>
  <c r="K67" i="158" s="1"/>
  <c r="I64" i="107"/>
  <c r="H92" i="158"/>
  <c r="H89" i="107"/>
  <c r="I85" i="158"/>
  <c r="K85" i="158" s="1"/>
  <c r="I82" i="107"/>
  <c r="H71" i="158"/>
  <c r="H68" i="107"/>
  <c r="I86" i="158"/>
  <c r="K86" i="158" s="1"/>
  <c r="I83" i="107"/>
  <c r="K83" i="107" s="1"/>
  <c r="I71" i="158"/>
  <c r="K71" i="158" s="1"/>
  <c r="I68" i="107"/>
  <c r="K68" i="107" s="1"/>
  <c r="H93" i="158"/>
  <c r="H90" i="107"/>
  <c r="H86" i="158"/>
  <c r="H83" i="107"/>
  <c r="H66" i="158"/>
  <c r="H63" i="107"/>
  <c r="H85" i="158"/>
  <c r="H83" i="150"/>
  <c r="H82" i="158"/>
  <c r="H67" i="158"/>
  <c r="I66" i="158"/>
  <c r="K66" i="158" s="1"/>
  <c r="I85" i="150"/>
  <c r="K85" i="150" s="1"/>
  <c r="I84" i="150"/>
  <c r="H93" i="150"/>
  <c r="H94" i="150"/>
  <c r="H84" i="150"/>
  <c r="I82" i="150"/>
  <c r="K82" i="150" s="1"/>
  <c r="I83" i="150"/>
  <c r="K83" i="150" s="1"/>
  <c r="H92" i="150"/>
  <c r="H87" i="150"/>
  <c r="I86" i="150"/>
  <c r="K86" i="150" s="1"/>
  <c r="I87" i="150"/>
  <c r="K87" i="150" s="1"/>
  <c r="H82" i="150"/>
  <c r="K185" i="150"/>
  <c r="H86" i="150"/>
  <c r="H85" i="150"/>
  <c r="I3" i="130"/>
  <c r="J3" i="130" s="1"/>
  <c r="K3" i="130" s="1"/>
  <c r="H11" i="130" s="1"/>
  <c r="I11" i="130" s="1"/>
  <c r="J11" i="130" s="1"/>
  <c r="K11" i="130" s="1"/>
  <c r="AO88" i="198" l="1"/>
  <c r="AO183" i="198"/>
  <c r="AO85" i="198"/>
  <c r="AO133" i="198"/>
  <c r="AO86" i="198"/>
  <c r="AO176" i="198"/>
  <c r="J1" i="105"/>
  <c r="M26" i="105"/>
  <c r="M1" i="105" s="1"/>
  <c r="W11" i="184"/>
  <c r="D5" i="115"/>
  <c r="D6" i="115" s="1"/>
  <c r="D7" i="115" s="1"/>
  <c r="D8" i="115" s="1"/>
  <c r="D9" i="115" s="1"/>
  <c r="C5" i="115"/>
  <c r="B5" i="115"/>
  <c r="B6" i="115" s="1"/>
  <c r="B7" i="115" s="1"/>
  <c r="B8" i="115" s="1"/>
  <c r="B9" i="115" s="1"/>
  <c r="A5" i="115"/>
  <c r="A6" i="115" s="1"/>
  <c r="A7" i="115" s="1"/>
  <c r="A8" i="115" s="1"/>
  <c r="A9" i="115" s="1"/>
  <c r="E4" i="115"/>
  <c r="X11" i="184" l="1"/>
  <c r="C24" i="184" s="1"/>
  <c r="E5" i="115"/>
  <c r="C6" i="115"/>
  <c r="E6" i="115" s="1"/>
  <c r="Y11" i="184" l="1"/>
  <c r="C7" i="115"/>
  <c r="E7" i="115" l="1"/>
  <c r="C8" i="115"/>
  <c r="Z11" i="184"/>
  <c r="L4" i="130"/>
  <c r="L48" i="130"/>
  <c r="C9" i="115" l="1"/>
  <c r="E9" i="115" s="1"/>
  <c r="E8" i="115"/>
  <c r="AA11" i="184"/>
  <c r="C25" i="184" s="1"/>
  <c r="S24" i="130"/>
  <c r="A2" i="109"/>
  <c r="AB11" i="184" l="1"/>
  <c r="G41" i="93"/>
  <c r="D41" i="93"/>
  <c r="AC11" i="184" l="1"/>
  <c r="B4" i="46"/>
  <c r="AD11" i="184" l="1"/>
  <c r="H11" i="103"/>
  <c r="J11" i="103"/>
  <c r="D12" i="103"/>
  <c r="D13" i="103" s="1"/>
  <c r="E12" i="103"/>
  <c r="E13" i="103" s="1"/>
  <c r="F11" i="103"/>
  <c r="C179" i="86"/>
  <c r="F179" i="86" s="1"/>
  <c r="J35" i="86"/>
  <c r="J34" i="86"/>
  <c r="J33" i="86"/>
  <c r="J32" i="86"/>
  <c r="J31" i="86"/>
  <c r="J30" i="86"/>
  <c r="J29" i="86"/>
  <c r="J28" i="86"/>
  <c r="J27" i="86"/>
  <c r="J26" i="86"/>
  <c r="J25" i="86"/>
  <c r="J24" i="86"/>
  <c r="J23" i="86"/>
  <c r="J22" i="86"/>
  <c r="J21" i="86"/>
  <c r="J20" i="86"/>
  <c r="J16" i="86"/>
  <c r="C26" i="184" l="1"/>
  <c r="D26" i="184" s="1"/>
  <c r="AD13" i="184"/>
  <c r="AE11" i="184"/>
  <c r="M2" i="86"/>
  <c r="E41" i="93"/>
  <c r="H41" i="93"/>
  <c r="H42" i="93"/>
  <c r="G42" i="93"/>
  <c r="E42" i="93" s="1"/>
  <c r="M32" i="95" l="1"/>
  <c r="C161" i="95" s="1"/>
  <c r="F161" i="95" s="1"/>
  <c r="N34" i="114"/>
  <c r="C156" i="95"/>
  <c r="F156" i="95" s="1"/>
  <c r="AF11" i="184"/>
  <c r="L230" i="107"/>
  <c r="L225" i="107"/>
  <c r="L221" i="107"/>
  <c r="L220" i="107"/>
  <c r="L219" i="107"/>
  <c r="L218" i="107"/>
  <c r="L216" i="107"/>
  <c r="L215" i="107"/>
  <c r="L214" i="107"/>
  <c r="L213" i="107"/>
  <c r="L212" i="107"/>
  <c r="L211" i="107"/>
  <c r="L204" i="107"/>
  <c r="L203" i="107"/>
  <c r="L199" i="107"/>
  <c r="L195" i="107"/>
  <c r="L193" i="107"/>
  <c r="L189" i="107"/>
  <c r="L187" i="107"/>
  <c r="L186" i="107"/>
  <c r="L185" i="107"/>
  <c r="L184" i="107"/>
  <c r="E173" i="107"/>
  <c r="F172" i="107"/>
  <c r="B5" i="107"/>
  <c r="C5" i="107" s="1"/>
  <c r="A1" i="107"/>
  <c r="J87" i="97"/>
  <c r="H8" i="103"/>
  <c r="H9" i="103"/>
  <c r="H10" i="103"/>
  <c r="H7" i="103"/>
  <c r="B2" i="94"/>
  <c r="S146" i="94"/>
  <c r="S141" i="94"/>
  <c r="S137" i="94"/>
  <c r="S136" i="94"/>
  <c r="S135" i="94"/>
  <c r="S134" i="94"/>
  <c r="S133" i="94"/>
  <c r="S132" i="94"/>
  <c r="S131" i="94"/>
  <c r="S130" i="94"/>
  <c r="S129" i="94"/>
  <c r="S128" i="94"/>
  <c r="S127" i="94"/>
  <c r="S121" i="94"/>
  <c r="S120" i="94"/>
  <c r="S119" i="94"/>
  <c r="S115" i="94"/>
  <c r="S114" i="94"/>
  <c r="S113" i="94"/>
  <c r="S112" i="94"/>
  <c r="S111" i="94"/>
  <c r="S110" i="94"/>
  <c r="S109" i="94"/>
  <c r="S105" i="94"/>
  <c r="S104" i="94"/>
  <c r="S103" i="94"/>
  <c r="S102" i="94"/>
  <c r="S101" i="94"/>
  <c r="S100" i="94"/>
  <c r="Z92" i="94"/>
  <c r="F89" i="94"/>
  <c r="M5" i="94"/>
  <c r="L5" i="94"/>
  <c r="K5" i="94"/>
  <c r="I5" i="94"/>
  <c r="J5" i="94" s="1"/>
  <c r="G5" i="94"/>
  <c r="F5" i="94"/>
  <c r="E5" i="94"/>
  <c r="C5" i="94"/>
  <c r="A1" i="94"/>
  <c r="K4" i="97"/>
  <c r="J4" i="97"/>
  <c r="I4" i="97"/>
  <c r="H4" i="97"/>
  <c r="F4" i="97"/>
  <c r="E4" i="97"/>
  <c r="D4" i="97"/>
  <c r="C4" i="97"/>
  <c r="F2" i="104"/>
  <c r="S1" i="104" s="1"/>
  <c r="S2" i="104" s="1"/>
  <c r="D2" i="104"/>
  <c r="C2" i="104"/>
  <c r="M179" i="104"/>
  <c r="F179" i="104"/>
  <c r="M2" i="104"/>
  <c r="T1" i="104" s="1"/>
  <c r="K2" i="104"/>
  <c r="J2" i="104"/>
  <c r="F184" i="95"/>
  <c r="A7" i="104"/>
  <c r="A4" i="104"/>
  <c r="A3" i="86"/>
  <c r="C10" i="103"/>
  <c r="C9" i="103"/>
  <c r="B9" i="103"/>
  <c r="C8" i="103"/>
  <c r="B8" i="103"/>
  <c r="C7" i="103"/>
  <c r="C12" i="103" s="1"/>
  <c r="C13" i="103" s="1"/>
  <c r="B7" i="103"/>
  <c r="S8" i="104" l="1"/>
  <c r="J32" i="95"/>
  <c r="M33" i="95"/>
  <c r="M2" i="95" s="1"/>
  <c r="C25" i="95"/>
  <c r="F25" i="95" s="1"/>
  <c r="P34" i="114"/>
  <c r="P35" i="114" s="1"/>
  <c r="N35" i="114"/>
  <c r="J33" i="95"/>
  <c r="C24" i="95"/>
  <c r="F24" i="95" s="1"/>
  <c r="P8" i="104"/>
  <c r="S9" i="104"/>
  <c r="P9" i="104" s="1"/>
  <c r="J7" i="103"/>
  <c r="B12" i="103"/>
  <c r="B13" i="103" s="1"/>
  <c r="F7" i="103"/>
  <c r="F8" i="103"/>
  <c r="J8" i="103"/>
  <c r="F9" i="103"/>
  <c r="J9" i="103"/>
  <c r="F10" i="103"/>
  <c r="J10" i="103"/>
  <c r="C26" i="104"/>
  <c r="C178" i="104"/>
  <c r="C177" i="104"/>
  <c r="C176" i="104"/>
  <c r="D78" i="104"/>
  <c r="D49" i="104"/>
  <c r="D81" i="104"/>
  <c r="D146" i="104"/>
  <c r="D96" i="104"/>
  <c r="D63" i="104"/>
  <c r="D147" i="104"/>
  <c r="D120" i="104"/>
  <c r="D117" i="104"/>
  <c r="D126" i="104"/>
  <c r="D144" i="104"/>
  <c r="D141" i="104"/>
  <c r="D41" i="104"/>
  <c r="D44" i="104"/>
  <c r="D174" i="104"/>
  <c r="D68" i="104"/>
  <c r="D158" i="104"/>
  <c r="D101" i="104"/>
  <c r="D28" i="104"/>
  <c r="D116" i="104"/>
  <c r="D19" i="104"/>
  <c r="D161" i="104"/>
  <c r="D88" i="104"/>
  <c r="D82" i="104"/>
  <c r="D169" i="104"/>
  <c r="D12" i="104"/>
  <c r="D24" i="104"/>
  <c r="D21" i="104"/>
  <c r="D48" i="104"/>
  <c r="D151" i="104"/>
  <c r="D50" i="104"/>
  <c r="D90" i="104"/>
  <c r="D98" i="104"/>
  <c r="D93" i="104"/>
  <c r="D99" i="104"/>
  <c r="D108" i="104"/>
  <c r="D159" i="104"/>
  <c r="D129" i="104"/>
  <c r="D20" i="104"/>
  <c r="D47" i="104"/>
  <c r="D32" i="104"/>
  <c r="D168" i="104"/>
  <c r="D71" i="104"/>
  <c r="D56" i="104"/>
  <c r="D95" i="104"/>
  <c r="D80" i="104"/>
  <c r="D92" i="104"/>
  <c r="D16" i="104"/>
  <c r="D131" i="104"/>
  <c r="D125" i="104"/>
  <c r="D167" i="104"/>
  <c r="D25" i="104"/>
  <c r="D173" i="104"/>
  <c r="D94" i="104"/>
  <c r="D87" i="104"/>
  <c r="D103" i="104"/>
  <c r="D148" i="104"/>
  <c r="D36" i="104"/>
  <c r="D30" i="104"/>
  <c r="D57" i="104"/>
  <c r="D14" i="104"/>
  <c r="D102" i="104"/>
  <c r="D39" i="104"/>
  <c r="D105" i="104"/>
  <c r="D11" i="104"/>
  <c r="D23" i="104"/>
  <c r="D8" i="104"/>
  <c r="D35" i="104"/>
  <c r="D138" i="104"/>
  <c r="D150" i="104"/>
  <c r="D53" i="104"/>
  <c r="D13" i="104"/>
  <c r="D83" i="104"/>
  <c r="D62" i="104"/>
  <c r="D107" i="104"/>
  <c r="D119" i="104"/>
  <c r="D104" i="104"/>
  <c r="D143" i="104"/>
  <c r="D52" i="104"/>
  <c r="D140" i="104"/>
  <c r="D58" i="104"/>
  <c r="D164" i="104"/>
  <c r="D38" i="104"/>
  <c r="D79" i="104"/>
  <c r="D123" i="104"/>
  <c r="D130" i="104"/>
  <c r="D127" i="104"/>
  <c r="D42" i="104"/>
  <c r="D175" i="104"/>
  <c r="D114" i="104"/>
  <c r="D132" i="104"/>
  <c r="D156" i="104"/>
  <c r="D153" i="104"/>
  <c r="D162" i="104"/>
  <c r="D109" i="104"/>
  <c r="D61" i="104"/>
  <c r="D135" i="104"/>
  <c r="D86" i="104"/>
  <c r="D15" i="104"/>
  <c r="D40" i="104"/>
  <c r="D128" i="104"/>
  <c r="D64" i="104"/>
  <c r="D152" i="104"/>
  <c r="D37" i="104"/>
  <c r="D110" i="104"/>
  <c r="D136" i="104"/>
  <c r="D9" i="104"/>
  <c r="D160" i="104"/>
  <c r="D139" i="104"/>
  <c r="D54" i="104"/>
  <c r="D17" i="104"/>
  <c r="D59" i="104"/>
  <c r="D165" i="104"/>
  <c r="D65" i="104"/>
  <c r="D170" i="104"/>
  <c r="D145" i="104"/>
  <c r="D75" i="104"/>
  <c r="D10" i="104"/>
  <c r="D111" i="104"/>
  <c r="D34" i="104"/>
  <c r="D149" i="104"/>
  <c r="D55" i="104"/>
  <c r="D74" i="104"/>
  <c r="D91" i="104"/>
  <c r="D171" i="104"/>
  <c r="D33" i="104"/>
  <c r="D45" i="104"/>
  <c r="D163" i="104"/>
  <c r="D122" i="104"/>
  <c r="D29" i="104"/>
  <c r="D97" i="104"/>
  <c r="D89" i="104"/>
  <c r="D113" i="104"/>
  <c r="D137" i="104"/>
  <c r="D46" i="104"/>
  <c r="D43" i="104"/>
  <c r="D133" i="104"/>
  <c r="D67" i="104"/>
  <c r="D100" i="104"/>
  <c r="D112" i="104"/>
  <c r="D27" i="104"/>
  <c r="D118" i="104"/>
  <c r="D115" i="104"/>
  <c r="D142" i="104"/>
  <c r="D154" i="104"/>
  <c r="D60" i="104"/>
  <c r="D73" i="104"/>
  <c r="D72" i="104"/>
  <c r="D69" i="104"/>
  <c r="D77" i="104"/>
  <c r="D22" i="104"/>
  <c r="D155" i="104"/>
  <c r="D31" i="104"/>
  <c r="D76" i="104"/>
  <c r="D70" i="104"/>
  <c r="D121" i="104"/>
  <c r="D134" i="104"/>
  <c r="D106" i="104"/>
  <c r="D51" i="104"/>
  <c r="D18" i="104"/>
  <c r="D172" i="104"/>
  <c r="D166" i="104"/>
  <c r="D85" i="104"/>
  <c r="D84" i="104"/>
  <c r="D124" i="104"/>
  <c r="D66" i="104"/>
  <c r="D178" i="104"/>
  <c r="D177" i="104"/>
  <c r="D176" i="104"/>
  <c r="D157" i="104"/>
  <c r="D26" i="104"/>
  <c r="D7" i="104"/>
  <c r="J176" i="104"/>
  <c r="J177" i="104"/>
  <c r="J178" i="104"/>
  <c r="K169" i="104"/>
  <c r="K61" i="104"/>
  <c r="K167" i="104"/>
  <c r="K47" i="104"/>
  <c r="K118" i="104"/>
  <c r="K177" i="104"/>
  <c r="K69" i="104"/>
  <c r="K164" i="104"/>
  <c r="K68" i="104"/>
  <c r="K175" i="104"/>
  <c r="K79" i="104"/>
  <c r="K162" i="104"/>
  <c r="K66" i="104"/>
  <c r="K149" i="104"/>
  <c r="K53" i="104"/>
  <c r="K148" i="104"/>
  <c r="K52" i="104"/>
  <c r="K135" i="104"/>
  <c r="K39" i="104"/>
  <c r="K98" i="104"/>
  <c r="K44" i="104"/>
  <c r="K29" i="104"/>
  <c r="K111" i="104"/>
  <c r="K74" i="104"/>
  <c r="K168" i="104"/>
  <c r="K145" i="104"/>
  <c r="K49" i="104"/>
  <c r="K155" i="104"/>
  <c r="K35" i="104"/>
  <c r="K94" i="104"/>
  <c r="K165" i="104"/>
  <c r="K57" i="104"/>
  <c r="K152" i="104"/>
  <c r="K56" i="104"/>
  <c r="K163" i="104"/>
  <c r="K67" i="104"/>
  <c r="K150" i="104"/>
  <c r="K54" i="104"/>
  <c r="K137" i="104"/>
  <c r="K41" i="104"/>
  <c r="K136" i="104"/>
  <c r="K28" i="104"/>
  <c r="K123" i="104"/>
  <c r="K27" i="104"/>
  <c r="K86" i="104"/>
  <c r="K133" i="104"/>
  <c r="K37" i="104"/>
  <c r="K143" i="104"/>
  <c r="K23" i="104"/>
  <c r="K70" i="104"/>
  <c r="K153" i="104"/>
  <c r="K45" i="104"/>
  <c r="K140" i="104"/>
  <c r="K151" i="104"/>
  <c r="K55" i="104"/>
  <c r="K138" i="104"/>
  <c r="K42" i="104"/>
  <c r="K125" i="104"/>
  <c r="K124" i="104"/>
  <c r="K16" i="104"/>
  <c r="K15" i="104"/>
  <c r="K82" i="104"/>
  <c r="K121" i="104"/>
  <c r="K25" i="104"/>
  <c r="K119" i="104"/>
  <c r="K11" i="104"/>
  <c r="K58" i="104"/>
  <c r="K141" i="104"/>
  <c r="K33" i="104"/>
  <c r="K128" i="104"/>
  <c r="K32" i="104"/>
  <c r="K139" i="104"/>
  <c r="K43" i="104"/>
  <c r="K126" i="104"/>
  <c r="K30" i="104"/>
  <c r="K113" i="104"/>
  <c r="K17" i="104"/>
  <c r="K112" i="104"/>
  <c r="K120" i="104"/>
  <c r="K99" i="104"/>
  <c r="K170" i="104"/>
  <c r="K62" i="104"/>
  <c r="K129" i="104"/>
  <c r="K127" i="104"/>
  <c r="K18" i="104"/>
  <c r="K100" i="104"/>
  <c r="K87" i="104"/>
  <c r="K50" i="104"/>
  <c r="K97" i="104"/>
  <c r="K108" i="104"/>
  <c r="K83" i="104"/>
  <c r="K154" i="104"/>
  <c r="K34" i="104"/>
  <c r="K117" i="104"/>
  <c r="K9" i="104"/>
  <c r="K104" i="104"/>
  <c r="K8" i="104"/>
  <c r="K115" i="104"/>
  <c r="K156" i="104"/>
  <c r="K102" i="104"/>
  <c r="K24" i="104"/>
  <c r="K89" i="104"/>
  <c r="K48" i="104"/>
  <c r="K88" i="104"/>
  <c r="K171" i="104"/>
  <c r="K75" i="104"/>
  <c r="K146" i="104"/>
  <c r="K38" i="104"/>
  <c r="K109" i="104"/>
  <c r="K13" i="104"/>
  <c r="K95" i="104"/>
  <c r="K166" i="104"/>
  <c r="K46" i="104"/>
  <c r="K21" i="104"/>
  <c r="K116" i="104"/>
  <c r="K20" i="104"/>
  <c r="K31" i="104"/>
  <c r="K114" i="104"/>
  <c r="K101" i="104"/>
  <c r="K132" i="104"/>
  <c r="K36" i="104"/>
  <c r="K158" i="104"/>
  <c r="K73" i="104"/>
  <c r="K12" i="104"/>
  <c r="K59" i="104"/>
  <c r="K130" i="104"/>
  <c r="K10" i="104"/>
  <c r="K81" i="104"/>
  <c r="K176" i="104"/>
  <c r="K80" i="104"/>
  <c r="K60" i="104"/>
  <c r="K91" i="104"/>
  <c r="K78" i="104"/>
  <c r="K161" i="104"/>
  <c r="K65" i="104"/>
  <c r="K160" i="104"/>
  <c r="K64" i="104"/>
  <c r="K51" i="104"/>
  <c r="K110" i="104"/>
  <c r="K85" i="104"/>
  <c r="K84" i="104"/>
  <c r="K71" i="104"/>
  <c r="K142" i="104"/>
  <c r="K22" i="104"/>
  <c r="K93" i="104"/>
  <c r="K96" i="104"/>
  <c r="K92" i="104"/>
  <c r="K144" i="104"/>
  <c r="K103" i="104"/>
  <c r="K72" i="104"/>
  <c r="K90" i="104"/>
  <c r="K173" i="104"/>
  <c r="K77" i="104"/>
  <c r="K172" i="104"/>
  <c r="K76" i="104"/>
  <c r="K159" i="104"/>
  <c r="K63" i="104"/>
  <c r="K122" i="104"/>
  <c r="K174" i="104"/>
  <c r="K147" i="104"/>
  <c r="K14" i="104"/>
  <c r="K178" i="104"/>
  <c r="K40" i="104"/>
  <c r="K134" i="104"/>
  <c r="K107" i="104"/>
  <c r="K105" i="104"/>
  <c r="K131" i="104"/>
  <c r="K106" i="104"/>
  <c r="K19" i="104"/>
  <c r="K157" i="104"/>
  <c r="K26" i="104"/>
  <c r="AG11" i="184"/>
  <c r="C27" i="184" s="1"/>
  <c r="J175" i="104"/>
  <c r="J174" i="104"/>
  <c r="C175" i="104"/>
  <c r="C174" i="104"/>
  <c r="C16" i="104"/>
  <c r="C135" i="104"/>
  <c r="C106" i="104"/>
  <c r="C164" i="104"/>
  <c r="C14" i="104"/>
  <c r="C112" i="104"/>
  <c r="C99" i="104"/>
  <c r="C173" i="104"/>
  <c r="C148" i="104"/>
  <c r="C54" i="104"/>
  <c r="C98" i="104"/>
  <c r="C47" i="104"/>
  <c r="C85" i="104"/>
  <c r="C109" i="104"/>
  <c r="C96" i="104"/>
  <c r="C83" i="104"/>
  <c r="C157" i="104"/>
  <c r="C156" i="104"/>
  <c r="C167" i="104"/>
  <c r="C42" i="104"/>
  <c r="C80" i="104"/>
  <c r="C154" i="104"/>
  <c r="C90" i="104"/>
  <c r="C133" i="104"/>
  <c r="C84" i="104"/>
  <c r="C120" i="104"/>
  <c r="C93" i="104"/>
  <c r="C147" i="104"/>
  <c r="C24" i="104"/>
  <c r="C23" i="104"/>
  <c r="C160" i="104"/>
  <c r="C169" i="104"/>
  <c r="C115" i="104"/>
  <c r="C123" i="104"/>
  <c r="C18" i="104"/>
  <c r="C152" i="104"/>
  <c r="C113" i="104"/>
  <c r="C100" i="104"/>
  <c r="C136" i="104"/>
  <c r="C28" i="104"/>
  <c r="C87" i="104"/>
  <c r="C161" i="104"/>
  <c r="C48" i="104"/>
  <c r="C86" i="104"/>
  <c r="C35" i="104"/>
  <c r="C73" i="104"/>
  <c r="C11" i="104"/>
  <c r="C171" i="104"/>
  <c r="C67" i="104"/>
  <c r="C32" i="104"/>
  <c r="C159" i="104"/>
  <c r="C46" i="104"/>
  <c r="C33" i="104"/>
  <c r="C71" i="104"/>
  <c r="C70" i="104"/>
  <c r="C31" i="104"/>
  <c r="C155" i="104"/>
  <c r="C30" i="104"/>
  <c r="C68" i="104"/>
  <c r="C34" i="104"/>
  <c r="C78" i="104"/>
  <c r="C121" i="104"/>
  <c r="C45" i="104"/>
  <c r="C60" i="104"/>
  <c r="C74" i="104"/>
  <c r="C110" i="104"/>
  <c r="C92" i="104"/>
  <c r="C132" i="104"/>
  <c r="C9" i="104"/>
  <c r="C128" i="104"/>
  <c r="C17" i="104"/>
  <c r="C139" i="104"/>
  <c r="C52" i="104"/>
  <c r="C101" i="104"/>
  <c r="C137" i="104"/>
  <c r="C50" i="104"/>
  <c r="C88" i="104"/>
  <c r="C162" i="104"/>
  <c r="C75" i="104"/>
  <c r="C149" i="104"/>
  <c r="C19" i="104"/>
  <c r="C36" i="104"/>
  <c r="C22" i="104"/>
  <c r="C61" i="104"/>
  <c r="C146" i="104"/>
  <c r="C166" i="104"/>
  <c r="C119" i="104"/>
  <c r="C20" i="104"/>
  <c r="C59" i="104"/>
  <c r="C58" i="104"/>
  <c r="C69" i="104"/>
  <c r="C56" i="104"/>
  <c r="C81" i="104"/>
  <c r="C103" i="104"/>
  <c r="C66" i="104"/>
  <c r="C117" i="104"/>
  <c r="C49" i="104"/>
  <c r="C62" i="104"/>
  <c r="C10" i="104"/>
  <c r="C130" i="104"/>
  <c r="C111" i="104"/>
  <c r="C95" i="104"/>
  <c r="C8" i="104"/>
  <c r="C127" i="104"/>
  <c r="C126" i="104"/>
  <c r="C116" i="104"/>
  <c r="C124" i="104"/>
  <c r="C53" i="104"/>
  <c r="C165" i="104"/>
  <c r="C15" i="104"/>
  <c r="C51" i="104"/>
  <c r="C89" i="104"/>
  <c r="C163" i="104"/>
  <c r="C38" i="104"/>
  <c r="C76" i="104"/>
  <c r="C150" i="104"/>
  <c r="C63" i="104"/>
  <c r="C105" i="104"/>
  <c r="C129" i="104"/>
  <c r="C145" i="104"/>
  <c r="C94" i="104"/>
  <c r="C108" i="104"/>
  <c r="C57" i="104"/>
  <c r="C44" i="104"/>
  <c r="C91" i="104"/>
  <c r="C134" i="104"/>
  <c r="C37" i="104"/>
  <c r="C13" i="104"/>
  <c r="C144" i="104"/>
  <c r="C107" i="104"/>
  <c r="C125" i="104"/>
  <c r="C140" i="104"/>
  <c r="C41" i="104"/>
  <c r="C153" i="104"/>
  <c r="C114" i="104"/>
  <c r="C39" i="104"/>
  <c r="C77" i="104"/>
  <c r="C151" i="104"/>
  <c r="C25" i="104"/>
  <c r="C64" i="104"/>
  <c r="C170" i="104"/>
  <c r="C12" i="104"/>
  <c r="C131" i="104"/>
  <c r="C40" i="104"/>
  <c r="C55" i="104"/>
  <c r="C168" i="104"/>
  <c r="C72" i="104"/>
  <c r="C143" i="104"/>
  <c r="C142" i="104"/>
  <c r="C118" i="104"/>
  <c r="C104" i="104"/>
  <c r="C79" i="104"/>
  <c r="C122" i="104"/>
  <c r="C158" i="104"/>
  <c r="C141" i="104"/>
  <c r="C29" i="104"/>
  <c r="C138" i="104"/>
  <c r="C27" i="104"/>
  <c r="C65" i="104"/>
  <c r="C43" i="104"/>
  <c r="C97" i="104"/>
  <c r="C102" i="104"/>
  <c r="C21" i="104"/>
  <c r="C172" i="104"/>
  <c r="C82" i="104"/>
  <c r="C7" i="104"/>
  <c r="D247" i="46"/>
  <c r="A4" i="105"/>
  <c r="C5" i="97"/>
  <c r="H5" i="97" s="1"/>
  <c r="R3" i="109"/>
  <c r="J7" i="104"/>
  <c r="K7" i="104"/>
  <c r="J54" i="104"/>
  <c r="J92" i="104"/>
  <c r="J164" i="104"/>
  <c r="J42" i="104"/>
  <c r="J80" i="104"/>
  <c r="J140" i="104"/>
  <c r="J102" i="104"/>
  <c r="J128" i="104"/>
  <c r="J114" i="104"/>
  <c r="J126" i="104"/>
  <c r="J138" i="104"/>
  <c r="J19" i="104"/>
  <c r="J90" i="104"/>
  <c r="J44" i="104"/>
  <c r="J66" i="104"/>
  <c r="J162" i="104"/>
  <c r="J116" i="104"/>
  <c r="J78" i="104"/>
  <c r="J56" i="104"/>
  <c r="J15" i="104"/>
  <c r="J28" i="104"/>
  <c r="J40" i="104"/>
  <c r="J52" i="104"/>
  <c r="J124" i="104"/>
  <c r="J148" i="104"/>
  <c r="J160" i="104"/>
  <c r="J172" i="104"/>
  <c r="J30" i="104"/>
  <c r="J68" i="104"/>
  <c r="J152" i="104"/>
  <c r="J17" i="104"/>
  <c r="J150" i="104"/>
  <c r="J32" i="104"/>
  <c r="J67" i="104"/>
  <c r="J79" i="104"/>
  <c r="J91" i="104"/>
  <c r="J103" i="104"/>
  <c r="J115" i="104"/>
  <c r="J139" i="104"/>
  <c r="J104" i="104"/>
  <c r="J49" i="104"/>
  <c r="J95" i="104"/>
  <c r="J34" i="104"/>
  <c r="J35" i="104"/>
  <c r="J127" i="104"/>
  <c r="J173" i="104"/>
  <c r="J29" i="104"/>
  <c r="J39" i="104"/>
  <c r="J86" i="104"/>
  <c r="J37" i="104"/>
  <c r="J50" i="104"/>
  <c r="J72" i="104"/>
  <c r="J167" i="104"/>
  <c r="J25" i="104"/>
  <c r="J156" i="104"/>
  <c r="J163" i="104"/>
  <c r="J60" i="104"/>
  <c r="J96" i="104"/>
  <c r="J143" i="104"/>
  <c r="J118" i="104"/>
  <c r="J22" i="104"/>
  <c r="J55" i="104"/>
  <c r="J161" i="104"/>
  <c r="J16" i="104"/>
  <c r="J171" i="104"/>
  <c r="J27" i="104"/>
  <c r="J74" i="104"/>
  <c r="J169" i="104"/>
  <c r="J24" i="104"/>
  <c r="J38" i="104"/>
  <c r="J121" i="104"/>
  <c r="J84" i="104"/>
  <c r="J144" i="104"/>
  <c r="J20" i="104"/>
  <c r="J45" i="104"/>
  <c r="J71" i="104"/>
  <c r="J21" i="104"/>
  <c r="J153" i="104"/>
  <c r="J106" i="104"/>
  <c r="J107" i="104"/>
  <c r="J82" i="104"/>
  <c r="J10" i="104"/>
  <c r="J43" i="104"/>
  <c r="J149" i="104"/>
  <c r="J159" i="104"/>
  <c r="J14" i="104"/>
  <c r="J62" i="104"/>
  <c r="J157" i="104"/>
  <c r="J12" i="104"/>
  <c r="J113" i="104"/>
  <c r="J123" i="104"/>
  <c r="J99" i="104"/>
  <c r="J73" i="104"/>
  <c r="J108" i="104"/>
  <c r="J51" i="104"/>
  <c r="J70" i="104"/>
  <c r="J58" i="104"/>
  <c r="J59" i="104"/>
  <c r="J31" i="104"/>
  <c r="J137" i="104"/>
  <c r="J136" i="104"/>
  <c r="J147" i="104"/>
  <c r="J145" i="104"/>
  <c r="J105" i="104"/>
  <c r="J100" i="104"/>
  <c r="J170" i="104"/>
  <c r="J89" i="104"/>
  <c r="J146" i="104"/>
  <c r="J65" i="104"/>
  <c r="J41" i="104"/>
  <c r="J46" i="104"/>
  <c r="J168" i="104"/>
  <c r="J8" i="104"/>
  <c r="J130" i="104"/>
  <c r="J81" i="104"/>
  <c r="J18" i="104"/>
  <c r="J125" i="104"/>
  <c r="J112" i="104"/>
  <c r="J135" i="104"/>
  <c r="J133" i="104"/>
  <c r="J69" i="104"/>
  <c r="J131" i="104"/>
  <c r="J57" i="104"/>
  <c r="J63" i="104"/>
  <c r="J98" i="104"/>
  <c r="J33" i="104"/>
  <c r="J155" i="104"/>
  <c r="J94" i="104"/>
  <c r="J93" i="104"/>
  <c r="J101" i="104"/>
  <c r="J88" i="104"/>
  <c r="J111" i="104"/>
  <c r="J158" i="104"/>
  <c r="J13" i="104"/>
  <c r="J109" i="104"/>
  <c r="J141" i="104"/>
  <c r="J75" i="104"/>
  <c r="J165" i="104"/>
  <c r="J83" i="104"/>
  <c r="J47" i="104"/>
  <c r="J76" i="104"/>
  <c r="J97" i="104"/>
  <c r="J122" i="104"/>
  <c r="J110" i="104"/>
  <c r="J11" i="104"/>
  <c r="J142" i="104"/>
  <c r="J154" i="104"/>
  <c r="J166" i="104"/>
  <c r="J119" i="104"/>
  <c r="J132" i="104"/>
  <c r="J129" i="104"/>
  <c r="J77" i="104"/>
  <c r="J64" i="104"/>
  <c r="J87" i="104"/>
  <c r="J134" i="104"/>
  <c r="J85" i="104"/>
  <c r="J23" i="104"/>
  <c r="J53" i="104"/>
  <c r="J61" i="104"/>
  <c r="J117" i="104"/>
  <c r="J120" i="104"/>
  <c r="J48" i="104"/>
  <c r="J9" i="104"/>
  <c r="J36" i="104"/>
  <c r="J151" i="104"/>
  <c r="G5" i="107"/>
  <c r="S123" i="94"/>
  <c r="N7" i="94"/>
  <c r="M6" i="94"/>
  <c r="G6" i="94"/>
  <c r="R93" i="94"/>
  <c r="T27" i="198" l="1"/>
  <c r="T4" i="198" s="1"/>
  <c r="F71" i="104"/>
  <c r="J26" i="104"/>
  <c r="M26" i="104" s="1"/>
  <c r="C89" i="200"/>
  <c r="C88" i="200"/>
  <c r="F176" i="104"/>
  <c r="F157" i="104"/>
  <c r="E69" i="94" s="1"/>
  <c r="F57" i="104"/>
  <c r="F99" i="104"/>
  <c r="E11" i="94" s="1"/>
  <c r="G11" i="94" s="1"/>
  <c r="F177" i="104"/>
  <c r="F26" i="104"/>
  <c r="F48" i="104"/>
  <c r="F54" i="104"/>
  <c r="F178" i="104"/>
  <c r="T2" i="104"/>
  <c r="F12" i="103"/>
  <c r="F13" i="103" s="1"/>
  <c r="J12" i="103"/>
  <c r="J13" i="103" s="1"/>
  <c r="M178" i="104"/>
  <c r="F92" i="104"/>
  <c r="F97" i="104"/>
  <c r="E9" i="94" s="1"/>
  <c r="G9" i="94" s="1"/>
  <c r="M122" i="104"/>
  <c r="K34" i="94" s="1"/>
  <c r="M34" i="94" s="1"/>
  <c r="AG13" i="184"/>
  <c r="M59" i="104"/>
  <c r="M67" i="104"/>
  <c r="M38" i="104"/>
  <c r="M177" i="104"/>
  <c r="M176" i="104"/>
  <c r="F24" i="104"/>
  <c r="F159" i="104"/>
  <c r="E71" i="94" s="1"/>
  <c r="F143" i="104"/>
  <c r="E55" i="94" s="1"/>
  <c r="F41" i="104"/>
  <c r="F52" i="104"/>
  <c r="F67" i="104"/>
  <c r="F63" i="104"/>
  <c r="F126" i="104"/>
  <c r="E38" i="94" s="1"/>
  <c r="G38" i="94" s="1"/>
  <c r="F81" i="104"/>
  <c r="F31" i="104"/>
  <c r="F156" i="104"/>
  <c r="M24" i="104"/>
  <c r="M106" i="104"/>
  <c r="K18" i="94" s="1"/>
  <c r="M18" i="94" s="1"/>
  <c r="M175" i="104"/>
  <c r="F174" i="104"/>
  <c r="F108" i="104"/>
  <c r="F129" i="104"/>
  <c r="E41" i="94" s="1"/>
  <c r="G41" i="94" s="1"/>
  <c r="F17" i="104"/>
  <c r="F175" i="104"/>
  <c r="E87" i="94" s="1"/>
  <c r="F105" i="104"/>
  <c r="E17" i="94" s="1"/>
  <c r="G17" i="94" s="1"/>
  <c r="F116" i="104"/>
  <c r="E28" i="94" s="1"/>
  <c r="G28" i="94" s="1"/>
  <c r="F103" i="104"/>
  <c r="E15" i="94" s="1"/>
  <c r="G15" i="94" s="1"/>
  <c r="M174" i="104"/>
  <c r="M37" i="104"/>
  <c r="F161" i="104"/>
  <c r="E73" i="94" s="1"/>
  <c r="F112" i="104"/>
  <c r="E24" i="94" s="1"/>
  <c r="G24" i="94" s="1"/>
  <c r="F83" i="104"/>
  <c r="F136" i="104"/>
  <c r="E48" i="94" s="1"/>
  <c r="F135" i="104"/>
  <c r="AH11" i="184"/>
  <c r="F59" i="104"/>
  <c r="F168" i="104"/>
  <c r="E80" i="94" s="1"/>
  <c r="F120" i="104"/>
  <c r="E32" i="94" s="1"/>
  <c r="G32" i="94" s="1"/>
  <c r="F98" i="104"/>
  <c r="E10" i="94" s="1"/>
  <c r="G10" i="94" s="1"/>
  <c r="F61" i="104"/>
  <c r="F36" i="104"/>
  <c r="F247" i="46"/>
  <c r="AF3" i="114" s="1"/>
  <c r="AF26" i="114" s="1"/>
  <c r="AB3" i="114"/>
  <c r="AB26" i="114" s="1"/>
  <c r="F53" i="104"/>
  <c r="F117" i="104"/>
  <c r="E29" i="94" s="1"/>
  <c r="G29" i="94" s="1"/>
  <c r="F171" i="104"/>
  <c r="E83" i="94" s="1"/>
  <c r="F124" i="104"/>
  <c r="E36" i="94" s="1"/>
  <c r="G36" i="94" s="1"/>
  <c r="F44" i="104"/>
  <c r="M105" i="104"/>
  <c r="K17" i="94" s="1"/>
  <c r="M17" i="94" s="1"/>
  <c r="F139" i="104"/>
  <c r="E51" i="94" s="1"/>
  <c r="F72" i="104"/>
  <c r="F29" i="104"/>
  <c r="M144" i="104"/>
  <c r="M22" i="104"/>
  <c r="M54" i="104"/>
  <c r="F56" i="104"/>
  <c r="F79" i="104"/>
  <c r="F91" i="104"/>
  <c r="F88" i="104"/>
  <c r="F154" i="104"/>
  <c r="E66" i="94" s="1"/>
  <c r="F130" i="104"/>
  <c r="F38" i="104"/>
  <c r="F94" i="104"/>
  <c r="M41" i="104"/>
  <c r="F18" i="104"/>
  <c r="F133" i="104"/>
  <c r="E45" i="94" s="1"/>
  <c r="F80" i="104"/>
  <c r="F122" i="104"/>
  <c r="E34" i="94" s="1"/>
  <c r="G34" i="94" s="1"/>
  <c r="F138" i="104"/>
  <c r="E50" i="94" s="1"/>
  <c r="F95" i="104"/>
  <c r="E7" i="94" s="1"/>
  <c r="G7" i="94" s="1"/>
  <c r="F37" i="104"/>
  <c r="F158" i="104"/>
  <c r="F74" i="104"/>
  <c r="F90" i="104"/>
  <c r="F104" i="104"/>
  <c r="E16" i="94" s="1"/>
  <c r="G16" i="94" s="1"/>
  <c r="M131" i="104"/>
  <c r="K43" i="94" s="1"/>
  <c r="M43" i="94" s="1"/>
  <c r="M18" i="104"/>
  <c r="M147" i="104"/>
  <c r="M161" i="104"/>
  <c r="M53" i="104"/>
  <c r="M142" i="104"/>
  <c r="M115" i="104"/>
  <c r="K27" i="94" s="1"/>
  <c r="M27" i="94" s="1"/>
  <c r="M23" i="104"/>
  <c r="M90" i="104"/>
  <c r="M56" i="104"/>
  <c r="M133" i="104"/>
  <c r="M167" i="104"/>
  <c r="F169" i="104"/>
  <c r="E81" i="94" s="1"/>
  <c r="F119" i="104"/>
  <c r="E31" i="94" s="1"/>
  <c r="G31" i="94" s="1"/>
  <c r="F170" i="104"/>
  <c r="F20" i="104"/>
  <c r="F106" i="104"/>
  <c r="E18" i="94" s="1"/>
  <c r="G18" i="94" s="1"/>
  <c r="M61" i="104"/>
  <c r="M91" i="104"/>
  <c r="M31" i="104"/>
  <c r="M143" i="104"/>
  <c r="M138" i="104"/>
  <c r="M46" i="104"/>
  <c r="M65" i="104"/>
  <c r="M93" i="104"/>
  <c r="M73" i="104"/>
  <c r="M28" i="104"/>
  <c r="M128" i="104"/>
  <c r="K40" i="94" s="1"/>
  <c r="M40" i="94" s="1"/>
  <c r="M120" i="104"/>
  <c r="K32" i="94" s="1"/>
  <c r="M32" i="94" s="1"/>
  <c r="M153" i="104"/>
  <c r="M14" i="104"/>
  <c r="M155" i="104"/>
  <c r="M49" i="104"/>
  <c r="M58" i="104"/>
  <c r="M79" i="104"/>
  <c r="M40" i="104"/>
  <c r="M126" i="104"/>
  <c r="K38" i="94" s="1"/>
  <c r="M38" i="94" s="1"/>
  <c r="M82" i="104"/>
  <c r="M123" i="104"/>
  <c r="K35" i="94" s="1"/>
  <c r="M35" i="94" s="1"/>
  <c r="M141" i="104"/>
  <c r="M157" i="104"/>
  <c r="M104" i="104"/>
  <c r="K16" i="94" s="1"/>
  <c r="M16" i="94" s="1"/>
  <c r="M146" i="104"/>
  <c r="M44" i="104"/>
  <c r="M51" i="104"/>
  <c r="M121" i="104"/>
  <c r="K33" i="94" s="1"/>
  <c r="M33" i="94" s="1"/>
  <c r="M29" i="104"/>
  <c r="M112" i="104"/>
  <c r="K24" i="94" s="1"/>
  <c r="M24" i="94" s="1"/>
  <c r="M108" i="104"/>
  <c r="K20" i="94" s="1"/>
  <c r="M20" i="94" s="1"/>
  <c r="M10" i="104"/>
  <c r="M160" i="104"/>
  <c r="M114" i="104"/>
  <c r="K26" i="94" s="1"/>
  <c r="M26" i="94" s="1"/>
  <c r="M25" i="104"/>
  <c r="M45" i="104"/>
  <c r="M94" i="104"/>
  <c r="M102" i="104"/>
  <c r="K14" i="94" s="1"/>
  <c r="M14" i="94" s="1"/>
  <c r="I53" i="157"/>
  <c r="E2" i="114"/>
  <c r="D75" i="107"/>
  <c r="F75" i="107" s="1"/>
  <c r="D169" i="107"/>
  <c r="F169" i="107" s="1"/>
  <c r="D39" i="107"/>
  <c r="F39" i="107" s="1"/>
  <c r="D67" i="107"/>
  <c r="F67" i="107" s="1"/>
  <c r="D138" i="107"/>
  <c r="F138" i="107" s="1"/>
  <c r="D157" i="107"/>
  <c r="F157" i="107" s="1"/>
  <c r="D167" i="107"/>
  <c r="F167" i="107" s="1"/>
  <c r="D13" i="107"/>
  <c r="F13" i="107" s="1"/>
  <c r="D34" i="107"/>
  <c r="F34" i="107" s="1"/>
  <c r="D113" i="107"/>
  <c r="F113" i="107" s="1"/>
  <c r="D107" i="107"/>
  <c r="F107" i="107" s="1"/>
  <c r="D60" i="107"/>
  <c r="F60" i="107" s="1"/>
  <c r="D143" i="107"/>
  <c r="F143" i="107" s="1"/>
  <c r="D152" i="107"/>
  <c r="F152" i="107" s="1"/>
  <c r="D82" i="107"/>
  <c r="F82" i="107" s="1"/>
  <c r="D56" i="107"/>
  <c r="F56" i="107" s="1"/>
  <c r="D61" i="107"/>
  <c r="F61" i="107" s="1"/>
  <c r="D100" i="107"/>
  <c r="F100" i="107" s="1"/>
  <c r="D16" i="107"/>
  <c r="F16" i="107" s="1"/>
  <c r="D121" i="107"/>
  <c r="F121" i="107" s="1"/>
  <c r="D78" i="107"/>
  <c r="F78" i="107" s="1"/>
  <c r="D48" i="107"/>
  <c r="F48" i="107" s="1"/>
  <c r="D68" i="107"/>
  <c r="F68" i="107" s="1"/>
  <c r="D101" i="107"/>
  <c r="F101" i="107" s="1"/>
  <c r="D141" i="107"/>
  <c r="F141" i="107" s="1"/>
  <c r="D134" i="107"/>
  <c r="F134" i="107" s="1"/>
  <c r="D65" i="107"/>
  <c r="F65" i="107" s="1"/>
  <c r="D38" i="107"/>
  <c r="F38" i="107" s="1"/>
  <c r="D133" i="107"/>
  <c r="F133" i="107" s="1"/>
  <c r="D115" i="107"/>
  <c r="F115" i="107" s="1"/>
  <c r="D8" i="107"/>
  <c r="F8" i="107" s="1"/>
  <c r="D155" i="107"/>
  <c r="F155" i="107" s="1"/>
  <c r="D127" i="107"/>
  <c r="F127" i="107" s="1"/>
  <c r="D71" i="107"/>
  <c r="F71" i="107" s="1"/>
  <c r="D131" i="107"/>
  <c r="F131" i="107" s="1"/>
  <c r="D168" i="107"/>
  <c r="F168" i="107" s="1"/>
  <c r="D35" i="107"/>
  <c r="F35" i="107" s="1"/>
  <c r="D122" i="107"/>
  <c r="F122" i="107" s="1"/>
  <c r="D160" i="107"/>
  <c r="F160" i="107" s="1"/>
  <c r="D165" i="107"/>
  <c r="F165" i="107" s="1"/>
  <c r="D50" i="107"/>
  <c r="F50" i="107" s="1"/>
  <c r="D136" i="107"/>
  <c r="F136" i="107" s="1"/>
  <c r="D156" i="107"/>
  <c r="F156" i="107" s="1"/>
  <c r="D24" i="107"/>
  <c r="F24" i="107" s="1"/>
  <c r="D57" i="107"/>
  <c r="F57" i="107" s="1"/>
  <c r="D19" i="107"/>
  <c r="F19" i="107" s="1"/>
  <c r="D103" i="107"/>
  <c r="F103" i="107" s="1"/>
  <c r="D92" i="107"/>
  <c r="F92" i="107" s="1"/>
  <c r="D171" i="107"/>
  <c r="F171" i="107" s="1"/>
  <c r="D170" i="107"/>
  <c r="F170" i="107" s="1"/>
  <c r="D158" i="107"/>
  <c r="F158" i="107" s="1"/>
  <c r="D145" i="107"/>
  <c r="F145" i="107" s="1"/>
  <c r="D44" i="107"/>
  <c r="F44" i="107" s="1"/>
  <c r="D62" i="107"/>
  <c r="F62" i="107" s="1"/>
  <c r="D26" i="107"/>
  <c r="F26" i="107" s="1"/>
  <c r="D28" i="107"/>
  <c r="F28" i="107" s="1"/>
  <c r="D140" i="107"/>
  <c r="F140" i="107" s="1"/>
  <c r="D118" i="107"/>
  <c r="F118" i="107" s="1"/>
  <c r="D93" i="107"/>
  <c r="F93" i="107" s="1"/>
  <c r="D85" i="107"/>
  <c r="F85" i="107" s="1"/>
  <c r="D98" i="107"/>
  <c r="F98" i="107" s="1"/>
  <c r="D148" i="107"/>
  <c r="F148" i="107" s="1"/>
  <c r="D25" i="107"/>
  <c r="F25" i="107" s="1"/>
  <c r="D96" i="107"/>
  <c r="F96" i="107" s="1"/>
  <c r="D132" i="107"/>
  <c r="F132" i="107" s="1"/>
  <c r="D51" i="107"/>
  <c r="F51" i="107" s="1"/>
  <c r="D164" i="107"/>
  <c r="F164" i="107" s="1"/>
  <c r="D90" i="107"/>
  <c r="D22" i="107"/>
  <c r="F22" i="107" s="1"/>
  <c r="D105" i="107"/>
  <c r="F105" i="107" s="1"/>
  <c r="D163" i="107"/>
  <c r="F163" i="107" s="1"/>
  <c r="D142" i="107"/>
  <c r="F142" i="107" s="1"/>
  <c r="D14" i="107"/>
  <c r="F14" i="107" s="1"/>
  <c r="D95" i="107"/>
  <c r="F95" i="107" s="1"/>
  <c r="D11" i="107"/>
  <c r="F11" i="107" s="1"/>
  <c r="D29" i="107"/>
  <c r="F29" i="107" s="1"/>
  <c r="D23" i="107"/>
  <c r="F23" i="107" s="1"/>
  <c r="D89" i="107"/>
  <c r="F89" i="107" s="1"/>
  <c r="D146" i="107"/>
  <c r="F146" i="107" s="1"/>
  <c r="D20" i="107"/>
  <c r="F20" i="107" s="1"/>
  <c r="D94" i="107"/>
  <c r="F94" i="107" s="1"/>
  <c r="D53" i="107"/>
  <c r="F53" i="107" s="1"/>
  <c r="D73" i="107"/>
  <c r="F73" i="107" s="1"/>
  <c r="D36" i="107"/>
  <c r="F36" i="107" s="1"/>
  <c r="D43" i="107"/>
  <c r="F43" i="107" s="1"/>
  <c r="D41" i="107"/>
  <c r="F41" i="107" s="1"/>
  <c r="D123" i="107"/>
  <c r="F123" i="107" s="1"/>
  <c r="D81" i="107"/>
  <c r="F81" i="107" s="1"/>
  <c r="D109" i="107"/>
  <c r="F109" i="107" s="1"/>
  <c r="D27" i="107"/>
  <c r="F27" i="107" s="1"/>
  <c r="D154" i="107"/>
  <c r="F154" i="107" s="1"/>
  <c r="D99" i="107"/>
  <c r="F99" i="107" s="1"/>
  <c r="D66" i="107"/>
  <c r="F66" i="107" s="1"/>
  <c r="D86" i="107"/>
  <c r="F86" i="107" s="1"/>
  <c r="D130" i="107"/>
  <c r="F130" i="107" s="1"/>
  <c r="D139" i="107"/>
  <c r="F139" i="107" s="1"/>
  <c r="D149" i="107"/>
  <c r="F149" i="107" s="1"/>
  <c r="D9" i="107"/>
  <c r="F9" i="107" s="1"/>
  <c r="D7" i="107"/>
  <c r="F7" i="107" s="1"/>
  <c r="D70" i="107"/>
  <c r="F70" i="107" s="1"/>
  <c r="D69" i="107"/>
  <c r="F69" i="107" s="1"/>
  <c r="D162" i="107"/>
  <c r="F162" i="107" s="1"/>
  <c r="D18" i="107"/>
  <c r="F18" i="107" s="1"/>
  <c r="D137" i="107"/>
  <c r="F137" i="107" s="1"/>
  <c r="D159" i="107"/>
  <c r="F159" i="107" s="1"/>
  <c r="D124" i="107"/>
  <c r="F124" i="107" s="1"/>
  <c r="D76" i="107"/>
  <c r="F76" i="107" s="1"/>
  <c r="D33" i="107"/>
  <c r="F33" i="107" s="1"/>
  <c r="D31" i="107"/>
  <c r="F31" i="107" s="1"/>
  <c r="D150" i="107"/>
  <c r="F150" i="107" s="1"/>
  <c r="D116" i="107"/>
  <c r="F116" i="107" s="1"/>
  <c r="D63" i="107"/>
  <c r="F63" i="107" s="1"/>
  <c r="D161" i="107"/>
  <c r="F161" i="107" s="1"/>
  <c r="D17" i="107"/>
  <c r="F17" i="107" s="1"/>
  <c r="D112" i="107"/>
  <c r="F112" i="107" s="1"/>
  <c r="D84" i="107"/>
  <c r="F84" i="107" s="1"/>
  <c r="D12" i="107"/>
  <c r="F12" i="107" s="1"/>
  <c r="D126" i="107"/>
  <c r="F126" i="107" s="1"/>
  <c r="D120" i="107"/>
  <c r="F120" i="107" s="1"/>
  <c r="D135" i="107"/>
  <c r="F135" i="107" s="1"/>
  <c r="D32" i="107"/>
  <c r="F32" i="107" s="1"/>
  <c r="D21" i="107"/>
  <c r="F21" i="107" s="1"/>
  <c r="D128" i="107"/>
  <c r="F128" i="107" s="1"/>
  <c r="D91" i="107"/>
  <c r="F91" i="107" s="1"/>
  <c r="D15" i="107"/>
  <c r="F15" i="107" s="1"/>
  <c r="D58" i="107"/>
  <c r="F58" i="107" s="1"/>
  <c r="D166" i="107"/>
  <c r="F166" i="107" s="1"/>
  <c r="D55" i="107"/>
  <c r="F55" i="107" s="1"/>
  <c r="D125" i="107"/>
  <c r="F125" i="107" s="1"/>
  <c r="D42" i="107"/>
  <c r="F42" i="107" s="1"/>
  <c r="D110" i="107"/>
  <c r="F110" i="107" s="1"/>
  <c r="D97" i="107"/>
  <c r="F97" i="107" s="1"/>
  <c r="D87" i="107"/>
  <c r="F87" i="107" s="1"/>
  <c r="D114" i="107"/>
  <c r="F114" i="107" s="1"/>
  <c r="D74" i="107"/>
  <c r="F74" i="107" s="1"/>
  <c r="D108" i="107"/>
  <c r="F108" i="107" s="1"/>
  <c r="D147" i="107"/>
  <c r="F147" i="107" s="1"/>
  <c r="D37" i="107"/>
  <c r="F37" i="107" s="1"/>
  <c r="D106" i="107"/>
  <c r="F106" i="107" s="1"/>
  <c r="D88" i="107"/>
  <c r="F88" i="107" s="1"/>
  <c r="D52" i="107"/>
  <c r="F52" i="107" s="1"/>
  <c r="D49" i="107"/>
  <c r="F49" i="107" s="1"/>
  <c r="D102" i="107"/>
  <c r="F102" i="107" s="1"/>
  <c r="D80" i="107"/>
  <c r="F80" i="107" s="1"/>
  <c r="D129" i="107"/>
  <c r="F129" i="107" s="1"/>
  <c r="D59" i="107"/>
  <c r="F59" i="107" s="1"/>
  <c r="D46" i="107"/>
  <c r="F46" i="107" s="1"/>
  <c r="D45" i="107"/>
  <c r="F45" i="107" s="1"/>
  <c r="D54" i="107"/>
  <c r="F54" i="107" s="1"/>
  <c r="D30" i="107"/>
  <c r="F30" i="107" s="1"/>
  <c r="D6" i="107"/>
  <c r="F6" i="107" s="1"/>
  <c r="D104" i="107"/>
  <c r="F104" i="107" s="1"/>
  <c r="D40" i="107"/>
  <c r="F40" i="107" s="1"/>
  <c r="D77" i="107"/>
  <c r="F77" i="107" s="1"/>
  <c r="D79" i="107"/>
  <c r="F79" i="107" s="1"/>
  <c r="D111" i="107"/>
  <c r="F111" i="107" s="1"/>
  <c r="D119" i="107"/>
  <c r="F119" i="107" s="1"/>
  <c r="D10" i="107"/>
  <c r="F10" i="107" s="1"/>
  <c r="D153" i="107"/>
  <c r="F153" i="107" s="1"/>
  <c r="D144" i="107"/>
  <c r="F144" i="107" s="1"/>
  <c r="D117" i="107"/>
  <c r="F117" i="107" s="1"/>
  <c r="D151" i="107"/>
  <c r="F151" i="107" s="1"/>
  <c r="D83" i="107"/>
  <c r="F83" i="107" s="1"/>
  <c r="D47" i="107"/>
  <c r="F47" i="107" s="1"/>
  <c r="D64" i="107"/>
  <c r="F64" i="107" s="1"/>
  <c r="D72" i="107"/>
  <c r="F72" i="107" s="1"/>
  <c r="M36" i="104"/>
  <c r="M70" i="104"/>
  <c r="M124" i="104"/>
  <c r="K36" i="94" s="1"/>
  <c r="M36" i="94" s="1"/>
  <c r="G71" i="157"/>
  <c r="G70" i="157"/>
  <c r="I34" i="97"/>
  <c r="K34" i="97" s="1"/>
  <c r="I46" i="97"/>
  <c r="K46" i="97" s="1"/>
  <c r="I58" i="97"/>
  <c r="K58" i="97" s="1"/>
  <c r="I70" i="97"/>
  <c r="K70" i="97" s="1"/>
  <c r="I82" i="97"/>
  <c r="K82" i="97" s="1"/>
  <c r="I15" i="97"/>
  <c r="K15" i="97" s="1"/>
  <c r="I27" i="97"/>
  <c r="K27" i="97" s="1"/>
  <c r="D38" i="97"/>
  <c r="F38" i="97" s="1"/>
  <c r="D50" i="97"/>
  <c r="F50" i="97" s="1"/>
  <c r="D62" i="97"/>
  <c r="F62" i="97" s="1"/>
  <c r="D74" i="97"/>
  <c r="F74" i="97" s="1"/>
  <c r="I35" i="97"/>
  <c r="K35" i="97" s="1"/>
  <c r="I47" i="97"/>
  <c r="K47" i="97" s="1"/>
  <c r="I59" i="97"/>
  <c r="K59" i="97" s="1"/>
  <c r="I71" i="97"/>
  <c r="K71" i="97" s="1"/>
  <c r="I83" i="97"/>
  <c r="K83" i="97" s="1"/>
  <c r="I16" i="97"/>
  <c r="K16" i="97" s="1"/>
  <c r="I28" i="97"/>
  <c r="K28" i="97" s="1"/>
  <c r="D39" i="97"/>
  <c r="F39" i="97" s="1"/>
  <c r="D51" i="97"/>
  <c r="F51" i="97" s="1"/>
  <c r="D63" i="97"/>
  <c r="F63" i="97" s="1"/>
  <c r="D75" i="97"/>
  <c r="F75" i="97" s="1"/>
  <c r="D8" i="97"/>
  <c r="F8" i="97" s="1"/>
  <c r="D20" i="97"/>
  <c r="F20" i="97" s="1"/>
  <c r="I48" i="97"/>
  <c r="K48" i="97" s="1"/>
  <c r="I60" i="97"/>
  <c r="K60" i="97" s="1"/>
  <c r="I84" i="97"/>
  <c r="K84" i="97" s="1"/>
  <c r="I29" i="97"/>
  <c r="K29" i="97" s="1"/>
  <c r="D40" i="97"/>
  <c r="F40" i="97" s="1"/>
  <c r="D64" i="97"/>
  <c r="F64" i="97" s="1"/>
  <c r="D9" i="97"/>
  <c r="F9" i="97" s="1"/>
  <c r="I36" i="97"/>
  <c r="K36" i="97" s="1"/>
  <c r="I72" i="97"/>
  <c r="K72" i="97" s="1"/>
  <c r="I17" i="97"/>
  <c r="K17" i="97" s="1"/>
  <c r="D52" i="97"/>
  <c r="F52" i="97" s="1"/>
  <c r="D76" i="97"/>
  <c r="F76" i="97" s="1"/>
  <c r="D21" i="97"/>
  <c r="F21" i="97" s="1"/>
  <c r="D61" i="97"/>
  <c r="F61" i="97" s="1"/>
  <c r="D7" i="97"/>
  <c r="F7" i="97" s="1"/>
  <c r="I37" i="97"/>
  <c r="K37" i="97" s="1"/>
  <c r="I49" i="97"/>
  <c r="K49" i="97" s="1"/>
  <c r="I61" i="97"/>
  <c r="K61" i="97" s="1"/>
  <c r="I73" i="97"/>
  <c r="K73" i="97" s="1"/>
  <c r="I85" i="97"/>
  <c r="K85" i="97" s="1"/>
  <c r="I18" i="97"/>
  <c r="K18" i="97" s="1"/>
  <c r="D29" i="97"/>
  <c r="F29" i="97" s="1"/>
  <c r="D41" i="97"/>
  <c r="F41" i="97" s="1"/>
  <c r="D53" i="97"/>
  <c r="F53" i="97" s="1"/>
  <c r="D65" i="97"/>
  <c r="F65" i="97" s="1"/>
  <c r="D77" i="97"/>
  <c r="F77" i="97" s="1"/>
  <c r="D10" i="97"/>
  <c r="F10" i="97" s="1"/>
  <c r="D22" i="97"/>
  <c r="F22" i="97" s="1"/>
  <c r="I38" i="97"/>
  <c r="K38" i="97" s="1"/>
  <c r="I50" i="97"/>
  <c r="K50" i="97" s="1"/>
  <c r="I62" i="97"/>
  <c r="K62" i="97" s="1"/>
  <c r="I74" i="97"/>
  <c r="K74" i="97" s="1"/>
  <c r="I7" i="97"/>
  <c r="K7" i="97" s="1"/>
  <c r="I19" i="97"/>
  <c r="K19" i="97" s="1"/>
  <c r="D30" i="97"/>
  <c r="F30" i="97" s="1"/>
  <c r="D42" i="97"/>
  <c r="F42" i="97" s="1"/>
  <c r="D54" i="97"/>
  <c r="F54" i="97" s="1"/>
  <c r="D66" i="97"/>
  <c r="F66" i="97" s="1"/>
  <c r="D78" i="97"/>
  <c r="F78" i="97" s="1"/>
  <c r="D11" i="97"/>
  <c r="F11" i="97" s="1"/>
  <c r="D23" i="97"/>
  <c r="F23" i="97" s="1"/>
  <c r="D83" i="97"/>
  <c r="F83" i="97" s="1"/>
  <c r="I68" i="97"/>
  <c r="K68" i="97" s="1"/>
  <c r="D36" i="97"/>
  <c r="F36" i="97" s="1"/>
  <c r="D84" i="97"/>
  <c r="F84" i="97" s="1"/>
  <c r="I57" i="97"/>
  <c r="K57" i="97" s="1"/>
  <c r="I14" i="97"/>
  <c r="K14" i="97" s="1"/>
  <c r="I39" i="97"/>
  <c r="K39" i="97" s="1"/>
  <c r="I51" i="97"/>
  <c r="K51" i="97" s="1"/>
  <c r="I63" i="97"/>
  <c r="K63" i="97" s="1"/>
  <c r="I75" i="97"/>
  <c r="K75" i="97" s="1"/>
  <c r="I8" i="97"/>
  <c r="K8" i="97" s="1"/>
  <c r="I20" i="97"/>
  <c r="K20" i="97" s="1"/>
  <c r="D31" i="97"/>
  <c r="F31" i="97" s="1"/>
  <c r="D43" i="97"/>
  <c r="F43" i="97" s="1"/>
  <c r="D55" i="97"/>
  <c r="F55" i="97" s="1"/>
  <c r="D67" i="97"/>
  <c r="F67" i="97" s="1"/>
  <c r="D79" i="97"/>
  <c r="F79" i="97" s="1"/>
  <c r="D12" i="97"/>
  <c r="F12" i="97" s="1"/>
  <c r="D24" i="97"/>
  <c r="F24" i="97" s="1"/>
  <c r="I23" i="97"/>
  <c r="K23" i="97" s="1"/>
  <c r="D82" i="97"/>
  <c r="F82" i="97" s="1"/>
  <c r="I25" i="97"/>
  <c r="K25" i="97" s="1"/>
  <c r="I69" i="97"/>
  <c r="K69" i="97" s="1"/>
  <c r="D73" i="97"/>
  <c r="F73" i="97" s="1"/>
  <c r="I40" i="97"/>
  <c r="K40" i="97" s="1"/>
  <c r="I52" i="97"/>
  <c r="K52" i="97" s="1"/>
  <c r="I64" i="97"/>
  <c r="K64" i="97" s="1"/>
  <c r="I76" i="97"/>
  <c r="K76" i="97" s="1"/>
  <c r="I9" i="97"/>
  <c r="K9" i="97" s="1"/>
  <c r="I21" i="97"/>
  <c r="K21" i="97" s="1"/>
  <c r="D32" i="97"/>
  <c r="F32" i="97" s="1"/>
  <c r="D44" i="97"/>
  <c r="F44" i="97" s="1"/>
  <c r="D56" i="97"/>
  <c r="F56" i="97" s="1"/>
  <c r="D68" i="97"/>
  <c r="F68" i="97" s="1"/>
  <c r="D80" i="97"/>
  <c r="F80" i="97" s="1"/>
  <c r="D13" i="97"/>
  <c r="F13" i="97" s="1"/>
  <c r="D25" i="97"/>
  <c r="F25" i="97" s="1"/>
  <c r="I11" i="97"/>
  <c r="K11" i="97" s="1"/>
  <c r="D58" i="97"/>
  <c r="F58" i="97" s="1"/>
  <c r="I31" i="97"/>
  <c r="K31" i="97" s="1"/>
  <c r="I67" i="97"/>
  <c r="K67" i="97" s="1"/>
  <c r="I24" i="97"/>
  <c r="K24" i="97" s="1"/>
  <c r="D47" i="97"/>
  <c r="F47" i="97" s="1"/>
  <c r="D16" i="97"/>
  <c r="F16" i="97" s="1"/>
  <c r="I44" i="97"/>
  <c r="K44" i="97" s="1"/>
  <c r="I13" i="97"/>
  <c r="K13" i="97" s="1"/>
  <c r="D72" i="97"/>
  <c r="F72" i="97" s="1"/>
  <c r="I45" i="97"/>
  <c r="K45" i="97" s="1"/>
  <c r="I26" i="97"/>
  <c r="K26" i="97" s="1"/>
  <c r="D85" i="97"/>
  <c r="F85" i="97" s="1"/>
  <c r="D19" i="97"/>
  <c r="F19" i="97" s="1"/>
  <c r="I41" i="97"/>
  <c r="K41" i="97" s="1"/>
  <c r="I53" i="97"/>
  <c r="K53" i="97" s="1"/>
  <c r="I65" i="97"/>
  <c r="K65" i="97" s="1"/>
  <c r="I77" i="97"/>
  <c r="K77" i="97" s="1"/>
  <c r="I10" i="97"/>
  <c r="K10" i="97" s="1"/>
  <c r="I22" i="97"/>
  <c r="K22" i="97" s="1"/>
  <c r="D33" i="97"/>
  <c r="F33" i="97" s="1"/>
  <c r="D45" i="97"/>
  <c r="F45" i="97" s="1"/>
  <c r="D57" i="97"/>
  <c r="F57" i="97" s="1"/>
  <c r="D69" i="97"/>
  <c r="F69" i="97" s="1"/>
  <c r="D81" i="97"/>
  <c r="F81" i="97" s="1"/>
  <c r="D14" i="97"/>
  <c r="F14" i="97" s="1"/>
  <c r="D26" i="97"/>
  <c r="F26" i="97" s="1"/>
  <c r="D34" i="97"/>
  <c r="F34" i="97" s="1"/>
  <c r="D15" i="97"/>
  <c r="F15" i="97" s="1"/>
  <c r="I43" i="97"/>
  <c r="K43" i="97" s="1"/>
  <c r="I79" i="97"/>
  <c r="K79" i="97" s="1"/>
  <c r="D35" i="97"/>
  <c r="F35" i="97" s="1"/>
  <c r="D71" i="97"/>
  <c r="F71" i="97" s="1"/>
  <c r="I32" i="97"/>
  <c r="K32" i="97" s="1"/>
  <c r="I80" i="97"/>
  <c r="K80" i="97" s="1"/>
  <c r="D60" i="97"/>
  <c r="F60" i="97" s="1"/>
  <c r="I33" i="97"/>
  <c r="K33" i="97" s="1"/>
  <c r="D37" i="97"/>
  <c r="F37" i="97" s="1"/>
  <c r="D18" i="97"/>
  <c r="F18" i="97" s="1"/>
  <c r="I30" i="97"/>
  <c r="K30" i="97" s="1"/>
  <c r="I42" i="97"/>
  <c r="K42" i="97" s="1"/>
  <c r="I54" i="97"/>
  <c r="K54" i="97" s="1"/>
  <c r="I66" i="97"/>
  <c r="K66" i="97" s="1"/>
  <c r="I78" i="97"/>
  <c r="K78" i="97" s="1"/>
  <c r="D46" i="97"/>
  <c r="F46" i="97" s="1"/>
  <c r="D70" i="97"/>
  <c r="F70" i="97" s="1"/>
  <c r="D27" i="97"/>
  <c r="F27" i="97" s="1"/>
  <c r="I55" i="97"/>
  <c r="K55" i="97" s="1"/>
  <c r="I12" i="97"/>
  <c r="K12" i="97" s="1"/>
  <c r="D59" i="97"/>
  <c r="F59" i="97" s="1"/>
  <c r="D28" i="97"/>
  <c r="F28" i="97" s="1"/>
  <c r="I56" i="97"/>
  <c r="K56" i="97" s="1"/>
  <c r="D48" i="97"/>
  <c r="F48" i="97" s="1"/>
  <c r="D17" i="97"/>
  <c r="F17" i="97" s="1"/>
  <c r="I81" i="97"/>
  <c r="K81" i="97" s="1"/>
  <c r="D49" i="97"/>
  <c r="F49" i="97" s="1"/>
  <c r="M84" i="104"/>
  <c r="M134" i="104"/>
  <c r="M96" i="104"/>
  <c r="K8" i="94" s="1"/>
  <c r="M8" i="94" s="1"/>
  <c r="M109" i="104"/>
  <c r="K21" i="94" s="1"/>
  <c r="M21" i="94" s="1"/>
  <c r="M149" i="104"/>
  <c r="M107" i="104"/>
  <c r="K19" i="94" s="1"/>
  <c r="M19" i="94" s="1"/>
  <c r="M168" i="104"/>
  <c r="M15" i="104"/>
  <c r="M50" i="104"/>
  <c r="M165" i="104"/>
  <c r="M27" i="104"/>
  <c r="M97" i="104"/>
  <c r="K9" i="94" s="1"/>
  <c r="M9" i="94" s="1"/>
  <c r="M101" i="104"/>
  <c r="K13" i="94" s="1"/>
  <c r="M13" i="94" s="1"/>
  <c r="M170" i="104"/>
  <c r="M151" i="104"/>
  <c r="M60" i="104"/>
  <c r="M127" i="104"/>
  <c r="K39" i="94" s="1"/>
  <c r="M39" i="94" s="1"/>
  <c r="M32" i="104"/>
  <c r="M118" i="104"/>
  <c r="K30" i="94" s="1"/>
  <c r="M30" i="94" s="1"/>
  <c r="M129" i="104"/>
  <c r="K41" i="94" s="1"/>
  <c r="M41" i="94" s="1"/>
  <c r="M156" i="104"/>
  <c r="M166" i="104"/>
  <c r="M39" i="104"/>
  <c r="M136" i="104"/>
  <c r="M80" i="104"/>
  <c r="M63" i="104"/>
  <c r="M117" i="104"/>
  <c r="K29" i="94" s="1"/>
  <c r="M29" i="94" s="1"/>
  <c r="M35" i="104"/>
  <c r="F118" i="104"/>
  <c r="E30" i="94" s="1"/>
  <c r="G30" i="94" s="1"/>
  <c r="F62" i="104"/>
  <c r="M57" i="104"/>
  <c r="F27" i="104"/>
  <c r="F68" i="104"/>
  <c r="F15" i="104"/>
  <c r="F11" i="104"/>
  <c r="F165" i="104"/>
  <c r="E77" i="94" s="1"/>
  <c r="F49" i="104"/>
  <c r="F85" i="104"/>
  <c r="F125" i="104"/>
  <c r="E37" i="94" s="1"/>
  <c r="G37" i="94" s="1"/>
  <c r="F146" i="104"/>
  <c r="E58" i="94" s="1"/>
  <c r="F45" i="104"/>
  <c r="F30" i="104"/>
  <c r="F96" i="104"/>
  <c r="E8" i="94" s="1"/>
  <c r="G8" i="94" s="1"/>
  <c r="M98" i="104"/>
  <c r="K10" i="94" s="1"/>
  <c r="M10" i="94" s="1"/>
  <c r="F123" i="104"/>
  <c r="E35" i="94" s="1"/>
  <c r="G35" i="94" s="1"/>
  <c r="F141" i="104"/>
  <c r="E53" i="94" s="1"/>
  <c r="F163" i="104"/>
  <c r="E75" i="94" s="1"/>
  <c r="M12" i="104"/>
  <c r="M113" i="104"/>
  <c r="K25" i="94" s="1"/>
  <c r="M25" i="94" s="1"/>
  <c r="M163" i="104"/>
  <c r="F51" i="104"/>
  <c r="M87" i="104"/>
  <c r="M173" i="104"/>
  <c r="F7" i="104"/>
  <c r="M150" i="104"/>
  <c r="M172" i="104"/>
  <c r="M77" i="104"/>
  <c r="M66" i="104"/>
  <c r="M64" i="104"/>
  <c r="M125" i="104"/>
  <c r="K37" i="94" s="1"/>
  <c r="M37" i="94" s="1"/>
  <c r="F23" i="104"/>
  <c r="F110" i="104"/>
  <c r="E22" i="94" s="1"/>
  <c r="G22" i="94" s="1"/>
  <c r="M95" i="104"/>
  <c r="K7" i="94" s="1"/>
  <c r="M7" i="94" s="1"/>
  <c r="M130" i="104"/>
  <c r="K42" i="94" s="1"/>
  <c r="M42" i="94" s="1"/>
  <c r="M62" i="104"/>
  <c r="M111" i="104"/>
  <c r="K23" i="94" s="1"/>
  <c r="M23" i="94" s="1"/>
  <c r="F137" i="104"/>
  <c r="M171" i="104"/>
  <c r="M116" i="104"/>
  <c r="K28" i="94" s="1"/>
  <c r="M28" i="94" s="1"/>
  <c r="M71" i="104"/>
  <c r="M30" i="104"/>
  <c r="M42" i="104"/>
  <c r="M19" i="104"/>
  <c r="F42" i="104"/>
  <c r="F43" i="104"/>
  <c r="F33" i="104"/>
  <c r="M20" i="104"/>
  <c r="M55" i="104"/>
  <c r="M92" i="104"/>
  <c r="M154" i="104"/>
  <c r="M132" i="104"/>
  <c r="K44" i="94" s="1"/>
  <c r="M44" i="94" s="1"/>
  <c r="M140" i="104"/>
  <c r="M17" i="104"/>
  <c r="F14" i="104"/>
  <c r="F12" i="104"/>
  <c r="M11" i="104"/>
  <c r="M148" i="104"/>
  <c r="F28" i="104"/>
  <c r="F25" i="104"/>
  <c r="F93" i="104"/>
  <c r="F84" i="104"/>
  <c r="F50" i="104"/>
  <c r="M169" i="104"/>
  <c r="M99" i="104"/>
  <c r="K11" i="94" s="1"/>
  <c r="M11" i="94" s="1"/>
  <c r="M48" i="104"/>
  <c r="M145" i="104"/>
  <c r="M83" i="104"/>
  <c r="M78" i="104"/>
  <c r="M9" i="104"/>
  <c r="M81" i="104"/>
  <c r="F46" i="104"/>
  <c r="F76" i="104"/>
  <c r="F173" i="104"/>
  <c r="F107" i="104"/>
  <c r="E19" i="94" s="1"/>
  <c r="G19" i="94" s="1"/>
  <c r="M88" i="104"/>
  <c r="M47" i="104"/>
  <c r="M135" i="104"/>
  <c r="M139" i="104"/>
  <c r="F111" i="104"/>
  <c r="E23" i="94" s="1"/>
  <c r="G23" i="94" s="1"/>
  <c r="F19" i="104"/>
  <c r="F47" i="104"/>
  <c r="F9" i="104"/>
  <c r="F40" i="104"/>
  <c r="F127" i="104"/>
  <c r="E39" i="94" s="1"/>
  <c r="G39" i="94" s="1"/>
  <c r="P13" i="109" s="1"/>
  <c r="F150" i="104"/>
  <c r="F66" i="104"/>
  <c r="F70" i="104"/>
  <c r="F39" i="104"/>
  <c r="F131" i="104"/>
  <c r="E43" i="94" s="1"/>
  <c r="F155" i="104"/>
  <c r="E67" i="94" s="1"/>
  <c r="F21" i="104"/>
  <c r="F75" i="104"/>
  <c r="F145" i="104"/>
  <c r="F16" i="104"/>
  <c r="F64" i="104"/>
  <c r="F86" i="104"/>
  <c r="F164" i="104"/>
  <c r="M137" i="104"/>
  <c r="M16" i="104"/>
  <c r="M72" i="104"/>
  <c r="M162" i="104"/>
  <c r="F102" i="104"/>
  <c r="E14" i="94" s="1"/>
  <c r="G14" i="94" s="1"/>
  <c r="P11" i="109" s="1"/>
  <c r="F100" i="104"/>
  <c r="E12" i="94" s="1"/>
  <c r="G12" i="94" s="1"/>
  <c r="F152" i="104"/>
  <c r="E64" i="94" s="1"/>
  <c r="F153" i="104"/>
  <c r="M76" i="104"/>
  <c r="M119" i="104"/>
  <c r="K31" i="94" s="1"/>
  <c r="M31" i="94" s="1"/>
  <c r="F60" i="104"/>
  <c r="F113" i="104"/>
  <c r="E25" i="94" s="1"/>
  <c r="G25" i="94" s="1"/>
  <c r="F147" i="104"/>
  <c r="E59" i="94" s="1"/>
  <c r="M158" i="104"/>
  <c r="M69" i="104"/>
  <c r="M159" i="104"/>
  <c r="M86" i="104"/>
  <c r="M103" i="104"/>
  <c r="K15" i="94" s="1"/>
  <c r="M15" i="94" s="1"/>
  <c r="M52" i="104"/>
  <c r="M68" i="104"/>
  <c r="M74" i="104"/>
  <c r="M34" i="104"/>
  <c r="M75" i="104"/>
  <c r="M152" i="104"/>
  <c r="M43" i="104"/>
  <c r="F160" i="104"/>
  <c r="E72" i="94" s="1"/>
  <c r="M13" i="104"/>
  <c r="M8" i="104"/>
  <c r="F13" i="104"/>
  <c r="F69" i="104"/>
  <c r="F151" i="104"/>
  <c r="M85" i="104"/>
  <c r="M110" i="104"/>
  <c r="K22" i="94" s="1"/>
  <c r="M22" i="94" s="1"/>
  <c r="M100" i="104"/>
  <c r="M89" i="104"/>
  <c r="M21" i="104"/>
  <c r="M164" i="104"/>
  <c r="M33" i="104"/>
  <c r="F167" i="104"/>
  <c r="F166" i="104"/>
  <c r="E78" i="94" s="1"/>
  <c r="K1" i="104"/>
  <c r="F162" i="104"/>
  <c r="E74" i="94" s="1"/>
  <c r="F109" i="104"/>
  <c r="E21" i="94" s="1"/>
  <c r="G21" i="94" s="1"/>
  <c r="M7" i="104"/>
  <c r="F115" i="104"/>
  <c r="E27" i="94" s="1"/>
  <c r="G27" i="94" s="1"/>
  <c r="F78" i="104"/>
  <c r="D1" i="104"/>
  <c r="F149" i="104"/>
  <c r="F22" i="104"/>
  <c r="F144" i="104"/>
  <c r="F172" i="104"/>
  <c r="E84" i="94" s="1"/>
  <c r="F34" i="104"/>
  <c r="F77" i="104"/>
  <c r="F58" i="104"/>
  <c r="F132" i="104"/>
  <c r="F55" i="104"/>
  <c r="F101" i="104"/>
  <c r="E13" i="94" s="1"/>
  <c r="G13" i="94" s="1"/>
  <c r="F128" i="104"/>
  <c r="E40" i="94" s="1"/>
  <c r="G40" i="94" s="1"/>
  <c r="F8" i="104"/>
  <c r="F114" i="104"/>
  <c r="E26" i="94" s="1"/>
  <c r="G26" i="94" s="1"/>
  <c r="F73" i="104"/>
  <c r="F134" i="104"/>
  <c r="F121" i="104"/>
  <c r="E33" i="94" s="1"/>
  <c r="G33" i="94" s="1"/>
  <c r="F140" i="104"/>
  <c r="E52" i="94" s="1"/>
  <c r="F82" i="104"/>
  <c r="F35" i="104"/>
  <c r="F32" i="104"/>
  <c r="F87" i="104"/>
  <c r="F65" i="104"/>
  <c r="F148" i="104"/>
  <c r="E60" i="94" s="1"/>
  <c r="F10" i="104"/>
  <c r="F89" i="104"/>
  <c r="F142" i="104"/>
  <c r="F4" i="107"/>
  <c r="D5" i="107"/>
  <c r="C1" i="104"/>
  <c r="H87" i="97"/>
  <c r="I89" i="94"/>
  <c r="I91" i="94" s="1"/>
  <c r="D6" i="97"/>
  <c r="I6" i="97"/>
  <c r="K6" i="97" s="1"/>
  <c r="J1" i="104"/>
  <c r="C89" i="94"/>
  <c r="C91" i="94" s="1"/>
  <c r="C92" i="94" s="1"/>
  <c r="X97" i="94"/>
  <c r="S97" i="94" s="1"/>
  <c r="S116" i="94" s="1"/>
  <c r="W93" i="94"/>
  <c r="W94" i="94" s="1"/>
  <c r="W148" i="94" s="1"/>
  <c r="V93" i="94"/>
  <c r="V94" i="94" s="1"/>
  <c r="V126" i="94" s="1"/>
  <c r="V148" i="94" s="1"/>
  <c r="S93" i="94"/>
  <c r="S94" i="94" s="1"/>
  <c r="T93" i="94"/>
  <c r="T94" i="94" s="1"/>
  <c r="T148" i="94" s="1"/>
  <c r="Z27" i="198" l="1"/>
  <c r="Z4" i="198" s="1"/>
  <c r="K69" i="94"/>
  <c r="M69" i="94" s="1"/>
  <c r="K50" i="94"/>
  <c r="M50" i="94" s="1"/>
  <c r="K63" i="94"/>
  <c r="M63" i="94" s="1"/>
  <c r="K65" i="94"/>
  <c r="M65" i="94" s="1"/>
  <c r="E20" i="94"/>
  <c r="G20" i="94" s="1"/>
  <c r="K53" i="94"/>
  <c r="M53" i="94" s="1"/>
  <c r="K67" i="94"/>
  <c r="M67" i="94" s="1"/>
  <c r="K85" i="94"/>
  <c r="M85" i="94" s="1"/>
  <c r="K82" i="94"/>
  <c r="M82" i="94" s="1"/>
  <c r="K84" i="94"/>
  <c r="M84" i="94" s="1"/>
  <c r="L2" i="109"/>
  <c r="V3" i="109"/>
  <c r="G77" i="94"/>
  <c r="E76" i="94"/>
  <c r="G76" i="94" s="1"/>
  <c r="E62" i="94"/>
  <c r="G62" i="94" s="1"/>
  <c r="E85" i="94"/>
  <c r="G85" i="94" s="1"/>
  <c r="G50" i="94"/>
  <c r="E49" i="94"/>
  <c r="G49" i="94" s="1"/>
  <c r="G69" i="94"/>
  <c r="E68" i="94"/>
  <c r="G68" i="94" s="1"/>
  <c r="E42" i="94"/>
  <c r="G42" i="94" s="1"/>
  <c r="G71" i="94"/>
  <c r="E70" i="94"/>
  <c r="G70" i="94" s="1"/>
  <c r="E61" i="94"/>
  <c r="G61" i="94" s="1"/>
  <c r="G66" i="94"/>
  <c r="E65" i="94"/>
  <c r="G65" i="94" s="1"/>
  <c r="G58" i="94"/>
  <c r="E57" i="94"/>
  <c r="G57" i="94" s="1"/>
  <c r="E56" i="94"/>
  <c r="G56" i="94" s="1"/>
  <c r="G55" i="94"/>
  <c r="E54" i="94"/>
  <c r="G54" i="94" s="1"/>
  <c r="E44" i="94"/>
  <c r="G44" i="94" s="1"/>
  <c r="G64" i="94"/>
  <c r="E63" i="94"/>
  <c r="G63" i="94" s="1"/>
  <c r="G48" i="94"/>
  <c r="E47" i="94"/>
  <c r="G47" i="94" s="1"/>
  <c r="E46" i="94"/>
  <c r="G46" i="94" s="1"/>
  <c r="K75" i="94"/>
  <c r="M75" i="94" s="1"/>
  <c r="G87" i="94"/>
  <c r="E86" i="94"/>
  <c r="G86" i="94" s="1"/>
  <c r="G80" i="94"/>
  <c r="E79" i="94"/>
  <c r="G79" i="94" s="1"/>
  <c r="G83" i="94"/>
  <c r="E82" i="94"/>
  <c r="G82" i="94" s="1"/>
  <c r="K54" i="94"/>
  <c r="M54" i="94" s="1"/>
  <c r="K48" i="94"/>
  <c r="M48" i="94" s="1"/>
  <c r="K58" i="94"/>
  <c r="M58" i="94" s="1"/>
  <c r="K73" i="94"/>
  <c r="M73" i="94" s="1"/>
  <c r="F175" i="107"/>
  <c r="K61" i="94"/>
  <c r="M61" i="94" s="1"/>
  <c r="G75" i="94"/>
  <c r="K77" i="94"/>
  <c r="M77" i="94" s="1"/>
  <c r="K87" i="94"/>
  <c r="M87" i="94" s="1"/>
  <c r="K81" i="94"/>
  <c r="M81" i="94" s="1"/>
  <c r="G53" i="94"/>
  <c r="K72" i="94"/>
  <c r="M72" i="94" s="1"/>
  <c r="K52" i="94"/>
  <c r="M52" i="94" s="1"/>
  <c r="G51" i="94"/>
  <c r="K80" i="94"/>
  <c r="M80" i="94" s="1"/>
  <c r="G59" i="94"/>
  <c r="K56" i="94"/>
  <c r="M56" i="94" s="1"/>
  <c r="K83" i="94"/>
  <c r="M83" i="94" s="1"/>
  <c r="K59" i="94"/>
  <c r="M59" i="94" s="1"/>
  <c r="G73" i="94"/>
  <c r="K86" i="94"/>
  <c r="M86" i="94" s="1"/>
  <c r="K46" i="94"/>
  <c r="M46" i="94" s="1"/>
  <c r="K45" i="94"/>
  <c r="M45" i="94" s="1"/>
  <c r="G52" i="94"/>
  <c r="K62" i="94"/>
  <c r="M62" i="94" s="1"/>
  <c r="K51" i="94"/>
  <c r="M51" i="94" s="1"/>
  <c r="G81" i="94"/>
  <c r="G67" i="94"/>
  <c r="K76" i="94"/>
  <c r="M76" i="94" s="1"/>
  <c r="K64" i="94"/>
  <c r="M64" i="94" s="1"/>
  <c r="K68" i="94"/>
  <c r="M68" i="94" s="1"/>
  <c r="K47" i="94"/>
  <c r="M47" i="94" s="1"/>
  <c r="G84" i="94"/>
  <c r="G78" i="94"/>
  <c r="K66" i="94"/>
  <c r="M66" i="94" s="1"/>
  <c r="K55" i="94"/>
  <c r="M55" i="94" s="1"/>
  <c r="K49" i="94"/>
  <c r="M49" i="94" s="1"/>
  <c r="K70" i="94"/>
  <c r="M70" i="94" s="1"/>
  <c r="K71" i="94"/>
  <c r="M71" i="94" s="1"/>
  <c r="K74" i="94"/>
  <c r="M74" i="94" s="1"/>
  <c r="G60" i="94"/>
  <c r="K79" i="94"/>
  <c r="M79" i="94" s="1"/>
  <c r="K78" i="94"/>
  <c r="M78" i="94" s="1"/>
  <c r="K60" i="94"/>
  <c r="M60" i="94" s="1"/>
  <c r="G45" i="94"/>
  <c r="K57" i="94"/>
  <c r="M57" i="94" s="1"/>
  <c r="G74" i="94"/>
  <c r="G72" i="94"/>
  <c r="AI11" i="184"/>
  <c r="L196" i="150"/>
  <c r="G43" i="94"/>
  <c r="L193" i="150"/>
  <c r="E68" i="114"/>
  <c r="E50" i="114"/>
  <c r="H5" i="130"/>
  <c r="B185" i="150"/>
  <c r="B186" i="150" s="1"/>
  <c r="I92" i="94"/>
  <c r="M1" i="104"/>
  <c r="F1" i="104"/>
  <c r="K12" i="94"/>
  <c r="M12" i="94" s="1"/>
  <c r="U93" i="94"/>
  <c r="U126" i="94" s="1"/>
  <c r="S126" i="94" s="1"/>
  <c r="S138" i="94" s="1"/>
  <c r="S145" i="94" s="1"/>
  <c r="I87" i="97"/>
  <c r="K87" i="97"/>
  <c r="K89" i="97" s="1"/>
  <c r="K90" i="97" s="1"/>
  <c r="X94" i="94"/>
  <c r="X148" i="94" s="1"/>
  <c r="C111" i="157" l="1"/>
  <c r="C11" i="112" s="1"/>
  <c r="C131" i="200"/>
  <c r="P12" i="109"/>
  <c r="G95" i="94"/>
  <c r="P7" i="109"/>
  <c r="M94" i="94"/>
  <c r="M95" i="94"/>
  <c r="M89" i="94"/>
  <c r="M91" i="94" s="1"/>
  <c r="G94" i="94"/>
  <c r="AJ11" i="184"/>
  <c r="C28" i="184" s="1"/>
  <c r="E89" i="94"/>
  <c r="G89" i="94"/>
  <c r="G91" i="94" s="1"/>
  <c r="P6" i="109"/>
  <c r="E33" i="114"/>
  <c r="E34" i="114" s="1"/>
  <c r="C34" i="114"/>
  <c r="K89" i="94"/>
  <c r="U94" i="94"/>
  <c r="U148" i="94" s="1"/>
  <c r="Z93" i="94"/>
  <c r="H246" i="46"/>
  <c r="I246" i="46" s="1"/>
  <c r="F246" i="46"/>
  <c r="E246" i="46"/>
  <c r="J246" i="46" s="1"/>
  <c r="K246" i="46" s="1"/>
  <c r="B2" i="97"/>
  <c r="Q144" i="97"/>
  <c r="Q139" i="97"/>
  <c r="Q134" i="97"/>
  <c r="Q133" i="97"/>
  <c r="Q132" i="97"/>
  <c r="Q131" i="97"/>
  <c r="Q130" i="97"/>
  <c r="Q129" i="97"/>
  <c r="Q128" i="97"/>
  <c r="Q127" i="97"/>
  <c r="Q126" i="97"/>
  <c r="Q125" i="97"/>
  <c r="Q119" i="97"/>
  <c r="Q118" i="97"/>
  <c r="Q117" i="97"/>
  <c r="Q113" i="97"/>
  <c r="Q112" i="97"/>
  <c r="Q111" i="97"/>
  <c r="Q110" i="97"/>
  <c r="Q109" i="97"/>
  <c r="Q108" i="97"/>
  <c r="Q107" i="97"/>
  <c r="Q103" i="97"/>
  <c r="Q102" i="97"/>
  <c r="Q101" i="97"/>
  <c r="Q100" i="97"/>
  <c r="Q99" i="97"/>
  <c r="Q98" i="97"/>
  <c r="E87" i="97"/>
  <c r="N28" i="97"/>
  <c r="N24" i="97"/>
  <c r="L20" i="97"/>
  <c r="N16" i="97"/>
  <c r="L15" i="97"/>
  <c r="L14" i="97"/>
  <c r="L10" i="97"/>
  <c r="L6" i="97"/>
  <c r="A1" i="97"/>
  <c r="H3" i="93"/>
  <c r="AH27" i="198" l="1"/>
  <c r="G96" i="94"/>
  <c r="P8" i="109"/>
  <c r="P14" i="109" s="1"/>
  <c r="M92" i="94"/>
  <c r="G92" i="94"/>
  <c r="AK11" i="184"/>
  <c r="C61" i="157"/>
  <c r="C62" i="157" s="1"/>
  <c r="C69" i="157" s="1"/>
  <c r="P91" i="97"/>
  <c r="K5" i="97"/>
  <c r="F5" i="97"/>
  <c r="N11" i="97"/>
  <c r="L12" i="97"/>
  <c r="M16" i="97"/>
  <c r="M11" i="97"/>
  <c r="L8" i="97"/>
  <c r="M8" i="97"/>
  <c r="N14" i="97"/>
  <c r="L11" i="97"/>
  <c r="N8" i="97"/>
  <c r="N10" i="97"/>
  <c r="L16" i="97"/>
  <c r="Q121" i="97"/>
  <c r="L7" i="97"/>
  <c r="M19" i="97"/>
  <c r="M28" i="97"/>
  <c r="M15" i="97"/>
  <c r="N19" i="97"/>
  <c r="M24" i="97"/>
  <c r="L28" i="97"/>
  <c r="L26" i="97"/>
  <c r="N26" i="97"/>
  <c r="N27" i="97"/>
  <c r="L22" i="97"/>
  <c r="N22" i="97"/>
  <c r="L27" i="97"/>
  <c r="L18" i="97"/>
  <c r="L23" i="97"/>
  <c r="M27" i="97"/>
  <c r="L19" i="97"/>
  <c r="N15" i="97"/>
  <c r="L24" i="97"/>
  <c r="Q135" i="97"/>
  <c r="M10" i="97"/>
  <c r="M14" i="97"/>
  <c r="M22" i="97"/>
  <c r="M26" i="97"/>
  <c r="L9" i="97"/>
  <c r="L13" i="97"/>
  <c r="L17" i="97"/>
  <c r="L21" i="97"/>
  <c r="L25" i="97"/>
  <c r="L29" i="97"/>
  <c r="M9" i="97"/>
  <c r="M13" i="97"/>
  <c r="M17" i="97"/>
  <c r="M21" i="97"/>
  <c r="M29" i="97"/>
  <c r="N9" i="97"/>
  <c r="N13" i="97"/>
  <c r="N17" i="97"/>
  <c r="N21" i="97"/>
  <c r="N29" i="97"/>
  <c r="P16" i="109" l="1"/>
  <c r="AL11" i="184"/>
  <c r="R12" i="109"/>
  <c r="C72" i="157"/>
  <c r="C73" i="157" s="1"/>
  <c r="G8" i="115" s="1"/>
  <c r="H6" i="130"/>
  <c r="R13" i="109"/>
  <c r="I70" i="157"/>
  <c r="M70" i="157" s="1"/>
  <c r="N70" i="157" s="1"/>
  <c r="K94" i="97"/>
  <c r="R7" i="109"/>
  <c r="R11" i="109"/>
  <c r="F93" i="97"/>
  <c r="I71" i="157"/>
  <c r="K93" i="97"/>
  <c r="K64" i="157"/>
  <c r="L64" i="157" s="1"/>
  <c r="X90" i="97"/>
  <c r="C87" i="97"/>
  <c r="K59" i="157" l="1"/>
  <c r="L59" i="157" s="1"/>
  <c r="R6" i="109"/>
  <c r="R8" i="109" s="1"/>
  <c r="R14" i="109" s="1"/>
  <c r="P19" i="109"/>
  <c r="K60" i="157"/>
  <c r="L60" i="157" s="1"/>
  <c r="K67" i="157"/>
  <c r="L67" i="157" s="1"/>
  <c r="K65" i="157"/>
  <c r="L65" i="157" s="1"/>
  <c r="K68" i="157"/>
  <c r="L68" i="157" s="1"/>
  <c r="K95" i="97"/>
  <c r="AM11" i="184"/>
  <c r="C29" i="184" s="1"/>
  <c r="C80" i="157"/>
  <c r="H7" i="130"/>
  <c r="C77" i="157"/>
  <c r="H8" i="130" s="1"/>
  <c r="K70" i="157"/>
  <c r="L70" i="157" s="1"/>
  <c r="E61" i="157"/>
  <c r="E62" i="157" s="1"/>
  <c r="E69" i="157" s="1"/>
  <c r="E72" i="157" s="1"/>
  <c r="K71" i="157"/>
  <c r="L71" i="157" s="1"/>
  <c r="M71" i="157"/>
  <c r="N71" i="157" s="1"/>
  <c r="A3" i="95"/>
  <c r="D107" i="198" s="1"/>
  <c r="F107" i="198" s="1"/>
  <c r="D97" i="198" l="1"/>
  <c r="F97" i="198" s="1"/>
  <c r="D95" i="198"/>
  <c r="F95" i="198" s="1"/>
  <c r="D185" i="198"/>
  <c r="F185" i="198" s="1"/>
  <c r="D96" i="198"/>
  <c r="F96" i="198" s="1"/>
  <c r="D98" i="198"/>
  <c r="F98" i="198" s="1"/>
  <c r="D160" i="198"/>
  <c r="F160" i="198" s="1"/>
  <c r="D117" i="198"/>
  <c r="F117" i="198" s="1"/>
  <c r="D73" i="198"/>
  <c r="F73" i="198" s="1"/>
  <c r="D57" i="198"/>
  <c r="F57" i="198" s="1"/>
  <c r="D152" i="198"/>
  <c r="F152" i="198" s="1"/>
  <c r="D155" i="198"/>
  <c r="F155" i="198" s="1"/>
  <c r="D54" i="198"/>
  <c r="F54" i="198" s="1"/>
  <c r="D133" i="198"/>
  <c r="F133" i="198" s="1"/>
  <c r="D121" i="198"/>
  <c r="F121" i="198" s="1"/>
  <c r="D130" i="198"/>
  <c r="F130" i="198" s="1"/>
  <c r="D148" i="198"/>
  <c r="F148" i="198" s="1"/>
  <c r="D65" i="198"/>
  <c r="F65" i="198" s="1"/>
  <c r="D126" i="198"/>
  <c r="F126" i="198" s="1"/>
  <c r="D177" i="198"/>
  <c r="F177" i="198" s="1"/>
  <c r="D143" i="198"/>
  <c r="F143" i="198" s="1"/>
  <c r="D72" i="198"/>
  <c r="F72" i="198" s="1"/>
  <c r="D103" i="198"/>
  <c r="F103" i="198" s="1"/>
  <c r="D151" i="198"/>
  <c r="F151" i="198" s="1"/>
  <c r="D141" i="198"/>
  <c r="F141" i="198" s="1"/>
  <c r="D91" i="198"/>
  <c r="F91" i="198" s="1"/>
  <c r="D86" i="198"/>
  <c r="F86" i="198" s="1"/>
  <c r="D125" i="198"/>
  <c r="F125" i="198" s="1"/>
  <c r="D100" i="198"/>
  <c r="D162" i="198"/>
  <c r="F162" i="198" s="1"/>
  <c r="D68" i="198"/>
  <c r="F68" i="198" s="1"/>
  <c r="D34" i="198"/>
  <c r="F34" i="198" s="1"/>
  <c r="D156" i="198"/>
  <c r="F156" i="198" s="1"/>
  <c r="D55" i="198"/>
  <c r="F55" i="198" s="1"/>
  <c r="D179" i="198"/>
  <c r="F179" i="198" s="1"/>
  <c r="D181" i="198"/>
  <c r="F181" i="198" s="1"/>
  <c r="D149" i="198"/>
  <c r="F149" i="198" s="1"/>
  <c r="D144" i="198"/>
  <c r="F144" i="198" s="1"/>
  <c r="D50" i="198"/>
  <c r="F50" i="198" s="1"/>
  <c r="D18" i="198"/>
  <c r="F18" i="198" s="1"/>
  <c r="D137" i="198"/>
  <c r="F137" i="198" s="1"/>
  <c r="D104" i="198"/>
  <c r="F104" i="198" s="1"/>
  <c r="D70" i="198"/>
  <c r="F70" i="198" s="1"/>
  <c r="D175" i="198"/>
  <c r="F175" i="198" s="1"/>
  <c r="D33" i="198"/>
  <c r="F33" i="198" s="1"/>
  <c r="D77" i="198"/>
  <c r="F77" i="198" s="1"/>
  <c r="D138" i="198"/>
  <c r="F138" i="198" s="1"/>
  <c r="D41" i="198"/>
  <c r="F41" i="198" s="1"/>
  <c r="D10" i="198"/>
  <c r="F10" i="198" s="1"/>
  <c r="D167" i="198"/>
  <c r="F167" i="198" s="1"/>
  <c r="D106" i="198"/>
  <c r="F106" i="198" s="1"/>
  <c r="D180" i="198"/>
  <c r="F180" i="198" s="1"/>
  <c r="D64" i="198"/>
  <c r="F64" i="198" s="1"/>
  <c r="D102" i="198"/>
  <c r="F102" i="198" s="1"/>
  <c r="D49" i="198"/>
  <c r="F49" i="198" s="1"/>
  <c r="D87" i="198"/>
  <c r="F87" i="198" s="1"/>
  <c r="D62" i="198"/>
  <c r="F62" i="198" s="1"/>
  <c r="D51" i="198"/>
  <c r="F51" i="198" s="1"/>
  <c r="D25" i="198"/>
  <c r="F25" i="198" s="1"/>
  <c r="D165" i="198"/>
  <c r="F165" i="198" s="1"/>
  <c r="D79" i="198"/>
  <c r="F79" i="198" s="1"/>
  <c r="D48" i="198"/>
  <c r="F48" i="198" s="1"/>
  <c r="D11" i="198"/>
  <c r="F11" i="198" s="1"/>
  <c r="D184" i="198"/>
  <c r="F184" i="198" s="1"/>
  <c r="D139" i="198"/>
  <c r="F139" i="198" s="1"/>
  <c r="D78" i="198"/>
  <c r="F78" i="198" s="1"/>
  <c r="D110" i="198"/>
  <c r="F110" i="198" s="1"/>
  <c r="D134" i="198"/>
  <c r="F134" i="198" s="1"/>
  <c r="D94" i="198"/>
  <c r="F94" i="198" s="1"/>
  <c r="D131" i="198"/>
  <c r="F131" i="198" s="1"/>
  <c r="D101" i="198"/>
  <c r="F101" i="198" s="1"/>
  <c r="D28" i="198"/>
  <c r="F28" i="198" s="1"/>
  <c r="D164" i="198"/>
  <c r="F164" i="198" s="1"/>
  <c r="D99" i="198"/>
  <c r="F99" i="198" s="1"/>
  <c r="D163" i="198"/>
  <c r="F163" i="198" s="1"/>
  <c r="AX204" i="198" s="1"/>
  <c r="AP204" i="198" s="1"/>
  <c r="D40" i="198"/>
  <c r="F40" i="198" s="1"/>
  <c r="D158" i="198"/>
  <c r="F158" i="198" s="1"/>
  <c r="D37" i="198"/>
  <c r="F37" i="198" s="1"/>
  <c r="D66" i="198"/>
  <c r="F66" i="198" s="1"/>
  <c r="D115" i="198"/>
  <c r="F115" i="198" s="1"/>
  <c r="D24" i="198"/>
  <c r="F24" i="198" s="1"/>
  <c r="D83" i="198"/>
  <c r="F83" i="198" s="1"/>
  <c r="D60" i="198"/>
  <c r="F60" i="198" s="1"/>
  <c r="D112" i="198"/>
  <c r="F112" i="198" s="1"/>
  <c r="D42" i="198"/>
  <c r="F42" i="198" s="1"/>
  <c r="D38" i="198"/>
  <c r="F38" i="198" s="1"/>
  <c r="D113" i="198"/>
  <c r="F113" i="198" s="1"/>
  <c r="D15" i="198"/>
  <c r="F15" i="198" s="1"/>
  <c r="D85" i="198"/>
  <c r="F85" i="198" s="1"/>
  <c r="D108" i="198"/>
  <c r="F108" i="198" s="1"/>
  <c r="D173" i="198"/>
  <c r="F173" i="198" s="1"/>
  <c r="D89" i="198"/>
  <c r="F89" i="198" s="1"/>
  <c r="D67" i="198"/>
  <c r="F67" i="198" s="1"/>
  <c r="D32" i="198"/>
  <c r="F32" i="198" s="1"/>
  <c r="D142" i="198"/>
  <c r="F142" i="198" s="1"/>
  <c r="D119" i="198"/>
  <c r="F119" i="198" s="1"/>
  <c r="D61" i="198"/>
  <c r="F61" i="198" s="1"/>
  <c r="D122" i="198"/>
  <c r="F122" i="198" s="1"/>
  <c r="D172" i="198"/>
  <c r="F172" i="198" s="1"/>
  <c r="D124" i="198"/>
  <c r="F124" i="198" s="1"/>
  <c r="D52" i="198"/>
  <c r="F52" i="198" s="1"/>
  <c r="D109" i="198"/>
  <c r="F109" i="198" s="1"/>
  <c r="D128" i="198"/>
  <c r="F128" i="198" s="1"/>
  <c r="D82" i="198"/>
  <c r="F82" i="198" s="1"/>
  <c r="D170" i="198"/>
  <c r="F170" i="198" s="1"/>
  <c r="D92" i="198"/>
  <c r="F92" i="198" s="1"/>
  <c r="D22" i="198"/>
  <c r="F22" i="198" s="1"/>
  <c r="D43" i="198"/>
  <c r="F43" i="198" s="1"/>
  <c r="D80" i="198"/>
  <c r="F80" i="198" s="1"/>
  <c r="D69" i="198"/>
  <c r="F69" i="198" s="1"/>
  <c r="D13" i="198"/>
  <c r="F13" i="198" s="1"/>
  <c r="D159" i="198"/>
  <c r="F159" i="198" s="1"/>
  <c r="D71" i="198"/>
  <c r="F71" i="198" s="1"/>
  <c r="D58" i="198"/>
  <c r="F58" i="198" s="1"/>
  <c r="D20" i="198"/>
  <c r="F20" i="198" s="1"/>
  <c r="D47" i="198"/>
  <c r="F47" i="198" s="1"/>
  <c r="D45" i="198"/>
  <c r="F45" i="198" s="1"/>
  <c r="D169" i="198"/>
  <c r="F169" i="198" s="1"/>
  <c r="D114" i="198"/>
  <c r="F114" i="198" s="1"/>
  <c r="D88" i="198"/>
  <c r="F88" i="198" s="1"/>
  <c r="D31" i="198"/>
  <c r="F31" i="198" s="1"/>
  <c r="D171" i="198"/>
  <c r="F171" i="198" s="1"/>
  <c r="D132" i="198"/>
  <c r="F132" i="198" s="1"/>
  <c r="D14" i="198"/>
  <c r="F14" i="198" s="1"/>
  <c r="D63" i="198"/>
  <c r="F63" i="198" s="1"/>
  <c r="D30" i="198"/>
  <c r="F30" i="198" s="1"/>
  <c r="D74" i="198"/>
  <c r="F74" i="198" s="1"/>
  <c r="D84" i="198"/>
  <c r="F84" i="198" s="1"/>
  <c r="D145" i="198"/>
  <c r="F145" i="198" s="1"/>
  <c r="D147" i="198"/>
  <c r="F147" i="198" s="1"/>
  <c r="D150" i="198"/>
  <c r="F150" i="198" s="1"/>
  <c r="D23" i="198"/>
  <c r="F23" i="198" s="1"/>
  <c r="D174" i="198"/>
  <c r="F174" i="198" s="1"/>
  <c r="D157" i="198"/>
  <c r="F157" i="198" s="1"/>
  <c r="D105" i="198"/>
  <c r="F105" i="198" s="1"/>
  <c r="D111" i="198"/>
  <c r="F111" i="198" s="1"/>
  <c r="D29" i="198"/>
  <c r="F29" i="198" s="1"/>
  <c r="D17" i="198"/>
  <c r="F17" i="198" s="1"/>
  <c r="D168" i="198"/>
  <c r="F168" i="198" s="1"/>
  <c r="D118" i="198"/>
  <c r="F118" i="198" s="1"/>
  <c r="D59" i="198"/>
  <c r="F59" i="198" s="1"/>
  <c r="D21" i="198"/>
  <c r="F21" i="198" s="1"/>
  <c r="D35" i="198"/>
  <c r="F35" i="198" s="1"/>
  <c r="D56" i="198"/>
  <c r="F56" i="198" s="1"/>
  <c r="D161" i="198"/>
  <c r="F161" i="198" s="1"/>
  <c r="D116" i="198"/>
  <c r="F116" i="198" s="1"/>
  <c r="D81" i="198"/>
  <c r="F81" i="198" s="1"/>
  <c r="D90" i="198"/>
  <c r="F90" i="198" s="1"/>
  <c r="D153" i="198"/>
  <c r="F153" i="198" s="1"/>
  <c r="D93" i="198"/>
  <c r="F93" i="198" s="1"/>
  <c r="D154" i="198"/>
  <c r="F154" i="198" s="1"/>
  <c r="D76" i="198"/>
  <c r="F76" i="198" s="1"/>
  <c r="D146" i="198"/>
  <c r="F146" i="198" s="1"/>
  <c r="D26" i="198"/>
  <c r="F26" i="198" s="1"/>
  <c r="D16" i="198"/>
  <c r="F16" i="198" s="1"/>
  <c r="D135" i="198"/>
  <c r="F135" i="198" s="1"/>
  <c r="D166" i="198"/>
  <c r="F166" i="198" s="1"/>
  <c r="D53" i="198"/>
  <c r="F53" i="198" s="1"/>
  <c r="D182" i="198"/>
  <c r="F182" i="198" s="1"/>
  <c r="D36" i="198"/>
  <c r="F36" i="198" s="1"/>
  <c r="D39" i="198"/>
  <c r="F39" i="198" s="1"/>
  <c r="D44" i="198"/>
  <c r="F44" i="198" s="1"/>
  <c r="D129" i="198"/>
  <c r="F129" i="198" s="1"/>
  <c r="D136" i="198"/>
  <c r="F136" i="198" s="1"/>
  <c r="D183" i="198"/>
  <c r="F183" i="198" s="1"/>
  <c r="BA200" i="198" s="1"/>
  <c r="AP200" i="198" s="1"/>
  <c r="D123" i="198"/>
  <c r="F123" i="198" s="1"/>
  <c r="D127" i="198"/>
  <c r="F127" i="198" s="1"/>
  <c r="D12" i="198"/>
  <c r="F12" i="198" s="1"/>
  <c r="D140" i="198"/>
  <c r="F140" i="198" s="1"/>
  <c r="D176" i="198"/>
  <c r="F176" i="198" s="1"/>
  <c r="D120" i="198"/>
  <c r="F120" i="198" s="1"/>
  <c r="D75" i="198"/>
  <c r="F75" i="198" s="1"/>
  <c r="D27" i="198"/>
  <c r="F27" i="198" s="1"/>
  <c r="D178" i="198"/>
  <c r="F178" i="198" s="1"/>
  <c r="D46" i="198"/>
  <c r="F46" i="198" s="1"/>
  <c r="D19" i="198"/>
  <c r="F19" i="198" s="1"/>
  <c r="D48" i="150"/>
  <c r="F48" i="150" s="1"/>
  <c r="D99" i="150"/>
  <c r="F99" i="150" s="1"/>
  <c r="D80" i="150"/>
  <c r="F80" i="150" s="1"/>
  <c r="D46" i="150"/>
  <c r="F46" i="150" s="1"/>
  <c r="D25" i="150"/>
  <c r="F25" i="150" s="1"/>
  <c r="D173" i="150"/>
  <c r="F173" i="150" s="1"/>
  <c r="D30" i="150"/>
  <c r="F30" i="150" s="1"/>
  <c r="D60" i="150"/>
  <c r="F60" i="150" s="1"/>
  <c r="D127" i="150"/>
  <c r="F127" i="150" s="1"/>
  <c r="D58" i="150"/>
  <c r="F58" i="150" s="1"/>
  <c r="D136" i="150"/>
  <c r="F136" i="150" s="1"/>
  <c r="D73" i="150"/>
  <c r="F73" i="150" s="1"/>
  <c r="D67" i="150"/>
  <c r="F67" i="150" s="1"/>
  <c r="D124" i="150"/>
  <c r="F124" i="150" s="1"/>
  <c r="D121" i="150"/>
  <c r="F121" i="150" s="1"/>
  <c r="D126" i="150"/>
  <c r="F126" i="150" s="1"/>
  <c r="D170" i="150"/>
  <c r="F170" i="150" s="1"/>
  <c r="D137" i="150"/>
  <c r="F137" i="150" s="1"/>
  <c r="D128" i="150"/>
  <c r="F128" i="150" s="1"/>
  <c r="D169" i="150"/>
  <c r="F169" i="150" s="1"/>
  <c r="D148" i="150"/>
  <c r="F148" i="150" s="1"/>
  <c r="D97" i="150"/>
  <c r="F97" i="150" s="1"/>
  <c r="D61" i="150"/>
  <c r="F61" i="150" s="1"/>
  <c r="D76" i="150"/>
  <c r="F76" i="150" s="1"/>
  <c r="D160" i="150"/>
  <c r="F160" i="150" s="1"/>
  <c r="D152" i="150"/>
  <c r="F152" i="150" s="1"/>
  <c r="D172" i="150"/>
  <c r="F172" i="150" s="1"/>
  <c r="D103" i="150"/>
  <c r="F103" i="150" s="1"/>
  <c r="D68" i="150"/>
  <c r="D77" i="150"/>
  <c r="F77" i="150" s="1"/>
  <c r="D143" i="150"/>
  <c r="F143" i="150" s="1"/>
  <c r="D123" i="150"/>
  <c r="F123" i="150" s="1"/>
  <c r="D23" i="150"/>
  <c r="F23" i="150" s="1"/>
  <c r="C19" i="157" s="1"/>
  <c r="D145" i="150"/>
  <c r="F145" i="150" s="1"/>
  <c r="D45" i="150"/>
  <c r="F45" i="150" s="1"/>
  <c r="D22" i="150"/>
  <c r="F22" i="150" s="1"/>
  <c r="D166" i="150"/>
  <c r="F166" i="150" s="1"/>
  <c r="D165" i="150"/>
  <c r="F165" i="150" s="1"/>
  <c r="D16" i="150"/>
  <c r="F16" i="150" s="1"/>
  <c r="D86" i="150"/>
  <c r="F86" i="150" s="1"/>
  <c r="D32" i="150"/>
  <c r="F32" i="150" s="1"/>
  <c r="D51" i="150"/>
  <c r="F51" i="150" s="1"/>
  <c r="D122" i="150"/>
  <c r="F122" i="150" s="1"/>
  <c r="D18" i="150"/>
  <c r="F18" i="150" s="1"/>
  <c r="D15" i="150"/>
  <c r="F15" i="150" s="1"/>
  <c r="D133" i="150"/>
  <c r="F133" i="150" s="1"/>
  <c r="D79" i="150"/>
  <c r="F79" i="150" s="1"/>
  <c r="D21" i="150"/>
  <c r="F21" i="150" s="1"/>
  <c r="D110" i="150"/>
  <c r="F110" i="150" s="1"/>
  <c r="D134" i="150"/>
  <c r="F134" i="150" s="1"/>
  <c r="D104" i="150"/>
  <c r="F104" i="150" s="1"/>
  <c r="D146" i="150"/>
  <c r="F146" i="150" s="1"/>
  <c r="D138" i="150"/>
  <c r="F138" i="150" s="1"/>
  <c r="D39" i="150"/>
  <c r="F39" i="150" s="1"/>
  <c r="D75" i="150"/>
  <c r="F75" i="150" s="1"/>
  <c r="D34" i="150"/>
  <c r="F34" i="150" s="1"/>
  <c r="D113" i="150"/>
  <c r="F113" i="150" s="1"/>
  <c r="D38" i="150"/>
  <c r="F38" i="150" s="1"/>
  <c r="D139" i="150"/>
  <c r="F139" i="150" s="1"/>
  <c r="D154" i="150"/>
  <c r="F154" i="150" s="1"/>
  <c r="D41" i="150"/>
  <c r="F41" i="150" s="1"/>
  <c r="D105" i="150"/>
  <c r="D20" i="150"/>
  <c r="F20" i="150" s="1"/>
  <c r="D31" i="150"/>
  <c r="F31" i="150" s="1"/>
  <c r="D142" i="150"/>
  <c r="F142" i="150" s="1"/>
  <c r="D66" i="150"/>
  <c r="F66" i="150" s="1"/>
  <c r="D106" i="150"/>
  <c r="F106" i="150" s="1"/>
  <c r="D11" i="150"/>
  <c r="F11" i="150" s="1"/>
  <c r="D28" i="150"/>
  <c r="F28" i="150" s="1"/>
  <c r="D116" i="150"/>
  <c r="F116" i="150" s="1"/>
  <c r="D149" i="150"/>
  <c r="F149" i="150" s="1"/>
  <c r="D157" i="150"/>
  <c r="F157" i="150" s="1"/>
  <c r="D101" i="150"/>
  <c r="F101" i="150" s="1"/>
  <c r="D131" i="150"/>
  <c r="F131" i="150" s="1"/>
  <c r="D70" i="150"/>
  <c r="F70" i="150" s="1"/>
  <c r="D24" i="150"/>
  <c r="F24" i="150" s="1"/>
  <c r="D44" i="150"/>
  <c r="F44" i="150" s="1"/>
  <c r="D74" i="150"/>
  <c r="F74" i="150" s="1"/>
  <c r="D100" i="150"/>
  <c r="F100" i="150" s="1"/>
  <c r="D50" i="150"/>
  <c r="F50" i="150" s="1"/>
  <c r="D29" i="150"/>
  <c r="F29" i="150" s="1"/>
  <c r="D177" i="150"/>
  <c r="F177" i="150" s="1"/>
  <c r="D176" i="150"/>
  <c r="F176" i="150" s="1"/>
  <c r="D40" i="150"/>
  <c r="F40" i="150" s="1"/>
  <c r="D150" i="150"/>
  <c r="F150" i="150" s="1"/>
  <c r="D42" i="150"/>
  <c r="F42" i="150" s="1"/>
  <c r="D78" i="150"/>
  <c r="F78" i="150" s="1"/>
  <c r="D147" i="150"/>
  <c r="F147" i="150" s="1"/>
  <c r="D140" i="150"/>
  <c r="F140" i="150" s="1"/>
  <c r="D47" i="150"/>
  <c r="F47" i="150" s="1"/>
  <c r="D69" i="150"/>
  <c r="F69" i="150" s="1"/>
  <c r="D109" i="150"/>
  <c r="F109" i="150" s="1"/>
  <c r="D57" i="150"/>
  <c r="F57" i="150" s="1"/>
  <c r="D13" i="150"/>
  <c r="F13" i="150" s="1"/>
  <c r="D107" i="150"/>
  <c r="F107" i="150" s="1"/>
  <c r="D72" i="150"/>
  <c r="F72" i="150" s="1"/>
  <c r="D17" i="150"/>
  <c r="F17" i="150" s="1"/>
  <c r="D91" i="150"/>
  <c r="F91" i="150" s="1"/>
  <c r="D59" i="150"/>
  <c r="F59" i="150" s="1"/>
  <c r="D175" i="150"/>
  <c r="F175" i="150" s="1"/>
  <c r="D12" i="150"/>
  <c r="F12" i="150" s="1"/>
  <c r="D54" i="150"/>
  <c r="F54" i="150" s="1"/>
  <c r="D49" i="150"/>
  <c r="F49" i="150" s="1"/>
  <c r="D119" i="150"/>
  <c r="F119" i="150" s="1"/>
  <c r="D52" i="150"/>
  <c r="F52" i="150" s="1"/>
  <c r="D55" i="150"/>
  <c r="F55" i="150" s="1"/>
  <c r="D132" i="150"/>
  <c r="F132" i="150" s="1"/>
  <c r="D112" i="150"/>
  <c r="F112" i="150" s="1"/>
  <c r="D163" i="150"/>
  <c r="F163" i="150" s="1"/>
  <c r="D117" i="150"/>
  <c r="F117" i="150" s="1"/>
  <c r="D43" i="150"/>
  <c r="F43" i="150" s="1"/>
  <c r="D35" i="150"/>
  <c r="F35" i="150" s="1"/>
  <c r="C28" i="114" s="1"/>
  <c r="D135" i="150"/>
  <c r="F135" i="150" s="1"/>
  <c r="D151" i="150"/>
  <c r="F151" i="150" s="1"/>
  <c r="D161" i="150"/>
  <c r="F161" i="150" s="1"/>
  <c r="D65" i="150"/>
  <c r="F65" i="150" s="1"/>
  <c r="D164" i="150"/>
  <c r="F164" i="150" s="1"/>
  <c r="D33" i="150"/>
  <c r="F33" i="150" s="1"/>
  <c r="D171" i="150"/>
  <c r="F171" i="150" s="1"/>
  <c r="D125" i="150"/>
  <c r="F125" i="150" s="1"/>
  <c r="D102" i="150"/>
  <c r="F102" i="150" s="1"/>
  <c r="D14" i="150"/>
  <c r="F14" i="150" s="1"/>
  <c r="D167" i="150"/>
  <c r="F167" i="150" s="1"/>
  <c r="D88" i="150"/>
  <c r="F88" i="150" s="1"/>
  <c r="D98" i="150"/>
  <c r="F98" i="150" s="1"/>
  <c r="D129" i="150"/>
  <c r="F129" i="150" s="1"/>
  <c r="D118" i="150"/>
  <c r="F118" i="150" s="1"/>
  <c r="D64" i="150"/>
  <c r="F64" i="150" s="1"/>
  <c r="D83" i="150"/>
  <c r="F83" i="150" s="1"/>
  <c r="D53" i="150"/>
  <c r="F53" i="150" s="1"/>
  <c r="D36" i="150"/>
  <c r="F36" i="150" s="1"/>
  <c r="D111" i="150"/>
  <c r="F111" i="150" s="1"/>
  <c r="D153" i="150"/>
  <c r="F153" i="150" s="1"/>
  <c r="D144" i="150"/>
  <c r="F144" i="150" s="1"/>
  <c r="D155" i="150"/>
  <c r="F155" i="150" s="1"/>
  <c r="D120" i="150"/>
  <c r="F120" i="150" s="1"/>
  <c r="D71" i="150"/>
  <c r="F71" i="150" s="1"/>
  <c r="D85" i="150"/>
  <c r="F85" i="150" s="1"/>
  <c r="D179" i="150"/>
  <c r="F179" i="150" s="1"/>
  <c r="D178" i="150"/>
  <c r="F178" i="150" s="1"/>
  <c r="D108" i="150"/>
  <c r="F108" i="150" s="1"/>
  <c r="D159" i="150"/>
  <c r="F159" i="150" s="1"/>
  <c r="D37" i="150"/>
  <c r="F37" i="150" s="1"/>
  <c r="D168" i="150"/>
  <c r="F168" i="150" s="1"/>
  <c r="D10" i="150"/>
  <c r="F10" i="150" s="1"/>
  <c r="D162" i="150"/>
  <c r="F162" i="150" s="1"/>
  <c r="D92" i="150"/>
  <c r="F92" i="150" s="1"/>
  <c r="D56" i="150"/>
  <c r="F56" i="150" s="1"/>
  <c r="D141" i="150"/>
  <c r="F141" i="150" s="1"/>
  <c r="D114" i="150"/>
  <c r="F114" i="150" s="1"/>
  <c r="D96" i="150"/>
  <c r="F96" i="150" s="1"/>
  <c r="D130" i="150"/>
  <c r="F130" i="150" s="1"/>
  <c r="D174" i="150"/>
  <c r="F174" i="150" s="1"/>
  <c r="D115" i="150"/>
  <c r="F115" i="150" s="1"/>
  <c r="D62" i="150"/>
  <c r="F62" i="150" s="1"/>
  <c r="D90" i="150"/>
  <c r="F90" i="150" s="1"/>
  <c r="D9" i="150"/>
  <c r="F9" i="150" s="1"/>
  <c r="D19" i="150"/>
  <c r="F19" i="150" s="1"/>
  <c r="D63" i="150"/>
  <c r="F63" i="150" s="1"/>
  <c r="D87" i="150"/>
  <c r="F87" i="150" s="1"/>
  <c r="D89" i="150"/>
  <c r="F89" i="150" s="1"/>
  <c r="D81" i="150"/>
  <c r="F81" i="150" s="1"/>
  <c r="D82" i="150"/>
  <c r="F82" i="150" s="1"/>
  <c r="D84" i="150"/>
  <c r="F84" i="150" s="1"/>
  <c r="D93" i="150"/>
  <c r="F93" i="150" s="1"/>
  <c r="D95" i="150"/>
  <c r="F95" i="150" s="1"/>
  <c r="D156" i="150"/>
  <c r="F156" i="150" s="1"/>
  <c r="D94" i="150"/>
  <c r="F94" i="150" s="1"/>
  <c r="D27" i="150"/>
  <c r="F27" i="150" s="1"/>
  <c r="D158" i="150"/>
  <c r="F158" i="150" s="1"/>
  <c r="T199" i="150" s="1"/>
  <c r="D26" i="150"/>
  <c r="F26" i="150" s="1"/>
  <c r="R16" i="109"/>
  <c r="AN11" i="184"/>
  <c r="E73" i="157"/>
  <c r="G9" i="115" s="1"/>
  <c r="E77" i="157"/>
  <c r="F68" i="150"/>
  <c r="D6" i="95"/>
  <c r="D2" i="95" s="1"/>
  <c r="C6" i="95"/>
  <c r="C2" i="95" s="1"/>
  <c r="F52" i="46"/>
  <c r="F54" i="46" s="1"/>
  <c r="F59" i="46"/>
  <c r="F61" i="46" s="1"/>
  <c r="F64" i="46"/>
  <c r="F78" i="46"/>
  <c r="F80" i="46" s="1"/>
  <c r="F85" i="46"/>
  <c r="F87" i="46" s="1"/>
  <c r="F90" i="46"/>
  <c r="F103" i="46"/>
  <c r="F106" i="46" s="1"/>
  <c r="F164" i="46"/>
  <c r="F198" i="46"/>
  <c r="L26" i="93"/>
  <c r="K26" i="93"/>
  <c r="F20" i="93"/>
  <c r="G20" i="93"/>
  <c r="J20" i="93"/>
  <c r="K20" i="93"/>
  <c r="N20" i="93"/>
  <c r="O20" i="93"/>
  <c r="P20" i="93"/>
  <c r="D4" i="198" l="1"/>
  <c r="F100" i="198"/>
  <c r="F4" i="198" s="1"/>
  <c r="G101" i="200" s="1"/>
  <c r="G65" i="157"/>
  <c r="J12" i="109" s="1"/>
  <c r="G68" i="157"/>
  <c r="J14" i="109" s="1"/>
  <c r="C17" i="157"/>
  <c r="R9" i="114" s="1"/>
  <c r="W195" i="150"/>
  <c r="L195" i="150" s="1"/>
  <c r="C51" i="114"/>
  <c r="C53" i="114" s="1"/>
  <c r="G67" i="157"/>
  <c r="M67" i="157" s="1"/>
  <c r="N67" i="157" s="1"/>
  <c r="G66" i="157"/>
  <c r="T12" i="109" s="1"/>
  <c r="C34" i="157"/>
  <c r="G59" i="157"/>
  <c r="G64" i="157"/>
  <c r="J11" i="109" s="1"/>
  <c r="AB54" i="109" s="1"/>
  <c r="G54" i="157"/>
  <c r="J3" i="109" s="1"/>
  <c r="AB46" i="109" s="1"/>
  <c r="G60" i="157"/>
  <c r="C24" i="157"/>
  <c r="D12" i="109" s="1"/>
  <c r="AB12" i="109" s="1"/>
  <c r="R19" i="109"/>
  <c r="F189" i="150"/>
  <c r="C32" i="157"/>
  <c r="C81" i="114" s="1"/>
  <c r="H14" i="130"/>
  <c r="H15" i="130" s="1"/>
  <c r="AO11" i="184"/>
  <c r="C38" i="157"/>
  <c r="E28" i="114"/>
  <c r="E29" i="114" s="1"/>
  <c r="E38" i="114" s="1"/>
  <c r="C29" i="114"/>
  <c r="C38" i="114" s="1"/>
  <c r="C25" i="157"/>
  <c r="C33" i="157"/>
  <c r="F188" i="150"/>
  <c r="C31" i="157"/>
  <c r="C41" i="157"/>
  <c r="C16" i="157"/>
  <c r="C14" i="157"/>
  <c r="J26" i="154" s="1"/>
  <c r="J27" i="154" s="1"/>
  <c r="C18" i="157"/>
  <c r="C42" i="157"/>
  <c r="P14" i="111" s="1"/>
  <c r="C15" i="157"/>
  <c r="C30" i="157"/>
  <c r="M26" i="154" s="1"/>
  <c r="M27" i="154" s="1"/>
  <c r="C23" i="157"/>
  <c r="C35" i="157"/>
  <c r="N26" i="154" s="1"/>
  <c r="N27" i="154" s="1"/>
  <c r="D4" i="150"/>
  <c r="F105" i="150"/>
  <c r="C185" i="95"/>
  <c r="D185" i="95"/>
  <c r="F6" i="95"/>
  <c r="D9" i="198" s="1"/>
  <c r="F9" i="198" s="1"/>
  <c r="R92" i="97"/>
  <c r="R146" i="97" s="1"/>
  <c r="U92" i="97"/>
  <c r="U146" i="97" s="1"/>
  <c r="T92" i="97"/>
  <c r="F91" i="46"/>
  <c r="F92" i="46"/>
  <c r="F66" i="46"/>
  <c r="F65" i="46"/>
  <c r="J34" i="93"/>
  <c r="H34" i="93"/>
  <c r="G34" i="93"/>
  <c r="F34" i="93"/>
  <c r="N28" i="93"/>
  <c r="L28" i="93"/>
  <c r="K28" i="93"/>
  <c r="J28" i="93"/>
  <c r="G28" i="93"/>
  <c r="F28" i="93"/>
  <c r="S14" i="93"/>
  <c r="R14" i="93"/>
  <c r="O14" i="93"/>
  <c r="N14" i="93"/>
  <c r="K14" i="93"/>
  <c r="J14" i="93"/>
  <c r="G14" i="93"/>
  <c r="F14" i="93"/>
  <c r="S11" i="93"/>
  <c r="R11" i="93"/>
  <c r="O11" i="93"/>
  <c r="N11" i="93"/>
  <c r="K11" i="93"/>
  <c r="J11" i="93"/>
  <c r="G11" i="93"/>
  <c r="F11" i="93"/>
  <c r="B10" i="93"/>
  <c r="B17" i="93" s="1"/>
  <c r="B25" i="93" s="1"/>
  <c r="B31" i="93" s="1"/>
  <c r="B38" i="93" s="1"/>
  <c r="S7" i="93"/>
  <c r="S9" i="93" s="1"/>
  <c r="P7" i="93"/>
  <c r="L7" i="93"/>
  <c r="T13" i="109" l="1"/>
  <c r="D8" i="150"/>
  <c r="F8" i="150" s="1"/>
  <c r="D8" i="198"/>
  <c r="T11" i="109"/>
  <c r="C110" i="157"/>
  <c r="C10" i="112" s="1"/>
  <c r="C130" i="200"/>
  <c r="K26" i="154"/>
  <c r="K27" i="154" s="1"/>
  <c r="G55" i="157"/>
  <c r="J4" i="109" s="1"/>
  <c r="AB47" i="109" s="1"/>
  <c r="AB48" i="109" s="1"/>
  <c r="D7" i="109"/>
  <c r="AB7" i="109" s="1"/>
  <c r="AD7" i="109" s="1"/>
  <c r="C55" i="114"/>
  <c r="N20" i="130"/>
  <c r="AB56" i="109"/>
  <c r="N22" i="130"/>
  <c r="AB58" i="109"/>
  <c r="N14" i="111"/>
  <c r="W8" i="114"/>
  <c r="J13" i="109"/>
  <c r="T7" i="109"/>
  <c r="J8" i="109"/>
  <c r="AB51" i="109" s="1"/>
  <c r="T6" i="109"/>
  <c r="J7" i="109"/>
  <c r="AB50" i="109" s="1"/>
  <c r="F192" i="150"/>
  <c r="M23" i="154"/>
  <c r="J23" i="154"/>
  <c r="D19" i="109"/>
  <c r="AB19" i="109" s="1"/>
  <c r="AD19" i="109" s="1"/>
  <c r="O26" i="154"/>
  <c r="O27" i="154" s="1"/>
  <c r="N23" i="154"/>
  <c r="G5" i="114"/>
  <c r="AP11" i="184"/>
  <c r="I5" i="114"/>
  <c r="D20" i="109"/>
  <c r="AB20" i="109" s="1"/>
  <c r="AD20" i="109" s="1"/>
  <c r="G6" i="114"/>
  <c r="D11" i="109"/>
  <c r="E41" i="114"/>
  <c r="D25" i="109"/>
  <c r="AB25" i="109" s="1"/>
  <c r="AD25" i="109" s="1"/>
  <c r="T14" i="157"/>
  <c r="D6" i="109"/>
  <c r="AB6" i="109" s="1"/>
  <c r="AD6" i="109" s="1"/>
  <c r="D24" i="109"/>
  <c r="AB24" i="109" s="1"/>
  <c r="G4" i="114"/>
  <c r="D18" i="109"/>
  <c r="AB18" i="109" s="1"/>
  <c r="C26" i="157"/>
  <c r="F190" i="150"/>
  <c r="G61" i="157"/>
  <c r="C99" i="157"/>
  <c r="F4" i="150"/>
  <c r="E99" i="157"/>
  <c r="C36" i="157"/>
  <c r="F2" i="95"/>
  <c r="F185" i="95"/>
  <c r="T124" i="97"/>
  <c r="T146" i="97" s="1"/>
  <c r="S124" i="97"/>
  <c r="S92" i="97"/>
  <c r="R12" i="93"/>
  <c r="H7" i="93"/>
  <c r="H9" i="93" s="1"/>
  <c r="L9" i="93"/>
  <c r="P9" i="93"/>
  <c r="S12" i="93"/>
  <c r="R13" i="93"/>
  <c r="S13" i="93" s="1"/>
  <c r="K7" i="93"/>
  <c r="F13" i="93"/>
  <c r="D17" i="93"/>
  <c r="O7" i="93"/>
  <c r="J13" i="93"/>
  <c r="J5" i="109" l="1"/>
  <c r="D187" i="198"/>
  <c r="F8" i="198"/>
  <c r="D182" i="150"/>
  <c r="K23" i="154"/>
  <c r="AQ7" i="198"/>
  <c r="AQ191" i="198"/>
  <c r="AB21" i="109"/>
  <c r="AD18" i="109"/>
  <c r="AD21" i="109" s="1"/>
  <c r="D13" i="109"/>
  <c r="AB11" i="109"/>
  <c r="AD24" i="109"/>
  <c r="N21" i="130"/>
  <c r="AB57" i="109"/>
  <c r="AB52" i="109"/>
  <c r="J9" i="109"/>
  <c r="J15" i="109" s="1"/>
  <c r="T15" i="157"/>
  <c r="T16" i="157" s="1"/>
  <c r="T17" i="157" s="1"/>
  <c r="T18" i="157" s="1"/>
  <c r="Q7" i="158" s="1"/>
  <c r="M7" i="158"/>
  <c r="C30" i="184"/>
  <c r="D30" i="184" s="1"/>
  <c r="AP13" i="184"/>
  <c r="AK50" i="109" s="1"/>
  <c r="T8" i="109"/>
  <c r="T14" i="109" s="1"/>
  <c r="T16" i="109" s="1"/>
  <c r="O23" i="154"/>
  <c r="AQ11" i="184"/>
  <c r="C39" i="157"/>
  <c r="G46" i="115"/>
  <c r="I6" i="114"/>
  <c r="H6" i="114"/>
  <c r="G7" i="114"/>
  <c r="G9" i="114" s="1"/>
  <c r="I4" i="114"/>
  <c r="H4" i="114"/>
  <c r="G56" i="157"/>
  <c r="G62" i="157" s="1"/>
  <c r="G69" i="157" s="1"/>
  <c r="G72" i="157" s="1"/>
  <c r="BG195" i="198" s="1"/>
  <c r="AP195" i="198" s="1"/>
  <c r="F182" i="150"/>
  <c r="C13" i="157"/>
  <c r="AP191" i="198" s="1"/>
  <c r="S146" i="97"/>
  <c r="Q124" i="97"/>
  <c r="Q136" i="97" s="1"/>
  <c r="G7" i="93"/>
  <c r="F27" i="93"/>
  <c r="G13" i="93"/>
  <c r="S15" i="93"/>
  <c r="O9" i="93"/>
  <c r="N19" i="93"/>
  <c r="N12" i="93"/>
  <c r="J19" i="93"/>
  <c r="J27" i="93"/>
  <c r="J12" i="93"/>
  <c r="K9" i="93"/>
  <c r="N13" i="93"/>
  <c r="D25" i="93"/>
  <c r="F187" i="198" l="1"/>
  <c r="F3" i="198"/>
  <c r="AK60" i="109"/>
  <c r="AK12" i="109"/>
  <c r="AM50" i="109"/>
  <c r="AT7" i="198"/>
  <c r="AO211" i="198" s="1"/>
  <c r="AS191" i="198"/>
  <c r="AU191" i="198"/>
  <c r="AT191" i="198"/>
  <c r="T19" i="157"/>
  <c r="T23" i="157" s="1"/>
  <c r="T24" i="157" s="1"/>
  <c r="AR191" i="198"/>
  <c r="AR7" i="198"/>
  <c r="AO209" i="198" s="1"/>
  <c r="AS7" i="198"/>
  <c r="AO210" i="198" s="1"/>
  <c r="AU7" i="198"/>
  <c r="AO212" i="198" s="1"/>
  <c r="O7" i="158"/>
  <c r="P7" i="158"/>
  <c r="AB59" i="109"/>
  <c r="AD11" i="109"/>
  <c r="AB13" i="109"/>
  <c r="N7" i="158"/>
  <c r="R7" i="158"/>
  <c r="S7" i="158"/>
  <c r="G95" i="157"/>
  <c r="AC190" i="150"/>
  <c r="G44" i="115"/>
  <c r="H26" i="154"/>
  <c r="H27" i="154" s="1"/>
  <c r="AR11" i="184"/>
  <c r="H7" i="114"/>
  <c r="I7" i="114"/>
  <c r="L186" i="150"/>
  <c r="D5" i="109"/>
  <c r="C105" i="157"/>
  <c r="C6" i="112" s="1"/>
  <c r="G77" i="157"/>
  <c r="G73" i="157"/>
  <c r="C20" i="157"/>
  <c r="C5" i="157" s="1"/>
  <c r="G4" i="115" s="1"/>
  <c r="F33" i="93"/>
  <c r="F12" i="93"/>
  <c r="G12" i="93" s="1"/>
  <c r="G9" i="93"/>
  <c r="G19" i="93"/>
  <c r="G27" i="93"/>
  <c r="K13" i="93"/>
  <c r="K19" i="93"/>
  <c r="L27" i="93"/>
  <c r="K27" i="93"/>
  <c r="O12" i="93"/>
  <c r="D31" i="93"/>
  <c r="D38" i="93" s="1"/>
  <c r="O13" i="93"/>
  <c r="K12" i="93"/>
  <c r="O19" i="93"/>
  <c r="P19" i="93"/>
  <c r="P23" i="93" s="1"/>
  <c r="AV7" i="198" l="1"/>
  <c r="AO213" i="198" s="1"/>
  <c r="AM12" i="109"/>
  <c r="AK26" i="109"/>
  <c r="AM26" i="109" s="1"/>
  <c r="AD50" i="109"/>
  <c r="AD52" i="109" s="1"/>
  <c r="AD59" i="109" s="1"/>
  <c r="AM60" i="109"/>
  <c r="AW7" i="198"/>
  <c r="AO214" i="198" s="1"/>
  <c r="AX191" i="198"/>
  <c r="AW191" i="198"/>
  <c r="T30" i="157"/>
  <c r="T31" i="157" s="1"/>
  <c r="AZ7" i="198" s="1"/>
  <c r="AO217" i="198" s="1"/>
  <c r="T7" i="158"/>
  <c r="AX7" i="198"/>
  <c r="AO215" i="198" s="1"/>
  <c r="AV191" i="198"/>
  <c r="I101" i="200"/>
  <c r="D8" i="109"/>
  <c r="D14" i="109" s="1"/>
  <c r="AB5" i="109"/>
  <c r="H8" i="111"/>
  <c r="R10" i="111"/>
  <c r="T10" i="111" s="1"/>
  <c r="U7" i="158"/>
  <c r="I95" i="157"/>
  <c r="J17" i="109"/>
  <c r="G75" i="157"/>
  <c r="G6" i="115"/>
  <c r="T19" i="109"/>
  <c r="B23" i="154"/>
  <c r="B26" i="154" s="1"/>
  <c r="B30" i="154" s="1"/>
  <c r="B38" i="154" s="1"/>
  <c r="B41" i="154" s="1"/>
  <c r="H23" i="154"/>
  <c r="F26" i="154"/>
  <c r="D26" i="154"/>
  <c r="D27" i="154"/>
  <c r="AS11" i="184"/>
  <c r="C31" i="184" s="1"/>
  <c r="G80" i="157"/>
  <c r="C27" i="157"/>
  <c r="H33" i="93"/>
  <c r="H36" i="93" s="1"/>
  <c r="G43" i="93" s="1"/>
  <c r="G46" i="93" s="1"/>
  <c r="G33" i="93"/>
  <c r="G35" i="93"/>
  <c r="H43" i="93" s="1"/>
  <c r="L30" i="93"/>
  <c r="K29" i="93"/>
  <c r="O22" i="93"/>
  <c r="AY191" i="198" l="1"/>
  <c r="AK29" i="109"/>
  <c r="AM29" i="109"/>
  <c r="AD12" i="109"/>
  <c r="AD13" i="109" s="1"/>
  <c r="AM62" i="109"/>
  <c r="AZ191" i="198"/>
  <c r="AY7" i="198"/>
  <c r="AO216" i="198" s="1"/>
  <c r="AB8" i="109"/>
  <c r="AB14" i="109" s="1"/>
  <c r="AD5" i="109"/>
  <c r="AD8" i="109" s="1"/>
  <c r="AD14" i="109" s="1"/>
  <c r="V7" i="158"/>
  <c r="T32" i="157"/>
  <c r="F23" i="154"/>
  <c r="D23" i="154"/>
  <c r="AT11" i="184"/>
  <c r="B2" i="59"/>
  <c r="T33" i="157" l="1"/>
  <c r="T34" i="157" s="1"/>
  <c r="T35" i="157" s="1"/>
  <c r="T41" i="157" s="1"/>
  <c r="T42" i="157" s="1"/>
  <c r="BA191" i="198"/>
  <c r="BE7" i="198"/>
  <c r="BE191" i="198"/>
  <c r="BD7" i="198"/>
  <c r="AO221" i="198" s="1"/>
  <c r="BF191" i="198"/>
  <c r="BB191" i="198"/>
  <c r="BA7" i="198"/>
  <c r="AO218" i="198" s="1"/>
  <c r="BC191" i="198"/>
  <c r="Z7" i="158"/>
  <c r="W7" i="158"/>
  <c r="AB7" i="158"/>
  <c r="X7" i="158"/>
  <c r="AA7" i="158"/>
  <c r="Y7" i="158"/>
  <c r="AU11" i="184"/>
  <c r="BF7" i="198" l="1"/>
  <c r="BC7" i="198"/>
  <c r="AO220" i="198" s="1"/>
  <c r="BB7" i="198"/>
  <c r="AO219" i="198" s="1"/>
  <c r="BD191" i="198"/>
  <c r="AV11" i="184"/>
  <c r="C32" i="184" s="1"/>
  <c r="C4" i="59"/>
  <c r="B6" i="59"/>
  <c r="B7" i="59"/>
  <c r="B8" i="59"/>
  <c r="B9" i="59"/>
  <c r="B10" i="59"/>
  <c r="B11" i="59"/>
  <c r="B12" i="59"/>
  <c r="B13" i="59"/>
  <c r="B14" i="59"/>
  <c r="B15" i="59"/>
  <c r="B16" i="59"/>
  <c r="B17" i="59"/>
  <c r="B18" i="59"/>
  <c r="B19" i="59"/>
  <c r="B20" i="59"/>
  <c r="B21" i="59"/>
  <c r="B22" i="59"/>
  <c r="B23" i="59"/>
  <c r="B24" i="59"/>
  <c r="B25" i="59"/>
  <c r="B26" i="59"/>
  <c r="B27" i="59"/>
  <c r="B28" i="59"/>
  <c r="B29" i="59"/>
  <c r="B30" i="59"/>
  <c r="B31" i="59"/>
  <c r="B32" i="59"/>
  <c r="B33" i="59"/>
  <c r="B34" i="59"/>
  <c r="B35" i="59"/>
  <c r="B36" i="59"/>
  <c r="B37" i="59"/>
  <c r="B38" i="59"/>
  <c r="B39" i="59"/>
  <c r="B40" i="59"/>
  <c r="B41" i="59"/>
  <c r="B42" i="59"/>
  <c r="B43" i="59"/>
  <c r="B44" i="59"/>
  <c r="B45" i="59"/>
  <c r="B46" i="59"/>
  <c r="B47" i="59"/>
  <c r="B48" i="59"/>
  <c r="B49" i="59"/>
  <c r="B50" i="59"/>
  <c r="B51" i="59"/>
  <c r="B52" i="59"/>
  <c r="B53" i="59"/>
  <c r="B54" i="59"/>
  <c r="B55" i="59"/>
  <c r="B56" i="59"/>
  <c r="B57" i="59"/>
  <c r="B58" i="59"/>
  <c r="B59" i="59"/>
  <c r="B60" i="59"/>
  <c r="B61" i="59"/>
  <c r="B62" i="59"/>
  <c r="B63" i="59"/>
  <c r="B64" i="59"/>
  <c r="B65" i="59"/>
  <c r="B66" i="59"/>
  <c r="B67" i="59"/>
  <c r="B68" i="59"/>
  <c r="B69" i="59"/>
  <c r="B70" i="59"/>
  <c r="B71" i="59"/>
  <c r="B72" i="59"/>
  <c r="B73" i="59"/>
  <c r="B74" i="59"/>
  <c r="B75" i="59"/>
  <c r="B76" i="59"/>
  <c r="B77" i="59"/>
  <c r="B78" i="59"/>
  <c r="B79" i="59"/>
  <c r="B80" i="59"/>
  <c r="B81" i="59"/>
  <c r="B82" i="59"/>
  <c r="B83" i="59"/>
  <c r="B84" i="59"/>
  <c r="B85" i="59"/>
  <c r="B86" i="59"/>
  <c r="B87" i="59"/>
  <c r="B88" i="59"/>
  <c r="B89" i="59"/>
  <c r="B90" i="59"/>
  <c r="B91" i="59"/>
  <c r="B92" i="59"/>
  <c r="B93" i="59"/>
  <c r="B94" i="59"/>
  <c r="B95" i="59"/>
  <c r="B96" i="59"/>
  <c r="B97" i="59"/>
  <c r="B98" i="59"/>
  <c r="B99" i="59"/>
  <c r="B100" i="59"/>
  <c r="B101" i="59"/>
  <c r="B102" i="59"/>
  <c r="B103" i="59"/>
  <c r="B104" i="59"/>
  <c r="B105" i="59"/>
  <c r="B106" i="59"/>
  <c r="B107" i="59"/>
  <c r="B108" i="59"/>
  <c r="B109" i="59"/>
  <c r="B110" i="59"/>
  <c r="B111" i="59"/>
  <c r="B112" i="59"/>
  <c r="B113" i="59"/>
  <c r="B114" i="59"/>
  <c r="B115" i="59"/>
  <c r="B116" i="59"/>
  <c r="B117" i="59"/>
  <c r="B118" i="59"/>
  <c r="B119" i="59"/>
  <c r="B120" i="59"/>
  <c r="B121" i="59"/>
  <c r="B122" i="59"/>
  <c r="B123" i="59"/>
  <c r="B124" i="59"/>
  <c r="B125" i="59"/>
  <c r="B126" i="59"/>
  <c r="B127" i="59"/>
  <c r="B128" i="59"/>
  <c r="B129" i="59"/>
  <c r="B130" i="59"/>
  <c r="B131" i="59"/>
  <c r="B132" i="59"/>
  <c r="B133" i="59"/>
  <c r="B134" i="59"/>
  <c r="B135" i="59"/>
  <c r="B136" i="59"/>
  <c r="B137" i="59"/>
  <c r="B138" i="59"/>
  <c r="B139" i="59"/>
  <c r="B140" i="59"/>
  <c r="B141" i="59"/>
  <c r="B142" i="59"/>
  <c r="B143" i="59"/>
  <c r="B144" i="59"/>
  <c r="B145" i="59"/>
  <c r="B146" i="59"/>
  <c r="B147" i="59"/>
  <c r="B148" i="59"/>
  <c r="B149" i="59"/>
  <c r="B150" i="59"/>
  <c r="B151" i="59"/>
  <c r="B152" i="59"/>
  <c r="B153" i="59"/>
  <c r="B154" i="59"/>
  <c r="B155" i="59"/>
  <c r="B156" i="59"/>
  <c r="B157" i="59"/>
  <c r="B158" i="59"/>
  <c r="B159" i="59"/>
  <c r="B160" i="59"/>
  <c r="B161" i="59"/>
  <c r="B162" i="59"/>
  <c r="B163" i="59"/>
  <c r="B164" i="59"/>
  <c r="B165" i="59"/>
  <c r="B166" i="59"/>
  <c r="B167" i="59"/>
  <c r="B168" i="59"/>
  <c r="B169" i="59"/>
  <c r="B170" i="59"/>
  <c r="B171" i="59"/>
  <c r="B172" i="59"/>
  <c r="B173" i="59"/>
  <c r="B174" i="59"/>
  <c r="B175" i="59"/>
  <c r="B176" i="59"/>
  <c r="B177" i="59"/>
  <c r="B178" i="59"/>
  <c r="B179" i="59"/>
  <c r="B180" i="59"/>
  <c r="B181" i="59"/>
  <c r="B182" i="59"/>
  <c r="B183" i="59"/>
  <c r="B184" i="59"/>
  <c r="B185" i="59"/>
  <c r="B186" i="59"/>
  <c r="B187" i="59"/>
  <c r="B188" i="59"/>
  <c r="B189" i="59"/>
  <c r="B190" i="59"/>
  <c r="B191" i="59"/>
  <c r="B192" i="59"/>
  <c r="B193" i="59"/>
  <c r="B194" i="59"/>
  <c r="B195" i="59"/>
  <c r="B196" i="59"/>
  <c r="B197" i="59"/>
  <c r="B198" i="59"/>
  <c r="B199" i="59"/>
  <c r="B200" i="59"/>
  <c r="B201" i="59"/>
  <c r="B202" i="59"/>
  <c r="B203" i="59"/>
  <c r="B204" i="59"/>
  <c r="B205" i="59"/>
  <c r="B206" i="59"/>
  <c r="B207" i="59"/>
  <c r="B208" i="59"/>
  <c r="B209" i="59"/>
  <c r="B210" i="59"/>
  <c r="B211" i="59"/>
  <c r="B212" i="59"/>
  <c r="B213" i="59"/>
  <c r="B214" i="59"/>
  <c r="B215" i="59"/>
  <c r="B216" i="59"/>
  <c r="B217" i="59"/>
  <c r="B218" i="59"/>
  <c r="B219" i="59"/>
  <c r="B220" i="59"/>
  <c r="B221" i="59"/>
  <c r="B222" i="59"/>
  <c r="B223" i="59"/>
  <c r="B224" i="59"/>
  <c r="B225" i="59"/>
  <c r="B226" i="59"/>
  <c r="B227" i="59"/>
  <c r="B228" i="59"/>
  <c r="B229" i="59"/>
  <c r="B230" i="59"/>
  <c r="B231" i="59"/>
  <c r="B232" i="59"/>
  <c r="B233" i="59"/>
  <c r="B234" i="59"/>
  <c r="B235" i="59"/>
  <c r="B236" i="59"/>
  <c r="B237" i="59"/>
  <c r="B238" i="59"/>
  <c r="B239" i="59"/>
  <c r="B240" i="59"/>
  <c r="B241" i="59"/>
  <c r="B242" i="59"/>
  <c r="B243" i="59"/>
  <c r="B244" i="59"/>
  <c r="B245" i="59"/>
  <c r="B246" i="59"/>
  <c r="B247" i="59"/>
  <c r="B248" i="59"/>
  <c r="B249" i="59"/>
  <c r="B250" i="59"/>
  <c r="B251" i="59"/>
  <c r="B252" i="59"/>
  <c r="B253" i="59"/>
  <c r="B254" i="59"/>
  <c r="B255" i="59"/>
  <c r="B256" i="59"/>
  <c r="B257" i="59"/>
  <c r="B258" i="59"/>
  <c r="B259" i="59"/>
  <c r="B260" i="59"/>
  <c r="B261" i="59"/>
  <c r="B262" i="59"/>
  <c r="B263" i="59"/>
  <c r="B264" i="59"/>
  <c r="B265" i="59"/>
  <c r="B266" i="59"/>
  <c r="B267" i="59"/>
  <c r="B268" i="59"/>
  <c r="B269" i="59"/>
  <c r="B270" i="59"/>
  <c r="B271" i="59"/>
  <c r="B272" i="59"/>
  <c r="B273" i="59"/>
  <c r="B274" i="59"/>
  <c r="B275" i="59"/>
  <c r="B276" i="59"/>
  <c r="B277" i="59"/>
  <c r="B278" i="59"/>
  <c r="B279" i="59"/>
  <c r="B280" i="59"/>
  <c r="B281" i="59"/>
  <c r="B282" i="59"/>
  <c r="B283" i="59"/>
  <c r="B284" i="59"/>
  <c r="B285" i="59"/>
  <c r="B286" i="59"/>
  <c r="B287" i="59"/>
  <c r="B288" i="59"/>
  <c r="B289" i="59"/>
  <c r="B290" i="59"/>
  <c r="B291" i="59"/>
  <c r="B292" i="59"/>
  <c r="B293" i="59"/>
  <c r="B294" i="59"/>
  <c r="B295" i="59"/>
  <c r="B296" i="59"/>
  <c r="B297" i="59"/>
  <c r="B298" i="59"/>
  <c r="B299" i="59"/>
  <c r="B300" i="59"/>
  <c r="B301" i="59"/>
  <c r="B302" i="59"/>
  <c r="B303" i="59"/>
  <c r="B304" i="59"/>
  <c r="B305" i="59"/>
  <c r="B306" i="59"/>
  <c r="B307" i="59"/>
  <c r="B308" i="59"/>
  <c r="B309" i="59"/>
  <c r="B310" i="59"/>
  <c r="B311" i="59"/>
  <c r="B312" i="59"/>
  <c r="B313" i="59"/>
  <c r="B314" i="59"/>
  <c r="B315" i="59"/>
  <c r="B316" i="59"/>
  <c r="B317" i="59"/>
  <c r="B318" i="59"/>
  <c r="B319" i="59"/>
  <c r="B320" i="59"/>
  <c r="B321" i="59"/>
  <c r="B322" i="59"/>
  <c r="B323" i="59"/>
  <c r="B324" i="59"/>
  <c r="B325" i="59"/>
  <c r="B326" i="59"/>
  <c r="E147" i="46"/>
  <c r="AW11" i="184" l="1"/>
  <c r="D173" i="107"/>
  <c r="D87" i="97"/>
  <c r="F6" i="97"/>
  <c r="K54" i="157" s="1"/>
  <c r="L54" i="157" s="1"/>
  <c r="E176" i="46"/>
  <c r="E178" i="46" s="1"/>
  <c r="K75" i="107" l="1"/>
  <c r="K79" i="150"/>
  <c r="AX11" i="184"/>
  <c r="V95" i="97"/>
  <c r="Q95" i="97" s="1"/>
  <c r="Q114" i="97" s="1"/>
  <c r="Q143" i="97" s="1"/>
  <c r="V92" i="97"/>
  <c r="F87" i="97"/>
  <c r="F89" i="97" s="1"/>
  <c r="F90" i="97" s="1"/>
  <c r="E135" i="46"/>
  <c r="E130" i="46"/>
  <c r="E120" i="46"/>
  <c r="G105" i="46"/>
  <c r="E103" i="46"/>
  <c r="E106" i="46" s="1"/>
  <c r="D103" i="46"/>
  <c r="D106" i="46" s="1"/>
  <c r="C103" i="46"/>
  <c r="C106" i="46" s="1"/>
  <c r="G102" i="46"/>
  <c r="A106" i="46"/>
  <c r="C9" i="46"/>
  <c r="D135" i="46"/>
  <c r="C135" i="46"/>
  <c r="D130" i="46"/>
  <c r="C130" i="46"/>
  <c r="C125" i="46"/>
  <c r="C114" i="46"/>
  <c r="H141" i="59"/>
  <c r="H142" i="59"/>
  <c r="AY11" i="184" l="1"/>
  <c r="C33" i="184" s="1"/>
  <c r="E80" i="157"/>
  <c r="V146" i="97"/>
  <c r="Q92" i="97"/>
  <c r="X91" i="97"/>
  <c r="H145" i="59"/>
  <c r="I145" i="59" s="1"/>
  <c r="J145" i="59"/>
  <c r="J144" i="59"/>
  <c r="H144" i="59"/>
  <c r="I144" i="59" s="1"/>
  <c r="H146" i="59"/>
  <c r="I146" i="59" s="1"/>
  <c r="J146" i="59"/>
  <c r="H143" i="59"/>
  <c r="I143" i="59" s="1"/>
  <c r="J143" i="59"/>
  <c r="D120" i="46"/>
  <c r="C120" i="46" s="1"/>
  <c r="E137" i="46"/>
  <c r="AZ11" i="184" l="1"/>
  <c r="D137" i="46"/>
  <c r="C137" i="46"/>
  <c r="BA11" i="184" l="1"/>
  <c r="I142" i="59"/>
  <c r="I141" i="59"/>
  <c r="BB11" i="184" l="1"/>
  <c r="C34" i="184" s="1"/>
  <c r="D34" i="184" s="1"/>
  <c r="A66" i="46"/>
  <c r="A54" i="46"/>
  <c r="BC11" i="184" l="1"/>
  <c r="J326" i="59"/>
  <c r="BD11" i="184" l="1"/>
  <c r="H326" i="59"/>
  <c r="I326" i="59"/>
  <c r="BE11" i="184" l="1"/>
  <c r="C35" i="184" s="1"/>
  <c r="F328" i="59"/>
  <c r="H204" i="59"/>
  <c r="H216" i="59"/>
  <c r="H135" i="59"/>
  <c r="H138" i="59"/>
  <c r="H139" i="59"/>
  <c r="H148" i="59"/>
  <c r="H150" i="59"/>
  <c r="H151" i="59"/>
  <c r="I153" i="59"/>
  <c r="H154" i="59"/>
  <c r="H156" i="59"/>
  <c r="I157" i="59"/>
  <c r="I158" i="59"/>
  <c r="H159" i="59"/>
  <c r="I161" i="59"/>
  <c r="H163" i="59"/>
  <c r="I167" i="59"/>
  <c r="H168" i="59"/>
  <c r="H169" i="59"/>
  <c r="H171" i="59"/>
  <c r="H172" i="59"/>
  <c r="I176" i="59"/>
  <c r="H178" i="59"/>
  <c r="H181" i="59"/>
  <c r="H182" i="59"/>
  <c r="H183" i="59"/>
  <c r="H184" i="59"/>
  <c r="H186" i="59"/>
  <c r="H188" i="59"/>
  <c r="H189" i="59"/>
  <c r="H190" i="59"/>
  <c r="H191" i="59"/>
  <c r="H194" i="59"/>
  <c r="H196" i="59"/>
  <c r="H197" i="59"/>
  <c r="H198" i="59"/>
  <c r="H199" i="59"/>
  <c r="H201" i="59"/>
  <c r="H202" i="59"/>
  <c r="H203" i="59"/>
  <c r="H206" i="59"/>
  <c r="H209" i="59"/>
  <c r="H210" i="59"/>
  <c r="H211" i="59"/>
  <c r="H214" i="59"/>
  <c r="H215" i="59"/>
  <c r="H218" i="59"/>
  <c r="H220" i="59"/>
  <c r="H221" i="59"/>
  <c r="H222" i="59"/>
  <c r="H223" i="59"/>
  <c r="I224" i="59"/>
  <c r="H225" i="59"/>
  <c r="H226" i="59"/>
  <c r="I227" i="59"/>
  <c r="H228" i="59"/>
  <c r="I233" i="59"/>
  <c r="H237" i="59"/>
  <c r="H238" i="59"/>
  <c r="I239" i="59"/>
  <c r="H240" i="59"/>
  <c r="H242" i="59"/>
  <c r="H243" i="59"/>
  <c r="I245" i="59"/>
  <c r="H249" i="59"/>
  <c r="H250" i="59"/>
  <c r="H251" i="59"/>
  <c r="H254" i="59"/>
  <c r="H256" i="59"/>
  <c r="H257" i="59"/>
  <c r="H258" i="59"/>
  <c r="H259" i="59"/>
  <c r="H260" i="59"/>
  <c r="H261" i="59"/>
  <c r="H262" i="59"/>
  <c r="H263" i="59"/>
  <c r="H266" i="59"/>
  <c r="H268" i="59"/>
  <c r="H269" i="59"/>
  <c r="H271" i="59"/>
  <c r="H273" i="59"/>
  <c r="H274" i="59"/>
  <c r="H275" i="59"/>
  <c r="H278" i="59"/>
  <c r="I280" i="59"/>
  <c r="H281" i="59"/>
  <c r="H282" i="59"/>
  <c r="H283" i="59"/>
  <c r="I284" i="59"/>
  <c r="H285" i="59"/>
  <c r="H286" i="59"/>
  <c r="H287" i="59"/>
  <c r="H288" i="59"/>
  <c r="H290" i="59"/>
  <c r="H292" i="59"/>
  <c r="H293" i="59"/>
  <c r="H294" i="59"/>
  <c r="H297" i="59"/>
  <c r="H298" i="59"/>
  <c r="H300" i="59"/>
  <c r="H303" i="59"/>
  <c r="I305" i="59"/>
  <c r="H309" i="59"/>
  <c r="H310" i="59"/>
  <c r="I311" i="59"/>
  <c r="H314" i="59"/>
  <c r="I317" i="59"/>
  <c r="H321" i="59"/>
  <c r="H322" i="59"/>
  <c r="H323" i="59"/>
  <c r="H324" i="59"/>
  <c r="H131" i="59"/>
  <c r="H132" i="59"/>
  <c r="H7" i="59"/>
  <c r="H11" i="59"/>
  <c r="H12" i="59"/>
  <c r="H13" i="59"/>
  <c r="H19" i="59"/>
  <c r="H22" i="59"/>
  <c r="H23" i="59"/>
  <c r="H24" i="59"/>
  <c r="H25" i="59"/>
  <c r="H26" i="59"/>
  <c r="H31" i="59"/>
  <c r="H35" i="59"/>
  <c r="H37" i="59"/>
  <c r="H38" i="59"/>
  <c r="H39" i="59"/>
  <c r="H43" i="59"/>
  <c r="H48" i="59"/>
  <c r="H49" i="59"/>
  <c r="H50" i="59"/>
  <c r="H52" i="59"/>
  <c r="H55" i="59"/>
  <c r="H61" i="59"/>
  <c r="H66" i="59"/>
  <c r="H67" i="59"/>
  <c r="H72" i="59"/>
  <c r="H73" i="59"/>
  <c r="H74" i="59"/>
  <c r="H75" i="59"/>
  <c r="H79" i="59"/>
  <c r="H83" i="59"/>
  <c r="H84" i="59"/>
  <c r="H85" i="59"/>
  <c r="H91" i="59"/>
  <c r="H95" i="59"/>
  <c r="H96" i="59"/>
  <c r="H97" i="59"/>
  <c r="H98" i="59"/>
  <c r="H103" i="59"/>
  <c r="H107" i="59"/>
  <c r="H108" i="59"/>
  <c r="H109" i="59"/>
  <c r="H122" i="59"/>
  <c r="BF11" i="184" l="1"/>
  <c r="H299" i="59"/>
  <c r="I299" i="59"/>
  <c r="H36" i="59"/>
  <c r="H120" i="59"/>
  <c r="H60" i="59"/>
  <c r="H252" i="59"/>
  <c r="H213" i="59"/>
  <c r="H115" i="59"/>
  <c r="H284" i="59"/>
  <c r="H127" i="59"/>
  <c r="I320" i="59"/>
  <c r="C320" i="59"/>
  <c r="H320" i="59"/>
  <c r="I308" i="59"/>
  <c r="H308" i="59"/>
  <c r="I296" i="59"/>
  <c r="H296" i="59"/>
  <c r="I212" i="59"/>
  <c r="H212" i="59"/>
  <c r="H200" i="59"/>
  <c r="I200" i="59"/>
  <c r="I164" i="59"/>
  <c r="H272" i="59"/>
  <c r="I272" i="59"/>
  <c r="I248" i="59"/>
  <c r="H248" i="59"/>
  <c r="H114" i="59"/>
  <c r="H102" i="59"/>
  <c r="H90" i="59"/>
  <c r="H54" i="59"/>
  <c r="H42" i="59"/>
  <c r="H30" i="59"/>
  <c r="H18" i="59"/>
  <c r="H6" i="59"/>
  <c r="I236" i="59"/>
  <c r="H236" i="59"/>
  <c r="H126" i="59"/>
  <c r="H78" i="59"/>
  <c r="H224" i="59"/>
  <c r="H124" i="59"/>
  <c r="H100" i="59"/>
  <c r="H76" i="59"/>
  <c r="H64" i="59"/>
  <c r="H112" i="59"/>
  <c r="H88" i="59"/>
  <c r="H40" i="59"/>
  <c r="H28" i="59"/>
  <c r="H16" i="59"/>
  <c r="H111" i="59"/>
  <c r="I194" i="59"/>
  <c r="H316" i="59"/>
  <c r="H121" i="59"/>
  <c r="H130" i="59"/>
  <c r="I302" i="59"/>
  <c r="H302" i="59"/>
  <c r="I230" i="59"/>
  <c r="H230" i="59"/>
  <c r="H312" i="59"/>
  <c r="I208" i="59"/>
  <c r="H244" i="59"/>
  <c r="H276" i="59"/>
  <c r="I266" i="59"/>
  <c r="H295" i="59"/>
  <c r="H187" i="59"/>
  <c r="H136" i="59"/>
  <c r="H264" i="59"/>
  <c r="H192" i="59"/>
  <c r="C121" i="59"/>
  <c r="H123" i="59"/>
  <c r="H99" i="59"/>
  <c r="H87" i="59"/>
  <c r="H63" i="59"/>
  <c r="H51" i="59"/>
  <c r="H27" i="59"/>
  <c r="H15" i="59"/>
  <c r="H311" i="59"/>
  <c r="H239" i="59"/>
  <c r="H227" i="59"/>
  <c r="H175" i="59"/>
  <c r="H158" i="59"/>
  <c r="I269" i="59"/>
  <c r="I254" i="59"/>
  <c r="I197" i="59"/>
  <c r="I182" i="59"/>
  <c r="C120" i="59"/>
  <c r="I325" i="59"/>
  <c r="I313" i="59"/>
  <c r="I301" i="59"/>
  <c r="I289" i="59"/>
  <c r="I277" i="59"/>
  <c r="I265" i="59"/>
  <c r="I253" i="59"/>
  <c r="I241" i="59"/>
  <c r="I229" i="59"/>
  <c r="I217" i="59"/>
  <c r="I205" i="59"/>
  <c r="I193" i="59"/>
  <c r="I181" i="59"/>
  <c r="I169" i="59"/>
  <c r="H134" i="59"/>
  <c r="H110" i="59"/>
  <c r="H86" i="59"/>
  <c r="H62" i="59"/>
  <c r="H14" i="59"/>
  <c r="H174" i="59"/>
  <c r="H157" i="59"/>
  <c r="I209" i="59"/>
  <c r="C234" i="59"/>
  <c r="C162" i="59"/>
  <c r="I315" i="59"/>
  <c r="I251" i="59"/>
  <c r="C122" i="59"/>
  <c r="I279" i="59"/>
  <c r="I207" i="59"/>
  <c r="I281" i="59"/>
  <c r="H179" i="59"/>
  <c r="H167" i="59"/>
  <c r="H155" i="59"/>
  <c r="C322" i="59"/>
  <c r="I322" i="59"/>
  <c r="I310" i="59"/>
  <c r="I298" i="59"/>
  <c r="I286" i="59"/>
  <c r="I274" i="59"/>
  <c r="I262" i="59"/>
  <c r="I250" i="59"/>
  <c r="I238" i="59"/>
  <c r="I226" i="59"/>
  <c r="I214" i="59"/>
  <c r="I202" i="59"/>
  <c r="I190" i="59"/>
  <c r="I178" i="59"/>
  <c r="I166" i="59"/>
  <c r="I154" i="59"/>
  <c r="H119" i="59"/>
  <c r="H71" i="59"/>
  <c r="H59" i="59"/>
  <c r="H47" i="59"/>
  <c r="H319" i="59"/>
  <c r="H307" i="59"/>
  <c r="H247" i="59"/>
  <c r="H235" i="59"/>
  <c r="H170" i="59"/>
  <c r="I293" i="59"/>
  <c r="I278" i="59"/>
  <c r="I221" i="59"/>
  <c r="I206" i="59"/>
  <c r="I291" i="59"/>
  <c r="I231" i="59"/>
  <c r="I195" i="59"/>
  <c r="I171" i="59"/>
  <c r="I179" i="59"/>
  <c r="I237" i="59"/>
  <c r="H118" i="59"/>
  <c r="H106" i="59"/>
  <c r="H94" i="59"/>
  <c r="H82" i="59"/>
  <c r="H70" i="59"/>
  <c r="H58" i="59"/>
  <c r="H46" i="59"/>
  <c r="H34" i="59"/>
  <c r="H10" i="59"/>
  <c r="H318" i="59"/>
  <c r="H306" i="59"/>
  <c r="H270" i="59"/>
  <c r="H246" i="59"/>
  <c r="H234" i="59"/>
  <c r="I263" i="59"/>
  <c r="I191" i="59"/>
  <c r="I255" i="59"/>
  <c r="I219" i="59"/>
  <c r="I159" i="59"/>
  <c r="I312" i="59"/>
  <c r="I288" i="59"/>
  <c r="I264" i="59"/>
  <c r="I228" i="59"/>
  <c r="I323" i="59"/>
  <c r="I321" i="59"/>
  <c r="I297" i="59"/>
  <c r="I273" i="59"/>
  <c r="I249" i="59"/>
  <c r="I213" i="59"/>
  <c r="I189" i="59"/>
  <c r="I165" i="59"/>
  <c r="H165" i="59"/>
  <c r="H153" i="59"/>
  <c r="C153" i="59"/>
  <c r="J212" i="59"/>
  <c r="H176" i="59"/>
  <c r="H164" i="59"/>
  <c r="H152" i="59"/>
  <c r="H140" i="59"/>
  <c r="H129" i="59"/>
  <c r="H117" i="59"/>
  <c r="H105" i="59"/>
  <c r="H93" i="59"/>
  <c r="H81" i="59"/>
  <c r="H69" i="59"/>
  <c r="H57" i="59"/>
  <c r="H45" i="59"/>
  <c r="H33" i="59"/>
  <c r="H21" i="59"/>
  <c r="H9" i="59"/>
  <c r="H317" i="59"/>
  <c r="H305" i="59"/>
  <c r="H245" i="59"/>
  <c r="H233" i="59"/>
  <c r="I290" i="59"/>
  <c r="I218" i="59"/>
  <c r="C119" i="59"/>
  <c r="I324" i="59"/>
  <c r="I300" i="59"/>
  <c r="I276" i="59"/>
  <c r="I252" i="59"/>
  <c r="I240" i="59"/>
  <c r="I216" i="59"/>
  <c r="I204" i="59"/>
  <c r="I192" i="59"/>
  <c r="I180" i="59"/>
  <c r="I168" i="59"/>
  <c r="I156" i="59"/>
  <c r="H133" i="59"/>
  <c r="I309" i="59"/>
  <c r="I285" i="59"/>
  <c r="I261" i="59"/>
  <c r="I225" i="59"/>
  <c r="I201" i="59"/>
  <c r="I177" i="59"/>
  <c r="H177" i="59"/>
  <c r="C319" i="59"/>
  <c r="I319" i="59"/>
  <c r="I307" i="59"/>
  <c r="I295" i="59"/>
  <c r="I283" i="59"/>
  <c r="I271" i="59"/>
  <c r="I259" i="59"/>
  <c r="I247" i="59"/>
  <c r="I235" i="59"/>
  <c r="I223" i="59"/>
  <c r="I211" i="59"/>
  <c r="I199" i="59"/>
  <c r="I187" i="59"/>
  <c r="I175" i="59"/>
  <c r="C163" i="59"/>
  <c r="I163" i="59"/>
  <c r="H128" i="59"/>
  <c r="H116" i="59"/>
  <c r="H104" i="59"/>
  <c r="H92" i="59"/>
  <c r="H80" i="59"/>
  <c r="H68" i="59"/>
  <c r="H56" i="59"/>
  <c r="H44" i="59"/>
  <c r="H32" i="59"/>
  <c r="H20" i="59"/>
  <c r="H8" i="59"/>
  <c r="H304" i="59"/>
  <c r="H280" i="59"/>
  <c r="H232" i="59"/>
  <c r="H208" i="59"/>
  <c r="H166" i="59"/>
  <c r="H147" i="59"/>
  <c r="I275" i="59"/>
  <c r="I260" i="59"/>
  <c r="I203" i="59"/>
  <c r="I188" i="59"/>
  <c r="C318" i="59"/>
  <c r="I318" i="59"/>
  <c r="I306" i="59"/>
  <c r="I294" i="59"/>
  <c r="I282" i="59"/>
  <c r="I270" i="59"/>
  <c r="I258" i="59"/>
  <c r="I246" i="59"/>
  <c r="I234" i="59"/>
  <c r="I222" i="59"/>
  <c r="I210" i="59"/>
  <c r="I198" i="59"/>
  <c r="I186" i="59"/>
  <c r="I174" i="59"/>
  <c r="I162" i="59"/>
  <c r="H315" i="59"/>
  <c r="H291" i="59"/>
  <c r="H279" i="59"/>
  <c r="H267" i="59"/>
  <c r="H255" i="59"/>
  <c r="H231" i="59"/>
  <c r="H219" i="59"/>
  <c r="H207" i="59"/>
  <c r="H195" i="59"/>
  <c r="I173" i="59"/>
  <c r="I267" i="59"/>
  <c r="I183" i="59"/>
  <c r="C317" i="59"/>
  <c r="C281" i="59"/>
  <c r="C257" i="59"/>
  <c r="H185" i="59"/>
  <c r="H173" i="59"/>
  <c r="C161" i="59"/>
  <c r="H161" i="59"/>
  <c r="H149" i="59"/>
  <c r="H137" i="59"/>
  <c r="I287" i="59"/>
  <c r="I215" i="59"/>
  <c r="I303" i="59"/>
  <c r="I243" i="59"/>
  <c r="H162" i="59"/>
  <c r="C316" i="59"/>
  <c r="I316" i="59"/>
  <c r="I304" i="59"/>
  <c r="I292" i="59"/>
  <c r="I268" i="59"/>
  <c r="I256" i="59"/>
  <c r="I244" i="59"/>
  <c r="I232" i="59"/>
  <c r="I220" i="59"/>
  <c r="I196" i="59"/>
  <c r="I184" i="59"/>
  <c r="I172" i="59"/>
  <c r="I160" i="59"/>
  <c r="H125" i="59"/>
  <c r="H113" i="59"/>
  <c r="H101" i="59"/>
  <c r="H89" i="59"/>
  <c r="H77" i="59"/>
  <c r="H65" i="59"/>
  <c r="H53" i="59"/>
  <c r="H41" i="59"/>
  <c r="H29" i="59"/>
  <c r="H17" i="59"/>
  <c r="H325" i="59"/>
  <c r="H313" i="59"/>
  <c r="H301" i="59"/>
  <c r="H289" i="59"/>
  <c r="H277" i="59"/>
  <c r="H265" i="59"/>
  <c r="H253" i="59"/>
  <c r="H241" i="59"/>
  <c r="H229" i="59"/>
  <c r="H217" i="59"/>
  <c r="H205" i="59"/>
  <c r="H193" i="59"/>
  <c r="H180" i="59"/>
  <c r="H160" i="59"/>
  <c r="I314" i="59"/>
  <c r="I257" i="59"/>
  <c r="I242" i="59"/>
  <c r="I185" i="59"/>
  <c r="I170" i="59"/>
  <c r="I155" i="59"/>
  <c r="C321" i="59"/>
  <c r="BG11" i="184" l="1"/>
  <c r="A6" i="86"/>
  <c r="E327" i="59"/>
  <c r="G327" i="59" s="1"/>
  <c r="D176" i="158" l="1"/>
  <c r="F176" i="158" s="1"/>
  <c r="D175" i="158"/>
  <c r="F175" i="158" s="1"/>
  <c r="D173" i="158"/>
  <c r="F173" i="158" s="1"/>
  <c r="D179" i="158"/>
  <c r="F179" i="158" s="1"/>
  <c r="E52" i="114" s="1"/>
  <c r="D174" i="158"/>
  <c r="F174" i="158" s="1"/>
  <c r="D177" i="158"/>
  <c r="F177" i="158" s="1"/>
  <c r="D178" i="158"/>
  <c r="F178" i="158" s="1"/>
  <c r="E51" i="114" s="1"/>
  <c r="BH11" i="184"/>
  <c r="C36" i="184" s="1"/>
  <c r="D24" i="158"/>
  <c r="F24" i="158" s="1"/>
  <c r="D141" i="158"/>
  <c r="F141" i="158" s="1"/>
  <c r="D96" i="158"/>
  <c r="D43" i="158"/>
  <c r="F43" i="158" s="1"/>
  <c r="D129" i="158"/>
  <c r="F129" i="158" s="1"/>
  <c r="D18" i="158"/>
  <c r="F18" i="158" s="1"/>
  <c r="D140" i="158"/>
  <c r="F140" i="158" s="1"/>
  <c r="D19" i="158"/>
  <c r="F19" i="158" s="1"/>
  <c r="D101" i="158"/>
  <c r="F101" i="158" s="1"/>
  <c r="D160" i="158"/>
  <c r="F160" i="158" s="1"/>
  <c r="D122" i="158"/>
  <c r="F122" i="158" s="1"/>
  <c r="D36" i="158"/>
  <c r="F36" i="158" s="1"/>
  <c r="D82" i="158"/>
  <c r="F82" i="158" s="1"/>
  <c r="D98" i="158"/>
  <c r="F98" i="158" s="1"/>
  <c r="D10" i="158"/>
  <c r="F10" i="158" s="1"/>
  <c r="D20" i="158"/>
  <c r="F20" i="158" s="1"/>
  <c r="E17" i="157" s="1"/>
  <c r="F7" i="109" s="1"/>
  <c r="Z7" i="109" s="1"/>
  <c r="D107" i="158"/>
  <c r="F107" i="158" s="1"/>
  <c r="D137" i="158"/>
  <c r="F137" i="158" s="1"/>
  <c r="D38" i="158"/>
  <c r="F38" i="158" s="1"/>
  <c r="D128" i="158"/>
  <c r="F128" i="158" s="1"/>
  <c r="D89" i="158"/>
  <c r="F89" i="158" s="1"/>
  <c r="D148" i="158"/>
  <c r="F148" i="158" s="1"/>
  <c r="D30" i="158"/>
  <c r="F30" i="158" s="1"/>
  <c r="D143" i="158"/>
  <c r="F143" i="158" s="1"/>
  <c r="D66" i="158"/>
  <c r="F66" i="158" s="1"/>
  <c r="D158" i="158"/>
  <c r="D93" i="158"/>
  <c r="F93" i="158" s="1"/>
  <c r="D116" i="158"/>
  <c r="F116" i="158" s="1"/>
  <c r="D53" i="158"/>
  <c r="F53" i="158" s="1"/>
  <c r="D112" i="158"/>
  <c r="F112" i="158" s="1"/>
  <c r="D159" i="158"/>
  <c r="F159" i="158" s="1"/>
  <c r="D86" i="158"/>
  <c r="F86" i="158" s="1"/>
  <c r="D133" i="158"/>
  <c r="F133" i="158" s="1"/>
  <c r="D153" i="158"/>
  <c r="F153" i="158" s="1"/>
  <c r="D42" i="158"/>
  <c r="F42" i="158" s="1"/>
  <c r="D74" i="158"/>
  <c r="F74" i="158" s="1"/>
  <c r="D67" i="158"/>
  <c r="F67" i="158" s="1"/>
  <c r="D50" i="158"/>
  <c r="F50" i="158" s="1"/>
  <c r="D104" i="158"/>
  <c r="F104" i="158" s="1"/>
  <c r="D41" i="158"/>
  <c r="F41" i="158" s="1"/>
  <c r="D100" i="158"/>
  <c r="F100" i="158" s="1"/>
  <c r="D135" i="158"/>
  <c r="F135" i="158" s="1"/>
  <c r="D14" i="158"/>
  <c r="F14" i="158" s="1"/>
  <c r="D97" i="158"/>
  <c r="F97" i="158" s="1"/>
  <c r="D168" i="158"/>
  <c r="F168" i="158" s="1"/>
  <c r="D81" i="158"/>
  <c r="F81" i="158" s="1"/>
  <c r="D64" i="158"/>
  <c r="F64" i="158" s="1"/>
  <c r="D55" i="158"/>
  <c r="F55" i="158" s="1"/>
  <c r="D51" i="158"/>
  <c r="F51" i="158" s="1"/>
  <c r="D65" i="158"/>
  <c r="F65" i="158" s="1"/>
  <c r="D109" i="158"/>
  <c r="F109" i="158" s="1"/>
  <c r="D76" i="158"/>
  <c r="F76" i="158" s="1"/>
  <c r="D62" i="158"/>
  <c r="F62" i="158" s="1"/>
  <c r="D92" i="158"/>
  <c r="F92" i="158" s="1"/>
  <c r="D88" i="158"/>
  <c r="F88" i="158" s="1"/>
  <c r="D123" i="158"/>
  <c r="F123" i="158" s="1"/>
  <c r="D61" i="158"/>
  <c r="F61" i="158" s="1"/>
  <c r="E34" i="157" s="1"/>
  <c r="D156" i="158"/>
  <c r="F156" i="158" s="1"/>
  <c r="D69" i="158"/>
  <c r="F69" i="158" s="1"/>
  <c r="D23" i="158"/>
  <c r="F23" i="158" s="1"/>
  <c r="E19" i="157" s="1"/>
  <c r="D161" i="158"/>
  <c r="F161" i="158" s="1"/>
  <c r="D63" i="158"/>
  <c r="F63" i="158" s="1"/>
  <c r="D73" i="158"/>
  <c r="F73" i="158" s="1"/>
  <c r="D166" i="158"/>
  <c r="F166" i="158" s="1"/>
  <c r="D26" i="158"/>
  <c r="F26" i="158" s="1"/>
  <c r="D80" i="158"/>
  <c r="F80" i="158" s="1"/>
  <c r="D163" i="158"/>
  <c r="F163" i="158" s="1"/>
  <c r="D40" i="158"/>
  <c r="F40" i="158" s="1"/>
  <c r="D111" i="158"/>
  <c r="F111" i="158" s="1"/>
  <c r="D49" i="158"/>
  <c r="F49" i="158" s="1"/>
  <c r="D132" i="158"/>
  <c r="F132" i="158" s="1"/>
  <c r="D45" i="158"/>
  <c r="F45" i="158" s="1"/>
  <c r="D94" i="158"/>
  <c r="F94" i="158" s="1"/>
  <c r="D83" i="158"/>
  <c r="F83" i="158" s="1"/>
  <c r="D85" i="158"/>
  <c r="F85" i="158" s="1"/>
  <c r="D110" i="158"/>
  <c r="F110" i="158" s="1"/>
  <c r="D46" i="158"/>
  <c r="F46" i="158" s="1"/>
  <c r="D56" i="158"/>
  <c r="F56" i="158" s="1"/>
  <c r="D151" i="158"/>
  <c r="F151" i="158" s="1"/>
  <c r="D162" i="158"/>
  <c r="F162" i="158" s="1"/>
  <c r="D28" i="158"/>
  <c r="F28" i="158" s="1"/>
  <c r="D99" i="158"/>
  <c r="F99" i="158" s="1"/>
  <c r="D37" i="158"/>
  <c r="F37" i="158" s="1"/>
  <c r="D120" i="158"/>
  <c r="F120" i="158" s="1"/>
  <c r="D33" i="158"/>
  <c r="F33" i="158" s="1"/>
  <c r="D90" i="158"/>
  <c r="F90" i="158" s="1"/>
  <c r="D54" i="158"/>
  <c r="F54" i="158" s="1"/>
  <c r="D134" i="158"/>
  <c r="F134" i="158" s="1"/>
  <c r="D95" i="158"/>
  <c r="D144" i="158"/>
  <c r="F144" i="158" s="1"/>
  <c r="D25" i="158"/>
  <c r="F25" i="158" s="1"/>
  <c r="D44" i="158"/>
  <c r="F44" i="158" s="1"/>
  <c r="D139" i="158"/>
  <c r="F139" i="158" s="1"/>
  <c r="D126" i="158"/>
  <c r="F126" i="158" s="1"/>
  <c r="D16" i="158"/>
  <c r="F16" i="158" s="1"/>
  <c r="D87" i="158"/>
  <c r="F87" i="158" s="1"/>
  <c r="D13" i="158"/>
  <c r="F13" i="158" s="1"/>
  <c r="D108" i="158"/>
  <c r="F108" i="158" s="1"/>
  <c r="D167" i="158"/>
  <c r="F167" i="158" s="1"/>
  <c r="D21" i="158"/>
  <c r="F21" i="158" s="1"/>
  <c r="D15" i="158"/>
  <c r="F15" i="158" s="1"/>
  <c r="D117" i="158"/>
  <c r="F117" i="158" s="1"/>
  <c r="D165" i="158"/>
  <c r="F165" i="158" s="1"/>
  <c r="D136" i="158"/>
  <c r="F136" i="158" s="1"/>
  <c r="D79" i="158"/>
  <c r="F79" i="158" s="1"/>
  <c r="D32" i="158"/>
  <c r="F32" i="158" s="1"/>
  <c r="D127" i="158"/>
  <c r="F127" i="158" s="1"/>
  <c r="D114" i="158"/>
  <c r="F114" i="158" s="1"/>
  <c r="D75" i="158"/>
  <c r="F75" i="158" s="1"/>
  <c r="D84" i="158"/>
  <c r="F84" i="158" s="1"/>
  <c r="D59" i="158"/>
  <c r="F59" i="158" s="1"/>
  <c r="D152" i="158"/>
  <c r="F152" i="158" s="1"/>
  <c r="D48" i="158"/>
  <c r="F48" i="158" s="1"/>
  <c r="D145" i="158"/>
  <c r="F145" i="158" s="1"/>
  <c r="D12" i="158"/>
  <c r="F12" i="158" s="1"/>
  <c r="D172" i="158"/>
  <c r="F172" i="158" s="1"/>
  <c r="D31" i="158"/>
  <c r="F31" i="158" s="1"/>
  <c r="D157" i="158"/>
  <c r="F157" i="158" s="1"/>
  <c r="D91" i="158"/>
  <c r="F91" i="158" s="1"/>
  <c r="D115" i="158"/>
  <c r="F115" i="158" s="1"/>
  <c r="D102" i="158"/>
  <c r="F102" i="158" s="1"/>
  <c r="D39" i="158"/>
  <c r="F39" i="158" s="1"/>
  <c r="D170" i="158"/>
  <c r="F170" i="158" s="1"/>
  <c r="D72" i="158"/>
  <c r="F72" i="158" s="1"/>
  <c r="D150" i="158"/>
  <c r="F150" i="158" s="1"/>
  <c r="D52" i="158"/>
  <c r="F52" i="158" s="1"/>
  <c r="D11" i="158"/>
  <c r="F11" i="158" s="1"/>
  <c r="D121" i="158"/>
  <c r="F121" i="158" s="1"/>
  <c r="D164" i="158"/>
  <c r="F164" i="158" s="1"/>
  <c r="D103" i="158"/>
  <c r="F103" i="158" s="1"/>
  <c r="D78" i="158"/>
  <c r="F78" i="158" s="1"/>
  <c r="D27" i="158"/>
  <c r="F27" i="158" s="1"/>
  <c r="D146" i="158"/>
  <c r="F146" i="158" s="1"/>
  <c r="D60" i="158"/>
  <c r="F60" i="158" s="1"/>
  <c r="D142" i="158"/>
  <c r="F142" i="158" s="1"/>
  <c r="D9" i="158"/>
  <c r="F9" i="158" s="1"/>
  <c r="D57" i="158"/>
  <c r="F57" i="158" s="1"/>
  <c r="D105" i="158"/>
  <c r="F105" i="158" s="1"/>
  <c r="D22" i="158"/>
  <c r="F22" i="158" s="1"/>
  <c r="D34" i="158"/>
  <c r="F34" i="158" s="1"/>
  <c r="D58" i="158"/>
  <c r="F58" i="158" s="1"/>
  <c r="D70" i="158"/>
  <c r="F70" i="158" s="1"/>
  <c r="D106" i="158"/>
  <c r="F106" i="158" s="1"/>
  <c r="D118" i="158"/>
  <c r="F118" i="158" s="1"/>
  <c r="D130" i="158"/>
  <c r="F130" i="158" s="1"/>
  <c r="D154" i="158"/>
  <c r="F154" i="158" s="1"/>
  <c r="D35" i="158"/>
  <c r="F35" i="158" s="1"/>
  <c r="D47" i="158"/>
  <c r="F47" i="158" s="1"/>
  <c r="D71" i="158"/>
  <c r="F71" i="158" s="1"/>
  <c r="D119" i="158"/>
  <c r="F119" i="158" s="1"/>
  <c r="D131" i="158"/>
  <c r="F131" i="158" s="1"/>
  <c r="D155" i="158"/>
  <c r="F155" i="158" s="1"/>
  <c r="D169" i="158"/>
  <c r="F169" i="158" s="1"/>
  <c r="E31" i="157" s="1"/>
  <c r="D147" i="158"/>
  <c r="F147" i="158" s="1"/>
  <c r="D171" i="158"/>
  <c r="F171" i="158" s="1"/>
  <c r="D124" i="158"/>
  <c r="F124" i="158" s="1"/>
  <c r="D17" i="158"/>
  <c r="F17" i="158" s="1"/>
  <c r="D29" i="158"/>
  <c r="F29" i="158" s="1"/>
  <c r="D77" i="158"/>
  <c r="F77" i="158" s="1"/>
  <c r="D113" i="158"/>
  <c r="F113" i="158" s="1"/>
  <c r="D125" i="158"/>
  <c r="F125" i="158" s="1"/>
  <c r="D149" i="158"/>
  <c r="F149" i="158" s="1"/>
  <c r="D138" i="158"/>
  <c r="F138" i="158" s="1"/>
  <c r="D68" i="158"/>
  <c r="F68" i="158" s="1"/>
  <c r="D6" i="86"/>
  <c r="C6" i="86"/>
  <c r="J317" i="59"/>
  <c r="J316" i="59"/>
  <c r="J119" i="59"/>
  <c r="I121" i="59"/>
  <c r="I89" i="59"/>
  <c r="I119" i="59"/>
  <c r="J122" i="59"/>
  <c r="I122" i="59"/>
  <c r="J121" i="59"/>
  <c r="J120" i="59"/>
  <c r="I120" i="59"/>
  <c r="J89" i="59"/>
  <c r="E53" i="114" l="1"/>
  <c r="F158" i="158"/>
  <c r="T197" i="158"/>
  <c r="I66" i="157"/>
  <c r="E55" i="114" s="1"/>
  <c r="W193" i="158"/>
  <c r="L193" i="158" s="1"/>
  <c r="F96" i="158"/>
  <c r="F4" i="158" s="1"/>
  <c r="G179" i="157" s="1"/>
  <c r="D4" i="158"/>
  <c r="I68" i="157"/>
  <c r="L14" i="109" s="1"/>
  <c r="E24" i="157"/>
  <c r="I65" i="157"/>
  <c r="L12" i="109" s="1"/>
  <c r="I64" i="157"/>
  <c r="I60" i="157"/>
  <c r="L8" i="109" s="1"/>
  <c r="Z51" i="109" s="1"/>
  <c r="I59" i="157"/>
  <c r="I55" i="157"/>
  <c r="E38" i="157"/>
  <c r="K38" i="157" s="1"/>
  <c r="L38" i="157" s="1"/>
  <c r="E32" i="157"/>
  <c r="E42" i="157"/>
  <c r="E41" i="157"/>
  <c r="C98" i="157" s="1"/>
  <c r="BI11" i="184"/>
  <c r="K31" i="157"/>
  <c r="L31" i="157" s="1"/>
  <c r="K19" i="157"/>
  <c r="L19" i="157" s="1"/>
  <c r="K34" i="157"/>
  <c r="L34" i="157" s="1"/>
  <c r="K17" i="157"/>
  <c r="L17" i="157" s="1"/>
  <c r="E25" i="157"/>
  <c r="K25" i="157" s="1"/>
  <c r="E33" i="157"/>
  <c r="E30" i="157"/>
  <c r="F18" i="109" s="1"/>
  <c r="Z18" i="109" s="1"/>
  <c r="E18" i="157"/>
  <c r="E16" i="157"/>
  <c r="K16" i="157" s="1"/>
  <c r="L16" i="157" s="1"/>
  <c r="E15" i="157"/>
  <c r="E35" i="157"/>
  <c r="F20" i="109" s="1"/>
  <c r="Z20" i="109" s="1"/>
  <c r="E23" i="157"/>
  <c r="E14" i="157"/>
  <c r="F95" i="158"/>
  <c r="F6" i="86"/>
  <c r="D180" i="86"/>
  <c r="D2" i="86" s="1"/>
  <c r="E40" i="59"/>
  <c r="E16" i="59"/>
  <c r="E15" i="59"/>
  <c r="E17" i="59"/>
  <c r="E76" i="59"/>
  <c r="E19" i="59"/>
  <c r="C180" i="86"/>
  <c r="C2" i="86" s="1"/>
  <c r="E39" i="59"/>
  <c r="E35" i="59"/>
  <c r="E9" i="59"/>
  <c r="E18" i="59"/>
  <c r="E12" i="59"/>
  <c r="E29" i="59"/>
  <c r="E75" i="59"/>
  <c r="E25" i="59"/>
  <c r="E21" i="59"/>
  <c r="E53" i="59"/>
  <c r="E65" i="59"/>
  <c r="E57" i="59"/>
  <c r="E50" i="59"/>
  <c r="E63" i="59"/>
  <c r="E52" i="59"/>
  <c r="E24" i="59"/>
  <c r="E38" i="59"/>
  <c r="E46" i="59"/>
  <c r="E6" i="59"/>
  <c r="E42" i="59"/>
  <c r="E7" i="59"/>
  <c r="E43" i="59"/>
  <c r="E82" i="59"/>
  <c r="E11" i="59"/>
  <c r="E47" i="59"/>
  <c r="E83" i="59"/>
  <c r="E8" i="59"/>
  <c r="E80" i="59"/>
  <c r="E37" i="59"/>
  <c r="E73" i="59"/>
  <c r="E14" i="59"/>
  <c r="E10" i="59"/>
  <c r="E70" i="59"/>
  <c r="E23" i="59"/>
  <c r="E59" i="59"/>
  <c r="E34" i="59"/>
  <c r="E20" i="59"/>
  <c r="E56" i="59"/>
  <c r="E92" i="59"/>
  <c r="E13" i="59"/>
  <c r="E49" i="59"/>
  <c r="E85" i="59"/>
  <c r="E90" i="59"/>
  <c r="E117" i="59"/>
  <c r="E22" i="59"/>
  <c r="E26" i="59"/>
  <c r="E74" i="59"/>
  <c r="E87" i="59"/>
  <c r="E30" i="59"/>
  <c r="E31" i="59"/>
  <c r="E67" i="59"/>
  <c r="E176" i="59"/>
  <c r="E61" i="59"/>
  <c r="E291" i="59"/>
  <c r="C6" i="59"/>
  <c r="C7" i="59"/>
  <c r="C8" i="59"/>
  <c r="C9" i="59"/>
  <c r="C10" i="59"/>
  <c r="C12" i="59"/>
  <c r="C13" i="59"/>
  <c r="C14" i="59"/>
  <c r="C16" i="59"/>
  <c r="C19" i="59"/>
  <c r="C21" i="59"/>
  <c r="C22" i="59"/>
  <c r="C23" i="59"/>
  <c r="C24" i="59"/>
  <c r="C34" i="59"/>
  <c r="C36" i="59"/>
  <c r="C67" i="59"/>
  <c r="C64" i="59"/>
  <c r="C46" i="59"/>
  <c r="C47" i="59"/>
  <c r="C48" i="59"/>
  <c r="C49" i="59"/>
  <c r="C50" i="59"/>
  <c r="C51" i="59"/>
  <c r="C52" i="59"/>
  <c r="C54" i="59"/>
  <c r="C78" i="59"/>
  <c r="C56" i="59"/>
  <c r="C89" i="59"/>
  <c r="C96" i="59"/>
  <c r="C59" i="59"/>
  <c r="C60" i="59"/>
  <c r="C61" i="59"/>
  <c r="C62" i="59"/>
  <c r="C63" i="59"/>
  <c r="C65" i="59"/>
  <c r="C73" i="59"/>
  <c r="C74" i="59"/>
  <c r="C75" i="59"/>
  <c r="C76" i="59"/>
  <c r="C79" i="59"/>
  <c r="C86" i="59"/>
  <c r="C90" i="59"/>
  <c r="C91" i="59"/>
  <c r="C92" i="59"/>
  <c r="C93" i="59"/>
  <c r="C94" i="59"/>
  <c r="C98" i="59"/>
  <c r="C99" i="59"/>
  <c r="C100" i="59"/>
  <c r="C101" i="59"/>
  <c r="C102" i="59"/>
  <c r="C103" i="59"/>
  <c r="C104" i="59"/>
  <c r="C105" i="59"/>
  <c r="C106" i="59"/>
  <c r="C107" i="59"/>
  <c r="C108" i="59"/>
  <c r="C109" i="59"/>
  <c r="C110" i="59"/>
  <c r="C111" i="59"/>
  <c r="C112" i="59"/>
  <c r="C113" i="59"/>
  <c r="C114" i="59"/>
  <c r="C115" i="59"/>
  <c r="C116" i="59"/>
  <c r="C117" i="59"/>
  <c r="C118" i="59"/>
  <c r="C123" i="59"/>
  <c r="C125" i="59"/>
  <c r="C126" i="59"/>
  <c r="C128" i="59"/>
  <c r="C129" i="59"/>
  <c r="C131" i="59"/>
  <c r="C132" i="59"/>
  <c r="C134" i="59"/>
  <c r="C135" i="59"/>
  <c r="C136" i="59"/>
  <c r="C138" i="59"/>
  <c r="C140" i="59"/>
  <c r="C141" i="59"/>
  <c r="C143" i="59"/>
  <c r="C144" i="59"/>
  <c r="C145" i="59"/>
  <c r="C146" i="59"/>
  <c r="C148" i="59"/>
  <c r="E147" i="59" s="1"/>
  <c r="C149" i="59"/>
  <c r="C154" i="59"/>
  <c r="C156" i="59"/>
  <c r="C158" i="59"/>
  <c r="C164" i="59"/>
  <c r="C165" i="59"/>
  <c r="C167" i="59"/>
  <c r="C170" i="59"/>
  <c r="C172" i="59"/>
  <c r="C173" i="59"/>
  <c r="C174" i="59"/>
  <c r="C177" i="59"/>
  <c r="C180" i="59"/>
  <c r="C181" i="59"/>
  <c r="C183" i="59"/>
  <c r="C184" i="59"/>
  <c r="C186" i="59"/>
  <c r="C187" i="59"/>
  <c r="C188" i="59"/>
  <c r="C189" i="59"/>
  <c r="C190" i="59"/>
  <c r="C193" i="59"/>
  <c r="C195" i="59"/>
  <c r="C196" i="59"/>
  <c r="C198" i="59"/>
  <c r="C199" i="59"/>
  <c r="C200" i="59"/>
  <c r="C201" i="59"/>
  <c r="C202" i="59"/>
  <c r="C205" i="59"/>
  <c r="C207" i="59"/>
  <c r="C208" i="59"/>
  <c r="C209" i="59"/>
  <c r="C210" i="59"/>
  <c r="C211" i="59"/>
  <c r="C212" i="59"/>
  <c r="C213" i="59"/>
  <c r="C214" i="59"/>
  <c r="C217" i="59"/>
  <c r="C219" i="59"/>
  <c r="C220" i="59"/>
  <c r="C221" i="59"/>
  <c r="C223" i="59"/>
  <c r="C224" i="59"/>
  <c r="C225" i="59"/>
  <c r="C226" i="59"/>
  <c r="C229" i="59"/>
  <c r="C235" i="59"/>
  <c r="C236" i="59"/>
  <c r="C238" i="59"/>
  <c r="C239" i="59"/>
  <c r="C240" i="59"/>
  <c r="C241" i="59"/>
  <c r="C244" i="59"/>
  <c r="C246" i="59"/>
  <c r="C247" i="59"/>
  <c r="C248" i="59"/>
  <c r="C250" i="59"/>
  <c r="C251" i="59"/>
  <c r="C252" i="59"/>
  <c r="C258" i="59"/>
  <c r="C259" i="59"/>
  <c r="C261" i="59"/>
  <c r="C262" i="59"/>
  <c r="C263" i="59"/>
  <c r="C266" i="59"/>
  <c r="C267" i="59"/>
  <c r="C268" i="59"/>
  <c r="C269" i="59"/>
  <c r="C274" i="59"/>
  <c r="C275" i="59"/>
  <c r="C276" i="59"/>
  <c r="C282" i="59"/>
  <c r="C285" i="59"/>
  <c r="C286" i="59"/>
  <c r="C289" i="59"/>
  <c r="C292" i="59"/>
  <c r="C293" i="59"/>
  <c r="C294" i="59"/>
  <c r="C296" i="59"/>
  <c r="C297" i="59"/>
  <c r="C298" i="59"/>
  <c r="C299" i="59"/>
  <c r="C302" i="59"/>
  <c r="C305" i="59"/>
  <c r="C308" i="59"/>
  <c r="C309" i="59"/>
  <c r="C312" i="59"/>
  <c r="C313" i="59"/>
  <c r="C323" i="59"/>
  <c r="E110" i="157" l="1"/>
  <c r="E10" i="112" s="1"/>
  <c r="E130" i="200"/>
  <c r="P20" i="130"/>
  <c r="Q20" i="130" s="1"/>
  <c r="R20" i="130" s="1"/>
  <c r="Z56" i="109"/>
  <c r="P22" i="130"/>
  <c r="Q22" i="130" s="1"/>
  <c r="R22" i="130" s="1"/>
  <c r="Z58" i="109"/>
  <c r="F19" i="109"/>
  <c r="Z19" i="109" s="1"/>
  <c r="Z21" i="109" s="1"/>
  <c r="E81" i="114"/>
  <c r="F12" i="109"/>
  <c r="Z12" i="109" s="1"/>
  <c r="P41" i="114"/>
  <c r="I54" i="157"/>
  <c r="M54" i="157" s="1"/>
  <c r="K24" i="157"/>
  <c r="L24" i="157" s="1"/>
  <c r="M55" i="157"/>
  <c r="N55" i="157" s="1"/>
  <c r="L4" i="109"/>
  <c r="Z47" i="109" s="1"/>
  <c r="M66" i="157"/>
  <c r="N66" i="157" s="1"/>
  <c r="L13" i="109"/>
  <c r="V12" i="109"/>
  <c r="L197" i="158"/>
  <c r="M68" i="157"/>
  <c r="N68" i="157" s="1"/>
  <c r="V13" i="109"/>
  <c r="V11" i="109"/>
  <c r="M65" i="157"/>
  <c r="N65" i="157" s="1"/>
  <c r="M59" i="157"/>
  <c r="N59" i="157" s="1"/>
  <c r="L7" i="109"/>
  <c r="Z50" i="109" s="1"/>
  <c r="M64" i="157"/>
  <c r="N64" i="157" s="1"/>
  <c r="L11" i="109"/>
  <c r="Z54" i="109" s="1"/>
  <c r="M60" i="157"/>
  <c r="N60" i="157" s="1"/>
  <c r="V7" i="109"/>
  <c r="K55" i="157"/>
  <c r="L55" i="157" s="1"/>
  <c r="V6" i="109"/>
  <c r="F25" i="109"/>
  <c r="Z25" i="109" s="1"/>
  <c r="E98" i="157"/>
  <c r="K32" i="157"/>
  <c r="L32" i="157" s="1"/>
  <c r="BJ11" i="184"/>
  <c r="F24" i="109"/>
  <c r="Z24" i="109" s="1"/>
  <c r="B15" i="130"/>
  <c r="U14" i="157"/>
  <c r="F6" i="109"/>
  <c r="Z6" i="109" s="1"/>
  <c r="F11" i="109"/>
  <c r="E40" i="114"/>
  <c r="K33" i="157"/>
  <c r="L33" i="157" s="1"/>
  <c r="K30" i="157"/>
  <c r="L30" i="157" s="1"/>
  <c r="K35" i="157"/>
  <c r="L35" i="157" s="1"/>
  <c r="K15" i="157"/>
  <c r="L15" i="157" s="1"/>
  <c r="K18" i="157"/>
  <c r="L18" i="157" s="1"/>
  <c r="I61" i="157"/>
  <c r="K61" i="157"/>
  <c r="K41" i="157"/>
  <c r="L41" i="157" s="1"/>
  <c r="K14" i="157"/>
  <c r="L14" i="157" s="1"/>
  <c r="K42" i="157"/>
  <c r="L42" i="157" s="1"/>
  <c r="E26" i="157"/>
  <c r="K23" i="157"/>
  <c r="L23" i="157" s="1"/>
  <c r="E36" i="157"/>
  <c r="F180" i="86"/>
  <c r="D8" i="158"/>
  <c r="C11" i="59"/>
  <c r="G11" i="59" s="1"/>
  <c r="C66" i="59"/>
  <c r="C33" i="59"/>
  <c r="C20" i="59"/>
  <c r="G20" i="59" s="1"/>
  <c r="C18" i="59"/>
  <c r="G18" i="59" s="1"/>
  <c r="C53" i="59"/>
  <c r="G53" i="59" s="1"/>
  <c r="C82" i="59"/>
  <c r="G82" i="59" s="1"/>
  <c r="C81" i="59"/>
  <c r="C80" i="59"/>
  <c r="G80" i="59" s="1"/>
  <c r="C77" i="59"/>
  <c r="C15" i="59"/>
  <c r="G15" i="59" s="1"/>
  <c r="C45" i="59"/>
  <c r="C68" i="59"/>
  <c r="C55" i="59"/>
  <c r="C35" i="59"/>
  <c r="C58" i="59"/>
  <c r="E45" i="59"/>
  <c r="E100" i="59"/>
  <c r="E71" i="59"/>
  <c r="E33" i="59"/>
  <c r="E44" i="59"/>
  <c r="E86" i="59"/>
  <c r="G86" i="59" s="1"/>
  <c r="E27" i="59"/>
  <c r="E54" i="59"/>
  <c r="E84" i="59"/>
  <c r="E77" i="59"/>
  <c r="E79" i="59"/>
  <c r="E68" i="59"/>
  <c r="E51" i="59"/>
  <c r="G51" i="59" s="1"/>
  <c r="E81" i="59"/>
  <c r="E66" i="59"/>
  <c r="E32" i="59"/>
  <c r="E88" i="59"/>
  <c r="E36" i="59"/>
  <c r="E93" i="59"/>
  <c r="G93" i="59" s="1"/>
  <c r="E60" i="59"/>
  <c r="G60" i="59" s="1"/>
  <c r="E41" i="59"/>
  <c r="E98" i="59"/>
  <c r="E55" i="59"/>
  <c r="E64" i="59"/>
  <c r="E62" i="59"/>
  <c r="G62" i="59" s="1"/>
  <c r="E78" i="59"/>
  <c r="E69" i="59"/>
  <c r="E48" i="59"/>
  <c r="G48" i="59" s="1"/>
  <c r="E28" i="59"/>
  <c r="E58" i="59"/>
  <c r="E72" i="59"/>
  <c r="E101" i="59"/>
  <c r="C95" i="59"/>
  <c r="C70" i="59"/>
  <c r="C97" i="59"/>
  <c r="C31" i="59"/>
  <c r="C44" i="59"/>
  <c r="C85" i="59"/>
  <c r="G85" i="59" s="1"/>
  <c r="C30" i="59"/>
  <c r="C43" i="59"/>
  <c r="G43" i="59" s="1"/>
  <c r="C84" i="59"/>
  <c r="C72" i="59"/>
  <c r="C29" i="59"/>
  <c r="G29" i="59" s="1"/>
  <c r="C42" i="59"/>
  <c r="C17" i="59"/>
  <c r="G17" i="59" s="1"/>
  <c r="C83" i="59"/>
  <c r="C71" i="59"/>
  <c r="C28" i="59"/>
  <c r="C41" i="59"/>
  <c r="C27" i="59"/>
  <c r="C40" i="59"/>
  <c r="C69" i="59"/>
  <c r="C26" i="59"/>
  <c r="G26" i="59" s="1"/>
  <c r="C39" i="59"/>
  <c r="G39" i="59" s="1"/>
  <c r="C57" i="59"/>
  <c r="C88" i="59"/>
  <c r="C37" i="59"/>
  <c r="G37" i="59" s="1"/>
  <c r="C25" i="59"/>
  <c r="C38" i="59"/>
  <c r="C87" i="59"/>
  <c r="G87" i="59" s="1"/>
  <c r="C32" i="59"/>
  <c r="G13" i="59"/>
  <c r="G74" i="59"/>
  <c r="G23" i="59"/>
  <c r="G7" i="59"/>
  <c r="G21" i="59"/>
  <c r="E106" i="59"/>
  <c r="E321" i="59"/>
  <c r="E297" i="59"/>
  <c r="E304" i="59"/>
  <c r="E324" i="59"/>
  <c r="E326" i="59"/>
  <c r="E164" i="59"/>
  <c r="E279" i="59"/>
  <c r="E315" i="59"/>
  <c r="E118" i="59"/>
  <c r="E109" i="59"/>
  <c r="E116" i="59"/>
  <c r="E284" i="59"/>
  <c r="E219" i="59"/>
  <c r="E277" i="59"/>
  <c r="E306" i="59"/>
  <c r="E171" i="59"/>
  <c r="D154" i="59"/>
  <c r="E230" i="59"/>
  <c r="E252" i="59"/>
  <c r="E125" i="59"/>
  <c r="G34" i="59"/>
  <c r="E312" i="59"/>
  <c r="E194" i="59"/>
  <c r="E320" i="59"/>
  <c r="E113" i="59"/>
  <c r="E182" i="59"/>
  <c r="E188" i="59"/>
  <c r="E145" i="59"/>
  <c r="E152" i="59"/>
  <c r="E261" i="59"/>
  <c r="E168" i="59"/>
  <c r="G49" i="59"/>
  <c r="G52" i="59"/>
  <c r="G90" i="59"/>
  <c r="G75" i="59"/>
  <c r="G9" i="59"/>
  <c r="G59" i="59"/>
  <c r="G76" i="59"/>
  <c r="G92" i="59"/>
  <c r="G19" i="59"/>
  <c r="G8" i="59"/>
  <c r="E97" i="59"/>
  <c r="E103" i="59"/>
  <c r="E110" i="59"/>
  <c r="E310" i="59"/>
  <c r="E165" i="59"/>
  <c r="E95" i="59"/>
  <c r="E216" i="59"/>
  <c r="E180" i="59"/>
  <c r="E94" i="59"/>
  <c r="E105" i="59"/>
  <c r="E91" i="59"/>
  <c r="E102" i="59"/>
  <c r="E181" i="59"/>
  <c r="E211" i="59"/>
  <c r="E270" i="59"/>
  <c r="E234" i="59"/>
  <c r="E107" i="59"/>
  <c r="E276" i="59"/>
  <c r="E258" i="59"/>
  <c r="E104" i="59"/>
  <c r="E114" i="59"/>
  <c r="E99" i="59"/>
  <c r="G99" i="59" s="1"/>
  <c r="E191" i="59"/>
  <c r="E111" i="59"/>
  <c r="E204" i="59"/>
  <c r="E300" i="59"/>
  <c r="E138" i="59"/>
  <c r="E264" i="59"/>
  <c r="E296" i="59"/>
  <c r="E115" i="59"/>
  <c r="E247" i="59"/>
  <c r="E212" i="59"/>
  <c r="E89" i="59"/>
  <c r="E96" i="59"/>
  <c r="G96" i="59" s="1"/>
  <c r="E222" i="59"/>
  <c r="E112" i="59"/>
  <c r="E108" i="59"/>
  <c r="E295" i="59"/>
  <c r="E237" i="59"/>
  <c r="E217" i="59"/>
  <c r="E192" i="59"/>
  <c r="E156" i="59"/>
  <c r="E267" i="59"/>
  <c r="E232" i="59"/>
  <c r="E226" i="59"/>
  <c r="E303" i="59"/>
  <c r="E274" i="59"/>
  <c r="E140" i="59"/>
  <c r="E207" i="59"/>
  <c r="E175" i="59"/>
  <c r="E196" i="59"/>
  <c r="G10" i="59"/>
  <c r="E253" i="59"/>
  <c r="E240" i="59"/>
  <c r="E271" i="59"/>
  <c r="E129" i="59"/>
  <c r="E148" i="59"/>
  <c r="E228" i="59"/>
  <c r="E272" i="59"/>
  <c r="E160" i="59"/>
  <c r="E131" i="59"/>
  <c r="E158" i="59"/>
  <c r="E201" i="59"/>
  <c r="C277" i="59"/>
  <c r="C278" i="59"/>
  <c r="C272" i="59"/>
  <c r="C273" i="59"/>
  <c r="C133" i="59"/>
  <c r="C127" i="59"/>
  <c r="C306" i="59"/>
  <c r="C307" i="59"/>
  <c r="C303" i="59"/>
  <c r="C304" i="59"/>
  <c r="C325" i="59"/>
  <c r="C326" i="59"/>
  <c r="C288" i="59"/>
  <c r="C271" i="59"/>
  <c r="C243" i="59"/>
  <c r="C228" i="59"/>
  <c r="C216" i="59"/>
  <c r="C204" i="59"/>
  <c r="C192" i="59"/>
  <c r="C166" i="59"/>
  <c r="C314" i="59"/>
  <c r="C315" i="59"/>
  <c r="C324" i="59"/>
  <c r="C300" i="59"/>
  <c r="C301" i="59"/>
  <c r="C287" i="59"/>
  <c r="C270" i="59"/>
  <c r="C255" i="59"/>
  <c r="C256" i="59"/>
  <c r="C242" i="59"/>
  <c r="C227" i="59"/>
  <c r="C215" i="59"/>
  <c r="C203" i="59"/>
  <c r="C191" i="59"/>
  <c r="C178" i="59"/>
  <c r="C179" i="59"/>
  <c r="C142" i="59"/>
  <c r="C130" i="59"/>
  <c r="C124" i="59"/>
  <c r="C175" i="59"/>
  <c r="C176" i="59"/>
  <c r="C283" i="59"/>
  <c r="C284" i="59"/>
  <c r="C157" i="59"/>
  <c r="C147" i="59"/>
  <c r="C139" i="59"/>
  <c r="C253" i="59"/>
  <c r="C254" i="59"/>
  <c r="C310" i="59"/>
  <c r="C311" i="59"/>
  <c r="C295" i="59"/>
  <c r="C279" i="59"/>
  <c r="C280" i="59"/>
  <c r="C264" i="59"/>
  <c r="C265" i="59"/>
  <c r="C249" i="59"/>
  <c r="C237" i="59"/>
  <c r="C222" i="59"/>
  <c r="C197" i="59"/>
  <c r="C185" i="59"/>
  <c r="C171" i="59"/>
  <c r="C155" i="59"/>
  <c r="C137" i="59"/>
  <c r="C169" i="59"/>
  <c r="C151" i="59"/>
  <c r="C152" i="59"/>
  <c r="C232" i="59"/>
  <c r="C233" i="59"/>
  <c r="C290" i="59"/>
  <c r="C291" i="59"/>
  <c r="C260" i="59"/>
  <c r="C245" i="59"/>
  <c r="C230" i="59"/>
  <c r="C231" i="59"/>
  <c r="C218" i="59"/>
  <c r="C206" i="59"/>
  <c r="C194" i="59"/>
  <c r="C182" i="59"/>
  <c r="C168" i="59"/>
  <c r="C150" i="59"/>
  <c r="E243" i="59"/>
  <c r="E173" i="59"/>
  <c r="E224" i="59"/>
  <c r="E292" i="59"/>
  <c r="E134" i="59"/>
  <c r="E153" i="59"/>
  <c r="E157" i="59"/>
  <c r="E208" i="59"/>
  <c r="E132" i="59"/>
  <c r="E126" i="59"/>
  <c r="E127" i="59"/>
  <c r="E154" i="59"/>
  <c r="E155" i="59"/>
  <c r="E149" i="59"/>
  <c r="E135" i="59"/>
  <c r="E150" i="59"/>
  <c r="E151" i="59"/>
  <c r="E130" i="59"/>
  <c r="E136" i="59"/>
  <c r="E137" i="59"/>
  <c r="E172" i="59"/>
  <c r="E144" i="59"/>
  <c r="E133" i="59"/>
  <c r="E143" i="59"/>
  <c r="E146" i="59"/>
  <c r="E273" i="59"/>
  <c r="E159" i="59"/>
  <c r="E302" i="59"/>
  <c r="E239" i="59"/>
  <c r="E255" i="59"/>
  <c r="E183" i="59"/>
  <c r="E186" i="59"/>
  <c r="E187" i="59"/>
  <c r="E161" i="59"/>
  <c r="E244" i="59"/>
  <c r="G56" i="59"/>
  <c r="E309" i="59"/>
  <c r="E213" i="59"/>
  <c r="E282" i="59"/>
  <c r="E283" i="59"/>
  <c r="E280" i="59"/>
  <c r="E166" i="59"/>
  <c r="E174" i="59"/>
  <c r="E322" i="59"/>
  <c r="E323" i="59"/>
  <c r="E275" i="59"/>
  <c r="E301" i="59"/>
  <c r="E199" i="59"/>
  <c r="E200" i="59"/>
  <c r="E209" i="59"/>
  <c r="E210" i="59"/>
  <c r="E307" i="59"/>
  <c r="E308" i="59"/>
  <c r="E254" i="59"/>
  <c r="E214" i="59"/>
  <c r="E215" i="59"/>
  <c r="E263" i="59"/>
  <c r="E229" i="59"/>
  <c r="E298" i="59"/>
  <c r="E220" i="59"/>
  <c r="E221" i="59"/>
  <c r="E265" i="59"/>
  <c r="E266" i="59"/>
  <c r="E206" i="59"/>
  <c r="E318" i="59"/>
  <c r="E319" i="59"/>
  <c r="E313" i="59"/>
  <c r="E314" i="59"/>
  <c r="E178" i="59"/>
  <c r="E179" i="59"/>
  <c r="E189" i="59"/>
  <c r="E190" i="59"/>
  <c r="E325" i="59"/>
  <c r="E193" i="59"/>
  <c r="E299" i="59"/>
  <c r="E285" i="59"/>
  <c r="E286" i="59"/>
  <c r="E195" i="59"/>
  <c r="E205" i="59"/>
  <c r="E241" i="59"/>
  <c r="E223" i="59"/>
  <c r="E231" i="59"/>
  <c r="E218" i="59"/>
  <c r="E225" i="59"/>
  <c r="E238" i="59"/>
  <c r="E281" i="59"/>
  <c r="E169" i="59"/>
  <c r="E197" i="59"/>
  <c r="E227" i="59"/>
  <c r="E287" i="59"/>
  <c r="E288" i="59"/>
  <c r="E177" i="59"/>
  <c r="E233" i="59"/>
  <c r="E268" i="59"/>
  <c r="E269" i="59"/>
  <c r="E235" i="59"/>
  <c r="E236" i="59"/>
  <c r="E259" i="59"/>
  <c r="E260" i="59"/>
  <c r="E203" i="59"/>
  <c r="E202" i="59"/>
  <c r="E262" i="59"/>
  <c r="E278" i="59"/>
  <c r="E184" i="59"/>
  <c r="E185" i="59"/>
  <c r="E293" i="59"/>
  <c r="E294" i="59"/>
  <c r="E242" i="59"/>
  <c r="E250" i="59"/>
  <c r="E251" i="59"/>
  <c r="E170" i="59"/>
  <c r="E245" i="59"/>
  <c r="E246" i="59"/>
  <c r="E167" i="59"/>
  <c r="E289" i="59"/>
  <c r="E290" i="59"/>
  <c r="E248" i="59"/>
  <c r="E249" i="59"/>
  <c r="E316" i="59"/>
  <c r="E317" i="59"/>
  <c r="E162" i="59"/>
  <c r="E163" i="59"/>
  <c r="E305" i="59"/>
  <c r="E198" i="59"/>
  <c r="E256" i="59"/>
  <c r="E257" i="59"/>
  <c r="E311" i="59"/>
  <c r="G14" i="59"/>
  <c r="G6" i="59"/>
  <c r="G24" i="59"/>
  <c r="G63" i="59"/>
  <c r="G73" i="59"/>
  <c r="C159" i="59"/>
  <c r="C160" i="59"/>
  <c r="G16" i="59"/>
  <c r="G46" i="59"/>
  <c r="G47" i="59"/>
  <c r="G61" i="59"/>
  <c r="G67" i="59"/>
  <c r="B5" i="59"/>
  <c r="D15" i="39"/>
  <c r="D19" i="39"/>
  <c r="D21" i="39"/>
  <c r="AL25" i="198" s="1"/>
  <c r="D33" i="39"/>
  <c r="D34" i="39"/>
  <c r="D41" i="39"/>
  <c r="D47" i="39"/>
  <c r="AL51" i="198" s="1"/>
  <c r="D49" i="39"/>
  <c r="AL50" i="198" s="1"/>
  <c r="D52" i="39"/>
  <c r="AL56" i="198" s="1"/>
  <c r="D54" i="39"/>
  <c r="AL58" i="198" s="1"/>
  <c r="D61" i="39"/>
  <c r="AL65" i="198" s="1"/>
  <c r="D62" i="39"/>
  <c r="D63" i="39"/>
  <c r="D5" i="39"/>
  <c r="H6" i="39"/>
  <c r="H7" i="39"/>
  <c r="H8" i="39"/>
  <c r="H10" i="39"/>
  <c r="H11" i="39"/>
  <c r="H13" i="39"/>
  <c r="H14" i="39"/>
  <c r="H15" i="39"/>
  <c r="H16" i="39"/>
  <c r="H17" i="39"/>
  <c r="H18" i="39"/>
  <c r="H19" i="39"/>
  <c r="H20" i="39"/>
  <c r="H22" i="39"/>
  <c r="H23" i="39"/>
  <c r="H24" i="39"/>
  <c r="H25" i="39"/>
  <c r="H26" i="39"/>
  <c r="H33" i="39"/>
  <c r="H34" i="39"/>
  <c r="H35" i="39"/>
  <c r="H5" i="39"/>
  <c r="H3" i="39"/>
  <c r="E15" i="39"/>
  <c r="E19" i="39"/>
  <c r="E21" i="39"/>
  <c r="AM25" i="198" s="1"/>
  <c r="AO25" i="198" s="1"/>
  <c r="E33" i="39"/>
  <c r="E34" i="39"/>
  <c r="E41" i="39"/>
  <c r="E47" i="39"/>
  <c r="AM51" i="198" s="1"/>
  <c r="AO51" i="198" s="1"/>
  <c r="E49" i="39"/>
  <c r="AM50" i="198" s="1"/>
  <c r="E52" i="39"/>
  <c r="AM56" i="198" s="1"/>
  <c r="AO152" i="198" s="1"/>
  <c r="E54" i="39"/>
  <c r="AM58" i="198" s="1"/>
  <c r="E61" i="39"/>
  <c r="AM65" i="198" s="1"/>
  <c r="E62" i="39"/>
  <c r="E63" i="39"/>
  <c r="E5" i="39"/>
  <c r="G3" i="39"/>
  <c r="AL8" i="198" l="1"/>
  <c r="AL9" i="198"/>
  <c r="AL42" i="198"/>
  <c r="AL45" i="198"/>
  <c r="H61" i="107"/>
  <c r="AL37" i="198"/>
  <c r="AL38" i="198"/>
  <c r="AM37" i="198"/>
  <c r="AO37" i="198" s="1"/>
  <c r="AM38" i="198"/>
  <c r="AO84" i="198" s="1"/>
  <c r="AL18" i="198"/>
  <c r="AL19" i="198"/>
  <c r="AM18" i="198"/>
  <c r="AM19" i="198"/>
  <c r="AM8" i="198"/>
  <c r="AM9" i="198"/>
  <c r="I61" i="107"/>
  <c r="K61" i="107" s="1"/>
  <c r="AM42" i="198"/>
  <c r="AO42" i="198" s="1"/>
  <c r="AM45" i="198"/>
  <c r="AO93" i="198"/>
  <c r="AL63" i="198"/>
  <c r="H63" i="150"/>
  <c r="H55" i="150"/>
  <c r="I21" i="107"/>
  <c r="AO27" i="198"/>
  <c r="H33" i="107"/>
  <c r="AL36" i="198"/>
  <c r="I19" i="107"/>
  <c r="K20" i="107" s="1"/>
  <c r="AM22" i="198"/>
  <c r="AO22" i="198" s="1"/>
  <c r="H19" i="107"/>
  <c r="AL22" i="198"/>
  <c r="H21" i="107"/>
  <c r="I33" i="107"/>
  <c r="K77" i="107" s="1"/>
  <c r="AM36" i="198"/>
  <c r="AO54" i="198" s="1"/>
  <c r="AM63" i="198"/>
  <c r="I63" i="150"/>
  <c r="I55" i="150"/>
  <c r="AO92" i="198"/>
  <c r="E108" i="157"/>
  <c r="E9" i="112" s="1"/>
  <c r="E128" i="200"/>
  <c r="U15" i="157"/>
  <c r="U16" i="157" s="1"/>
  <c r="O185" i="150" s="1"/>
  <c r="AQ190" i="198"/>
  <c r="AQ192" i="198" s="1"/>
  <c r="AQ253" i="198" s="1"/>
  <c r="P21" i="130"/>
  <c r="Q21" i="130" s="1"/>
  <c r="R21" i="130" s="1"/>
  <c r="Z57" i="109"/>
  <c r="F13" i="109"/>
  <c r="Z11" i="109"/>
  <c r="Z13" i="109" s="1"/>
  <c r="N54" i="157"/>
  <c r="M56" i="157"/>
  <c r="L3" i="109"/>
  <c r="M61" i="157"/>
  <c r="V8" i="109"/>
  <c r="V14" i="109" s="1"/>
  <c r="V16" i="109" s="1"/>
  <c r="K22" i="107"/>
  <c r="H59" i="107"/>
  <c r="K73" i="107"/>
  <c r="K66" i="107"/>
  <c r="K67" i="107"/>
  <c r="K72" i="107"/>
  <c r="K65" i="107"/>
  <c r="K74" i="107"/>
  <c r="H55" i="158"/>
  <c r="H52" i="107"/>
  <c r="I42" i="158"/>
  <c r="K42" i="158" s="1"/>
  <c r="I39" i="107"/>
  <c r="H50" i="158"/>
  <c r="H47" i="107"/>
  <c r="I55" i="158"/>
  <c r="K55" i="158" s="1"/>
  <c r="I52" i="107"/>
  <c r="H63" i="158"/>
  <c r="H60" i="107"/>
  <c r="I50" i="158"/>
  <c r="K50" i="158" s="1"/>
  <c r="I47" i="107"/>
  <c r="I48" i="158"/>
  <c r="K48" i="158" s="1"/>
  <c r="I45" i="107"/>
  <c r="I37" i="158"/>
  <c r="K37" i="158" s="1"/>
  <c r="I34" i="107"/>
  <c r="H48" i="158"/>
  <c r="H45" i="107"/>
  <c r="K32" i="107"/>
  <c r="K27" i="107"/>
  <c r="K30" i="107"/>
  <c r="K28" i="107"/>
  <c r="K31" i="107"/>
  <c r="K29" i="107"/>
  <c r="H37" i="158"/>
  <c r="H34" i="107"/>
  <c r="H42" i="158"/>
  <c r="H39" i="107"/>
  <c r="I14" i="158"/>
  <c r="K14" i="158" s="1"/>
  <c r="I11" i="107"/>
  <c r="I63" i="158"/>
  <c r="K63" i="158" s="1"/>
  <c r="I60" i="107"/>
  <c r="K60" i="107" s="1"/>
  <c r="I18" i="158"/>
  <c r="K18" i="158" s="1"/>
  <c r="I15" i="107"/>
  <c r="K18" i="107" s="1"/>
  <c r="I59" i="107"/>
  <c r="K59" i="107" s="1"/>
  <c r="H14" i="158"/>
  <c r="H11" i="107"/>
  <c r="BK11" i="184"/>
  <c r="C37" i="184" s="1"/>
  <c r="H18" i="158"/>
  <c r="H15" i="107"/>
  <c r="E39" i="157"/>
  <c r="B14" i="130" s="1"/>
  <c r="G47" i="115"/>
  <c r="M185" i="150"/>
  <c r="I56" i="157"/>
  <c r="I62" i="157" s="1"/>
  <c r="I69" i="157" s="1"/>
  <c r="K56" i="157"/>
  <c r="K62" i="157" s="1"/>
  <c r="K69" i="157" s="1"/>
  <c r="K72" i="157" s="1"/>
  <c r="K73" i="157" s="1"/>
  <c r="D182" i="158"/>
  <c r="F8" i="158"/>
  <c r="I8" i="158"/>
  <c r="I36" i="158"/>
  <c r="K36" i="158" s="1"/>
  <c r="I24" i="158"/>
  <c r="K24" i="158" s="1"/>
  <c r="H36" i="158"/>
  <c r="H24" i="158"/>
  <c r="I22" i="158"/>
  <c r="K22" i="158" s="1"/>
  <c r="H8" i="158"/>
  <c r="H22" i="158"/>
  <c r="I56" i="150"/>
  <c r="I50" i="150"/>
  <c r="I51" i="150"/>
  <c r="K51" i="150" s="1"/>
  <c r="I49" i="150"/>
  <c r="I43" i="150"/>
  <c r="I38" i="150"/>
  <c r="K38" i="150" s="1"/>
  <c r="I14" i="150"/>
  <c r="I18" i="150"/>
  <c r="H56" i="150"/>
  <c r="H50" i="150"/>
  <c r="H51" i="150"/>
  <c r="H49" i="150"/>
  <c r="H43" i="150"/>
  <c r="H38" i="150"/>
  <c r="H14" i="150"/>
  <c r="H18" i="150"/>
  <c r="I37" i="150"/>
  <c r="K37" i="150" s="1"/>
  <c r="H42" i="150"/>
  <c r="I24" i="150"/>
  <c r="H37" i="150"/>
  <c r="I8" i="150"/>
  <c r="I22" i="150"/>
  <c r="H36" i="150"/>
  <c r="H24" i="150"/>
  <c r="H8" i="150"/>
  <c r="H22" i="150"/>
  <c r="I36" i="150"/>
  <c r="I42" i="150"/>
  <c r="K42" i="150" s="1"/>
  <c r="M7" i="97"/>
  <c r="O7" i="94"/>
  <c r="M6" i="97"/>
  <c r="N25" i="97"/>
  <c r="M18" i="97"/>
  <c r="M12" i="97"/>
  <c r="N23" i="97"/>
  <c r="N12" i="97"/>
  <c r="N7" i="97"/>
  <c r="M25" i="97"/>
  <c r="P7" i="94"/>
  <c r="N6" i="97"/>
  <c r="M23" i="97"/>
  <c r="N20" i="97"/>
  <c r="M20" i="97"/>
  <c r="N18" i="97"/>
  <c r="I5" i="107"/>
  <c r="H5" i="107"/>
  <c r="J88" i="59"/>
  <c r="I88" i="59"/>
  <c r="G88" i="59"/>
  <c r="G44" i="59"/>
  <c r="G81" i="59"/>
  <c r="G27" i="59"/>
  <c r="G35" i="59"/>
  <c r="G70" i="59"/>
  <c r="G54" i="59"/>
  <c r="G33" i="59"/>
  <c r="G66" i="59"/>
  <c r="G68" i="59"/>
  <c r="G58" i="59"/>
  <c r="G55" i="59"/>
  <c r="G36" i="59"/>
  <c r="G98" i="59"/>
  <c r="G64" i="59"/>
  <c r="G154" i="59"/>
  <c r="G40" i="59"/>
  <c r="G32" i="59"/>
  <c r="G72" i="59"/>
  <c r="G25" i="59"/>
  <c r="G57" i="59"/>
  <c r="G30" i="59"/>
  <c r="G42" i="59"/>
  <c r="G71" i="59"/>
  <c r="G83" i="59"/>
  <c r="G28" i="59"/>
  <c r="E171" i="46"/>
  <c r="E155" i="46"/>
  <c r="E143" i="46"/>
  <c r="E114" i="46"/>
  <c r="A100" i="46"/>
  <c r="E125" i="46"/>
  <c r="A64" i="46"/>
  <c r="A50" i="46"/>
  <c r="D125" i="46"/>
  <c r="A103" i="46"/>
  <c r="D9" i="46"/>
  <c r="D114" i="46"/>
  <c r="A52" i="46"/>
  <c r="A65" i="46"/>
  <c r="G94" i="59"/>
  <c r="G95" i="59"/>
  <c r="G77" i="59"/>
  <c r="G97" i="59"/>
  <c r="G79" i="59"/>
  <c r="G78" i="59"/>
  <c r="G45" i="59"/>
  <c r="G65" i="59"/>
  <c r="G84" i="59"/>
  <c r="G22" i="59"/>
  <c r="G50" i="59"/>
  <c r="G69" i="59"/>
  <c r="G31" i="59"/>
  <c r="G38" i="59"/>
  <c r="G12" i="59"/>
  <c r="G89" i="59"/>
  <c r="G91" i="59"/>
  <c r="I152" i="59"/>
  <c r="J211" i="59"/>
  <c r="J315" i="59"/>
  <c r="J24" i="59"/>
  <c r="J12" i="59"/>
  <c r="J320" i="59"/>
  <c r="J305" i="59"/>
  <c r="J293" i="59"/>
  <c r="J281" i="59"/>
  <c r="J269" i="59"/>
  <c r="J257" i="59"/>
  <c r="J245" i="59"/>
  <c r="J233" i="59"/>
  <c r="J221" i="59"/>
  <c r="J207" i="59"/>
  <c r="J195" i="59"/>
  <c r="J183" i="59"/>
  <c r="J171" i="59"/>
  <c r="J159" i="59"/>
  <c r="J147" i="59"/>
  <c r="J135" i="59"/>
  <c r="J123" i="59"/>
  <c r="J107" i="59"/>
  <c r="J95" i="59"/>
  <c r="J81" i="59"/>
  <c r="J69" i="59"/>
  <c r="J57" i="59"/>
  <c r="J45" i="59"/>
  <c r="J33" i="59"/>
  <c r="I132" i="59"/>
  <c r="I116" i="59"/>
  <c r="I104" i="59"/>
  <c r="I78" i="59"/>
  <c r="I66" i="59"/>
  <c r="I54" i="59"/>
  <c r="I42" i="59"/>
  <c r="I30" i="59"/>
  <c r="I18" i="59"/>
  <c r="I6" i="59"/>
  <c r="J282" i="59"/>
  <c r="J246" i="59"/>
  <c r="J172" i="59"/>
  <c r="J136" i="59"/>
  <c r="J70" i="59"/>
  <c r="J46" i="59"/>
  <c r="I117" i="59"/>
  <c r="I79" i="59"/>
  <c r="I43" i="59"/>
  <c r="I31" i="59"/>
  <c r="I7" i="59"/>
  <c r="J319" i="59"/>
  <c r="J292" i="59"/>
  <c r="J256" i="59"/>
  <c r="J206" i="59"/>
  <c r="J170" i="59"/>
  <c r="J134" i="59"/>
  <c r="J68" i="59"/>
  <c r="I103" i="59"/>
  <c r="I65" i="59"/>
  <c r="I41" i="59"/>
  <c r="I17" i="59"/>
  <c r="J13" i="59"/>
  <c r="J270" i="59"/>
  <c r="J184" i="59"/>
  <c r="J148" i="59"/>
  <c r="J108" i="59"/>
  <c r="J58" i="59"/>
  <c r="J34" i="59"/>
  <c r="I133" i="59"/>
  <c r="I105" i="59"/>
  <c r="I55" i="59"/>
  <c r="I19" i="59"/>
  <c r="J23" i="59"/>
  <c r="J304" i="59"/>
  <c r="J280" i="59"/>
  <c r="J244" i="59"/>
  <c r="J220" i="59"/>
  <c r="J194" i="59"/>
  <c r="J182" i="59"/>
  <c r="J158" i="59"/>
  <c r="J118" i="59"/>
  <c r="J106" i="59"/>
  <c r="J94" i="59"/>
  <c r="J80" i="59"/>
  <c r="J56" i="59"/>
  <c r="J44" i="59"/>
  <c r="I131" i="59"/>
  <c r="I115" i="59"/>
  <c r="I91" i="59"/>
  <c r="I77" i="59"/>
  <c r="I53" i="59"/>
  <c r="I29" i="59"/>
  <c r="J22" i="59"/>
  <c r="J10" i="59"/>
  <c r="J318" i="59"/>
  <c r="J303" i="59"/>
  <c r="J291" i="59"/>
  <c r="J279" i="59"/>
  <c r="J267" i="59"/>
  <c r="J255" i="59"/>
  <c r="J243" i="59"/>
  <c r="J231" i="59"/>
  <c r="J219" i="59"/>
  <c r="J205" i="59"/>
  <c r="J193" i="59"/>
  <c r="J181" i="59"/>
  <c r="J169" i="59"/>
  <c r="J157" i="59"/>
  <c r="J133" i="59"/>
  <c r="J117" i="59"/>
  <c r="J105" i="59"/>
  <c r="J93" i="59"/>
  <c r="J79" i="59"/>
  <c r="J67" i="59"/>
  <c r="J55" i="59"/>
  <c r="J43" i="59"/>
  <c r="I130" i="59"/>
  <c r="I114" i="59"/>
  <c r="I102" i="59"/>
  <c r="I90" i="59"/>
  <c r="I76" i="59"/>
  <c r="I64" i="59"/>
  <c r="I52" i="59"/>
  <c r="I40" i="59"/>
  <c r="I28" i="59"/>
  <c r="I16" i="59"/>
  <c r="J21" i="59"/>
  <c r="J9" i="59"/>
  <c r="J314" i="59"/>
  <c r="J302" i="59"/>
  <c r="J290" i="59"/>
  <c r="J278" i="59"/>
  <c r="J266" i="59"/>
  <c r="J254" i="59"/>
  <c r="J242" i="59"/>
  <c r="J230" i="59"/>
  <c r="J218" i="59"/>
  <c r="J204" i="59"/>
  <c r="J192" i="59"/>
  <c r="J180" i="59"/>
  <c r="J168" i="59"/>
  <c r="J156" i="59"/>
  <c r="J132" i="59"/>
  <c r="J116" i="59"/>
  <c r="J104" i="59"/>
  <c r="J78" i="59"/>
  <c r="J66" i="59"/>
  <c r="J54" i="59"/>
  <c r="J42" i="59"/>
  <c r="I129" i="59"/>
  <c r="I113" i="59"/>
  <c r="I101" i="59"/>
  <c r="I87" i="59"/>
  <c r="I75" i="59"/>
  <c r="I63" i="59"/>
  <c r="I51" i="59"/>
  <c r="I39" i="59"/>
  <c r="I27" i="59"/>
  <c r="I15" i="59"/>
  <c r="J11" i="59"/>
  <c r="J268" i="59"/>
  <c r="J232" i="59"/>
  <c r="J32" i="59"/>
  <c r="J20" i="59"/>
  <c r="J8" i="59"/>
  <c r="J313" i="59"/>
  <c r="J301" i="59"/>
  <c r="J289" i="59"/>
  <c r="J277" i="59"/>
  <c r="J265" i="59"/>
  <c r="J253" i="59"/>
  <c r="J241" i="59"/>
  <c r="J229" i="59"/>
  <c r="J217" i="59"/>
  <c r="J203" i="59"/>
  <c r="J191" i="59"/>
  <c r="J179" i="59"/>
  <c r="J167" i="59"/>
  <c r="J155" i="59"/>
  <c r="J131" i="59"/>
  <c r="J115" i="59"/>
  <c r="J103" i="59"/>
  <c r="J91" i="59"/>
  <c r="J77" i="59"/>
  <c r="J65" i="59"/>
  <c r="J53" i="59"/>
  <c r="J41" i="59"/>
  <c r="I140" i="59"/>
  <c r="I128" i="59"/>
  <c r="I112" i="59"/>
  <c r="I100" i="59"/>
  <c r="I86" i="59"/>
  <c r="I74" i="59"/>
  <c r="I62" i="59"/>
  <c r="I50" i="59"/>
  <c r="I38" i="59"/>
  <c r="I26" i="59"/>
  <c r="J306" i="59"/>
  <c r="J222" i="59"/>
  <c r="J96" i="59"/>
  <c r="I93" i="59"/>
  <c r="J31" i="59"/>
  <c r="J7" i="59"/>
  <c r="J288" i="59"/>
  <c r="J264" i="59"/>
  <c r="J252" i="59"/>
  <c r="J228" i="59"/>
  <c r="J216" i="59"/>
  <c r="J202" i="59"/>
  <c r="J190" i="59"/>
  <c r="J178" i="59"/>
  <c r="J166" i="59"/>
  <c r="J154" i="59"/>
  <c r="J130" i="59"/>
  <c r="J114" i="59"/>
  <c r="J102" i="59"/>
  <c r="J90" i="59"/>
  <c r="J76" i="59"/>
  <c r="J64" i="59"/>
  <c r="J52" i="59"/>
  <c r="J40" i="59"/>
  <c r="I151" i="59"/>
  <c r="I139" i="59"/>
  <c r="I127" i="59"/>
  <c r="I111" i="59"/>
  <c r="I99" i="59"/>
  <c r="I85" i="59"/>
  <c r="I73" i="59"/>
  <c r="I61" i="59"/>
  <c r="I49" i="59"/>
  <c r="I37" i="59"/>
  <c r="I25" i="59"/>
  <c r="I13" i="59"/>
  <c r="J294" i="59"/>
  <c r="J196" i="59"/>
  <c r="J82" i="59"/>
  <c r="I67" i="59"/>
  <c r="J19" i="59"/>
  <c r="J312" i="59"/>
  <c r="J300" i="59"/>
  <c r="J276" i="59"/>
  <c r="J240" i="59"/>
  <c r="J142" i="59"/>
  <c r="J30" i="59"/>
  <c r="J18" i="59"/>
  <c r="J6" i="59"/>
  <c r="J311" i="59"/>
  <c r="J299" i="59"/>
  <c r="J287" i="59"/>
  <c r="J275" i="59"/>
  <c r="J263" i="59"/>
  <c r="J251" i="59"/>
  <c r="J239" i="59"/>
  <c r="J227" i="59"/>
  <c r="J215" i="59"/>
  <c r="J201" i="59"/>
  <c r="J189" i="59"/>
  <c r="J177" i="59"/>
  <c r="J165" i="59"/>
  <c r="J153" i="59"/>
  <c r="J141" i="59"/>
  <c r="J129" i="59"/>
  <c r="J113" i="59"/>
  <c r="J101" i="59"/>
  <c r="J87" i="59"/>
  <c r="J75" i="59"/>
  <c r="J63" i="59"/>
  <c r="J51" i="59"/>
  <c r="J39" i="59"/>
  <c r="I150" i="59"/>
  <c r="I138" i="59"/>
  <c r="I126" i="59"/>
  <c r="I110" i="59"/>
  <c r="I98" i="59"/>
  <c r="I84" i="59"/>
  <c r="I72" i="59"/>
  <c r="I60" i="59"/>
  <c r="I48" i="59"/>
  <c r="I36" i="59"/>
  <c r="I24" i="59"/>
  <c r="I12" i="59"/>
  <c r="J25" i="59"/>
  <c r="J208" i="59"/>
  <c r="J124" i="59"/>
  <c r="J17" i="59"/>
  <c r="J310" i="59"/>
  <c r="J214" i="59"/>
  <c r="J321" i="59"/>
  <c r="J258" i="59"/>
  <c r="J160" i="59"/>
  <c r="J29" i="59"/>
  <c r="J325" i="59"/>
  <c r="J298" i="59"/>
  <c r="J286" i="59"/>
  <c r="J274" i="59"/>
  <c r="J262" i="59"/>
  <c r="J250" i="59"/>
  <c r="J238" i="59"/>
  <c r="J226" i="59"/>
  <c r="J200" i="59"/>
  <c r="J188" i="59"/>
  <c r="J176" i="59"/>
  <c r="J164" i="59"/>
  <c r="J152" i="59"/>
  <c r="J140" i="59"/>
  <c r="J128" i="59"/>
  <c r="J112" i="59"/>
  <c r="J100" i="59"/>
  <c r="J86" i="59"/>
  <c r="J74" i="59"/>
  <c r="J62" i="59"/>
  <c r="J50" i="59"/>
  <c r="J38" i="59"/>
  <c r="I149" i="59"/>
  <c r="I137" i="59"/>
  <c r="I125" i="59"/>
  <c r="I109" i="59"/>
  <c r="I97" i="59"/>
  <c r="I83" i="59"/>
  <c r="I71" i="59"/>
  <c r="I59" i="59"/>
  <c r="I47" i="59"/>
  <c r="I35" i="59"/>
  <c r="I23" i="59"/>
  <c r="I11" i="59"/>
  <c r="J28" i="59"/>
  <c r="J16" i="59"/>
  <c r="J324" i="59"/>
  <c r="J309" i="59"/>
  <c r="J297" i="59"/>
  <c r="J285" i="59"/>
  <c r="J273" i="59"/>
  <c r="J261" i="59"/>
  <c r="J249" i="59"/>
  <c r="J237" i="59"/>
  <c r="J225" i="59"/>
  <c r="J213" i="59"/>
  <c r="J199" i="59"/>
  <c r="J187" i="59"/>
  <c r="J175" i="59"/>
  <c r="J163" i="59"/>
  <c r="J151" i="59"/>
  <c r="J139" i="59"/>
  <c r="J127" i="59"/>
  <c r="J111" i="59"/>
  <c r="J99" i="59"/>
  <c r="J85" i="59"/>
  <c r="J73" i="59"/>
  <c r="J61" i="59"/>
  <c r="J49" i="59"/>
  <c r="J37" i="59"/>
  <c r="I148" i="59"/>
  <c r="I136" i="59"/>
  <c r="I124" i="59"/>
  <c r="I108" i="59"/>
  <c r="I96" i="59"/>
  <c r="I82" i="59"/>
  <c r="I70" i="59"/>
  <c r="I58" i="59"/>
  <c r="I46" i="59"/>
  <c r="I34" i="59"/>
  <c r="I22" i="59"/>
  <c r="I10" i="59"/>
  <c r="J260" i="59"/>
  <c r="J234" i="59"/>
  <c r="J27" i="59"/>
  <c r="J15" i="59"/>
  <c r="J323" i="59"/>
  <c r="J308" i="59"/>
  <c r="J296" i="59"/>
  <c r="J284" i="59"/>
  <c r="J272" i="59"/>
  <c r="J248" i="59"/>
  <c r="J236" i="59"/>
  <c r="J224" i="59"/>
  <c r="J210" i="59"/>
  <c r="J198" i="59"/>
  <c r="J186" i="59"/>
  <c r="J174" i="59"/>
  <c r="J162" i="59"/>
  <c r="J150" i="59"/>
  <c r="J138" i="59"/>
  <c r="J126" i="59"/>
  <c r="J110" i="59"/>
  <c r="J98" i="59"/>
  <c r="J84" i="59"/>
  <c r="J72" i="59"/>
  <c r="J60" i="59"/>
  <c r="J48" i="59"/>
  <c r="J36" i="59"/>
  <c r="I147" i="59"/>
  <c r="I135" i="59"/>
  <c r="I123" i="59"/>
  <c r="I107" i="59"/>
  <c r="I95" i="59"/>
  <c r="I81" i="59"/>
  <c r="I69" i="59"/>
  <c r="I57" i="59"/>
  <c r="I45" i="59"/>
  <c r="I33" i="59"/>
  <c r="I21" i="59"/>
  <c r="I9" i="59"/>
  <c r="J26" i="59"/>
  <c r="J322" i="59"/>
  <c r="J307" i="59"/>
  <c r="J295" i="59"/>
  <c r="J283" i="59"/>
  <c r="J271" i="59"/>
  <c r="J259" i="59"/>
  <c r="J247" i="59"/>
  <c r="J235" i="59"/>
  <c r="J223" i="59"/>
  <c r="J209" i="59"/>
  <c r="J197" i="59"/>
  <c r="J185" i="59"/>
  <c r="J173" i="59"/>
  <c r="J161" i="59"/>
  <c r="J149" i="59"/>
  <c r="J137" i="59"/>
  <c r="J125" i="59"/>
  <c r="J109" i="59"/>
  <c r="J97" i="59"/>
  <c r="J83" i="59"/>
  <c r="J71" i="59"/>
  <c r="J59" i="59"/>
  <c r="J47" i="59"/>
  <c r="J35" i="59"/>
  <c r="I134" i="59"/>
  <c r="I118" i="59"/>
  <c r="I106" i="59"/>
  <c r="I94" i="59"/>
  <c r="I80" i="59"/>
  <c r="I68" i="59"/>
  <c r="I56" i="59"/>
  <c r="I44" i="59"/>
  <c r="I32" i="59"/>
  <c r="I20" i="59"/>
  <c r="I8" i="59"/>
  <c r="J92" i="59"/>
  <c r="I92" i="59"/>
  <c r="J14" i="59"/>
  <c r="I14" i="59"/>
  <c r="E5" i="59"/>
  <c r="C5" i="59"/>
  <c r="C328" i="59" s="1"/>
  <c r="J5" i="59"/>
  <c r="I5" i="59"/>
  <c r="H5" i="59"/>
  <c r="AO18" i="198" l="1"/>
  <c r="AO26" i="198"/>
  <c r="AO9" i="198"/>
  <c r="AO14" i="198"/>
  <c r="AO19" i="198"/>
  <c r="AO8" i="198"/>
  <c r="AO68" i="198"/>
  <c r="AO69" i="198"/>
  <c r="AO65" i="198"/>
  <c r="AO90" i="198"/>
  <c r="AO38" i="198"/>
  <c r="AO76" i="198"/>
  <c r="AL207" i="198"/>
  <c r="AL202" i="198"/>
  <c r="AL205" i="198"/>
  <c r="M62" i="157"/>
  <c r="M69" i="157" s="1"/>
  <c r="M72" i="157" s="1"/>
  <c r="M73" i="157" s="1"/>
  <c r="U17" i="157"/>
  <c r="AT190" i="198" s="1"/>
  <c r="AT192" i="198" s="1"/>
  <c r="AT211" i="198" s="1"/>
  <c r="AP211" i="198" s="1"/>
  <c r="N185" i="150"/>
  <c r="AS190" i="198"/>
  <c r="AS192" i="198" s="1"/>
  <c r="AS210" i="198" s="1"/>
  <c r="AP210" i="198" s="1"/>
  <c r="AR190" i="198"/>
  <c r="AR192" i="198" s="1"/>
  <c r="AR253" i="198" s="1"/>
  <c r="AL204" i="198"/>
  <c r="AL215" i="198"/>
  <c r="AL208" i="198"/>
  <c r="AL210" i="198"/>
  <c r="AL212" i="198"/>
  <c r="AL211" i="198"/>
  <c r="AL209" i="198"/>
  <c r="AL203" i="198"/>
  <c r="AL213" i="198"/>
  <c r="AL206" i="198"/>
  <c r="AL214" i="198"/>
  <c r="K8" i="150"/>
  <c r="L5" i="109"/>
  <c r="L9" i="109" s="1"/>
  <c r="L15" i="109" s="1"/>
  <c r="Z46" i="109"/>
  <c r="Z48" i="109" s="1"/>
  <c r="Z52" i="109" s="1"/>
  <c r="Z59" i="109" s="1"/>
  <c r="I72" i="157"/>
  <c r="E105" i="157" s="1"/>
  <c r="E6" i="112" s="1"/>
  <c r="AC188" i="158"/>
  <c r="L188" i="158" s="1"/>
  <c r="M184" i="158"/>
  <c r="M185" i="158" s="1"/>
  <c r="V184" i="158"/>
  <c r="V185" i="158" s="1"/>
  <c r="V248" i="158" s="1"/>
  <c r="N184" i="158"/>
  <c r="N185" i="158" s="1"/>
  <c r="S184" i="158"/>
  <c r="S185" i="158" s="1"/>
  <c r="S219" i="158" s="1"/>
  <c r="X184" i="158"/>
  <c r="X185" i="158" s="1"/>
  <c r="X248" i="158" s="1"/>
  <c r="O184" i="158"/>
  <c r="O185" i="158" s="1"/>
  <c r="O203" i="158" s="1"/>
  <c r="W184" i="158"/>
  <c r="W185" i="158" s="1"/>
  <c r="W248" i="158" s="1"/>
  <c r="AB184" i="158"/>
  <c r="AB185" i="158" s="1"/>
  <c r="AB248" i="158" s="1"/>
  <c r="P184" i="158"/>
  <c r="P185" i="158" s="1"/>
  <c r="P204" i="158" s="1"/>
  <c r="T184" i="158"/>
  <c r="T185" i="158" s="1"/>
  <c r="Y184" i="158"/>
  <c r="Y185" i="158" s="1"/>
  <c r="L184" i="158"/>
  <c r="Q184" i="158"/>
  <c r="Q185" i="158" s="1"/>
  <c r="Q248" i="158" s="1"/>
  <c r="U184" i="158"/>
  <c r="U185" i="158" s="1"/>
  <c r="AA184" i="158"/>
  <c r="AA185" i="158" s="1"/>
  <c r="AA248" i="158" s="1"/>
  <c r="R184" i="158"/>
  <c r="R185" i="158" s="1"/>
  <c r="Z184" i="158"/>
  <c r="Z185" i="158" s="1"/>
  <c r="K8" i="158"/>
  <c r="K63" i="150"/>
  <c r="K27" i="150"/>
  <c r="K19" i="150"/>
  <c r="K177" i="150"/>
  <c r="K172" i="150"/>
  <c r="K179" i="150"/>
  <c r="H198" i="150"/>
  <c r="H203" i="150"/>
  <c r="H206" i="150"/>
  <c r="H209" i="150"/>
  <c r="H199" i="150"/>
  <c r="H202" i="150"/>
  <c r="H205" i="150"/>
  <c r="H208" i="150"/>
  <c r="H197" i="150"/>
  <c r="H200" i="150"/>
  <c r="H201" i="150"/>
  <c r="H204" i="150"/>
  <c r="H207" i="150"/>
  <c r="H210" i="150"/>
  <c r="F256" i="46"/>
  <c r="F248" i="46"/>
  <c r="E3" i="114" s="1"/>
  <c r="F251" i="46"/>
  <c r="E6" i="114" s="1"/>
  <c r="F261" i="46"/>
  <c r="F257" i="46"/>
  <c r="F253" i="46"/>
  <c r="F259" i="46"/>
  <c r="F260" i="46"/>
  <c r="F254" i="46"/>
  <c r="F252" i="46"/>
  <c r="F250" i="46"/>
  <c r="E5" i="114" s="1"/>
  <c r="F262" i="46"/>
  <c r="AF18" i="114" s="1"/>
  <c r="F255" i="46"/>
  <c r="F258" i="46"/>
  <c r="F249" i="46"/>
  <c r="E4" i="114" s="1"/>
  <c r="D251" i="46"/>
  <c r="K34" i="107"/>
  <c r="K58" i="107"/>
  <c r="K19" i="107"/>
  <c r="K18" i="150"/>
  <c r="K65" i="150"/>
  <c r="K77" i="150"/>
  <c r="K70" i="150"/>
  <c r="K69" i="150"/>
  <c r="K76" i="150"/>
  <c r="K71" i="150"/>
  <c r="K12" i="150"/>
  <c r="K9" i="150"/>
  <c r="K88" i="150"/>
  <c r="K89" i="150"/>
  <c r="K91" i="150"/>
  <c r="K90" i="150"/>
  <c r="C251" i="46"/>
  <c r="Z7" i="114" s="1"/>
  <c r="E43" i="157"/>
  <c r="K176" i="150"/>
  <c r="K15" i="107"/>
  <c r="K17" i="107"/>
  <c r="K6" i="107"/>
  <c r="K10" i="107"/>
  <c r="K8" i="107"/>
  <c r="K14" i="107"/>
  <c r="K9" i="107"/>
  <c r="K13" i="107"/>
  <c r="K12" i="107"/>
  <c r="K7" i="107"/>
  <c r="BL11" i="184"/>
  <c r="K39" i="107"/>
  <c r="K84" i="107"/>
  <c r="K86" i="107"/>
  <c r="K87" i="107"/>
  <c r="K85" i="107"/>
  <c r="K81" i="107"/>
  <c r="K79" i="107"/>
  <c r="K82" i="107"/>
  <c r="M177" i="107"/>
  <c r="P177" i="107"/>
  <c r="P178" i="107" s="1"/>
  <c r="N177" i="107"/>
  <c r="N178" i="107" s="1"/>
  <c r="N232" i="107" s="1"/>
  <c r="Q177" i="107"/>
  <c r="Q178" i="107" s="1"/>
  <c r="Q198" i="107" s="1"/>
  <c r="O177" i="107"/>
  <c r="O178" i="107" s="1"/>
  <c r="R177" i="107"/>
  <c r="R178" i="107" s="1"/>
  <c r="R232" i="107" s="1"/>
  <c r="S177" i="107"/>
  <c r="S178" i="107" s="1"/>
  <c r="K5" i="107"/>
  <c r="F94" i="97"/>
  <c r="F95" i="97" s="1"/>
  <c r="D261" i="46"/>
  <c r="AB17" i="114" s="1"/>
  <c r="D254" i="46"/>
  <c r="AB10" i="114" s="1"/>
  <c r="D259" i="46"/>
  <c r="AB15" i="114" s="1"/>
  <c r="D260" i="46"/>
  <c r="AB16" i="114" s="1"/>
  <c r="D258" i="46"/>
  <c r="AB14" i="114" s="1"/>
  <c r="D252" i="46"/>
  <c r="AB8" i="114" s="1"/>
  <c r="D257" i="46"/>
  <c r="AB13" i="114" s="1"/>
  <c r="D256" i="46"/>
  <c r="AB12" i="114" s="1"/>
  <c r="D250" i="46"/>
  <c r="D262" i="46"/>
  <c r="AB18" i="114" s="1"/>
  <c r="D255" i="46"/>
  <c r="AB11" i="114" s="1"/>
  <c r="D249" i="46"/>
  <c r="D253" i="46"/>
  <c r="AB9" i="114" s="1"/>
  <c r="K174" i="150"/>
  <c r="K93" i="150"/>
  <c r="K118" i="150"/>
  <c r="K151" i="150"/>
  <c r="K120" i="150"/>
  <c r="K122" i="150"/>
  <c r="K166" i="150"/>
  <c r="K154" i="150"/>
  <c r="K126" i="150"/>
  <c r="K150" i="150"/>
  <c r="K168" i="150"/>
  <c r="K167" i="150"/>
  <c r="K98" i="150"/>
  <c r="K102" i="150"/>
  <c r="K100" i="150"/>
  <c r="K111" i="150"/>
  <c r="K159" i="150"/>
  <c r="K119" i="150"/>
  <c r="K105" i="150"/>
  <c r="K96" i="150"/>
  <c r="K116" i="150"/>
  <c r="K109" i="150"/>
  <c r="K169" i="150"/>
  <c r="K145" i="150"/>
  <c r="K163" i="150"/>
  <c r="K156" i="150"/>
  <c r="K149" i="150"/>
  <c r="K173" i="150"/>
  <c r="K113" i="150"/>
  <c r="K101" i="150"/>
  <c r="K112" i="150"/>
  <c r="K138" i="150"/>
  <c r="K117" i="150"/>
  <c r="K140" i="150"/>
  <c r="K129" i="150"/>
  <c r="K155" i="150"/>
  <c r="K121" i="150"/>
  <c r="K124" i="150"/>
  <c r="K161" i="150"/>
  <c r="K107" i="150"/>
  <c r="K123" i="150"/>
  <c r="K152" i="150"/>
  <c r="K110" i="150"/>
  <c r="K162" i="150"/>
  <c r="K148" i="150"/>
  <c r="K99" i="150"/>
  <c r="K127" i="150"/>
  <c r="K160" i="150"/>
  <c r="K115" i="150"/>
  <c r="K104" i="150"/>
  <c r="K171" i="150"/>
  <c r="K84" i="150"/>
  <c r="K22" i="150"/>
  <c r="K31" i="150"/>
  <c r="K33" i="150"/>
  <c r="K32" i="150"/>
  <c r="K21" i="150"/>
  <c r="K92" i="150"/>
  <c r="K175" i="150"/>
  <c r="C259" i="46"/>
  <c r="Z15" i="114" s="1"/>
  <c r="C260" i="46"/>
  <c r="Z16" i="114" s="1"/>
  <c r="C249" i="46"/>
  <c r="C261" i="46"/>
  <c r="Z17" i="114" s="1"/>
  <c r="C250" i="46"/>
  <c r="C262" i="46"/>
  <c r="Z18" i="114" s="1"/>
  <c r="C252" i="46"/>
  <c r="Z8" i="114" s="1"/>
  <c r="C253" i="46"/>
  <c r="Z9" i="114" s="1"/>
  <c r="C254" i="46"/>
  <c r="Z10" i="114" s="1"/>
  <c r="C255" i="46"/>
  <c r="Z11" i="114" s="1"/>
  <c r="C258" i="46"/>
  <c r="Z14" i="114" s="1"/>
  <c r="C256" i="46"/>
  <c r="Z12" i="114" s="1"/>
  <c r="C257" i="46"/>
  <c r="Z13" i="114" s="1"/>
  <c r="E13" i="157"/>
  <c r="F182" i="158"/>
  <c r="C43" i="157"/>
  <c r="C248" i="46"/>
  <c r="D21" i="109"/>
  <c r="F21" i="109"/>
  <c r="G5" i="59"/>
  <c r="C75" i="200" l="1"/>
  <c r="O22" i="202" s="1"/>
  <c r="E76" i="200"/>
  <c r="Q23" i="202" s="1"/>
  <c r="C76" i="200"/>
  <c r="O23" i="202" s="1"/>
  <c r="G76" i="200"/>
  <c r="S23" i="202" s="1"/>
  <c r="K75" i="200"/>
  <c r="W22" i="202" s="1"/>
  <c r="I75" i="200"/>
  <c r="U22" i="202" s="1"/>
  <c r="G75" i="200"/>
  <c r="S22" i="202" s="1"/>
  <c r="E75" i="200"/>
  <c r="Q22" i="202" s="1"/>
  <c r="I76" i="200"/>
  <c r="U23" i="202" s="1"/>
  <c r="K76" i="200"/>
  <c r="W23" i="202" s="1"/>
  <c r="C85" i="200"/>
  <c r="C82" i="200"/>
  <c r="O28" i="202" s="1"/>
  <c r="C83" i="200"/>
  <c r="K85" i="200"/>
  <c r="C55" i="200"/>
  <c r="O3" i="202" s="1"/>
  <c r="I85" i="200"/>
  <c r="G85" i="200"/>
  <c r="E85" i="200"/>
  <c r="U18" i="157"/>
  <c r="U19" i="157" s="1"/>
  <c r="U23" i="157" s="1"/>
  <c r="U24" i="157" s="1"/>
  <c r="P185" i="150"/>
  <c r="AT253" i="198"/>
  <c r="AV190" i="198"/>
  <c r="AV192" i="198" s="1"/>
  <c r="AV253" i="198" s="1"/>
  <c r="AX190" i="198"/>
  <c r="AX192" i="198" s="1"/>
  <c r="AX253" i="198" s="1"/>
  <c r="AS253" i="198"/>
  <c r="I77" i="157"/>
  <c r="G45" i="115"/>
  <c r="AP252" i="198"/>
  <c r="AP190" i="198"/>
  <c r="I73" i="157"/>
  <c r="I75" i="157" s="1"/>
  <c r="I80" i="157"/>
  <c r="E12" i="114"/>
  <c r="AF13" i="114"/>
  <c r="E9" i="114"/>
  <c r="AF10" i="114"/>
  <c r="E10" i="114"/>
  <c r="AF11" i="114"/>
  <c r="E11" i="114"/>
  <c r="AF12" i="114"/>
  <c r="E7" i="114"/>
  <c r="AF8" i="114"/>
  <c r="E8" i="114"/>
  <c r="AF9" i="114"/>
  <c r="E13" i="114"/>
  <c r="AF14" i="114"/>
  <c r="E14" i="114"/>
  <c r="AF15" i="114"/>
  <c r="E15" i="114"/>
  <c r="AF16" i="114"/>
  <c r="E16" i="114"/>
  <c r="AF17" i="114"/>
  <c r="Y203" i="158"/>
  <c r="Y248" i="158" s="1"/>
  <c r="N202" i="158"/>
  <c r="L202" i="158" s="1"/>
  <c r="U209" i="158"/>
  <c r="L209" i="158" s="1"/>
  <c r="S248" i="158"/>
  <c r="L219" i="158"/>
  <c r="E145" i="200" s="1"/>
  <c r="E148" i="200" s="1"/>
  <c r="Z214" i="158"/>
  <c r="L214" i="158" s="1"/>
  <c r="R242" i="158"/>
  <c r="M201" i="158"/>
  <c r="L201" i="158" s="1"/>
  <c r="L204" i="158"/>
  <c r="L185" i="158"/>
  <c r="AF7" i="114"/>
  <c r="AB7" i="114"/>
  <c r="H251" i="46"/>
  <c r="I251" i="46" s="1"/>
  <c r="S217" i="107"/>
  <c r="L217" i="107" s="1"/>
  <c r="O205" i="107"/>
  <c r="L205" i="107" s="1"/>
  <c r="P197" i="107"/>
  <c r="L197" i="107" s="1"/>
  <c r="BM11" i="184"/>
  <c r="F26" i="109"/>
  <c r="Z26" i="109" s="1"/>
  <c r="Z27" i="109" s="1"/>
  <c r="Z28" i="109" s="1"/>
  <c r="B16" i="130"/>
  <c r="N6" i="130"/>
  <c r="Z6" i="114"/>
  <c r="P11" i="130"/>
  <c r="P54" i="130"/>
  <c r="W29" i="130" s="1"/>
  <c r="P59" i="130"/>
  <c r="W34" i="130" s="1"/>
  <c r="N17" i="130"/>
  <c r="P60" i="130"/>
  <c r="W35" i="130" s="1"/>
  <c r="P51" i="130"/>
  <c r="Z4" i="114"/>
  <c r="N5" i="130"/>
  <c r="Z5" i="114"/>
  <c r="P53" i="130"/>
  <c r="W28" i="130" s="1"/>
  <c r="P8" i="130"/>
  <c r="N9" i="130"/>
  <c r="P13" i="130"/>
  <c r="N12" i="130"/>
  <c r="P58" i="130"/>
  <c r="W33" i="130" s="1"/>
  <c r="P10" i="130"/>
  <c r="N14" i="130"/>
  <c r="N16" i="130"/>
  <c r="AF4" i="114"/>
  <c r="P48" i="130"/>
  <c r="W24" i="130" s="1"/>
  <c r="P55" i="130"/>
  <c r="W30" i="130" s="1"/>
  <c r="P56" i="130"/>
  <c r="W31" i="130" s="1"/>
  <c r="P5" i="130"/>
  <c r="AB5" i="114"/>
  <c r="N8" i="130"/>
  <c r="P6" i="130"/>
  <c r="AB6" i="114"/>
  <c r="P14" i="130"/>
  <c r="AF5" i="114"/>
  <c r="P49" i="130"/>
  <c r="W25" i="130" s="1"/>
  <c r="P17" i="130"/>
  <c r="N13" i="130"/>
  <c r="N15" i="130"/>
  <c r="P9" i="130"/>
  <c r="P52" i="130"/>
  <c r="W27" i="130" s="1"/>
  <c r="P16" i="130"/>
  <c r="N11" i="130"/>
  <c r="P61" i="130"/>
  <c r="W36" i="130" s="1"/>
  <c r="P57" i="130"/>
  <c r="W32" i="130" s="1"/>
  <c r="AF6" i="114"/>
  <c r="P50" i="130"/>
  <c r="W26" i="130" s="1"/>
  <c r="N7" i="130"/>
  <c r="N51" i="130"/>
  <c r="N10" i="130"/>
  <c r="P7" i="130"/>
  <c r="P12" i="130"/>
  <c r="P15" i="130"/>
  <c r="L198" i="107"/>
  <c r="F263" i="46"/>
  <c r="F265" i="46" s="1"/>
  <c r="C34" i="112"/>
  <c r="C137" i="157"/>
  <c r="F5" i="109"/>
  <c r="H261" i="46"/>
  <c r="I261" i="46" s="1"/>
  <c r="H249" i="46"/>
  <c r="I249" i="46" s="1"/>
  <c r="H256" i="46"/>
  <c r="I256" i="46" s="1"/>
  <c r="H260" i="46"/>
  <c r="I260" i="46" s="1"/>
  <c r="H258" i="46"/>
  <c r="I258" i="46" s="1"/>
  <c r="H250" i="46"/>
  <c r="I250" i="46" s="1"/>
  <c r="H255" i="46"/>
  <c r="I255" i="46" s="1"/>
  <c r="H259" i="46"/>
  <c r="I259" i="46" s="1"/>
  <c r="H257" i="46"/>
  <c r="I257" i="46" s="1"/>
  <c r="H254" i="46"/>
  <c r="I254" i="46" s="1"/>
  <c r="H252" i="46"/>
  <c r="I252" i="46" s="1"/>
  <c r="H253" i="46"/>
  <c r="I253" i="46" s="1"/>
  <c r="T43" i="157"/>
  <c r="D26" i="109"/>
  <c r="AB26" i="109" s="1"/>
  <c r="L247" i="150"/>
  <c r="L185" i="150"/>
  <c r="L187" i="150" s="1"/>
  <c r="T186" i="150"/>
  <c r="H262" i="46"/>
  <c r="I262" i="46" s="1"/>
  <c r="K43" i="157"/>
  <c r="L43" i="157" s="1"/>
  <c r="E20" i="157"/>
  <c r="E27" i="157" s="1"/>
  <c r="B13" i="130" s="1"/>
  <c r="K13" i="157"/>
  <c r="L13" i="157" s="1"/>
  <c r="C44" i="157"/>
  <c r="E44" i="157"/>
  <c r="E45" i="157" s="1"/>
  <c r="E46" i="157" s="1"/>
  <c r="D248" i="46"/>
  <c r="AB4" i="114" s="1"/>
  <c r="N4" i="130"/>
  <c r="C263" i="46"/>
  <c r="C265" i="46" s="1"/>
  <c r="L210" i="107"/>
  <c r="L196" i="107"/>
  <c r="L188" i="107"/>
  <c r="S147" i="94"/>
  <c r="S148" i="94" s="1"/>
  <c r="S150" i="94" s="1"/>
  <c r="Q145" i="97"/>
  <c r="Q146" i="97" s="1"/>
  <c r="Q148" i="97" s="1"/>
  <c r="E122" i="46"/>
  <c r="AU190" i="198" l="1"/>
  <c r="AU192" i="198" s="1"/>
  <c r="AU253" i="198" s="1"/>
  <c r="R185" i="150"/>
  <c r="AW190" i="198"/>
  <c r="AW192" i="198" s="1"/>
  <c r="AW253" i="198" s="1"/>
  <c r="Q185" i="150"/>
  <c r="U30" i="157"/>
  <c r="T185" i="150"/>
  <c r="S185" i="150"/>
  <c r="G7" i="115"/>
  <c r="G89" i="157"/>
  <c r="H6" i="111" s="1"/>
  <c r="J6" i="111" s="1"/>
  <c r="U185" i="150"/>
  <c r="AY190" i="198"/>
  <c r="AY192" i="198" s="1"/>
  <c r="AP192" i="198"/>
  <c r="L17" i="109"/>
  <c r="V19" i="109"/>
  <c r="E121" i="157"/>
  <c r="E141" i="200"/>
  <c r="AC7" i="158"/>
  <c r="AE183" i="158" s="1"/>
  <c r="BG7" i="198"/>
  <c r="BG191" i="198"/>
  <c r="E119" i="157"/>
  <c r="E139" i="200"/>
  <c r="E115" i="157"/>
  <c r="E16" i="112" s="1"/>
  <c r="E135" i="200"/>
  <c r="L203" i="158"/>
  <c r="L216" i="158" s="1"/>
  <c r="F8" i="109"/>
  <c r="F14" i="109" s="1"/>
  <c r="Z5" i="109"/>
  <c r="Z8" i="109" s="1"/>
  <c r="Z14" i="109" s="1"/>
  <c r="AD26" i="109"/>
  <c r="AD27" i="109" s="1"/>
  <c r="AD28" i="109" s="1"/>
  <c r="AB27" i="109"/>
  <c r="AB28" i="109" s="1"/>
  <c r="L223" i="158"/>
  <c r="E125" i="157"/>
  <c r="N248" i="158"/>
  <c r="U248" i="158"/>
  <c r="P248" i="158"/>
  <c r="T242" i="158"/>
  <c r="T248" i="158" s="1"/>
  <c r="Z248" i="158"/>
  <c r="R248" i="158"/>
  <c r="M248" i="158"/>
  <c r="O248" i="158"/>
  <c r="N7" i="150"/>
  <c r="K204" i="150" s="1"/>
  <c r="R186" i="150"/>
  <c r="N186" i="150"/>
  <c r="N187" i="150" s="1"/>
  <c r="L204" i="150" s="1"/>
  <c r="P186" i="150"/>
  <c r="M186" i="150"/>
  <c r="M187" i="150" s="1"/>
  <c r="M7" i="150"/>
  <c r="O186" i="150"/>
  <c r="S186" i="150"/>
  <c r="Q186" i="150"/>
  <c r="O7" i="150"/>
  <c r="K205" i="150" s="1"/>
  <c r="Q7" i="150"/>
  <c r="K207" i="150" s="1"/>
  <c r="R7" i="150"/>
  <c r="K208" i="150" s="1"/>
  <c r="P7" i="150"/>
  <c r="K206" i="150" s="1"/>
  <c r="S7" i="150"/>
  <c r="K209" i="150" s="1"/>
  <c r="L222" i="107"/>
  <c r="L207" i="107"/>
  <c r="E133" i="157"/>
  <c r="P232" i="107"/>
  <c r="O232" i="107"/>
  <c r="S232" i="107"/>
  <c r="AC186" i="150"/>
  <c r="W186" i="150"/>
  <c r="U186" i="150"/>
  <c r="V186" i="150"/>
  <c r="Z186" i="150"/>
  <c r="AA186" i="150"/>
  <c r="X186" i="150"/>
  <c r="Y186" i="150"/>
  <c r="AB186" i="150"/>
  <c r="X7" i="150"/>
  <c r="K214" i="150" s="1"/>
  <c r="AB7" i="150"/>
  <c r="Y7" i="150"/>
  <c r="K215" i="150" s="1"/>
  <c r="AA7" i="150"/>
  <c r="Z7" i="150"/>
  <c r="K216" i="150" s="1"/>
  <c r="N18" i="130"/>
  <c r="Q6" i="130"/>
  <c r="R6" i="130" s="1"/>
  <c r="Q17" i="130"/>
  <c r="R17" i="130" s="1"/>
  <c r="Q16" i="130"/>
  <c r="R16" i="130" s="1"/>
  <c r="BN11" i="184"/>
  <c r="C38" i="184" s="1"/>
  <c r="D38" i="184" s="1"/>
  <c r="Q13" i="130"/>
  <c r="R13" i="130" s="1"/>
  <c r="Q8" i="130"/>
  <c r="R8" i="130" s="1"/>
  <c r="Q7" i="130"/>
  <c r="R7" i="130" s="1"/>
  <c r="W37" i="130"/>
  <c r="W39" i="130" s="1"/>
  <c r="Q15" i="130"/>
  <c r="R15" i="130" s="1"/>
  <c r="AF19" i="114"/>
  <c r="AF21" i="114" s="1"/>
  <c r="Q9" i="130"/>
  <c r="R9" i="130" s="1"/>
  <c r="Q10" i="130"/>
  <c r="R10" i="130" s="1"/>
  <c r="AB19" i="114"/>
  <c r="Q11" i="130"/>
  <c r="R11" i="130" s="1"/>
  <c r="Q14" i="130"/>
  <c r="R14" i="130" s="1"/>
  <c r="Q12" i="130"/>
  <c r="R12" i="130" s="1"/>
  <c r="Q5" i="130"/>
  <c r="R5" i="130" s="1"/>
  <c r="Z19" i="114"/>
  <c r="Z21" i="114" s="1"/>
  <c r="Q51" i="130"/>
  <c r="R51" i="130" s="1"/>
  <c r="P62" i="130"/>
  <c r="Q232" i="107"/>
  <c r="G90" i="157"/>
  <c r="E5" i="157"/>
  <c r="P4" i="130"/>
  <c r="E17" i="114"/>
  <c r="E19" i="114" s="1"/>
  <c r="AC7" i="150"/>
  <c r="T187" i="150"/>
  <c r="C45" i="157"/>
  <c r="C46" i="157" s="1"/>
  <c r="C48" i="157" s="1"/>
  <c r="U31" i="157"/>
  <c r="V185" i="150" s="1"/>
  <c r="T7" i="150"/>
  <c r="K210" i="150" s="1"/>
  <c r="W7" i="150"/>
  <c r="K213" i="150" s="1"/>
  <c r="V7" i="150"/>
  <c r="K212" i="150" s="1"/>
  <c r="U7" i="150"/>
  <c r="K211" i="150" s="1"/>
  <c r="E48" i="157"/>
  <c r="H248" i="46"/>
  <c r="I248" i="46" s="1"/>
  <c r="D263" i="46"/>
  <c r="D265" i="46" s="1"/>
  <c r="M178" i="107"/>
  <c r="M194" i="107" s="1"/>
  <c r="E119" i="59"/>
  <c r="I89" i="157" l="1"/>
  <c r="I90" i="157" s="1"/>
  <c r="R6" i="111"/>
  <c r="U187" i="150"/>
  <c r="U211" i="150" s="1"/>
  <c r="AC184" i="158"/>
  <c r="AC185" i="158" s="1"/>
  <c r="L241" i="158"/>
  <c r="H7" i="111"/>
  <c r="H9" i="111" s="1"/>
  <c r="AZ190" i="198"/>
  <c r="AY216" i="198"/>
  <c r="AP216" i="198" s="1"/>
  <c r="A118" i="157"/>
  <c r="E118" i="157" s="1"/>
  <c r="A138" i="200"/>
  <c r="BI191" i="198"/>
  <c r="A116" i="157"/>
  <c r="C151" i="200"/>
  <c r="C147" i="200"/>
  <c r="C129" i="200"/>
  <c r="A136" i="200"/>
  <c r="C152" i="200"/>
  <c r="C145" i="200"/>
  <c r="C146" i="200"/>
  <c r="C132" i="200"/>
  <c r="C140" i="200"/>
  <c r="A117" i="157"/>
  <c r="E117" i="157" s="1"/>
  <c r="A137" i="200"/>
  <c r="I98" i="157"/>
  <c r="L245" i="158"/>
  <c r="L248" i="158" s="1"/>
  <c r="L250" i="158" s="1"/>
  <c r="R7" i="111"/>
  <c r="R13" i="111" s="1"/>
  <c r="T6" i="111"/>
  <c r="T7" i="111" s="1"/>
  <c r="T13" i="111" s="1"/>
  <c r="L242" i="158"/>
  <c r="G98" i="157"/>
  <c r="G92" i="157"/>
  <c r="C112" i="157"/>
  <c r="C12" i="112" s="1"/>
  <c r="C109" i="157"/>
  <c r="E128" i="157"/>
  <c r="C127" i="157"/>
  <c r="C132" i="157"/>
  <c r="L211" i="150"/>
  <c r="C119" i="157" s="1"/>
  <c r="AE186" i="150"/>
  <c r="Q4" i="130"/>
  <c r="R4" i="130" s="1"/>
  <c r="P18" i="130"/>
  <c r="P23" i="130" s="1"/>
  <c r="P26" i="130" s="1"/>
  <c r="N23" i="130"/>
  <c r="N26" i="130" s="1"/>
  <c r="BO11" i="184"/>
  <c r="AB21" i="114"/>
  <c r="C126" i="157"/>
  <c r="G5" i="115"/>
  <c r="B12" i="130"/>
  <c r="L194" i="107"/>
  <c r="K171" i="107"/>
  <c r="K73" i="150"/>
  <c r="K11" i="107"/>
  <c r="K30" i="150"/>
  <c r="K80" i="150"/>
  <c r="K50" i="107"/>
  <c r="K76" i="107"/>
  <c r="K75" i="150"/>
  <c r="K68" i="150"/>
  <c r="K56" i="150"/>
  <c r="K49" i="150"/>
  <c r="K14" i="150"/>
  <c r="V187" i="150"/>
  <c r="V248" i="150" s="1"/>
  <c r="U32" i="157"/>
  <c r="W185" i="150" s="1"/>
  <c r="W187" i="150" s="1"/>
  <c r="O187" i="150"/>
  <c r="D27" i="109"/>
  <c r="D28" i="109" s="1"/>
  <c r="D221" i="59"/>
  <c r="G221" i="59" s="1"/>
  <c r="D142" i="59"/>
  <c r="D117" i="59"/>
  <c r="G117" i="59" s="1"/>
  <c r="D238" i="59"/>
  <c r="G238" i="59" s="1"/>
  <c r="D121" i="59"/>
  <c r="D47" i="3"/>
  <c r="H11" i="111" l="1"/>
  <c r="AE184" i="158"/>
  <c r="AO75" i="198"/>
  <c r="AY253" i="198"/>
  <c r="K21" i="107"/>
  <c r="K47" i="107"/>
  <c r="A17" i="112"/>
  <c r="AO49" i="198"/>
  <c r="AO56" i="198"/>
  <c r="AO30" i="198"/>
  <c r="AO77" i="198"/>
  <c r="AO70" i="198"/>
  <c r="AO63" i="198"/>
  <c r="K40" i="107"/>
  <c r="A19" i="112"/>
  <c r="K78" i="107"/>
  <c r="K44" i="150"/>
  <c r="K43" i="150"/>
  <c r="K47" i="150"/>
  <c r="BA190" i="198"/>
  <c r="BA192" i="198" s="1"/>
  <c r="BA253" i="198" s="1"/>
  <c r="R9" i="111"/>
  <c r="AZ192" i="198"/>
  <c r="AZ253" i="198" s="1"/>
  <c r="C148" i="200"/>
  <c r="C20" i="112"/>
  <c r="K33" i="107"/>
  <c r="K41" i="107"/>
  <c r="K45" i="107"/>
  <c r="K42" i="107"/>
  <c r="K60" i="150"/>
  <c r="E137" i="200"/>
  <c r="E21" i="112"/>
  <c r="K38" i="107"/>
  <c r="E30" i="112"/>
  <c r="E31" i="112" s="1"/>
  <c r="E136" i="200"/>
  <c r="C136" i="200"/>
  <c r="E25" i="112"/>
  <c r="C139" i="200"/>
  <c r="K36" i="150"/>
  <c r="K55" i="107"/>
  <c r="C153" i="200"/>
  <c r="K25" i="107"/>
  <c r="K46" i="150"/>
  <c r="A18" i="112"/>
  <c r="E18" i="112" s="1"/>
  <c r="E116" i="157"/>
  <c r="E122" i="157" s="1"/>
  <c r="W3" i="130" s="1"/>
  <c r="AO36" i="198"/>
  <c r="AO46" i="198"/>
  <c r="AO60" i="198"/>
  <c r="AO24" i="198"/>
  <c r="AO43" i="198"/>
  <c r="AO67" i="198"/>
  <c r="AO47" i="198"/>
  <c r="AO50" i="198"/>
  <c r="AO55" i="198"/>
  <c r="AO29" i="198"/>
  <c r="AO41" i="198"/>
  <c r="AO74" i="198"/>
  <c r="AO45" i="198"/>
  <c r="AO58" i="198"/>
  <c r="AO44" i="198"/>
  <c r="K74" i="150"/>
  <c r="K50" i="150"/>
  <c r="K44" i="107"/>
  <c r="K71" i="107"/>
  <c r="K26" i="107"/>
  <c r="K41" i="150"/>
  <c r="K29" i="150"/>
  <c r="E20" i="112"/>
  <c r="K24" i="150"/>
  <c r="K56" i="107"/>
  <c r="C26" i="112"/>
  <c r="C116" i="157"/>
  <c r="C17" i="112" s="1"/>
  <c r="K67" i="150"/>
  <c r="K57" i="107"/>
  <c r="K43" i="107"/>
  <c r="K55" i="150"/>
  <c r="E138" i="200"/>
  <c r="E26" i="112"/>
  <c r="K45" i="150"/>
  <c r="K64" i="107"/>
  <c r="K52" i="107"/>
  <c r="K58" i="150"/>
  <c r="R11" i="111"/>
  <c r="R14" i="111" s="1"/>
  <c r="T9" i="111"/>
  <c r="T11" i="111" s="1"/>
  <c r="T14" i="111" s="1"/>
  <c r="I92" i="157"/>
  <c r="I96" i="157" s="1"/>
  <c r="I99" i="157" s="1"/>
  <c r="G96" i="157"/>
  <c r="G99" i="157" s="1"/>
  <c r="AC248" i="158"/>
  <c r="AE185" i="158"/>
  <c r="O205" i="150"/>
  <c r="L205" i="150" s="1"/>
  <c r="C117" i="157" s="1"/>
  <c r="E19" i="112"/>
  <c r="U248" i="150"/>
  <c r="M232" i="107"/>
  <c r="U33" i="157"/>
  <c r="U34" i="157" s="1"/>
  <c r="U35" i="157" s="1"/>
  <c r="D32" i="109"/>
  <c r="D31" i="109"/>
  <c r="W248" i="150"/>
  <c r="P187" i="150"/>
  <c r="N248" i="150"/>
  <c r="M248" i="150"/>
  <c r="D123" i="59"/>
  <c r="D312" i="59"/>
  <c r="G312" i="59" s="1"/>
  <c r="D107" i="59"/>
  <c r="G107" i="59" s="1"/>
  <c r="D223" i="59"/>
  <c r="G223" i="59" s="1"/>
  <c r="D205" i="59"/>
  <c r="G205" i="59" s="1"/>
  <c r="D320" i="59"/>
  <c r="G320" i="59" s="1"/>
  <c r="D150" i="59"/>
  <c r="G150" i="59" s="1"/>
  <c r="D263" i="59"/>
  <c r="G263" i="59" s="1"/>
  <c r="D164" i="59"/>
  <c r="G164" i="59" s="1"/>
  <c r="D203" i="59"/>
  <c r="G203" i="59" s="1"/>
  <c r="D253" i="59"/>
  <c r="G253" i="59" s="1"/>
  <c r="D119" i="59"/>
  <c r="G119" i="59" s="1"/>
  <c r="D216" i="59"/>
  <c r="G216" i="59" s="1"/>
  <c r="D243" i="59"/>
  <c r="G243" i="59" s="1"/>
  <c r="D277" i="59"/>
  <c r="G277" i="59" s="1"/>
  <c r="D297" i="59"/>
  <c r="G297" i="59" s="1"/>
  <c r="D206" i="59"/>
  <c r="G206" i="59" s="1"/>
  <c r="D291" i="59"/>
  <c r="G291" i="59" s="1"/>
  <c r="D285" i="59"/>
  <c r="G285" i="59" s="1"/>
  <c r="D273" i="59"/>
  <c r="G273" i="59" s="1"/>
  <c r="D181" i="59"/>
  <c r="G181" i="59" s="1"/>
  <c r="D130" i="59"/>
  <c r="G130" i="59" s="1"/>
  <c r="D148" i="59"/>
  <c r="G148" i="59" s="1"/>
  <c r="D288" i="59"/>
  <c r="G288" i="59" s="1"/>
  <c r="D171" i="59"/>
  <c r="G171" i="59" s="1"/>
  <c r="D271" i="59"/>
  <c r="G271" i="59" s="1"/>
  <c r="D137" i="59"/>
  <c r="G137" i="59" s="1"/>
  <c r="D176" i="59"/>
  <c r="G176" i="59" s="1"/>
  <c r="D187" i="59"/>
  <c r="G187" i="59" s="1"/>
  <c r="D166" i="59"/>
  <c r="G166" i="59" s="1"/>
  <c r="D110" i="59"/>
  <c r="G110" i="59" s="1"/>
  <c r="D178" i="59"/>
  <c r="G178" i="59" s="1"/>
  <c r="D299" i="59"/>
  <c r="G299" i="59" s="1"/>
  <c r="D118" i="59"/>
  <c r="G118" i="59" s="1"/>
  <c r="D231" i="59"/>
  <c r="G231" i="59" s="1"/>
  <c r="G101" i="59"/>
  <c r="D293" i="59"/>
  <c r="G293" i="59" s="1"/>
  <c r="D301" i="59"/>
  <c r="G301" i="59" s="1"/>
  <c r="D169" i="59"/>
  <c r="G169" i="59" s="1"/>
  <c r="D122" i="59"/>
  <c r="D255" i="59"/>
  <c r="G255" i="59" s="1"/>
  <c r="D200" i="59"/>
  <c r="G200" i="59" s="1"/>
  <c r="D298" i="59"/>
  <c r="G298" i="59" s="1"/>
  <c r="D252" i="59"/>
  <c r="G252" i="59" s="1"/>
  <c r="D318" i="59"/>
  <c r="G318" i="59" s="1"/>
  <c r="D272" i="59"/>
  <c r="G272" i="59" s="1"/>
  <c r="D157" i="59"/>
  <c r="G157" i="59" s="1"/>
  <c r="D278" i="59"/>
  <c r="G278" i="59" s="1"/>
  <c r="D129" i="59"/>
  <c r="G129" i="59" s="1"/>
  <c r="D109" i="59"/>
  <c r="G109" i="59" s="1"/>
  <c r="D140" i="59"/>
  <c r="G140" i="59" s="1"/>
  <c r="D230" i="59"/>
  <c r="G230" i="59" s="1"/>
  <c r="D302" i="59"/>
  <c r="G302" i="59" s="1"/>
  <c r="D194" i="59"/>
  <c r="G194" i="59" s="1"/>
  <c r="D260" i="59"/>
  <c r="G260" i="59" s="1"/>
  <c r="D183" i="59"/>
  <c r="G183" i="59" s="1"/>
  <c r="D239" i="59"/>
  <c r="G239" i="59" s="1"/>
  <c r="D290" i="59"/>
  <c r="G290" i="59" s="1"/>
  <c r="D274" i="59"/>
  <c r="G274" i="59" s="1"/>
  <c r="D185" i="59"/>
  <c r="G185" i="59" s="1"/>
  <c r="D153" i="59"/>
  <c r="G153" i="59" s="1"/>
  <c r="D102" i="59"/>
  <c r="G102" i="59" s="1"/>
  <c r="D237" i="59"/>
  <c r="G237" i="59" s="1"/>
  <c r="D262" i="59"/>
  <c r="G262" i="59" s="1"/>
  <c r="D186" i="59"/>
  <c r="G186" i="59" s="1"/>
  <c r="D208" i="59"/>
  <c r="G208" i="59" s="1"/>
  <c r="D257" i="59"/>
  <c r="G257" i="59" s="1"/>
  <c r="D127" i="59"/>
  <c r="G127" i="59" s="1"/>
  <c r="D306" i="59"/>
  <c r="G306" i="59" s="1"/>
  <c r="D225" i="59"/>
  <c r="G225" i="59" s="1"/>
  <c r="D319" i="59"/>
  <c r="G319" i="59" s="1"/>
  <c r="D325" i="59"/>
  <c r="G325" i="59" s="1"/>
  <c r="D233" i="59"/>
  <c r="G233" i="59" s="1"/>
  <c r="D116" i="59"/>
  <c r="G116" i="59" s="1"/>
  <c r="D143" i="59"/>
  <c r="G143" i="59" s="1"/>
  <c r="D292" i="59"/>
  <c r="G292" i="59" s="1"/>
  <c r="D124" i="59"/>
  <c r="D264" i="59"/>
  <c r="G264" i="59" s="1"/>
  <c r="D287" i="59"/>
  <c r="G287" i="59" s="1"/>
  <c r="D147" i="59"/>
  <c r="G147" i="59" s="1"/>
  <c r="D105" i="59"/>
  <c r="G105" i="59" s="1"/>
  <c r="D175" i="59"/>
  <c r="G175" i="59" s="1"/>
  <c r="D114" i="59"/>
  <c r="G114" i="59" s="1"/>
  <c r="D182" i="59"/>
  <c r="G182" i="59" s="1"/>
  <c r="D156" i="59"/>
  <c r="G156" i="59" s="1"/>
  <c r="D256" i="59"/>
  <c r="G256" i="59" s="1"/>
  <c r="D279" i="59"/>
  <c r="G279" i="59" s="1"/>
  <c r="D309" i="59"/>
  <c r="G309" i="59" s="1"/>
  <c r="D323" i="59"/>
  <c r="G323" i="59" s="1"/>
  <c r="D163" i="59"/>
  <c r="G163" i="59" s="1"/>
  <c r="D160" i="59"/>
  <c r="G160" i="59" s="1"/>
  <c r="D170" i="59"/>
  <c r="G170" i="59" s="1"/>
  <c r="D146" i="59"/>
  <c r="G146" i="59" s="1"/>
  <c r="D193" i="59"/>
  <c r="G193" i="59" s="1"/>
  <c r="D112" i="59"/>
  <c r="G112" i="59" s="1"/>
  <c r="D234" i="59"/>
  <c r="G234" i="59" s="1"/>
  <c r="D308" i="59"/>
  <c r="G308" i="59" s="1"/>
  <c r="G100" i="59"/>
  <c r="D276" i="59"/>
  <c r="G276" i="59" s="1"/>
  <c r="D202" i="59"/>
  <c r="G202" i="59" s="1"/>
  <c r="D158" i="59"/>
  <c r="G158" i="59" s="1"/>
  <c r="D168" i="59"/>
  <c r="G168" i="59" s="1"/>
  <c r="D270" i="59"/>
  <c r="G270" i="59" s="1"/>
  <c r="D241" i="59"/>
  <c r="G241" i="59" s="1"/>
  <c r="D198" i="59"/>
  <c r="G198" i="59" s="1"/>
  <c r="D131" i="59"/>
  <c r="G131" i="59" s="1"/>
  <c r="D258" i="59"/>
  <c r="G258" i="59" s="1"/>
  <c r="D180" i="59"/>
  <c r="G180" i="59" s="1"/>
  <c r="D232" i="59"/>
  <c r="G232" i="59" s="1"/>
  <c r="D286" i="59"/>
  <c r="G286" i="59" s="1"/>
  <c r="D190" i="59"/>
  <c r="G190" i="59" s="1"/>
  <c r="D111" i="59"/>
  <c r="G111" i="59" s="1"/>
  <c r="D172" i="59"/>
  <c r="G172" i="59" s="1"/>
  <c r="D204" i="59"/>
  <c r="G204" i="59" s="1"/>
  <c r="D133" i="59"/>
  <c r="G133" i="59" s="1"/>
  <c r="D250" i="59"/>
  <c r="G250" i="59" s="1"/>
  <c r="D305" i="59"/>
  <c r="G305" i="59" s="1"/>
  <c r="D212" i="59"/>
  <c r="G212" i="59" s="1"/>
  <c r="D321" i="59"/>
  <c r="G321" i="59" s="1"/>
  <c r="D226" i="59"/>
  <c r="G226" i="59" s="1"/>
  <c r="D106" i="59"/>
  <c r="G106" i="59" s="1"/>
  <c r="D209" i="59"/>
  <c r="G209" i="59" s="1"/>
  <c r="D244" i="59"/>
  <c r="G244" i="59" s="1"/>
  <c r="D268" i="59"/>
  <c r="G268" i="59" s="1"/>
  <c r="D235" i="59"/>
  <c r="G235" i="59" s="1"/>
  <c r="D136" i="59"/>
  <c r="G136" i="59" s="1"/>
  <c r="D267" i="59"/>
  <c r="G267" i="59" s="1"/>
  <c r="D269" i="59"/>
  <c r="G269" i="59" s="1"/>
  <c r="D210" i="59"/>
  <c r="G210" i="59" s="1"/>
  <c r="D224" i="59"/>
  <c r="G224" i="59" s="1"/>
  <c r="D245" i="59"/>
  <c r="G245" i="59" s="1"/>
  <c r="D199" i="59"/>
  <c r="G199" i="59" s="1"/>
  <c r="D215" i="59"/>
  <c r="G215" i="59" s="1"/>
  <c r="D214" i="59"/>
  <c r="G214" i="59" s="1"/>
  <c r="D152" i="59"/>
  <c r="G152" i="59" s="1"/>
  <c r="D261" i="59"/>
  <c r="G261" i="59" s="1"/>
  <c r="D191" i="59"/>
  <c r="G191" i="59" s="1"/>
  <c r="D207" i="59"/>
  <c r="G207" i="59" s="1"/>
  <c r="D184" i="59"/>
  <c r="G184" i="59" s="1"/>
  <c r="D242" i="59"/>
  <c r="G242" i="59" s="1"/>
  <c r="D125" i="59"/>
  <c r="G125" i="59" s="1"/>
  <c r="D113" i="59"/>
  <c r="G113" i="59" s="1"/>
  <c r="D282" i="59"/>
  <c r="G282" i="59" s="1"/>
  <c r="D213" i="59"/>
  <c r="G213" i="59" s="1"/>
  <c r="D317" i="59"/>
  <c r="G317" i="59" s="1"/>
  <c r="D149" i="59"/>
  <c r="G149" i="59" s="1"/>
  <c r="D311" i="59"/>
  <c r="G311" i="59" s="1"/>
  <c r="D128" i="59"/>
  <c r="E128" i="59" s="1"/>
  <c r="G128" i="59" s="1"/>
  <c r="D141" i="59"/>
  <c r="D314" i="59"/>
  <c r="G314" i="59" s="1"/>
  <c r="D227" i="59"/>
  <c r="G227" i="59" s="1"/>
  <c r="D220" i="59"/>
  <c r="G220" i="59" s="1"/>
  <c r="D167" i="59"/>
  <c r="G167" i="59" s="1"/>
  <c r="D188" i="59"/>
  <c r="G188" i="59" s="1"/>
  <c r="D228" i="59"/>
  <c r="G228" i="59" s="1"/>
  <c r="D283" i="59"/>
  <c r="G283" i="59" s="1"/>
  <c r="D259" i="59"/>
  <c r="G259" i="59" s="1"/>
  <c r="D275" i="59"/>
  <c r="G275" i="59" s="1"/>
  <c r="D197" i="59"/>
  <c r="G197" i="59" s="1"/>
  <c r="D254" i="59"/>
  <c r="G254" i="59" s="1"/>
  <c r="D108" i="59"/>
  <c r="G108" i="59" s="1"/>
  <c r="D322" i="59"/>
  <c r="G322" i="59" s="1"/>
  <c r="D240" i="59"/>
  <c r="G240" i="59" s="1"/>
  <c r="D135" i="59"/>
  <c r="G135" i="59" s="1"/>
  <c r="D284" i="59"/>
  <c r="G284" i="59" s="1"/>
  <c r="D103" i="59"/>
  <c r="G103" i="59" s="1"/>
  <c r="D217" i="59"/>
  <c r="G217" i="59" s="1"/>
  <c r="D104" i="59"/>
  <c r="G104" i="59" s="1"/>
  <c r="D179" i="59"/>
  <c r="G179" i="59" s="1"/>
  <c r="D159" i="59"/>
  <c r="G159" i="59" s="1"/>
  <c r="D162" i="59"/>
  <c r="G162" i="59" s="1"/>
  <c r="D289" i="59"/>
  <c r="G289" i="59" s="1"/>
  <c r="D236" i="59"/>
  <c r="G236" i="59" s="1"/>
  <c r="D304" i="59"/>
  <c r="G304" i="59" s="1"/>
  <c r="D196" i="59"/>
  <c r="G196" i="59" s="1"/>
  <c r="D174" i="59"/>
  <c r="G174" i="59" s="1"/>
  <c r="D249" i="59"/>
  <c r="G249" i="59" s="1"/>
  <c r="D211" i="59"/>
  <c r="G211" i="59" s="1"/>
  <c r="D165" i="59"/>
  <c r="G165" i="59" s="1"/>
  <c r="D229" i="59"/>
  <c r="G229" i="59" s="1"/>
  <c r="D315" i="59"/>
  <c r="G315" i="59" s="1"/>
  <c r="D251" i="59"/>
  <c r="G251" i="59" s="1"/>
  <c r="D316" i="59"/>
  <c r="G316" i="59" s="1"/>
  <c r="D324" i="59"/>
  <c r="G324" i="59" s="1"/>
  <c r="D247" i="59"/>
  <c r="G247" i="59" s="1"/>
  <c r="D173" i="59"/>
  <c r="G173" i="59" s="1"/>
  <c r="D265" i="59"/>
  <c r="G265" i="59" s="1"/>
  <c r="D294" i="59"/>
  <c r="G294" i="59" s="1"/>
  <c r="D281" i="59"/>
  <c r="G281" i="59" s="1"/>
  <c r="D161" i="59"/>
  <c r="G161" i="59" s="1"/>
  <c r="D126" i="59"/>
  <c r="G126" i="59" s="1"/>
  <c r="D219" i="59"/>
  <c r="G219" i="59" s="1"/>
  <c r="D222" i="59"/>
  <c r="G222" i="59" s="1"/>
  <c r="D177" i="59"/>
  <c r="G177" i="59" s="1"/>
  <c r="D218" i="59"/>
  <c r="G218" i="59" s="1"/>
  <c r="D132" i="59"/>
  <c r="G132" i="59" s="1"/>
  <c r="D280" i="59"/>
  <c r="G280" i="59" s="1"/>
  <c r="D145" i="59"/>
  <c r="G145" i="59" s="1"/>
  <c r="D195" i="59"/>
  <c r="G195" i="59" s="1"/>
  <c r="D115" i="59"/>
  <c r="G115" i="59" s="1"/>
  <c r="D248" i="59"/>
  <c r="G248" i="59" s="1"/>
  <c r="D313" i="59"/>
  <c r="G313" i="59" s="1"/>
  <c r="D303" i="59"/>
  <c r="G303" i="59" s="1"/>
  <c r="D144" i="59"/>
  <c r="G144" i="59" s="1"/>
  <c r="D266" i="59"/>
  <c r="G266" i="59" s="1"/>
  <c r="D296" i="59"/>
  <c r="G296" i="59" s="1"/>
  <c r="D326" i="59"/>
  <c r="G326" i="59" s="1"/>
  <c r="D300" i="59"/>
  <c r="G300" i="59" s="1"/>
  <c r="D151" i="59"/>
  <c r="G151" i="59" s="1"/>
  <c r="D155" i="59"/>
  <c r="G155" i="59" s="1"/>
  <c r="D310" i="59"/>
  <c r="G310" i="59" s="1"/>
  <c r="D201" i="59"/>
  <c r="G201" i="59" s="1"/>
  <c r="D134" i="59"/>
  <c r="G134" i="59" s="1"/>
  <c r="D192" i="59"/>
  <c r="G192" i="59" s="1"/>
  <c r="D246" i="59"/>
  <c r="G246" i="59" s="1"/>
  <c r="D295" i="59"/>
  <c r="G295" i="59" s="1"/>
  <c r="D307" i="59"/>
  <c r="G307" i="59" s="1"/>
  <c r="D189" i="59"/>
  <c r="G189" i="59" s="1"/>
  <c r="D120" i="59"/>
  <c r="D139" i="59"/>
  <c r="D138" i="59"/>
  <c r="G138" i="59" s="1"/>
  <c r="E120" i="59"/>
  <c r="C241" i="46"/>
  <c r="D10" i="3"/>
  <c r="D268" i="46"/>
  <c r="C268" i="46"/>
  <c r="D14" i="46"/>
  <c r="D16" i="46" s="1"/>
  <c r="C14" i="46"/>
  <c r="C224" i="46"/>
  <c r="D224" i="46"/>
  <c r="C147" i="46"/>
  <c r="D13" i="3"/>
  <c r="D27" i="3" s="1"/>
  <c r="D147" i="46"/>
  <c r="F60" i="3"/>
  <c r="F62" i="3" s="1"/>
  <c r="E60" i="3"/>
  <c r="E62" i="3" s="1"/>
  <c r="D281" i="46"/>
  <c r="C281" i="46"/>
  <c r="D236" i="46"/>
  <c r="C236" i="46"/>
  <c r="D231" i="46"/>
  <c r="D233" i="46" s="1"/>
  <c r="C231" i="46"/>
  <c r="D208" i="46"/>
  <c r="A224" i="46" s="1"/>
  <c r="C208" i="46"/>
  <c r="A231" i="46" s="1"/>
  <c r="G198" i="46"/>
  <c r="D185" i="46"/>
  <c r="C185" i="46"/>
  <c r="D171" i="46"/>
  <c r="C171" i="46"/>
  <c r="D155" i="46"/>
  <c r="C155" i="46"/>
  <c r="D143" i="46"/>
  <c r="C143" i="46"/>
  <c r="G104" i="46"/>
  <c r="G101" i="46"/>
  <c r="G100" i="46"/>
  <c r="G108" i="46" s="1"/>
  <c r="G86" i="46"/>
  <c r="G84" i="46"/>
  <c r="G83" i="46"/>
  <c r="G79" i="46"/>
  <c r="G77" i="46"/>
  <c r="G76" i="46"/>
  <c r="E90" i="46"/>
  <c r="E85" i="46"/>
  <c r="E87" i="46" s="1"/>
  <c r="E78" i="46"/>
  <c r="E80" i="46" s="1"/>
  <c r="D90" i="46"/>
  <c r="D85" i="46"/>
  <c r="D87" i="46" s="1"/>
  <c r="D78" i="46"/>
  <c r="D80" i="46" s="1"/>
  <c r="C90" i="46"/>
  <c r="C85" i="46"/>
  <c r="C87" i="46" s="1"/>
  <c r="C78" i="46"/>
  <c r="C80" i="46" s="1"/>
  <c r="E64" i="46"/>
  <c r="D64" i="46"/>
  <c r="G60" i="46"/>
  <c r="G58" i="46"/>
  <c r="G57" i="46"/>
  <c r="G53" i="46"/>
  <c r="G51" i="46"/>
  <c r="G50" i="46"/>
  <c r="C64" i="46"/>
  <c r="E59" i="46"/>
  <c r="E61" i="46" s="1"/>
  <c r="D59" i="46"/>
  <c r="D61" i="46" s="1"/>
  <c r="C59" i="46"/>
  <c r="C61" i="46" s="1"/>
  <c r="E52" i="46"/>
  <c r="E54" i="46" s="1"/>
  <c r="D52" i="46"/>
  <c r="D54" i="46" s="1"/>
  <c r="C52" i="46"/>
  <c r="C54" i="46" s="1"/>
  <c r="A61" i="46"/>
  <c r="D36" i="46"/>
  <c r="C36" i="46"/>
  <c r="D26" i="46"/>
  <c r="C26" i="46"/>
  <c r="D18" i="46"/>
  <c r="C18" i="46"/>
  <c r="A1" i="46"/>
  <c r="N383" i="59"/>
  <c r="N378" i="59"/>
  <c r="N374" i="59"/>
  <c r="N373" i="59"/>
  <c r="N372" i="59"/>
  <c r="N371" i="59"/>
  <c r="N370" i="59"/>
  <c r="N369" i="59"/>
  <c r="N368" i="59"/>
  <c r="N367" i="59"/>
  <c r="N366" i="59"/>
  <c r="N365" i="59"/>
  <c r="N360" i="59"/>
  <c r="N359" i="59"/>
  <c r="N358" i="59"/>
  <c r="N354" i="59"/>
  <c r="N353" i="59"/>
  <c r="N352" i="59"/>
  <c r="N351" i="59"/>
  <c r="N350" i="59"/>
  <c r="N349" i="59"/>
  <c r="N348" i="59"/>
  <c r="N344" i="59"/>
  <c r="N343" i="59"/>
  <c r="N342" i="59"/>
  <c r="N341" i="59"/>
  <c r="N340" i="59"/>
  <c r="N339" i="59"/>
  <c r="N336" i="59"/>
  <c r="M332" i="59"/>
  <c r="M331" i="59"/>
  <c r="A1" i="59"/>
  <c r="B33" i="3"/>
  <c r="A6" i="3"/>
  <c r="A5" i="3"/>
  <c r="B35" i="3"/>
  <c r="E7" i="3"/>
  <c r="A1" i="3"/>
  <c r="D7" i="3"/>
  <c r="F7" i="3"/>
  <c r="E27" i="112" l="1"/>
  <c r="I100" i="200"/>
  <c r="I102" i="200" s="1"/>
  <c r="G102" i="200"/>
  <c r="AG3" i="202" s="1"/>
  <c r="E17" i="112"/>
  <c r="C18" i="112"/>
  <c r="C137" i="200"/>
  <c r="P206" i="150"/>
  <c r="L206" i="150" s="1"/>
  <c r="E22" i="112"/>
  <c r="C39" i="184"/>
  <c r="X185" i="150"/>
  <c r="X187" i="150" s="1"/>
  <c r="X248" i="150" s="1"/>
  <c r="Y185" i="150"/>
  <c r="Y187" i="150" s="1"/>
  <c r="L203" i="150" s="1"/>
  <c r="C115" i="157" s="1"/>
  <c r="Z185" i="150"/>
  <c r="Z187" i="150" s="1"/>
  <c r="Z216" i="150" s="1"/>
  <c r="U41" i="157"/>
  <c r="U42" i="157" s="1"/>
  <c r="P40" i="97"/>
  <c r="P52" i="97"/>
  <c r="P64" i="97"/>
  <c r="P76" i="97"/>
  <c r="P69" i="97"/>
  <c r="P70" i="97"/>
  <c r="P47" i="97"/>
  <c r="P37" i="97"/>
  <c r="P85" i="97"/>
  <c r="P50" i="97"/>
  <c r="P86" i="97"/>
  <c r="P39" i="97"/>
  <c r="P75" i="97"/>
  <c r="P41" i="97"/>
  <c r="P53" i="97"/>
  <c r="P65" i="97"/>
  <c r="P77" i="97"/>
  <c r="P57" i="97"/>
  <c r="P81" i="97"/>
  <c r="P59" i="97"/>
  <c r="P61" i="97"/>
  <c r="P30" i="97"/>
  <c r="P42" i="97"/>
  <c r="P54" i="97"/>
  <c r="P66" i="97"/>
  <c r="P78" i="97"/>
  <c r="P45" i="97"/>
  <c r="P74" i="97"/>
  <c r="P31" i="97"/>
  <c r="P43" i="97"/>
  <c r="P55" i="97"/>
  <c r="P67" i="97"/>
  <c r="P79" i="97"/>
  <c r="P32" i="97"/>
  <c r="P44" i="97"/>
  <c r="P56" i="97"/>
  <c r="P68" i="97"/>
  <c r="P80" i="97"/>
  <c r="P82" i="97"/>
  <c r="P71" i="97"/>
  <c r="P49" i="97"/>
  <c r="P33" i="97"/>
  <c r="P63" i="97"/>
  <c r="P34" i="97"/>
  <c r="P46" i="97"/>
  <c r="P58" i="97"/>
  <c r="P35" i="97"/>
  <c r="P83" i="97"/>
  <c r="P73" i="97"/>
  <c r="P38" i="97"/>
  <c r="P62" i="97"/>
  <c r="P36" i="97"/>
  <c r="P48" i="97"/>
  <c r="P60" i="97"/>
  <c r="P72" i="97"/>
  <c r="P84" i="97"/>
  <c r="P51" i="97"/>
  <c r="Q187" i="150"/>
  <c r="L207" i="150" s="1"/>
  <c r="C120" i="157" s="1"/>
  <c r="U177" i="107"/>
  <c r="U178" i="107" s="1"/>
  <c r="U232" i="107" s="1"/>
  <c r="AO331" i="59"/>
  <c r="R11" i="94"/>
  <c r="R23" i="94"/>
  <c r="R14" i="94"/>
  <c r="R9" i="94"/>
  <c r="R21" i="94"/>
  <c r="R13" i="94"/>
  <c r="R7" i="94"/>
  <c r="R30" i="94"/>
  <c r="R22" i="94"/>
  <c r="R28" i="94"/>
  <c r="R15" i="94"/>
  <c r="R25" i="94"/>
  <c r="R16" i="94"/>
  <c r="R18" i="94"/>
  <c r="R27" i="94"/>
  <c r="R24" i="94"/>
  <c r="R10" i="94"/>
  <c r="R26" i="94"/>
  <c r="R12" i="94"/>
  <c r="R19" i="94"/>
  <c r="R20" i="94"/>
  <c r="R29" i="94"/>
  <c r="R17" i="94"/>
  <c r="P11" i="97"/>
  <c r="P23" i="97"/>
  <c r="P24" i="97"/>
  <c r="P7" i="97"/>
  <c r="P16" i="97"/>
  <c r="P28" i="97"/>
  <c r="P6" i="97"/>
  <c r="P14" i="97"/>
  <c r="P18" i="97"/>
  <c r="P20" i="97"/>
  <c r="P15" i="97"/>
  <c r="P26" i="97"/>
  <c r="P22" i="97"/>
  <c r="P29" i="97"/>
  <c r="P10" i="97"/>
  <c r="P9" i="97"/>
  <c r="P17" i="97"/>
  <c r="P21" i="97"/>
  <c r="P12" i="97"/>
  <c r="P25" i="97"/>
  <c r="P27" i="97"/>
  <c r="P8" i="97"/>
  <c r="P19" i="97"/>
  <c r="P13" i="97"/>
  <c r="G41" i="59"/>
  <c r="D60" i="3"/>
  <c r="D62" i="3" s="1"/>
  <c r="M326" i="59"/>
  <c r="M212" i="59"/>
  <c r="M317" i="59"/>
  <c r="M88" i="59"/>
  <c r="M89" i="59"/>
  <c r="M122" i="59"/>
  <c r="M316" i="59"/>
  <c r="M119" i="59"/>
  <c r="M120" i="59"/>
  <c r="M121" i="59"/>
  <c r="M144" i="59"/>
  <c r="M146" i="59"/>
  <c r="M143" i="59"/>
  <c r="M172" i="59"/>
  <c r="M213" i="59"/>
  <c r="M75" i="59"/>
  <c r="M104" i="59"/>
  <c r="M252" i="59"/>
  <c r="M158" i="59"/>
  <c r="M233" i="59"/>
  <c r="M76" i="59"/>
  <c r="M270" i="59"/>
  <c r="M211" i="59"/>
  <c r="M202" i="59"/>
  <c r="M280" i="59"/>
  <c r="M237" i="59"/>
  <c r="M178" i="59"/>
  <c r="M277" i="59"/>
  <c r="M193" i="59"/>
  <c r="M296" i="59"/>
  <c r="M171" i="59"/>
  <c r="M249" i="59"/>
  <c r="M238" i="59"/>
  <c r="M312" i="59"/>
  <c r="M295" i="59"/>
  <c r="M261" i="59"/>
  <c r="M31" i="59"/>
  <c r="M281" i="59"/>
  <c r="M129" i="59"/>
  <c r="M168" i="59"/>
  <c r="M17" i="59"/>
  <c r="M54" i="59"/>
  <c r="M87" i="59"/>
  <c r="M320" i="59"/>
  <c r="M260" i="59"/>
  <c r="M182" i="59"/>
  <c r="M173" i="59"/>
  <c r="M264" i="59"/>
  <c r="M196" i="59"/>
  <c r="M285" i="59"/>
  <c r="M153" i="59"/>
  <c r="M96" i="59"/>
  <c r="M274" i="59"/>
  <c r="M313" i="59"/>
  <c r="M291" i="59"/>
  <c r="M82" i="59"/>
  <c r="M243" i="59"/>
  <c r="M286" i="59"/>
  <c r="M221" i="59"/>
  <c r="M84" i="59"/>
  <c r="M74" i="59"/>
  <c r="M263" i="59"/>
  <c r="M48" i="59"/>
  <c r="M177" i="59"/>
  <c r="M204" i="59"/>
  <c r="M309" i="59"/>
  <c r="M306" i="59"/>
  <c r="M218" i="59"/>
  <c r="M34" i="59"/>
  <c r="M12" i="59"/>
  <c r="M209" i="59"/>
  <c r="M163" i="59"/>
  <c r="M116" i="59"/>
  <c r="M259" i="59"/>
  <c r="M225" i="59"/>
  <c r="M141" i="59"/>
  <c r="M103" i="59"/>
  <c r="M292" i="59"/>
  <c r="M73" i="59"/>
  <c r="M230" i="59"/>
  <c r="M223" i="59"/>
  <c r="M201" i="59"/>
  <c r="M37" i="59"/>
  <c r="M159" i="59"/>
  <c r="M29" i="59"/>
  <c r="M52" i="59"/>
  <c r="M268" i="59"/>
  <c r="M49" i="59"/>
  <c r="M64" i="59"/>
  <c r="M22" i="59"/>
  <c r="M269" i="59"/>
  <c r="M205" i="59"/>
  <c r="M199" i="59"/>
  <c r="M128" i="59"/>
  <c r="M97" i="59"/>
  <c r="M11" i="59"/>
  <c r="M98" i="59"/>
  <c r="M38" i="59"/>
  <c r="M227" i="59"/>
  <c r="M41" i="59"/>
  <c r="M315" i="59"/>
  <c r="M184" i="59"/>
  <c r="M244" i="59"/>
  <c r="M307" i="59"/>
  <c r="M273" i="59"/>
  <c r="M189" i="59"/>
  <c r="M155" i="59"/>
  <c r="M127" i="59"/>
  <c r="M39" i="59"/>
  <c r="M278" i="59"/>
  <c r="M58" i="59"/>
  <c r="M24" i="59"/>
  <c r="M271" i="59"/>
  <c r="M170" i="59"/>
  <c r="M126" i="59"/>
  <c r="M251" i="59"/>
  <c r="M23" i="59"/>
  <c r="M102" i="59"/>
  <c r="M78" i="59"/>
  <c r="M137" i="59"/>
  <c r="M85" i="59"/>
  <c r="M99" i="59"/>
  <c r="M114" i="59"/>
  <c r="M190" i="59"/>
  <c r="M149" i="59"/>
  <c r="M310" i="59"/>
  <c r="M7" i="59"/>
  <c r="M150" i="59"/>
  <c r="M275" i="59"/>
  <c r="M314" i="59"/>
  <c r="M68" i="59"/>
  <c r="M324" i="59"/>
  <c r="M239" i="59"/>
  <c r="M169" i="59"/>
  <c r="M282" i="59"/>
  <c r="M175" i="59"/>
  <c r="M9" i="59"/>
  <c r="M167" i="59"/>
  <c r="M133" i="59"/>
  <c r="M174" i="59"/>
  <c r="M299" i="59"/>
  <c r="M83" i="59"/>
  <c r="M166" i="59"/>
  <c r="M56" i="59"/>
  <c r="M235" i="59"/>
  <c r="M151" i="59"/>
  <c r="M197" i="59"/>
  <c r="M208" i="59"/>
  <c r="M198" i="59"/>
  <c r="M140" i="59"/>
  <c r="M6" i="59"/>
  <c r="M55" i="59"/>
  <c r="M156" i="59"/>
  <c r="M67" i="59"/>
  <c r="M256" i="59"/>
  <c r="M266" i="59"/>
  <c r="M110" i="59"/>
  <c r="M79" i="59"/>
  <c r="M311" i="59"/>
  <c r="M136" i="59"/>
  <c r="M123" i="59"/>
  <c r="M224" i="59"/>
  <c r="M30" i="59"/>
  <c r="M217" i="59"/>
  <c r="M181" i="59"/>
  <c r="M242" i="59"/>
  <c r="M194" i="59"/>
  <c r="M192" i="59"/>
  <c r="M118" i="59"/>
  <c r="M63" i="59"/>
  <c r="M228" i="59"/>
  <c r="M247" i="59"/>
  <c r="M220" i="59"/>
  <c r="M188" i="59"/>
  <c r="M46" i="59"/>
  <c r="M255" i="59"/>
  <c r="M248" i="59"/>
  <c r="M240" i="59"/>
  <c r="M53" i="59"/>
  <c r="M134" i="59"/>
  <c r="M303" i="59"/>
  <c r="M301" i="59"/>
  <c r="M95" i="59"/>
  <c r="M322" i="59"/>
  <c r="M42" i="59"/>
  <c r="M5" i="59"/>
  <c r="M284" i="59"/>
  <c r="M226" i="59"/>
  <c r="M300" i="59"/>
  <c r="M265" i="59"/>
  <c r="M57" i="59"/>
  <c r="M283" i="59"/>
  <c r="M288" i="59"/>
  <c r="M290" i="59"/>
  <c r="M101" i="59"/>
  <c r="M304" i="59"/>
  <c r="M297" i="59"/>
  <c r="M160" i="59"/>
  <c r="M308" i="59"/>
  <c r="M250" i="59"/>
  <c r="M19" i="59"/>
  <c r="M241" i="59"/>
  <c r="M246" i="59"/>
  <c r="M148" i="59"/>
  <c r="M86" i="59"/>
  <c r="M210" i="59"/>
  <c r="M318" i="59"/>
  <c r="M147" i="59"/>
  <c r="M60" i="59"/>
  <c r="M157" i="59"/>
  <c r="M162" i="59"/>
  <c r="M100" i="59"/>
  <c r="M15" i="59"/>
  <c r="M107" i="59"/>
  <c r="M26" i="59"/>
  <c r="M21" i="59"/>
  <c r="M108" i="59"/>
  <c r="M8" i="59"/>
  <c r="M36" i="59"/>
  <c r="M165" i="59"/>
  <c r="M222" i="59"/>
  <c r="M27" i="59"/>
  <c r="M254" i="59"/>
  <c r="M229" i="59"/>
  <c r="M234" i="59"/>
  <c r="M294" i="59"/>
  <c r="M289" i="59"/>
  <c r="M298" i="59"/>
  <c r="M219" i="59"/>
  <c r="M33" i="59"/>
  <c r="M117" i="59"/>
  <c r="M70" i="59"/>
  <c r="M47" i="59"/>
  <c r="M272" i="59"/>
  <c r="M94" i="59"/>
  <c r="M195" i="59"/>
  <c r="M50" i="59"/>
  <c r="M287" i="59"/>
  <c r="M231" i="59"/>
  <c r="M152" i="59"/>
  <c r="M276" i="59"/>
  <c r="M232" i="59"/>
  <c r="M72" i="59"/>
  <c r="M65" i="59"/>
  <c r="M43" i="59"/>
  <c r="M13" i="59"/>
  <c r="M105" i="59"/>
  <c r="M16" i="59"/>
  <c r="M77" i="59"/>
  <c r="M215" i="59"/>
  <c r="M142" i="59"/>
  <c r="M28" i="59"/>
  <c r="M302" i="59"/>
  <c r="M258" i="59"/>
  <c r="M81" i="59"/>
  <c r="M61" i="59"/>
  <c r="M20" i="59"/>
  <c r="M267" i="59"/>
  <c r="M203" i="59"/>
  <c r="M323" i="59"/>
  <c r="M262" i="59"/>
  <c r="M90" i="59"/>
  <c r="M245" i="59"/>
  <c r="M18" i="59"/>
  <c r="M279" i="59"/>
  <c r="M45" i="59"/>
  <c r="M40" i="59"/>
  <c r="M125" i="59"/>
  <c r="M214" i="59"/>
  <c r="M44" i="59"/>
  <c r="M207" i="59"/>
  <c r="M115" i="59"/>
  <c r="M93" i="59"/>
  <c r="M62" i="59"/>
  <c r="M138" i="59"/>
  <c r="M131" i="59"/>
  <c r="M113" i="59"/>
  <c r="M91" i="59"/>
  <c r="M111" i="59"/>
  <c r="M130" i="59"/>
  <c r="M135" i="59"/>
  <c r="M161" i="59"/>
  <c r="M14" i="59"/>
  <c r="M253" i="59"/>
  <c r="M59" i="59"/>
  <c r="M325" i="59"/>
  <c r="M154" i="59"/>
  <c r="M293" i="59"/>
  <c r="M32" i="59"/>
  <c r="M10" i="59"/>
  <c r="M132" i="59"/>
  <c r="M106" i="59"/>
  <c r="M139" i="59"/>
  <c r="M124" i="59"/>
  <c r="M257" i="59"/>
  <c r="M112" i="59"/>
  <c r="M319" i="59"/>
  <c r="M92" i="59"/>
  <c r="M206" i="59"/>
  <c r="M35" i="59"/>
  <c r="M186" i="59"/>
  <c r="M179" i="59"/>
  <c r="M69" i="59"/>
  <c r="M25" i="59"/>
  <c r="M80" i="59"/>
  <c r="M180" i="59"/>
  <c r="M236" i="59"/>
  <c r="M191" i="59"/>
  <c r="M176" i="59"/>
  <c r="M183" i="59"/>
  <c r="M200" i="59"/>
  <c r="M187" i="59"/>
  <c r="M66" i="59"/>
  <c r="M51" i="59"/>
  <c r="M216" i="59"/>
  <c r="M109" i="59"/>
  <c r="M71" i="59"/>
  <c r="M185" i="59"/>
  <c r="M321" i="59"/>
  <c r="M305" i="59"/>
  <c r="M145" i="59"/>
  <c r="M164" i="59"/>
  <c r="J47" i="3"/>
  <c r="E141" i="59"/>
  <c r="G141" i="59" s="1"/>
  <c r="D328" i="59"/>
  <c r="E139" i="59"/>
  <c r="G139" i="59" s="1"/>
  <c r="E123" i="59"/>
  <c r="G123" i="59" s="1"/>
  <c r="E121" i="59"/>
  <c r="G121" i="59" s="1"/>
  <c r="D91" i="46"/>
  <c r="E122" i="59"/>
  <c r="G122" i="59" s="1"/>
  <c r="E124" i="59"/>
  <c r="G124" i="59" s="1"/>
  <c r="G120" i="59"/>
  <c r="E92" i="46"/>
  <c r="G64" i="46"/>
  <c r="G68" i="46" s="1"/>
  <c r="C92" i="46"/>
  <c r="G90" i="46"/>
  <c r="E65" i="46"/>
  <c r="E66" i="46"/>
  <c r="G52" i="46"/>
  <c r="G54" i="46" s="1"/>
  <c r="C65" i="46"/>
  <c r="D92" i="46"/>
  <c r="G78" i="46"/>
  <c r="D65" i="46"/>
  <c r="E91" i="46"/>
  <c r="C66" i="46"/>
  <c r="D66" i="46"/>
  <c r="C91" i="46"/>
  <c r="G103" i="46"/>
  <c r="G109" i="46" s="1"/>
  <c r="G85" i="46"/>
  <c r="G87" i="46" s="1"/>
  <c r="G59" i="46"/>
  <c r="G61" i="46" s="1"/>
  <c r="N362" i="59"/>
  <c r="B58" i="3"/>
  <c r="B14" i="3"/>
  <c r="B24" i="3"/>
  <c r="B23" i="3"/>
  <c r="B18" i="3"/>
  <c r="B15" i="3"/>
  <c r="B13" i="3"/>
  <c r="B19" i="3"/>
  <c r="B17" i="3"/>
  <c r="A59" i="46"/>
  <c r="C43" i="3"/>
  <c r="B54" i="3"/>
  <c r="B28" i="3"/>
  <c r="B48" i="3"/>
  <c r="C28" i="3"/>
  <c r="C40" i="3"/>
  <c r="C18" i="3"/>
  <c r="C17" i="3"/>
  <c r="C54" i="3"/>
  <c r="C53" i="3"/>
  <c r="C34" i="3"/>
  <c r="C13" i="3"/>
  <c r="C48" i="3"/>
  <c r="C19" i="3"/>
  <c r="C16" i="3"/>
  <c r="C20" i="3"/>
  <c r="B29" i="3"/>
  <c r="B43" i="3"/>
  <c r="C35" i="3"/>
  <c r="G35" i="3" s="1"/>
  <c r="C46" i="3"/>
  <c r="C42" i="3"/>
  <c r="B53" i="3"/>
  <c r="B26" i="3"/>
  <c r="C33" i="3"/>
  <c r="G33" i="3" s="1"/>
  <c r="B46" i="3"/>
  <c r="C44" i="3"/>
  <c r="B42" i="3"/>
  <c r="B16" i="3"/>
  <c r="C23" i="3"/>
  <c r="C29" i="3"/>
  <c r="C45" i="3"/>
  <c r="B20" i="3"/>
  <c r="G20" i="3" s="1"/>
  <c r="B41" i="3"/>
  <c r="B49" i="3"/>
  <c r="C58" i="3"/>
  <c r="C49" i="3"/>
  <c r="C41" i="3"/>
  <c r="B55" i="3"/>
  <c r="B45" i="3"/>
  <c r="C55" i="3"/>
  <c r="B40" i="3"/>
  <c r="B44" i="3"/>
  <c r="C14" i="3"/>
  <c r="N355" i="59"/>
  <c r="N375" i="59"/>
  <c r="C15" i="3"/>
  <c r="AI3" i="202" l="1"/>
  <c r="C118" i="157"/>
  <c r="C19" i="112" s="1"/>
  <c r="C138" i="200"/>
  <c r="L216" i="150"/>
  <c r="C16" i="112"/>
  <c r="L233" i="150"/>
  <c r="C131" i="157" s="1"/>
  <c r="U43" i="157"/>
  <c r="AB185" i="150"/>
  <c r="AB187" i="150" s="1"/>
  <c r="AB248" i="150" s="1"/>
  <c r="AA185" i="150"/>
  <c r="AA187" i="150" s="1"/>
  <c r="AA248" i="150" s="1"/>
  <c r="Y248" i="150"/>
  <c r="R187" i="150"/>
  <c r="C144" i="157" s="1"/>
  <c r="Q248" i="150"/>
  <c r="P248" i="150"/>
  <c r="AP331" i="59"/>
  <c r="AM331" i="59"/>
  <c r="AN331" i="59"/>
  <c r="E45" i="93"/>
  <c r="F27" i="109"/>
  <c r="F28" i="109" s="1"/>
  <c r="E142" i="59"/>
  <c r="G142" i="59" s="1"/>
  <c r="G106" i="46"/>
  <c r="G110" i="46" s="1"/>
  <c r="G91" i="46"/>
  <c r="G80" i="46"/>
  <c r="G92" i="46" s="1"/>
  <c r="G66" i="46"/>
  <c r="G65" i="46"/>
  <c r="G69" i="46" s="1"/>
  <c r="N382" i="59"/>
  <c r="G40" i="3"/>
  <c r="G15" i="3"/>
  <c r="G19" i="3"/>
  <c r="G58" i="3"/>
  <c r="G18" i="3"/>
  <c r="C38" i="46"/>
  <c r="C274" i="46"/>
  <c r="C27" i="3"/>
  <c r="G17" i="3"/>
  <c r="G28" i="3"/>
  <c r="I28" i="3" s="1"/>
  <c r="G54" i="3"/>
  <c r="C270" i="46"/>
  <c r="G13" i="3"/>
  <c r="AO333" i="59"/>
  <c r="AO385" i="59" s="1"/>
  <c r="G14" i="3"/>
  <c r="G48" i="3"/>
  <c r="C8" i="61"/>
  <c r="G43" i="3"/>
  <c r="C26" i="3"/>
  <c r="G26" i="3" s="1"/>
  <c r="C272" i="46"/>
  <c r="C271" i="46"/>
  <c r="C30" i="46"/>
  <c r="G44" i="3"/>
  <c r="C187" i="46"/>
  <c r="G49" i="3"/>
  <c r="G16" i="3"/>
  <c r="G46" i="3"/>
  <c r="G29" i="3"/>
  <c r="G23" i="3"/>
  <c r="G45" i="3"/>
  <c r="G42" i="3"/>
  <c r="G53" i="3"/>
  <c r="G55" i="3"/>
  <c r="C10" i="3"/>
  <c r="G41" i="3"/>
  <c r="B27" i="3"/>
  <c r="B5" i="3"/>
  <c r="D187" i="46"/>
  <c r="C39" i="46"/>
  <c r="C186" i="46"/>
  <c r="C27" i="46"/>
  <c r="E8" i="61"/>
  <c r="B6" i="3"/>
  <c r="C59" i="3"/>
  <c r="C5" i="3"/>
  <c r="C6" i="3"/>
  <c r="C37" i="46"/>
  <c r="C25" i="3"/>
  <c r="AC185" i="150" l="1"/>
  <c r="AC187" i="150" s="1"/>
  <c r="AC248" i="150" s="1"/>
  <c r="BG190" i="198"/>
  <c r="BG192" i="198" s="1"/>
  <c r="BG253" i="198" s="1"/>
  <c r="BC190" i="198"/>
  <c r="BC192" i="198" s="1"/>
  <c r="BC253" i="198" s="1"/>
  <c r="BD190" i="198"/>
  <c r="BD192" i="198" s="1"/>
  <c r="BF190" i="198"/>
  <c r="BF192" i="198" s="1"/>
  <c r="BF253" i="198" s="1"/>
  <c r="BE190" i="198"/>
  <c r="BE192" i="198" s="1"/>
  <c r="BE253" i="198" s="1"/>
  <c r="BB190" i="198"/>
  <c r="C121" i="157"/>
  <c r="C21" i="112" s="1"/>
  <c r="C141" i="200"/>
  <c r="L190" i="150"/>
  <c r="Z248" i="150"/>
  <c r="C30" i="112"/>
  <c r="C31" i="112" s="1"/>
  <c r="C133" i="157"/>
  <c r="F32" i="109"/>
  <c r="F31" i="109"/>
  <c r="L239" i="150"/>
  <c r="O248" i="150"/>
  <c r="AI4" i="59"/>
  <c r="AI331" i="59" s="1"/>
  <c r="Y4" i="59"/>
  <c r="Y331" i="59" s="1"/>
  <c r="V4" i="59"/>
  <c r="V331" i="59" s="1"/>
  <c r="AH4" i="59"/>
  <c r="AH331" i="59" s="1"/>
  <c r="Z4" i="59"/>
  <c r="Z331" i="59" s="1"/>
  <c r="AF4" i="59"/>
  <c r="AF331" i="59" s="1"/>
  <c r="AB4" i="59"/>
  <c r="AB331" i="59" s="1"/>
  <c r="AJ4" i="59"/>
  <c r="AJ331" i="59" s="1"/>
  <c r="Q4" i="59"/>
  <c r="Q331" i="59" s="1"/>
  <c r="R4" i="59"/>
  <c r="R331" i="59" s="1"/>
  <c r="AL4" i="59"/>
  <c r="AL331" i="59" s="1"/>
  <c r="U4" i="59"/>
  <c r="U331" i="59" s="1"/>
  <c r="AK4" i="59"/>
  <c r="AK331" i="59" s="1"/>
  <c r="AA4" i="59"/>
  <c r="AA331" i="59" s="1"/>
  <c r="O4" i="59"/>
  <c r="O331" i="59" s="1"/>
  <c r="AC4" i="59"/>
  <c r="AC331" i="59" s="1"/>
  <c r="N4" i="59"/>
  <c r="N331" i="59" s="1"/>
  <c r="N384" i="59" s="1"/>
  <c r="N385" i="59" s="1"/>
  <c r="AG4" i="59"/>
  <c r="AG331" i="59" s="1"/>
  <c r="S4" i="59"/>
  <c r="S331" i="59" s="1"/>
  <c r="P4" i="59"/>
  <c r="P331" i="59" s="1"/>
  <c r="W4" i="59"/>
  <c r="W331" i="59" s="1"/>
  <c r="AE4" i="59"/>
  <c r="AE331" i="59" s="1"/>
  <c r="AD4" i="59"/>
  <c r="AD331" i="59" s="1"/>
  <c r="X4" i="59"/>
  <c r="X331" i="59" s="1"/>
  <c r="T4" i="59"/>
  <c r="T331" i="59" s="1"/>
  <c r="J4" i="111"/>
  <c r="J7" i="111" s="1"/>
  <c r="J8" i="111"/>
  <c r="H45" i="93"/>
  <c r="J27" i="3"/>
  <c r="G330" i="59"/>
  <c r="G328" i="59"/>
  <c r="E328" i="59"/>
  <c r="C29" i="46"/>
  <c r="AM333" i="59"/>
  <c r="AM385" i="59" s="1"/>
  <c r="D241" i="46"/>
  <c r="B59" i="3"/>
  <c r="G59" i="3" s="1"/>
  <c r="G27" i="3"/>
  <c r="B25" i="3"/>
  <c r="G25" i="3" s="1"/>
  <c r="C28" i="46"/>
  <c r="C273" i="46"/>
  <c r="C275" i="46" s="1"/>
  <c r="C40" i="46"/>
  <c r="C42" i="46" s="1"/>
  <c r="B7" i="3"/>
  <c r="G5" i="3"/>
  <c r="C188" i="46"/>
  <c r="B34" i="3"/>
  <c r="C176" i="46"/>
  <c r="G6" i="3"/>
  <c r="C7" i="3"/>
  <c r="AE185" i="150" l="1"/>
  <c r="BD221" i="198"/>
  <c r="AP221" i="198" s="1"/>
  <c r="AP223" i="198" s="1"/>
  <c r="AP250" i="198" s="1"/>
  <c r="AP253" i="198" s="1"/>
  <c r="AP255" i="198" s="1"/>
  <c r="BB192" i="198"/>
  <c r="BB253" i="198" s="1"/>
  <c r="BI190" i="198"/>
  <c r="J11" i="111"/>
  <c r="J9" i="111"/>
  <c r="C40" i="184"/>
  <c r="L243" i="150"/>
  <c r="L242" i="150"/>
  <c r="R248" i="150"/>
  <c r="S187" i="150"/>
  <c r="Y332" i="59"/>
  <c r="Y333" i="59" s="1"/>
  <c r="Y385" i="59" s="1"/>
  <c r="AA332" i="59"/>
  <c r="AA333" i="59" s="1"/>
  <c r="AA385" i="59" s="1"/>
  <c r="Q332" i="59"/>
  <c r="Q333" i="59" s="1"/>
  <c r="Q385" i="59" s="1"/>
  <c r="AI332" i="59"/>
  <c r="AI333" i="59" s="1"/>
  <c r="AI385" i="59" s="1"/>
  <c r="V332" i="59"/>
  <c r="V333" i="59" s="1"/>
  <c r="V385" i="59" s="1"/>
  <c r="AB332" i="59"/>
  <c r="AB333" i="59" s="1"/>
  <c r="AB385" i="59" s="1"/>
  <c r="AH332" i="59"/>
  <c r="AH333" i="59" s="1"/>
  <c r="AH385" i="59" s="1"/>
  <c r="AK332" i="59"/>
  <c r="AK333" i="59" s="1"/>
  <c r="AK385" i="59" s="1"/>
  <c r="R332" i="59"/>
  <c r="R333" i="59" s="1"/>
  <c r="R385" i="59" s="1"/>
  <c r="AL332" i="59"/>
  <c r="AL333" i="59" s="1"/>
  <c r="AL385" i="59" s="1"/>
  <c r="AF332" i="59"/>
  <c r="AF333" i="59" s="1"/>
  <c r="AF385" i="59" s="1"/>
  <c r="AJ332" i="59"/>
  <c r="AJ333" i="59" s="1"/>
  <c r="AJ385" i="59" s="1"/>
  <c r="AG332" i="59"/>
  <c r="AG333" i="59" s="1"/>
  <c r="AG385" i="59" s="1"/>
  <c r="AR331" i="59"/>
  <c r="AD332" i="59"/>
  <c r="AD333" i="59" s="1"/>
  <c r="AD385" i="59" s="1"/>
  <c r="AE332" i="59"/>
  <c r="AE333" i="59" s="1"/>
  <c r="AE385" i="59" s="1"/>
  <c r="P332" i="59"/>
  <c r="P333" i="59" s="1"/>
  <c r="P385" i="59" s="1"/>
  <c r="O332" i="59"/>
  <c r="O333" i="59" s="1"/>
  <c r="O385" i="59" s="1"/>
  <c r="S332" i="59"/>
  <c r="S333" i="59" s="1"/>
  <c r="S385" i="59" s="1"/>
  <c r="N332" i="59"/>
  <c r="N333" i="59" s="1"/>
  <c r="AC332" i="59"/>
  <c r="AC333" i="59" s="1"/>
  <c r="AC385" i="59" s="1"/>
  <c r="T332" i="59"/>
  <c r="T333" i="59" s="1"/>
  <c r="T385" i="59" s="1"/>
  <c r="X332" i="59"/>
  <c r="X333" i="59" s="1"/>
  <c r="X385" i="59" s="1"/>
  <c r="U5" i="130"/>
  <c r="C45" i="46"/>
  <c r="G70" i="46"/>
  <c r="C44" i="46"/>
  <c r="E165" i="46"/>
  <c r="E167" i="46" s="1"/>
  <c r="C16" i="46"/>
  <c r="C31" i="46"/>
  <c r="C33" i="46" s="1"/>
  <c r="C214" i="46"/>
  <c r="C216" i="46" s="1"/>
  <c r="G164" i="46"/>
  <c r="D186" i="46"/>
  <c r="D188" i="46" s="1"/>
  <c r="D214" i="46"/>
  <c r="D44" i="46"/>
  <c r="B10" i="3"/>
  <c r="G10" i="3" s="1"/>
  <c r="E5" i="61"/>
  <c r="C277" i="46"/>
  <c r="C243" i="46"/>
  <c r="G7" i="3"/>
  <c r="B47" i="3"/>
  <c r="G34" i="3"/>
  <c r="C24" i="3"/>
  <c r="C178" i="46"/>
  <c r="W332" i="59"/>
  <c r="BD253" i="198" l="1"/>
  <c r="L221" i="150"/>
  <c r="L209" i="150"/>
  <c r="W4" i="130"/>
  <c r="N387" i="59"/>
  <c r="D165" i="46"/>
  <c r="D167" i="46" s="1"/>
  <c r="C47" i="3"/>
  <c r="G47" i="3" s="1"/>
  <c r="L47" i="3" s="1"/>
  <c r="D176" i="46"/>
  <c r="D178" i="46" s="1"/>
  <c r="D243" i="46"/>
  <c r="G94" i="46"/>
  <c r="D21" i="46"/>
  <c r="E4" i="61"/>
  <c r="D216" i="46"/>
  <c r="B60" i="3"/>
  <c r="B62" i="3" s="1"/>
  <c r="G37" i="3"/>
  <c r="G24" i="3"/>
  <c r="C60" i="3"/>
  <c r="C62" i="3" s="1"/>
  <c r="G95" i="46"/>
  <c r="W333" i="59"/>
  <c r="W385" i="59" s="1"/>
  <c r="C125" i="157" l="1"/>
  <c r="C128" i="157" s="1"/>
  <c r="L224" i="150"/>
  <c r="S248" i="150"/>
  <c r="J10" i="3"/>
  <c r="K10" i="3" s="1"/>
  <c r="C21" i="46"/>
  <c r="C23" i="46" s="1"/>
  <c r="D23" i="46"/>
  <c r="G50" i="3"/>
  <c r="Z332" i="59"/>
  <c r="Z333" i="59" s="1"/>
  <c r="Z385" i="59" s="1"/>
  <c r="G30" i="3"/>
  <c r="C25" i="112" l="1"/>
  <c r="C41" i="184"/>
  <c r="D270" i="46"/>
  <c r="D271" i="46"/>
  <c r="D30" i="46"/>
  <c r="D29" i="46"/>
  <c r="G57" i="3"/>
  <c r="G60" i="3" s="1"/>
  <c r="G62" i="3" s="1"/>
  <c r="C165" i="46"/>
  <c r="C167" i="46" s="1"/>
  <c r="C27" i="112" l="1"/>
  <c r="U4" i="130"/>
  <c r="E135" i="157"/>
  <c r="W6" i="130" s="1"/>
  <c r="W5" i="130"/>
  <c r="D38" i="46"/>
  <c r="D273" i="46"/>
  <c r="D27" i="46"/>
  <c r="D37" i="46"/>
  <c r="D39" i="46"/>
  <c r="D272" i="46"/>
  <c r="D28" i="46"/>
  <c r="E33" i="112"/>
  <c r="E35" i="112" s="1"/>
  <c r="E37" i="112" s="1"/>
  <c r="AN333" i="59"/>
  <c r="AN385" i="59" s="1"/>
  <c r="C198" i="46"/>
  <c r="BP7" i="184" l="1"/>
  <c r="E138" i="157"/>
  <c r="D275" i="46"/>
  <c r="D277" i="46" s="1"/>
  <c r="D40" i="46"/>
  <c r="D42" i="46" s="1"/>
  <c r="D45" i="46" s="1"/>
  <c r="D31" i="46"/>
  <c r="D33" i="46" s="1"/>
  <c r="H46" i="93"/>
  <c r="D198" i="46"/>
  <c r="E198" i="46"/>
  <c r="E140" i="157" l="1"/>
  <c r="C42" i="184"/>
  <c r="D42" i="184" s="1"/>
  <c r="C5" i="61"/>
  <c r="C4" i="61" l="1"/>
  <c r="U332" i="59" l="1"/>
  <c r="U333" i="59" s="1"/>
  <c r="U385" i="59" s="1"/>
  <c r="AP333" i="59"/>
  <c r="AP385" i="59" s="1"/>
  <c r="C43" i="184" l="1"/>
  <c r="AR332" i="59"/>
  <c r="D46" i="93"/>
  <c r="E46" i="93" l="1"/>
  <c r="C3" i="61" l="1"/>
  <c r="C6" i="61"/>
  <c r="E6" i="61"/>
  <c r="E7" i="61"/>
  <c r="C44" i="184" l="1"/>
  <c r="E9" i="61"/>
  <c r="C9" i="61"/>
  <c r="C7" i="61"/>
  <c r="D42" i="93"/>
  <c r="E3" i="61" l="1"/>
  <c r="C45" i="184" l="1"/>
  <c r="M96" i="94"/>
  <c r="B43" i="179"/>
  <c r="C46" i="184" l="1"/>
  <c r="D46" i="184" s="1"/>
  <c r="F5" i="107"/>
  <c r="L177" i="107" l="1"/>
  <c r="L178" i="107" l="1"/>
  <c r="F90" i="107"/>
  <c r="C173" i="107"/>
  <c r="T177" i="107" l="1"/>
  <c r="F173" i="107"/>
  <c r="T178" i="107" l="1"/>
  <c r="W177" i="107"/>
  <c r="T181" i="107" l="1"/>
  <c r="L181" i="107" s="1"/>
  <c r="L200" i="107" s="1"/>
  <c r="L229" i="107" s="1"/>
  <c r="L232" i="107" s="1"/>
  <c r="L234" i="107" l="1"/>
  <c r="T232" i="107"/>
  <c r="N39" i="114"/>
  <c r="P39" i="114"/>
  <c r="P42" i="114" s="1"/>
  <c r="U36" i="130"/>
  <c r="E249" i="46"/>
  <c r="J249" i="46" s="1"/>
  <c r="K249" i="46" s="1"/>
  <c r="E248" i="46"/>
  <c r="C3" i="114" s="1"/>
  <c r="E262" i="46"/>
  <c r="E259" i="46"/>
  <c r="E257" i="46"/>
  <c r="E258" i="46"/>
  <c r="E260" i="46"/>
  <c r="E256" i="46"/>
  <c r="AD12" i="114" s="1"/>
  <c r="E251" i="46"/>
  <c r="AD7" i="114" s="1"/>
  <c r="E254" i="46"/>
  <c r="AD10" i="114" s="1"/>
  <c r="E255" i="46"/>
  <c r="E261" i="46"/>
  <c r="E253" i="46"/>
  <c r="E252" i="46"/>
  <c r="E250" i="46"/>
  <c r="J250" i="46" s="1"/>
  <c r="K250" i="46" s="1"/>
  <c r="J261" i="46" l="1"/>
  <c r="K261" i="46" s="1"/>
  <c r="AD17" i="114"/>
  <c r="J260" i="46"/>
  <c r="K260" i="46" s="1"/>
  <c r="AD16" i="114"/>
  <c r="C13" i="114"/>
  <c r="AD14" i="114"/>
  <c r="N53" i="130"/>
  <c r="Q53" i="130" s="1"/>
  <c r="R53" i="130" s="1"/>
  <c r="AD9" i="114"/>
  <c r="J257" i="46"/>
  <c r="K257" i="46" s="1"/>
  <c r="AD13" i="114"/>
  <c r="N52" i="130"/>
  <c r="U27" i="130" s="1"/>
  <c r="AD8" i="114"/>
  <c r="C10" i="114"/>
  <c r="AD11" i="114"/>
  <c r="N59" i="130"/>
  <c r="Q59" i="130" s="1"/>
  <c r="R59" i="130" s="1"/>
  <c r="AD15" i="114"/>
  <c r="J262" i="46"/>
  <c r="K262" i="46" s="1"/>
  <c r="AD18" i="114"/>
  <c r="C5" i="114"/>
  <c r="AD6" i="114"/>
  <c r="C15" i="114"/>
  <c r="J255" i="46"/>
  <c r="K255" i="46" s="1"/>
  <c r="J258" i="46"/>
  <c r="K258" i="46" s="1"/>
  <c r="T248" i="150"/>
  <c r="C8" i="114"/>
  <c r="C12" i="114"/>
  <c r="J253" i="46"/>
  <c r="K253" i="46" s="1"/>
  <c r="N48" i="130"/>
  <c r="C16" i="114"/>
  <c r="N55" i="130"/>
  <c r="U30" i="130" s="1"/>
  <c r="AD5" i="114"/>
  <c r="AD4" i="114"/>
  <c r="L199" i="150"/>
  <c r="C128" i="200" s="1"/>
  <c r="C6" i="114"/>
  <c r="N54" i="130"/>
  <c r="J251" i="46"/>
  <c r="K251" i="46" s="1"/>
  <c r="N60" i="130"/>
  <c r="N57" i="130"/>
  <c r="N49" i="130"/>
  <c r="J259" i="46"/>
  <c r="K259" i="46" s="1"/>
  <c r="J248" i="46"/>
  <c r="K248" i="46" s="1"/>
  <c r="C9" i="114"/>
  <c r="E263" i="46"/>
  <c r="J252" i="46"/>
  <c r="K252" i="46" s="1"/>
  <c r="N50" i="130"/>
  <c r="J256" i="46"/>
  <c r="K256" i="46" s="1"/>
  <c r="C14" i="114"/>
  <c r="C4" i="114"/>
  <c r="C7" i="114"/>
  <c r="J254" i="46"/>
  <c r="K254" i="46" s="1"/>
  <c r="C11" i="114"/>
  <c r="N61" i="130"/>
  <c r="Q61" i="130" s="1"/>
  <c r="R61" i="130" s="1"/>
  <c r="N58" i="130"/>
  <c r="N56" i="130"/>
  <c r="U28" i="130" l="1"/>
  <c r="U34" i="130"/>
  <c r="Q52" i="130"/>
  <c r="R52" i="130" s="1"/>
  <c r="Q55" i="130"/>
  <c r="R55" i="130" s="1"/>
  <c r="AD19" i="114"/>
  <c r="AD21" i="114" s="1"/>
  <c r="C17" i="114"/>
  <c r="C19" i="114" s="1"/>
  <c r="U24" i="130"/>
  <c r="Q48" i="130"/>
  <c r="R48" i="130" s="1"/>
  <c r="C108" i="157"/>
  <c r="L218" i="150"/>
  <c r="L245" i="150" s="1"/>
  <c r="L248" i="150" s="1"/>
  <c r="L250" i="150" s="1"/>
  <c r="E265" i="46"/>
  <c r="Q49" i="130"/>
  <c r="R49" i="130" s="1"/>
  <c r="U25" i="130"/>
  <c r="Q60" i="130"/>
  <c r="R60" i="130" s="1"/>
  <c r="U35" i="130"/>
  <c r="Q54" i="130"/>
  <c r="R54" i="130" s="1"/>
  <c r="U29" i="130"/>
  <c r="Q58" i="130"/>
  <c r="R58" i="130" s="1"/>
  <c r="U33" i="130"/>
  <c r="U31" i="130"/>
  <c r="Q56" i="130"/>
  <c r="R56" i="130" s="1"/>
  <c r="N62" i="130"/>
  <c r="U26" i="130"/>
  <c r="Q50" i="130"/>
  <c r="R50" i="130" s="1"/>
  <c r="Q57" i="130"/>
  <c r="R57" i="130" s="1"/>
  <c r="U32" i="130"/>
  <c r="C9" i="112" l="1"/>
  <c r="C22" i="112" s="1"/>
  <c r="C33" i="112" s="1"/>
  <c r="C35" i="112" s="1"/>
  <c r="C37" i="112" s="1"/>
  <c r="C122" i="157"/>
  <c r="U37" i="130"/>
  <c r="U39" i="130" s="1"/>
  <c r="U3" i="130" l="1"/>
  <c r="C135" i="157"/>
  <c r="U6" i="130" l="1"/>
  <c r="C138" i="157"/>
  <c r="C140" i="157" s="1"/>
  <c r="D12" i="111"/>
  <c r="F12" i="111"/>
  <c r="H12" i="111"/>
  <c r="J12" i="111"/>
  <c r="AG27" i="198" l="1"/>
  <c r="AJ185" i="198" l="1"/>
  <c r="K74" i="200" s="1"/>
  <c r="W21" i="202" s="1"/>
  <c r="AA27" i="198"/>
  <c r="AD185" i="198" l="1"/>
  <c r="I74" i="200" s="1"/>
  <c r="U21" i="202" s="1"/>
  <c r="P41" i="198" l="1"/>
  <c r="AF27" i="198" l="1"/>
  <c r="AF4" i="198" s="1"/>
  <c r="T41" i="198"/>
  <c r="Z41" i="198" l="1"/>
  <c r="AF41" i="198" l="1"/>
  <c r="T8" i="198" l="1"/>
  <c r="R8" i="198"/>
  <c r="Z8" i="198" l="1"/>
  <c r="X8" i="198"/>
  <c r="Z38" i="198" l="1"/>
  <c r="AF38" i="198" s="1"/>
  <c r="AF8" i="198"/>
  <c r="AD8" i="198"/>
  <c r="AJ8" i="198" l="1"/>
  <c r="Q88" i="198" l="1"/>
  <c r="Q4" i="198" s="1"/>
  <c r="S88" i="198" l="1"/>
  <c r="S4" i="198" s="1"/>
  <c r="Y88" i="198" l="1"/>
  <c r="Y4" i="198" s="1"/>
  <c r="AE88" i="198" l="1"/>
  <c r="AE4" i="198" l="1"/>
  <c r="O109" i="198" l="1"/>
  <c r="R109" i="198" s="1"/>
  <c r="E82" i="200" s="1"/>
  <c r="Q28" i="202" s="1"/>
  <c r="U109" i="198"/>
  <c r="X109" i="198" s="1"/>
  <c r="G82" i="200" s="1"/>
  <c r="S28" i="202" s="1"/>
  <c r="AA109" i="198"/>
  <c r="AD109" i="198" s="1"/>
  <c r="I82" i="200" s="1"/>
  <c r="U28" i="202" s="1"/>
  <c r="AG109" i="198"/>
  <c r="AJ109" i="198" s="1"/>
  <c r="K82" i="200" s="1"/>
  <c r="W28" i="202" s="1"/>
  <c r="O108" i="198"/>
  <c r="R108" i="198" s="1"/>
  <c r="E83" i="200" s="1"/>
  <c r="U108" i="198"/>
  <c r="X108" i="198" s="1"/>
  <c r="G83" i="200" s="1"/>
  <c r="AA108" i="198"/>
  <c r="AD108" i="198" s="1"/>
  <c r="I83" i="200" s="1"/>
  <c r="AG108" i="198"/>
  <c r="AJ108" i="198" s="1"/>
  <c r="K83" i="200" s="1"/>
  <c r="O183" i="198"/>
  <c r="R183" i="198" s="1"/>
  <c r="E84" i="200" s="1"/>
  <c r="Q29" i="202" s="1"/>
  <c r="U183" i="198"/>
  <c r="X183" i="198" s="1"/>
  <c r="G84" i="200" s="1"/>
  <c r="S29" i="202" s="1"/>
  <c r="AA183" i="198"/>
  <c r="AD183" i="198" s="1"/>
  <c r="I84" i="200" s="1"/>
  <c r="U29" i="202" s="1"/>
  <c r="AG183" i="198"/>
  <c r="AJ183" i="198" s="1"/>
  <c r="K84" i="200" s="1"/>
  <c r="W29" i="202" s="1"/>
  <c r="I183" i="198"/>
  <c r="I133" i="198"/>
  <c r="L133" i="198" s="1"/>
  <c r="C86" i="200" s="1"/>
  <c r="O30" i="202" s="1"/>
  <c r="O136" i="198"/>
  <c r="R136" i="198" s="1"/>
  <c r="E61" i="200" s="1"/>
  <c r="Q8" i="202" s="1"/>
  <c r="U136" i="198"/>
  <c r="X136" i="198" s="1"/>
  <c r="G61" i="200" s="1"/>
  <c r="S8" i="202" s="1"/>
  <c r="O137" i="198"/>
  <c r="R137" i="198" s="1"/>
  <c r="E62" i="200" s="1"/>
  <c r="Q9" i="202" s="1"/>
  <c r="U137" i="198"/>
  <c r="X137" i="198" s="1"/>
  <c r="G62" i="200" s="1"/>
  <c r="S9" i="202" s="1"/>
  <c r="AA137" i="198"/>
  <c r="AD137" i="198" s="1"/>
  <c r="I62" i="200" s="1"/>
  <c r="U9" i="202" s="1"/>
  <c r="AG137" i="198"/>
  <c r="AJ137" i="198" s="1"/>
  <c r="K62" i="200" s="1"/>
  <c r="W9" i="202" s="1"/>
  <c r="I136" i="198"/>
  <c r="L136" i="198" s="1"/>
  <c r="C61" i="200" s="1"/>
  <c r="O8" i="202" s="1"/>
  <c r="I137" i="198"/>
  <c r="AG133" i="198"/>
  <c r="AJ133" i="198" s="1"/>
  <c r="K86" i="200" s="1"/>
  <c r="W30" i="202" s="1"/>
  <c r="I81" i="198" l="1"/>
  <c r="L183" i="198"/>
  <c r="C84" i="200" s="1"/>
  <c r="O29" i="202" s="1"/>
  <c r="L137" i="198"/>
  <c r="C62" i="200" s="1"/>
  <c r="O9" i="202" s="1"/>
  <c r="O133" i="198"/>
  <c r="R133" i="198" s="1"/>
  <c r="E86" i="200" s="1"/>
  <c r="Q30" i="202" s="1"/>
  <c r="U133" i="198"/>
  <c r="X133" i="198" s="1"/>
  <c r="G86" i="200" s="1"/>
  <c r="S30" i="202" s="1"/>
  <c r="AA133" i="198"/>
  <c r="AD133" i="198" s="1"/>
  <c r="I86" i="200" s="1"/>
  <c r="U30" i="202" s="1"/>
  <c r="O185" i="198"/>
  <c r="R185" i="198" s="1"/>
  <c r="E74" i="200" s="1"/>
  <c r="Q21" i="202" s="1"/>
  <c r="U185" i="198"/>
  <c r="I185" i="198"/>
  <c r="L185" i="198" l="1"/>
  <c r="C74" i="200" s="1"/>
  <c r="O21" i="202" s="1"/>
  <c r="I27" i="198"/>
  <c r="X185" i="198"/>
  <c r="G74" i="200" s="1"/>
  <c r="S21" i="202" s="1"/>
  <c r="U27" i="198"/>
  <c r="J81" i="198"/>
  <c r="L81" i="198" s="1"/>
  <c r="C32" i="200" s="1"/>
  <c r="O81" i="198"/>
  <c r="J88" i="198" l="1"/>
  <c r="P81" i="198"/>
  <c r="T81" i="198" s="1"/>
  <c r="Z81" i="198" s="1"/>
  <c r="AF81" i="198" s="1"/>
  <c r="S81" i="198"/>
  <c r="O27" i="198"/>
  <c r="L27" i="198"/>
  <c r="C24" i="200" s="1"/>
  <c r="O157" i="198"/>
  <c r="R157" i="198" s="1"/>
  <c r="E71" i="200" s="1"/>
  <c r="Q18" i="202" s="1"/>
  <c r="O178" i="198"/>
  <c r="R178" i="198" s="1"/>
  <c r="E70" i="200" s="1"/>
  <c r="O101" i="198"/>
  <c r="Q17" i="202" l="1"/>
  <c r="R81" i="198"/>
  <c r="E32" i="200" s="1"/>
  <c r="P101" i="198"/>
  <c r="R101" i="198" s="1"/>
  <c r="C26" i="200"/>
  <c r="C11" i="202"/>
  <c r="C12" i="202" s="1"/>
  <c r="R27" i="198"/>
  <c r="E24" i="200" s="1"/>
  <c r="S27" i="198"/>
  <c r="Y81" i="198"/>
  <c r="X81" i="198"/>
  <c r="G32" i="200" s="1"/>
  <c r="P88" i="198"/>
  <c r="C103" i="200"/>
  <c r="AC4" i="202" s="1"/>
  <c r="L88" i="198"/>
  <c r="C42" i="200" s="1"/>
  <c r="I178" i="198"/>
  <c r="L178" i="198" s="1"/>
  <c r="C70" i="200" s="1"/>
  <c r="O140" i="198"/>
  <c r="R140" i="198" s="1"/>
  <c r="E64" i="200" s="1"/>
  <c r="Q11" i="202" s="1"/>
  <c r="I140" i="198" l="1"/>
  <c r="L140" i="198" s="1"/>
  <c r="C64" i="200" s="1"/>
  <c r="O11" i="202" s="1"/>
  <c r="AG157" i="198"/>
  <c r="AJ157" i="198" s="1"/>
  <c r="K71" i="200" s="1"/>
  <c r="W18" i="202" s="1"/>
  <c r="AG178" i="198"/>
  <c r="AJ178" i="198" s="1"/>
  <c r="K70" i="200" s="1"/>
  <c r="W17" i="202" s="1"/>
  <c r="O17" i="202"/>
  <c r="AC6" i="202"/>
  <c r="AC8" i="202" s="1"/>
  <c r="AC10" i="202" s="1"/>
  <c r="AC12" i="202" s="1"/>
  <c r="AC14" i="202" s="1"/>
  <c r="AI4" i="202"/>
  <c r="E26" i="200"/>
  <c r="E11" i="202"/>
  <c r="E12" i="202" s="1"/>
  <c r="T88" i="198"/>
  <c r="R88" i="198"/>
  <c r="E42" i="200" s="1"/>
  <c r="AD81" i="198"/>
  <c r="I32" i="200" s="1"/>
  <c r="AE81" i="198"/>
  <c r="AJ81" i="198" s="1"/>
  <c r="K32" i="200" s="1"/>
  <c r="C23" i="202"/>
  <c r="O110" i="198"/>
  <c r="E55" i="200"/>
  <c r="I103" i="200"/>
  <c r="C105" i="200"/>
  <c r="X27" i="198"/>
  <c r="G24" i="200" s="1"/>
  <c r="Y27" i="198"/>
  <c r="P44" i="198"/>
  <c r="U101" i="198"/>
  <c r="AG136" i="198"/>
  <c r="AJ136" i="198" s="1"/>
  <c r="K61" i="200" s="1"/>
  <c r="W8" i="202" s="1"/>
  <c r="AA136" i="198"/>
  <c r="AD136" i="198" s="1"/>
  <c r="I61" i="200" s="1"/>
  <c r="U8" i="202" s="1"/>
  <c r="AG101" i="198"/>
  <c r="U157" i="198"/>
  <c r="X157" i="198" s="1"/>
  <c r="G71" i="200" s="1"/>
  <c r="S18" i="202" s="1"/>
  <c r="U178" i="198"/>
  <c r="X178" i="198" s="1"/>
  <c r="G70" i="200" s="1"/>
  <c r="O176" i="198"/>
  <c r="R176" i="198" s="1"/>
  <c r="E73" i="200" s="1"/>
  <c r="Q20" i="202" s="1"/>
  <c r="I180" i="198"/>
  <c r="L180" i="198" s="1"/>
  <c r="C77" i="200" s="1"/>
  <c r="O24" i="202" s="1"/>
  <c r="O180" i="198"/>
  <c r="R180" i="198" s="1"/>
  <c r="E77" i="200" s="1"/>
  <c r="Q24" i="202" s="1"/>
  <c r="S17" i="202" l="1"/>
  <c r="C107" i="200"/>
  <c r="AC16" i="202"/>
  <c r="T44" i="198"/>
  <c r="R44" i="198"/>
  <c r="E33" i="200" s="1"/>
  <c r="E17" i="202" s="1"/>
  <c r="G26" i="200"/>
  <c r="G11" i="202"/>
  <c r="G12" i="202" s="1"/>
  <c r="AE27" i="198"/>
  <c r="AJ27" i="198" s="1"/>
  <c r="K24" i="200" s="1"/>
  <c r="AD27" i="198"/>
  <c r="I24" i="200" s="1"/>
  <c r="Q3" i="202"/>
  <c r="P110" i="198"/>
  <c r="R110" i="198" s="1"/>
  <c r="V101" i="198"/>
  <c r="X101" i="198" s="1"/>
  <c r="C115" i="200"/>
  <c r="AH101" i="198"/>
  <c r="C116" i="200"/>
  <c r="E23" i="202"/>
  <c r="Z88" i="198"/>
  <c r="X88" i="198"/>
  <c r="G42" i="200" s="1"/>
  <c r="AA157" i="198"/>
  <c r="AD157" i="198" s="1"/>
  <c r="I71" i="200" s="1"/>
  <c r="U18" i="202" s="1"/>
  <c r="AA178" i="198"/>
  <c r="AD178" i="198" s="1"/>
  <c r="I70" i="200" s="1"/>
  <c r="U140" i="198"/>
  <c r="X140" i="198" s="1"/>
  <c r="G64" i="200" s="1"/>
  <c r="S11" i="202" s="1"/>
  <c r="AG176" i="198" l="1"/>
  <c r="AJ176" i="198" s="1"/>
  <c r="K73" i="200" s="1"/>
  <c r="W20" i="202" s="1"/>
  <c r="AG140" i="198"/>
  <c r="AJ140" i="198" s="1"/>
  <c r="K64" i="200" s="1"/>
  <c r="W11" i="202" s="1"/>
  <c r="U17" i="202"/>
  <c r="C109" i="200"/>
  <c r="AC17" i="202"/>
  <c r="E56" i="200"/>
  <c r="G55" i="200"/>
  <c r="AH44" i="198"/>
  <c r="I26" i="200"/>
  <c r="I11" i="202"/>
  <c r="I12" i="202" s="1"/>
  <c r="AF88" i="198"/>
  <c r="AJ88" i="198" s="1"/>
  <c r="K42" i="200" s="1"/>
  <c r="AD88" i="198"/>
  <c r="I42" i="200" s="1"/>
  <c r="U110" i="198"/>
  <c r="C117" i="200"/>
  <c r="G23" i="202"/>
  <c r="P21" i="198"/>
  <c r="P4" i="198"/>
  <c r="K26" i="200"/>
  <c r="K11" i="202"/>
  <c r="K12" i="202" s="1"/>
  <c r="AG110" i="198"/>
  <c r="AA101" i="198"/>
  <c r="V44" i="198"/>
  <c r="Z44" i="198" s="1"/>
  <c r="AA140" i="198"/>
  <c r="AD140" i="198" s="1"/>
  <c r="I64" i="200" s="1"/>
  <c r="U11" i="202" s="1"/>
  <c r="U176" i="198"/>
  <c r="U180" i="198"/>
  <c r="X180" i="198" s="1"/>
  <c r="G77" i="200" s="1"/>
  <c r="S24" i="202" s="1"/>
  <c r="AG41" i="198" l="1"/>
  <c r="C111" i="200"/>
  <c r="AC18" i="202"/>
  <c r="X44" i="198"/>
  <c r="G33" i="200" s="1"/>
  <c r="G17" i="202" s="1"/>
  <c r="AA110" i="198"/>
  <c r="AB101" i="198"/>
  <c r="T21" i="198"/>
  <c r="R21" i="198"/>
  <c r="E17" i="200" s="1"/>
  <c r="E7" i="202" s="1"/>
  <c r="K23" i="202"/>
  <c r="V110" i="198"/>
  <c r="C118" i="200"/>
  <c r="I23" i="202"/>
  <c r="S3" i="202"/>
  <c r="AH110" i="198"/>
  <c r="X176" i="198"/>
  <c r="G73" i="200" s="1"/>
  <c r="S20" i="202" s="1"/>
  <c r="U41" i="198"/>
  <c r="Q4" i="202"/>
  <c r="Q5" i="202" s="1"/>
  <c r="Q1" i="202" s="1"/>
  <c r="E57" i="200"/>
  <c r="E52" i="200" s="1"/>
  <c r="AA176" i="198"/>
  <c r="AA180" i="198"/>
  <c r="AD180" i="198" s="1"/>
  <c r="I77" i="200" s="1"/>
  <c r="U24" i="202" s="1"/>
  <c r="AG180" i="198" l="1"/>
  <c r="AJ180" i="198" s="1"/>
  <c r="K77" i="200" s="1"/>
  <c r="W24" i="202" s="1"/>
  <c r="C113" i="200"/>
  <c r="AC19" i="202"/>
  <c r="AI101" i="198"/>
  <c r="AB44" i="198"/>
  <c r="AA41" i="198"/>
  <c r="AD176" i="198"/>
  <c r="I73" i="200" s="1"/>
  <c r="U20" i="202" s="1"/>
  <c r="AH21" i="198"/>
  <c r="AH4" i="198"/>
  <c r="AB110" i="198"/>
  <c r="AD110" i="198" s="1"/>
  <c r="I56" i="200" s="1"/>
  <c r="U4" i="202" s="1"/>
  <c r="V21" i="198"/>
  <c r="V4" i="198"/>
  <c r="X110" i="198"/>
  <c r="AD101" i="198"/>
  <c r="AC20" i="202" l="1"/>
  <c r="C119" i="200"/>
  <c r="Z21" i="198"/>
  <c r="V3" i="198"/>
  <c r="V187" i="198"/>
  <c r="AB21" i="198"/>
  <c r="AB187" i="198" s="1"/>
  <c r="AI110" i="198"/>
  <c r="I55" i="200"/>
  <c r="AB4" i="198"/>
  <c r="AB3" i="198"/>
  <c r="AF44" i="198"/>
  <c r="AD44" i="198"/>
  <c r="I33" i="200" s="1"/>
  <c r="I17" i="202" s="1"/>
  <c r="G56" i="200"/>
  <c r="AH3" i="198"/>
  <c r="AH187" i="198"/>
  <c r="AI44" i="198"/>
  <c r="AJ101" i="198"/>
  <c r="X21" i="198"/>
  <c r="G17" i="200" s="1"/>
  <c r="G7" i="202" s="1"/>
  <c r="K55" i="200" l="1"/>
  <c r="S4" i="202"/>
  <c r="S5" i="202" s="1"/>
  <c r="S1" i="202" s="1"/>
  <c r="G57" i="200"/>
  <c r="G52" i="200" s="1"/>
  <c r="U3" i="202"/>
  <c r="U5" i="202" s="1"/>
  <c r="U1" i="202" s="1"/>
  <c r="I57" i="200"/>
  <c r="I52" i="200" s="1"/>
  <c r="AF21" i="198"/>
  <c r="AD21" i="198"/>
  <c r="I17" i="200" s="1"/>
  <c r="I7" i="202" s="1"/>
  <c r="AJ44" i="198"/>
  <c r="K33" i="200" s="1"/>
  <c r="K17" i="202" s="1"/>
  <c r="AI21" i="198"/>
  <c r="AI4" i="198" s="1"/>
  <c r="AJ110" i="198"/>
  <c r="K56" i="200" s="1"/>
  <c r="W4" i="202" s="1"/>
  <c r="AJ21" i="198" l="1"/>
  <c r="K17" i="200" s="1"/>
  <c r="K7" i="202" s="1"/>
  <c r="W3" i="202"/>
  <c r="W5" i="202" s="1"/>
  <c r="W1" i="202" s="1"/>
  <c r="K57" i="200"/>
  <c r="K52" i="200" s="1"/>
  <c r="I157" i="198" l="1"/>
  <c r="L157" i="198" s="1"/>
  <c r="C71" i="200" s="1"/>
  <c r="O18" i="202" s="1"/>
  <c r="J110" i="198" l="1"/>
  <c r="J9" i="198" l="1"/>
  <c r="J4" i="198"/>
  <c r="L110" i="198"/>
  <c r="P99" i="198"/>
  <c r="T99" i="198" s="1"/>
  <c r="Z99" i="198" s="1"/>
  <c r="AF99" i="198" s="1"/>
  <c r="I176" i="198"/>
  <c r="I41" i="198" l="1"/>
  <c r="L176" i="198"/>
  <c r="C73" i="200" s="1"/>
  <c r="O20" i="202" s="1"/>
  <c r="C56" i="200"/>
  <c r="P9" i="198"/>
  <c r="J187" i="198"/>
  <c r="J3" i="198"/>
  <c r="T9" i="198" l="1"/>
  <c r="P3" i="198"/>
  <c r="P187" i="198"/>
  <c r="C57" i="200"/>
  <c r="C52" i="200" s="1"/>
  <c r="O4" i="202"/>
  <c r="O5" i="202" s="1"/>
  <c r="O1" i="202" s="1"/>
  <c r="O41" i="198"/>
  <c r="L41" i="198"/>
  <c r="C31" i="200" s="1"/>
  <c r="C16" i="202" s="1"/>
  <c r="C19" i="202" s="1"/>
  <c r="C21" i="202" s="1"/>
  <c r="Q41" i="198" l="1"/>
  <c r="S41" i="198" s="1"/>
  <c r="W41" i="198"/>
  <c r="W9" i="198" s="1"/>
  <c r="AI41" i="198"/>
  <c r="AI9" i="198" s="1"/>
  <c r="AC41" i="198"/>
  <c r="AC9" i="198" s="1"/>
  <c r="Z9" i="198"/>
  <c r="T3" i="198"/>
  <c r="T187" i="198"/>
  <c r="R41" i="198" l="1"/>
  <c r="E31" i="200" s="1"/>
  <c r="E16" i="202" s="1"/>
  <c r="E19" i="202" s="1"/>
  <c r="E21" i="202" s="1"/>
  <c r="AI187" i="198"/>
  <c r="AI3" i="198"/>
  <c r="AF9" i="198"/>
  <c r="Z3" i="198"/>
  <c r="Z187" i="198"/>
  <c r="AC3" i="198"/>
  <c r="AC187" i="198"/>
  <c r="W187" i="198"/>
  <c r="W3" i="198"/>
  <c r="Y41" i="198"/>
  <c r="X41" i="198"/>
  <c r="G31" i="200" s="1"/>
  <c r="G16" i="202" s="1"/>
  <c r="G19" i="202" s="1"/>
  <c r="G21" i="202" s="1"/>
  <c r="AE41" i="198" l="1"/>
  <c r="AJ41" i="198" s="1"/>
  <c r="K31" i="200" s="1"/>
  <c r="K16" i="202" s="1"/>
  <c r="K19" i="202" s="1"/>
  <c r="K21" i="202" s="1"/>
  <c r="AD41" i="198"/>
  <c r="I31" i="200" s="1"/>
  <c r="I16" i="202" s="1"/>
  <c r="I19" i="202" s="1"/>
  <c r="I21" i="202" s="1"/>
  <c r="AF187" i="198"/>
  <c r="AF3" i="198"/>
  <c r="I151" i="198" l="1"/>
  <c r="L151" i="198" s="1"/>
  <c r="C68" i="200" s="1"/>
  <c r="O15" i="202" s="1"/>
  <c r="I152" i="198"/>
  <c r="L152" i="198" s="1"/>
  <c r="C69" i="200" s="1"/>
  <c r="O16" i="202" s="1"/>
  <c r="I170" i="198"/>
  <c r="L170" i="198" s="1"/>
  <c r="I162" i="198"/>
  <c r="L162" i="198" s="1"/>
  <c r="C72" i="200" s="1"/>
  <c r="O19" i="202" s="1"/>
  <c r="I147" i="198"/>
  <c r="L147" i="198" s="1"/>
  <c r="C65" i="200" s="1"/>
  <c r="O12" i="202" s="1"/>
  <c r="I149" i="198"/>
  <c r="L149" i="198" s="1"/>
  <c r="C66" i="200" s="1"/>
  <c r="O13" i="202" s="1"/>
  <c r="I139" i="198"/>
  <c r="I150" i="198"/>
  <c r="L150" i="198" s="1"/>
  <c r="C67" i="200" s="1"/>
  <c r="O14" i="202" s="1"/>
  <c r="L139" i="198" l="1"/>
  <c r="C63" i="200" s="1"/>
  <c r="O10" i="202" s="1"/>
  <c r="I38" i="198"/>
  <c r="O139" i="198"/>
  <c r="R139" i="198" s="1"/>
  <c r="E63" i="200" s="1"/>
  <c r="Q10" i="202" s="1"/>
  <c r="O149" i="198"/>
  <c r="R149" i="198" s="1"/>
  <c r="E66" i="200" s="1"/>
  <c r="Q13" i="202" s="1"/>
  <c r="O150" i="198"/>
  <c r="R150" i="198" s="1"/>
  <c r="E67" i="200" s="1"/>
  <c r="Q14" i="202" s="1"/>
  <c r="O151" i="198"/>
  <c r="R151" i="198" s="1"/>
  <c r="E68" i="200" s="1"/>
  <c r="Q15" i="202" s="1"/>
  <c r="O147" i="198"/>
  <c r="R147" i="198" s="1"/>
  <c r="E65" i="200" s="1"/>
  <c r="Q12" i="202" s="1"/>
  <c r="O170" i="198"/>
  <c r="R170" i="198" s="1"/>
  <c r="O152" i="198"/>
  <c r="R152" i="198" s="1"/>
  <c r="E69" i="200" s="1"/>
  <c r="Q16" i="202" s="1"/>
  <c r="O162" i="198"/>
  <c r="R162" i="198" s="1"/>
  <c r="E72" i="200" s="1"/>
  <c r="Q19" i="202" s="1"/>
  <c r="I130" i="198"/>
  <c r="L130" i="198" l="1"/>
  <c r="I9" i="198"/>
  <c r="I4" i="198"/>
  <c r="K38" i="198"/>
  <c r="L38" i="198" s="1"/>
  <c r="C30" i="200" s="1"/>
  <c r="C37" i="200" s="1"/>
  <c r="C40" i="200" s="1"/>
  <c r="O38" i="198"/>
  <c r="U162" i="198"/>
  <c r="X162" i="198" s="1"/>
  <c r="G72" i="200" s="1"/>
  <c r="S19" i="202" s="1"/>
  <c r="U150" i="198"/>
  <c r="X150" i="198" s="1"/>
  <c r="G67" i="200" s="1"/>
  <c r="S14" i="202" s="1"/>
  <c r="U139" i="198"/>
  <c r="X139" i="198" s="1"/>
  <c r="G63" i="200" s="1"/>
  <c r="S10" i="202" s="1"/>
  <c r="U147" i="198"/>
  <c r="X147" i="198" s="1"/>
  <c r="G65" i="200" s="1"/>
  <c r="S12" i="202" s="1"/>
  <c r="U152" i="198"/>
  <c r="X152" i="198" s="1"/>
  <c r="G69" i="200" s="1"/>
  <c r="S16" i="202" s="1"/>
  <c r="U149" i="198"/>
  <c r="X149" i="198" s="1"/>
  <c r="G66" i="200" s="1"/>
  <c r="S13" i="202" s="1"/>
  <c r="U170" i="198"/>
  <c r="X170" i="198" s="1"/>
  <c r="U151" i="198"/>
  <c r="X151" i="198" s="1"/>
  <c r="G68" i="200" s="1"/>
  <c r="S15" i="202" s="1"/>
  <c r="O130" i="198"/>
  <c r="K9" i="198" l="1"/>
  <c r="Q38" i="198"/>
  <c r="S38" i="198" s="1"/>
  <c r="O99" i="198"/>
  <c r="I187" i="198"/>
  <c r="L9" i="198"/>
  <c r="I3" i="198"/>
  <c r="R130" i="198"/>
  <c r="O4" i="198"/>
  <c r="C60" i="200"/>
  <c r="C44" i="200"/>
  <c r="L4" i="198"/>
  <c r="AA151" i="198"/>
  <c r="AD151" i="198" s="1"/>
  <c r="I68" i="200" s="1"/>
  <c r="U15" i="202" s="1"/>
  <c r="AG170" i="198"/>
  <c r="AJ170" i="198" s="1"/>
  <c r="AA170" i="198"/>
  <c r="AD170" i="198" s="1"/>
  <c r="AA147" i="198"/>
  <c r="AD147" i="198" s="1"/>
  <c r="I65" i="200" s="1"/>
  <c r="U12" i="202" s="1"/>
  <c r="AG147" i="198"/>
  <c r="AJ147" i="198" s="1"/>
  <c r="K65" i="200" s="1"/>
  <c r="W12" i="202" s="1"/>
  <c r="AA150" i="198"/>
  <c r="AD150" i="198" s="1"/>
  <c r="I67" i="200" s="1"/>
  <c r="U14" i="202" s="1"/>
  <c r="AG150" i="198"/>
  <c r="AJ150" i="198" s="1"/>
  <c r="K67" i="200" s="1"/>
  <c r="W14" i="202" s="1"/>
  <c r="AA139" i="198"/>
  <c r="AD139" i="198" s="1"/>
  <c r="I63" i="200" s="1"/>
  <c r="U10" i="202" s="1"/>
  <c r="AG162" i="198"/>
  <c r="AJ162" i="198" s="1"/>
  <c r="K72" i="200" s="1"/>
  <c r="W19" i="202" s="1"/>
  <c r="AA162" i="198"/>
  <c r="AD162" i="198" s="1"/>
  <c r="I72" i="200" s="1"/>
  <c r="U19" i="202" s="1"/>
  <c r="AG149" i="198"/>
  <c r="AJ149" i="198" s="1"/>
  <c r="K66" i="200" s="1"/>
  <c r="W13" i="202" s="1"/>
  <c r="AA149" i="198"/>
  <c r="AD149" i="198" s="1"/>
  <c r="I66" i="200" s="1"/>
  <c r="U13" i="202" s="1"/>
  <c r="AG152" i="198"/>
  <c r="AJ152" i="198" s="1"/>
  <c r="K69" i="200" s="1"/>
  <c r="W16" i="202" s="1"/>
  <c r="AA152" i="198"/>
  <c r="AD152" i="198" s="1"/>
  <c r="I69" i="200" s="1"/>
  <c r="U16" i="202" s="1"/>
  <c r="U130" i="198"/>
  <c r="U9" i="198" s="1"/>
  <c r="I189" i="198" l="1"/>
  <c r="AG139" i="198"/>
  <c r="AJ139" i="198" s="1"/>
  <c r="K63" i="200" s="1"/>
  <c r="W10" i="202" s="1"/>
  <c r="Y38" i="198"/>
  <c r="X38" i="198"/>
  <c r="G30" i="200" s="1"/>
  <c r="G37" i="200" s="1"/>
  <c r="G40" i="200" s="1"/>
  <c r="C25" i="202"/>
  <c r="C26" i="202" s="1"/>
  <c r="C27" i="202" s="1"/>
  <c r="C45" i="200"/>
  <c r="C46" i="200" s="1"/>
  <c r="C47" i="200" s="1"/>
  <c r="C79" i="200"/>
  <c r="C80" i="200" s="1"/>
  <c r="C87" i="200" s="1"/>
  <c r="C90" i="200" s="1"/>
  <c r="O7" i="202"/>
  <c r="O25" i="202" s="1"/>
  <c r="O26" i="202" s="1"/>
  <c r="O31" i="202" s="1"/>
  <c r="O189" i="198"/>
  <c r="X130" i="198"/>
  <c r="U4" i="198"/>
  <c r="R99" i="198"/>
  <c r="E44" i="200" s="1"/>
  <c r="S99" i="198"/>
  <c r="E60" i="200"/>
  <c r="R4" i="198"/>
  <c r="Q9" i="198"/>
  <c r="K3" i="198"/>
  <c r="K187" i="198"/>
  <c r="R38" i="198"/>
  <c r="E30" i="200" s="1"/>
  <c r="E37" i="200" s="1"/>
  <c r="E40" i="200" s="1"/>
  <c r="C13" i="200"/>
  <c r="L3" i="198"/>
  <c r="L187" i="198"/>
  <c r="AG151" i="198"/>
  <c r="AJ151" i="198" s="1"/>
  <c r="K68" i="200" s="1"/>
  <c r="W15" i="202" s="1"/>
  <c r="AA130" i="198"/>
  <c r="U189" i="198" l="1"/>
  <c r="C5" i="202"/>
  <c r="C8" i="202" s="1"/>
  <c r="C13" i="202" s="1"/>
  <c r="C30" i="202" s="1"/>
  <c r="C20" i="200"/>
  <c r="U3" i="198"/>
  <c r="U187" i="198"/>
  <c r="G60" i="200"/>
  <c r="X4" i="198"/>
  <c r="AD130" i="198"/>
  <c r="AA4" i="198"/>
  <c r="E79" i="200"/>
  <c r="E80" i="200" s="1"/>
  <c r="E87" i="200" s="1"/>
  <c r="E90" i="200" s="1"/>
  <c r="Q7" i="202"/>
  <c r="Q25" i="202" s="1"/>
  <c r="Q26" i="202" s="1"/>
  <c r="Q31" i="202" s="1"/>
  <c r="E25" i="202"/>
  <c r="E26" i="202" s="1"/>
  <c r="E27" i="202" s="1"/>
  <c r="E45" i="200"/>
  <c r="E46" i="200" s="1"/>
  <c r="E47" i="200" s="1"/>
  <c r="X99" i="198"/>
  <c r="G44" i="200" s="1"/>
  <c r="Y99" i="198"/>
  <c r="Q3" i="198"/>
  <c r="Q187" i="198"/>
  <c r="C125" i="200"/>
  <c r="C142" i="200" s="1"/>
  <c r="C155" i="200" s="1"/>
  <c r="C91" i="200"/>
  <c r="C29" i="202"/>
  <c r="AA38" i="198"/>
  <c r="AA9" i="198" s="1"/>
  <c r="AG130" i="198"/>
  <c r="AE38" i="198" l="1"/>
  <c r="AG38" i="198" s="1"/>
  <c r="AG9" i="198" s="1"/>
  <c r="AD38" i="198"/>
  <c r="I30" i="200" s="1"/>
  <c r="I37" i="200" s="1"/>
  <c r="I40" i="200" s="1"/>
  <c r="AA189" i="198"/>
  <c r="AA3" i="198"/>
  <c r="AA187" i="198"/>
  <c r="E29" i="202"/>
  <c r="AJ130" i="198"/>
  <c r="AG4" i="198"/>
  <c r="AE99" i="198"/>
  <c r="AJ99" i="198" s="1"/>
  <c r="K44" i="200" s="1"/>
  <c r="AD99" i="198"/>
  <c r="I44" i="200" s="1"/>
  <c r="E91" i="200"/>
  <c r="E125" i="200"/>
  <c r="E142" i="200" s="1"/>
  <c r="E155" i="200" s="1"/>
  <c r="E158" i="200" s="1"/>
  <c r="I60" i="200"/>
  <c r="AD4" i="198"/>
  <c r="G104" i="200"/>
  <c r="AG5" i="202" s="1"/>
  <c r="O32" i="202"/>
  <c r="C93" i="200"/>
  <c r="G25" i="202"/>
  <c r="G26" i="202" s="1"/>
  <c r="G27" i="202" s="1"/>
  <c r="G45" i="200"/>
  <c r="G46" i="200" s="1"/>
  <c r="G47" i="200" s="1"/>
  <c r="S7" i="202"/>
  <c r="S25" i="202" s="1"/>
  <c r="S26" i="202" s="1"/>
  <c r="S31" i="202" s="1"/>
  <c r="G79" i="200"/>
  <c r="G80" i="200" s="1"/>
  <c r="G87" i="200" s="1"/>
  <c r="G90" i="200" s="1"/>
  <c r="G91" i="200" s="1"/>
  <c r="C27" i="200"/>
  <c r="C49" i="200" s="1"/>
  <c r="C5" i="200"/>
  <c r="G29" i="202" l="1"/>
  <c r="AI5" i="202"/>
  <c r="AI6" i="202" s="1"/>
  <c r="AG6" i="202"/>
  <c r="AG189" i="198"/>
  <c r="AJ38" i="198"/>
  <c r="K30" i="200" s="1"/>
  <c r="K37" i="200" s="1"/>
  <c r="K40" i="200" s="1"/>
  <c r="G108" i="200"/>
  <c r="S32" i="202"/>
  <c r="G93" i="200"/>
  <c r="I79" i="200"/>
  <c r="I80" i="200" s="1"/>
  <c r="I87" i="200" s="1"/>
  <c r="I90" i="200" s="1"/>
  <c r="I91" i="200" s="1"/>
  <c r="I93" i="200" s="1"/>
  <c r="U7" i="202"/>
  <c r="U25" i="202" s="1"/>
  <c r="U26" i="202" s="1"/>
  <c r="U31" i="202" s="1"/>
  <c r="G106" i="200"/>
  <c r="Q32" i="202"/>
  <c r="E93" i="200"/>
  <c r="I25" i="202"/>
  <c r="I26" i="202" s="1"/>
  <c r="I27" i="202" s="1"/>
  <c r="I45" i="200"/>
  <c r="I46" i="200" s="1"/>
  <c r="I47" i="200" s="1"/>
  <c r="I104" i="200"/>
  <c r="I105" i="200" s="1"/>
  <c r="AI16" i="202" s="1"/>
  <c r="G105" i="200"/>
  <c r="AG16" i="202" s="1"/>
  <c r="K25" i="202"/>
  <c r="K26" i="202" s="1"/>
  <c r="K27" i="202" s="1"/>
  <c r="K45" i="200"/>
  <c r="K46" i="200" s="1"/>
  <c r="K60" i="200"/>
  <c r="AJ4" i="198"/>
  <c r="AG3" i="198"/>
  <c r="AG187" i="198"/>
  <c r="O9" i="198"/>
  <c r="S9" i="198" s="1"/>
  <c r="I29" i="202" l="1"/>
  <c r="I106" i="200"/>
  <c r="AG7" i="202"/>
  <c r="AI7" i="202" s="1"/>
  <c r="AI8" i="202" s="1"/>
  <c r="I108" i="200"/>
  <c r="AG9" i="202"/>
  <c r="AI9" i="202" s="1"/>
  <c r="AG8" i="202"/>
  <c r="K47" i="200"/>
  <c r="K29" i="202" s="1"/>
  <c r="W7" i="202"/>
  <c r="W25" i="202" s="1"/>
  <c r="W26" i="202" s="1"/>
  <c r="W31" i="202" s="1"/>
  <c r="K79" i="200"/>
  <c r="K80" i="200" s="1"/>
  <c r="K87" i="200" s="1"/>
  <c r="K90" i="200" s="1"/>
  <c r="K91" i="200" s="1"/>
  <c r="K93" i="200" s="1"/>
  <c r="I115" i="200"/>
  <c r="I107" i="200"/>
  <c r="G115" i="200"/>
  <c r="G107" i="200"/>
  <c r="AG17" i="202" s="1"/>
  <c r="U32" i="202"/>
  <c r="G110" i="200"/>
  <c r="S187" i="198"/>
  <c r="S3" i="198"/>
  <c r="Y9" i="198"/>
  <c r="X9" i="198"/>
  <c r="R9" i="198"/>
  <c r="O3" i="198"/>
  <c r="O187" i="198"/>
  <c r="AG10" i="202" l="1"/>
  <c r="AI17" i="202"/>
  <c r="AI10" i="202"/>
  <c r="I110" i="200"/>
  <c r="AG11" i="202"/>
  <c r="AI11" i="202" s="1"/>
  <c r="G109" i="200"/>
  <c r="AG18" i="202" s="1"/>
  <c r="G116" i="200"/>
  <c r="I109" i="200"/>
  <c r="AI18" i="202" s="1"/>
  <c r="I116" i="200"/>
  <c r="G112" i="200"/>
  <c r="W32" i="202"/>
  <c r="R187" i="198"/>
  <c r="R3" i="198"/>
  <c r="E13" i="200"/>
  <c r="X3" i="198"/>
  <c r="X187" i="198"/>
  <c r="G13" i="200"/>
  <c r="Y187" i="198"/>
  <c r="Y3" i="198"/>
  <c r="AE9" i="198"/>
  <c r="AD9" i="198"/>
  <c r="AI12" i="202" l="1"/>
  <c r="I112" i="200"/>
  <c r="AG13" i="202"/>
  <c r="AI13" i="202" s="1"/>
  <c r="AG12" i="202"/>
  <c r="I117" i="200"/>
  <c r="I111" i="200"/>
  <c r="G117" i="200"/>
  <c r="G111" i="200"/>
  <c r="AE187" i="198"/>
  <c r="AE3" i="198"/>
  <c r="AJ9" i="198"/>
  <c r="AD187" i="198"/>
  <c r="AD3" i="198"/>
  <c r="I13" i="200"/>
  <c r="E20" i="200"/>
  <c r="E160" i="200"/>
  <c r="E5" i="202"/>
  <c r="E8" i="202" s="1"/>
  <c r="E13" i="202" s="1"/>
  <c r="E30" i="202" s="1"/>
  <c r="C157" i="200"/>
  <c r="C158" i="200" s="1"/>
  <c r="C160" i="200" s="1"/>
  <c r="G20" i="200"/>
  <c r="G5" i="202"/>
  <c r="G8" i="202" s="1"/>
  <c r="G13" i="202" s="1"/>
  <c r="G30" i="202" s="1"/>
  <c r="AI19" i="202" l="1"/>
  <c r="AI14" i="202"/>
  <c r="AG19" i="202"/>
  <c r="AG14" i="202"/>
  <c r="G118" i="200"/>
  <c r="G113" i="200"/>
  <c r="I118" i="200"/>
  <c r="I113" i="200"/>
  <c r="E27" i="200"/>
  <c r="E49" i="200" s="1"/>
  <c r="E5" i="200"/>
  <c r="AJ3" i="198"/>
  <c r="AJ187" i="198"/>
  <c r="K13" i="200"/>
  <c r="I5" i="202"/>
  <c r="I8" i="202" s="1"/>
  <c r="I13" i="202" s="1"/>
  <c r="I30" i="202" s="1"/>
  <c r="I20" i="200"/>
  <c r="G27" i="200"/>
  <c r="G49" i="200" s="1"/>
  <c r="G5" i="200"/>
  <c r="G119" i="200" l="1"/>
  <c r="AG20" i="202"/>
  <c r="I119" i="200"/>
  <c r="AI20" i="202"/>
  <c r="I27" i="200"/>
  <c r="I49" i="200" s="1"/>
  <c r="I5" i="200"/>
  <c r="K5" i="202"/>
  <c r="K8" i="202" s="1"/>
  <c r="K13" i="202" s="1"/>
  <c r="K30" i="202" s="1"/>
  <c r="K20" i="200"/>
  <c r="K27" i="200" l="1"/>
  <c r="K49" i="200" s="1"/>
  <c r="K5" i="2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tc={511B0863-CE54-4682-80BE-E79FD33342B6}</author>
  </authors>
  <commentList>
    <comment ref="E122" authorId="0" shapeId="0" xr:uid="{511B0863-CE54-4682-80BE-E79FD33342B6}">
      <text>
        <t>[Threaded comment]
Your version of Excel allows you to read this threaded comment; however, any edits to it will get removed if the file is opened in a newer version of Excel. Learn more: https://go.microsoft.com/fwlink/?linkid=870924
Comment:
    Relink to tab BS.2 for annual or SCF.1 for quarters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tc={A6D66BC5-A237-4846-BCF8-88E7CF4A1B88}</author>
  </authors>
  <commentList>
    <comment ref="E102" authorId="0" shapeId="0" xr:uid="{A6D66BC5-A237-4846-BCF8-88E7CF4A1B88}">
      <text>
        <t>[Threaded comment]
Your version of Excel allows you to read this threaded comment; however, any edits to it will get removed if the file is opened in a newer version of Excel. Learn more: https://go.microsoft.com/fwlink/?linkid=870924
Comment:
    Relink to tab BS.2 for annual or SCF.1 for quarters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tc={DE6DEC97-3860-4FCC-BE8D-D3F7D16BF5B4}</author>
    <author>tc={CD9E3E1A-B4A5-41CA-96EC-29411152FA6D}</author>
  </authors>
  <commentList>
    <comment ref="E245" authorId="0" shapeId="0" xr:uid="{DE6DEC97-3860-4FCC-BE8D-D3F7D16BF5B4}">
      <text>
        <t>[Threaded comment]
Your version of Excel allows you to read this threaded comment; however, any edits to it will get removed if the file is opened in a newer version of Excel. Learn more: https://go.microsoft.com/fwlink/?linkid=870924
Comment:
    Relink to tab BS.1 for annual and IS.1 for quarters</t>
      </text>
    </comment>
    <comment ref="F245" authorId="1" shapeId="0" xr:uid="{CD9E3E1A-B4A5-41CA-96EC-29411152FA6D}">
      <text>
        <t>[Threaded comment]
Your version of Excel allows you to read this threaded comment; however, any edits to it will get removed if the file is opened in a newer version of Excel. Learn more: https://go.microsoft.com/fwlink/?linkid=870924
Comment:
    Relink to tab BS.2 for annual and IS.2 for quarters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tc={25417932-4A78-4B16-BF16-7236C85BBCB1}</author>
    <author>tc={768EB57F-0A1D-42AE-BE29-E6F0D25AFE0D}</author>
  </authors>
  <commentList>
    <comment ref="D4" authorId="0" shapeId="0" xr:uid="{25417932-4A78-4B16-BF16-7236C85BBCB1}">
      <text>
        <t>[Threaded comment]
Your version of Excel allows you to read this threaded comment; however, any edits to it will get removed if the file is opened in a newer version of Excel. Learn more: https://go.microsoft.com/fwlink/?linkid=870924
Comment:
    this column is to be updated after the balance sheets and income statements are fully audited</t>
      </text>
    </comment>
    <comment ref="D10" authorId="1" shapeId="0" xr:uid="{768EB57F-0A1D-42AE-BE29-E6F0D25AFE0D}">
      <text>
        <t>[Threaded comment]
Your version of Excel allows you to read this threaded comment; however, any edits to it will get removed if the file is opened in a newer version of Excel. Learn more: https://go.microsoft.com/fwlink/?linkid=870924
Comment:
    related to elimination of intangibles entry on 2021 consolidation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tc={71CDF9B1-4787-4DBC-854D-42898CDE255D}</author>
    <author>tc={26C25614-8A47-452D-8903-BD08DFE0F7B8}</author>
    <author>tc={360D62ED-DD7F-43CA-AC95-B2A282478E25}</author>
    <author>tc={CD0C1367-9BC5-4D80-A437-F73AB8832128}</author>
    <author>tc={1A0CD5B6-FD17-446E-B3D1-B2AE252D3750}</author>
    <author>tc={A3E14181-07B2-497C-A4DE-F46727F3D808}</author>
  </authors>
  <commentList>
    <comment ref="B11" authorId="0" shapeId="0" xr:uid="{71CDF9B1-4787-4DBC-854D-42898CDE255D}">
      <text>
        <t>[Threaded comment]
Your version of Excel allows you to read this threaded comment; however, any edits to it will get removed if the file is opened in a newer version of Excel. Learn more: https://go.microsoft.com/fwlink/?linkid=870924
Comment:
    1) Estimated remaining costs to CanEV
2) Tycrop $2.8M production costs estimated</t>
      </text>
    </comment>
    <comment ref="B14" authorId="1" shapeId="0" xr:uid="{26C25614-8A47-452D-8903-BD08DFE0F7B8}">
      <text>
        <t>[Threaded comment]
Your version of Excel allows you to read this threaded comment; however, any edits to it will get removed if the file is opened in a newer version of Excel. Learn more: https://go.microsoft.com/fwlink/?linkid=870924
Comment:
    FS balances already include $550 to Jesse for drawings in period</t>
      </text>
    </comment>
    <comment ref="B16" authorId="2" shapeId="0" xr:uid="{360D62ED-DD7F-43CA-AC95-B2A282478E25}">
      <text>
        <t>[Threaded comment]
Your version of Excel allows you to read this threaded comment; however, any edits to it will get removed if the file is opened in a newer version of Excel. Learn more: https://go.microsoft.com/fwlink/?linkid=870924
Comment:
    $100k as of last estimate communicated to Habib - less $55k in legal already accrued and reflected in TB at Nov 30, 2023 within Hallor Group</t>
      </text>
    </comment>
    <comment ref="B31" authorId="3" shapeId="0" xr:uid="{CD0C1367-9BC5-4D80-A437-F73AB8832128}">
      <text>
        <t>[Threaded comment]
Your version of Excel allows you to read this threaded comment; however, any edits to it will get removed if the file is opened in a newer version of Excel. Learn more: https://go.microsoft.com/fwlink/?linkid=870924
Comment:
    1) Estimated remaining costs to CanEV</t>
      </text>
    </comment>
    <comment ref="B34" authorId="4" shapeId="0" xr:uid="{1A0CD5B6-FD17-446E-B3D1-B2AE252D3750}">
      <text>
        <t>[Threaded comment]
Your version of Excel allows you to read this threaded comment; however, any edits to it will get removed if the file is opened in a newer version of Excel. Learn more: https://go.microsoft.com/fwlink/?linkid=870924
Comment:
    FS balances already include $5500 to Jesse for drawings in period</t>
      </text>
    </comment>
    <comment ref="B36" authorId="5" shapeId="0" xr:uid="{A3E14181-07B2-497C-A4DE-F46727F3D808}">
      <text>
        <t>[Threaded comment]
Your version of Excel allows you to read this threaded comment; however, any edits to it will get removed if the file is opened in a newer version of Excel. Learn more: https://go.microsoft.com/fwlink/?linkid=870924
Comment:
    $100k as of last estimate communicated to Habib - less $55k in legal already accrued and reflected in TB at Nov 30, 2023 within Hallor Group
Plus Q1 review cost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tc={1B8A6E20-B19A-48F1-94EF-037790EF8A08}</author>
    <author>tc={7CFA0AF2-1978-4F20-B442-A24D99935954}</author>
    <author>tc={A1A0C8E8-5A6B-4AC3-9DFE-B123667437D4}</author>
    <author>tc={EF44F3B3-D952-46FD-B9AD-255A42B8F2D7}</author>
    <author>tc={FE460E64-4202-44FD-B1B0-77AC0D0B1653}</author>
    <author>tc={3EFD6B9E-690B-4C0F-81C9-05CA29D8F60A}</author>
    <author>tc={350D042D-5AE0-4AB7-98B4-CF3BD5C61118}</author>
    <author>tc={783C472F-3A9F-4AD0-A39B-DD3602B2B3C2}</author>
    <author>tc={972A0DE8-D6F0-4227-8AD6-CB53BB1E8139}</author>
  </authors>
  <commentList>
    <comment ref="C12" authorId="0" shapeId="0" xr:uid="{1B8A6E20-B19A-48F1-94EF-037790EF8A08}">
      <text>
        <t>[Threaded comment]
Your version of Excel allows you to read this threaded comment; however, any edits to it will get removed if the file is opened in a newer version of Excel. Learn more: https://go.microsoft.com/fwlink/?linkid=870924
Comment:
    As agreed to with Gary</t>
      </text>
    </comment>
    <comment ref="D19" authorId="1" shapeId="0" xr:uid="{7CFA0AF2-1978-4F20-B442-A24D99935954}">
      <text>
        <t>[Threaded comment]
Your version of Excel allows you to read this threaded comment; however, any edits to it will get removed if the file is opened in a newer version of Excel. Learn more: https://go.microsoft.com/fwlink/?linkid=870924
Comment:
    Cap at $1M commissions</t>
      </text>
    </comment>
    <comment ref="E19" authorId="2" shapeId="0" xr:uid="{A1A0C8E8-5A6B-4AC3-9DFE-B123667437D4}">
      <text>
        <t>[Threaded comment]
Your version of Excel allows you to read this threaded comment; however, any edits to it will get removed if the file is opened in a newer version of Excel. Learn more: https://go.microsoft.com/fwlink/?linkid=870924
Comment:
    Cap at $1M commissions</t>
      </text>
    </comment>
    <comment ref="F19" authorId="3" shapeId="0" xr:uid="{EF44F3B3-D952-46FD-B9AD-255A42B8F2D7}">
      <text>
        <t>[Threaded comment]
Your version of Excel allows you to read this threaded comment; however, any edits to it will get removed if the file is opened in a newer version of Excel. Learn more: https://go.microsoft.com/fwlink/?linkid=870924
Comment:
    Switch to internal sales teams year 4</t>
      </text>
    </comment>
    <comment ref="I19" authorId="4" shapeId="0" xr:uid="{FE460E64-4202-44FD-B1B0-77AC0D0B1653}">
      <text>
        <t>[Threaded comment]
Your version of Excel allows you to read this threaded comment; however, any edits to it will get removed if the file is opened in a newer version of Excel. Learn more: https://go.microsoft.com/fwlink/?linkid=870924
Comment:
    Cap at $1M commissions</t>
      </text>
    </comment>
    <comment ref="J19" authorId="5" shapeId="0" xr:uid="{3EFD6B9E-690B-4C0F-81C9-05CA29D8F60A}">
      <text>
        <t>[Threaded comment]
Your version of Excel allows you to read this threaded comment; however, any edits to it will get removed if the file is opened in a newer version of Excel. Learn more: https://go.microsoft.com/fwlink/?linkid=870924
Comment:
    Cap at $1M commissions</t>
      </text>
    </comment>
    <comment ref="K19" authorId="6" shapeId="0" xr:uid="{350D042D-5AE0-4AB7-98B4-CF3BD5C61118}">
      <text>
        <t>[Threaded comment]
Your version of Excel allows you to read this threaded comment; however, any edits to it will get removed if the file is opened in a newer version of Excel. Learn more: https://go.microsoft.com/fwlink/?linkid=870924
Comment:
    Switch to internal sales teams year 4</t>
      </text>
    </comment>
    <comment ref="C21" authorId="7" shapeId="0" xr:uid="{783C472F-3A9F-4AD0-A39B-DD3602B2B3C2}">
      <text>
        <t>[Threaded comment]
Your version of Excel allows you to read this threaded comment; however, any edits to it will get removed if the file is opened in a newer version of Excel. Learn more: https://go.microsoft.com/fwlink/?linkid=870924
Comment:
    Gary is sole sales agent in 2023; non payroll</t>
      </text>
    </comment>
    <comment ref="H21" authorId="8" shapeId="0" xr:uid="{972A0DE8-D6F0-4227-8AD6-CB53BB1E8139}">
      <text>
        <t>[Threaded comment]
Your version of Excel allows you to read this threaded comment; however, any edits to it will get removed if the file is opened in a newer version of Excel. Learn more: https://go.microsoft.com/fwlink/?linkid=870924
Comment:
    Gary is sole sales agent in 2023; non payroll</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tc={0A2EB342-5CDC-4287-98E4-B3167136B976}</author>
    <author>tc={B337C4FE-BB2F-476B-81D8-A5C118B57C86}</author>
    <author>tc={E685E1AB-D5E0-4CF1-B795-D453A328A632}</author>
    <author>tc={AB038BA2-C3BE-4D01-B69E-755C92CF9671}</author>
    <author>tc={0FA0E896-39D8-4984-B7DD-351B3661A842}</author>
    <author>tc={973C2588-A4FD-4C79-974E-501C950B5E0D}</author>
    <author>tc={B4DD7155-E1FC-4BF5-8BD0-F906C719F813}</author>
    <author>tc={FBD0B05B-B077-42BC-9A32-59B9BE1C4F13}</author>
    <author>tc={B7000E9B-4DC8-4D29-A689-9FE72541D18F}</author>
    <author>tc={2B9AF380-DE50-4655-8F79-7F15681BE491}</author>
    <author>tc={4F1B000E-7FE3-40EF-89A8-D1F5783082D6}</author>
    <author>tc={49029922-9913-44EF-85B4-1F3B6590C24F}</author>
    <author>tc={F57BFB0B-ADBE-46F4-B96B-E4D4210BEF6B}</author>
    <author>tc={436C4FE4-ED7D-4E4E-A04C-3F199CEB0117}</author>
    <author>tc={36B2D481-87EE-4163-8F2A-572E57EAF515}</author>
    <author>tc={F7D6CA94-EEB6-4A9F-B803-4750F8660B5E}</author>
    <author>tc={24AE938E-A6BB-492D-A2A1-285E8DC7287F}</author>
  </authors>
  <commentList>
    <comment ref="AG2" authorId="0" shapeId="0" xr:uid="{0A2EB342-5CDC-4287-98E4-B3167136B976}">
      <text>
        <t>[Threaded comment]
Your version of Excel allows you to read this threaded comment; however, any edits to it will get removed if the file is opened in a newer version of Excel. Learn more: https://go.microsoft.com/fwlink/?linkid=870924
Comment:
    Summit Air inv H1003</t>
      </text>
    </comment>
    <comment ref="AH2" authorId="1" shapeId="0" xr:uid="{B337C4FE-BB2F-476B-81D8-A5C118B57C86}">
      <text>
        <t>[Threaded comment]
Your version of Excel allows you to read this threaded comment; however, any edits to it will get removed if the file is opened in a newer version of Excel. Learn more: https://go.microsoft.com/fwlink/?linkid=870924
Comment:
    To pay for COS materials for build 
+ 
Allocation of labour time to COS</t>
      </text>
    </comment>
    <comment ref="AI2" authorId="2" shapeId="0" xr:uid="{E685E1AB-D5E0-4CF1-B795-D453A328A632}">
      <text>
        <t>[Threaded comment]
Your version of Excel allows you to read this threaded comment; however, any edits to it will get removed if the file is opened in a newer version of Excel. Learn more: https://go.microsoft.com/fwlink/?linkid=870924
Comment:
    Estimated some repayment of AP</t>
      </text>
    </comment>
    <comment ref="AJ2" authorId="3" shapeId="0" xr:uid="{AB038BA2-C3BE-4D01-B69E-755C92CF9671}">
      <text>
        <t>[Threaded comment]
Your version of Excel allows you to read this threaded comment; however, any edits to it will get removed if the file is opened in a newer version of Excel. Learn more: https://go.microsoft.com/fwlink/?linkid=870924
Comment:
    Other operating costs forecasted</t>
      </text>
    </comment>
    <comment ref="AK2" authorId="4" shapeId="0" xr:uid="{0FA0E896-39D8-4984-B7DD-351B3661A842}">
      <text>
        <t>[Threaded comment]
Your version of Excel allows you to read this threaded comment; however, any edits to it will get removed if the file is opened in a newer version of Excel. Learn more: https://go.microsoft.com/fwlink/?linkid=870924
Comment:
    Impairment of inventory + amort of intangibles</t>
      </text>
    </comment>
    <comment ref="AL2" authorId="5" shapeId="0" xr:uid="{973C2588-A4FD-4C79-974E-501C950B5E0D}">
      <text>
        <t>[Threaded comment]
Your version of Excel allows you to read this threaded comment; however, any edits to it will get removed if the file is opened in a newer version of Excel. Learn more: https://go.microsoft.com/fwlink/?linkid=870924
Comment:
    Other misc shop supplies + engineering</t>
      </text>
    </comment>
    <comment ref="AG45" authorId="6" shapeId="0" xr:uid="{B4DD7155-E1FC-4BF5-8BD0-F906C719F813}">
      <text>
        <t>[Threaded comment]
Your version of Excel allows you to read this threaded comment; however, any edits to it will get removed if the file is opened in a newer version of Excel. Learn more: https://go.microsoft.com/fwlink/?linkid=870924
Comment:
    Summit Air inv H1003</t>
      </text>
    </comment>
    <comment ref="AH45" authorId="7" shapeId="0" xr:uid="{FBD0B05B-B077-42BC-9A32-59B9BE1C4F13}">
      <text>
        <t>[Threaded comment]
Your version of Excel allows you to read this threaded comment; however, any edits to it will get removed if the file is opened in a newer version of Excel. Learn more: https://go.microsoft.com/fwlink/?linkid=870924
Comment:
    To pay for COS materials for build 
+ 
Allocation of labour time to COS</t>
      </text>
    </comment>
    <comment ref="AI45" authorId="8" shapeId="0" xr:uid="{B7000E9B-4DC8-4D29-A689-9FE72541D18F}">
      <text>
        <t>[Threaded comment]
Your version of Excel allows you to read this threaded comment; however, any edits to it will get removed if the file is opened in a newer version of Excel. Learn more: https://go.microsoft.com/fwlink/?linkid=870924
Comment:
    Estimated some repayment of AP</t>
      </text>
    </comment>
    <comment ref="AJ45" authorId="9" shapeId="0" xr:uid="{2B9AF380-DE50-4655-8F79-7F15681BE491}">
      <text>
        <t>[Threaded comment]
Your version of Excel allows you to read this threaded comment; however, any edits to it will get removed if the file is opened in a newer version of Excel. Learn more: https://go.microsoft.com/fwlink/?linkid=870924
Comment:
    Other operating costs forecasted</t>
      </text>
    </comment>
    <comment ref="AK45" authorId="10" shapeId="0" xr:uid="{4F1B000E-7FE3-40EF-89A8-D1F5783082D6}">
      <text>
        <t>[Threaded comment]
Your version of Excel allows you to read this threaded comment; however, any edits to it will get removed if the file is opened in a newer version of Excel. Learn more: https://go.microsoft.com/fwlink/?linkid=870924
Comment:
    Impairment of inventory</t>
      </text>
    </comment>
    <comment ref="AL45" authorId="11" shapeId="0" xr:uid="{49029922-9913-44EF-85B4-1F3B6590C24F}">
      <text>
        <t>[Threaded comment]
Your version of Excel allows you to read this threaded comment; however, any edits to it will get removed if the file is opened in a newer version of Excel. Learn more: https://go.microsoft.com/fwlink/?linkid=870924
Comment:
    Other misc shop supplies + engineering</t>
      </text>
    </comment>
    <comment ref="AG50" authorId="12" shapeId="0" xr:uid="{F57BFB0B-ADBE-46F4-B96B-E4D4210BEF6B}">
      <text>
        <t>[Threaded comment]
Your version of Excel allows you to read this threaded comment; however, any edits to it will get removed if the file is opened in a newer version of Excel. Learn more: https://go.microsoft.com/fwlink/?linkid=870924
Comment:
    Consulting fees - Dean, Keith, CFO half year + secondary builder help</t>
      </text>
    </comment>
    <comment ref="AJ50" authorId="13" shapeId="0" xr:uid="{436C4FE4-ED7D-4E4E-A04C-3F199CEB0117}">
      <text>
        <t>[Threaded comment]
Your version of Excel allows you to read this threaded comment; however, any edits to it will get removed if the file is opened in a newer version of Excel. Learn more: https://go.microsoft.com/fwlink/?linkid=870924
Comment:
    1) Bank fees group based on historical
2) Google suite
3) other subscriptions</t>
      </text>
    </comment>
    <comment ref="AL50" authorId="14" shapeId="0" xr:uid="{36B2D481-87EE-4163-8F2A-572E57EAF515}">
      <text>
        <t>[Threaded comment]
Your version of Excel allows you to read this threaded comment; however, any edits to it will get removed if the file is opened in a newer version of Excel. Learn more: https://go.microsoft.com/fwlink/?linkid=870924
Comment:
    $5k engineering -est
$1k shop supplies and other</t>
      </text>
    </comment>
    <comment ref="AG51" authorId="15" shapeId="0" xr:uid="{F7D6CA94-EEB6-4A9F-B803-4750F8660B5E}">
      <text>
        <t>[Threaded comment]
Your version of Excel allows you to read this threaded comment; however, any edits to it will get removed if the file is opened in a newer version of Excel. Learn more: https://go.microsoft.com/fwlink/?linkid=870924
Comment:
    CVAN</t>
      </text>
    </comment>
    <comment ref="AJ58" authorId="16" shapeId="0" xr:uid="{24AE938E-A6BB-492D-A2A1-285E8DC7287F}">
      <text>
        <t>[Threaded comment]
Your version of Excel allows you to read this threaded comment; however, any edits to it will get removed if the file is opened in a newer version of Excel. Learn more: https://go.microsoft.com/fwlink/?linkid=870924
Comment:
    Credit card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tc={A442E900-1C5E-409F-A258-003E54DC848F}</author>
  </authors>
  <commentList>
    <comment ref="G10" authorId="0" shapeId="0" xr:uid="{A442E900-1C5E-409F-A258-003E54DC848F}">
      <text>
        <t>[Threaded comment]
Your version of Excel allows you to read this threaded comment; however, any edits to it will get removed if the file is opened in a newer version of Excel. Learn more: https://go.microsoft.com/fwlink/?linkid=870924
Comment:
    Includes $20,000 accrued for Dean - May and June 2023</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tc={96063E20-59E9-406F-A287-13C90E94D0E3}</author>
    <author>tc={614D536C-6F84-480D-AAB8-7FA797BFD2B6}</author>
    <author>tc={57EC1801-DE76-4685-A090-87021DC24E57}</author>
    <author>tc={B56F95D6-C633-4DAD-A258-C070E4513A41}</author>
    <author>tc={8ACE90A4-DC32-46E9-A107-204918283B7B}</author>
    <author>tc={666D4BF8-6BCF-4449-9ECB-B29411902DCF}</author>
    <author>tc={0F322A51-8E4F-48E5-92B1-11BE476766E6}</author>
    <author>tc={B9600BE1-B4FC-4344-AC50-9C06FA6C40F1}</author>
    <author>tc={13706E69-BE12-4CC2-80E0-085323D787D8}</author>
    <author>tc={18A1B605-233B-486E-916E-FAC86E307764}</author>
    <author>tc={66299258-2FAB-400E-9CCA-37D4764417F4}</author>
    <author>tc={5274C2A3-2914-4A25-AD88-5B14E0BE1416}</author>
    <author>tc={66EAEA02-A023-4CBB-8515-4A615776AE8D}</author>
    <author>tc={ACA21FCD-F096-44E1-8DC3-8B61B9DE140F}</author>
    <author>tc={46FC52C9-12DC-4FFC-AE9A-A6D6063A585B}</author>
    <author>tc={A4D8AFD9-289D-4EBF-A282-F51FFC4B1FBC}</author>
    <author>tc={8624F345-97D9-43F5-B119-4635650668F7}</author>
    <author>tc={309B83AA-B337-4A1C-8C94-BA2735AA4AFE}</author>
    <author>tc={BFF1A594-0204-49C7-80F6-66E745553B87}</author>
    <author>tc={BEB75E6A-ABE9-46D9-A20C-279ED370B5B7}</author>
    <author>tc={A89314D0-D1A0-4154-BAE9-5C6542B4FB1E}</author>
    <author>tc={6DDAEDC9-1693-4046-8FF1-B23417092087}</author>
    <author>tc={B09EDB2D-C7DA-4B74-BC47-6CCAC4046CB5}</author>
    <author>tc={19B2AB92-A43B-4416-9CB4-3D0A63A3C1E3}</author>
    <author>tc={2D6D62A2-433F-4388-8C6A-9EEE63240C56}</author>
    <author>Terence Lee</author>
  </authors>
  <commentList>
    <comment ref="I7" authorId="0" shapeId="0" xr:uid="{96063E20-59E9-406F-A287-13C90E94D0E3}">
      <text>
        <t>[Threaded comment]
Your version of Excel allows you to read this threaded comment; however, any edits to it will get removed if the file is opened in a newer version of Excel. Learn more: https://go.microsoft.com/fwlink/?linkid=870924
Comment:
    These forecasted revenue and OPEX balances are from separate forecast workbook. Put into Hallor Group column but it contains industries balances mainly - no issue for consolidation proforma purposes.</t>
      </text>
    </comment>
    <comment ref="O7" authorId="1" shapeId="0" xr:uid="{614D536C-6F84-480D-AAB8-7FA797BFD2B6}">
      <text>
        <t>[Threaded comment]
Your version of Excel allows you to read this threaded comment; however, any edits to it will get removed if the file is opened in a newer version of Excel. Learn more: https://go.microsoft.com/fwlink/?linkid=870924
Comment:
    These forecasted revenue and OPEX balances are from separate forecast workbook. Put into Hallor Group column but it contains industries balances mainly - no issue for consolidation proforma purposes.</t>
      </text>
    </comment>
    <comment ref="U7" authorId="2" shapeId="0" xr:uid="{57EC1801-DE76-4685-A090-87021DC24E57}">
      <text>
        <t>[Threaded comment]
Your version of Excel allows you to read this threaded comment; however, any edits to it will get removed if the file is opened in a newer version of Excel. Learn more: https://go.microsoft.com/fwlink/?linkid=870924
Comment:
    These forecasted revenue and OPEX balances are from separate forecast workbook. Put into Hallor Group column but it contains industries balances mainly - no issue for consolidation proforma purposes.</t>
      </text>
    </comment>
    <comment ref="AA7" authorId="3" shapeId="0" xr:uid="{B56F95D6-C633-4DAD-A258-C070E4513A41}">
      <text>
        <t>[Threaded comment]
Your version of Excel allows you to read this threaded comment; however, any edits to it will get removed if the file is opened in a newer version of Excel. Learn more: https://go.microsoft.com/fwlink/?linkid=870924
Comment:
    These forecasted revenue and OPEX balances are from separate forecast workbook. Put into Hallor Group column but it contains industries balances mainly - no issue for consolidation proforma purposes.</t>
      </text>
    </comment>
    <comment ref="AG7" authorId="4" shapeId="0" xr:uid="{8ACE90A4-DC32-46E9-A107-204918283B7B}">
      <text>
        <t>[Threaded comment]
Your version of Excel allows you to read this threaded comment; however, any edits to it will get removed if the file is opened in a newer version of Excel. Learn more: https://go.microsoft.com/fwlink/?linkid=870924
Comment:
    These forecasted revenue and OPEX balances are from separate forecast workbook. Put into Hallor Group column but it contains industries balances mainly - no issue for consolidation proforma purposes.</t>
      </text>
    </comment>
    <comment ref="J9" authorId="5" shapeId="0" xr:uid="{666D4BF8-6BCF-4449-9ECB-B29411902DCF}">
      <text>
        <t>[Threaded comment]
Your version of Excel allows you to read this threaded comment; however, any edits to it will get removed if the file is opened in a newer version of Excel. Learn more: https://go.microsoft.com/fwlink/?linkid=870924
Comment:
    Reflects cash costs of acquiring components to fulfil Summit Air order;
Also includes $3M bridge financing and assume payment of cash interest at YE.</t>
      </text>
    </comment>
    <comment ref="K9" authorId="6" shapeId="0" xr:uid="{0F322A51-8E4F-48E5-92B1-11BE476766E6}">
      <text>
        <t>[Threaded comment]
Your version of Excel allows you to read this threaded comment; however, any edits to it will get removed if the file is opened in a newer version of Excel. Learn more: https://go.microsoft.com/fwlink/?linkid=870924
Comment:
    Includes a $2M shell financing</t>
      </text>
    </comment>
    <comment ref="P9" authorId="7" shapeId="0" xr:uid="{B9600BE1-B4FC-4344-AC50-9C06FA6C40F1}">
      <text>
        <t>[Threaded comment]
Your version of Excel allows you to read this threaded comment; however, any edits to it will get removed if the file is opened in a newer version of Excel. Learn more: https://go.microsoft.com/fwlink/?linkid=870924
Comment:
    CFWD balance from F26 + cash interest payment on bridge loan</t>
      </text>
    </comment>
    <comment ref="Q9" authorId="8" shapeId="0" xr:uid="{13706E69-BE12-4CC2-80E0-085323D787D8}">
      <text>
        <t>[Threaded comment]
Your version of Excel allows you to read this threaded comment; however, any edits to it will get removed if the file is opened in a newer version of Excel. Learn more: https://go.microsoft.com/fwlink/?linkid=870924
Comment:
    CFWD F26 + warranty liability payout (assume 10% of CY</t>
      </text>
    </comment>
    <comment ref="V9" authorId="9" shapeId="0" xr:uid="{18A1B605-233B-486E-916E-FAC86E307764}">
      <text>
        <t>[Threaded comment]
Your version of Excel allows you to read this threaded comment; however, any edits to it will get removed if the file is opened in a newer version of Excel. Learn more: https://go.microsoft.com/fwlink/?linkid=870924
Comment:
    Full repayment of bridge loan by end of June 2028</t>
      </text>
    </comment>
    <comment ref="Q41" authorId="10" shapeId="0" xr:uid="{66299258-2FAB-400E-9CCA-37D4764417F4}">
      <text>
        <t>[Threaded comment]
Your version of Excel allows you to read this threaded comment; however, any edits to it will get removed if the file is opened in a newer version of Excel. Learn more: https://go.microsoft.com/fwlink/?linkid=870924
Comment:
    Assume 10% of estimated warranty liab paid out in current year</t>
      </text>
    </comment>
    <comment ref="W41" authorId="11" shapeId="0" xr:uid="{5274C2A3-2914-4A25-AD88-5B14E0BE1416}">
      <text>
        <t>[Threaded comment]
Your version of Excel allows you to read this threaded comment; however, any edits to it will get removed if the file is opened in a newer version of Excel. Learn more: https://go.microsoft.com/fwlink/?linkid=870924
Comment:
    Assume 10% of estimated warranty liab paid out in current year; 10% of each prior years</t>
      </text>
    </comment>
    <comment ref="AC41" authorId="12" shapeId="0" xr:uid="{66EAEA02-A023-4CBB-8515-4A615776AE8D}">
      <text>
        <t>[Threaded comment]
Your version of Excel allows you to read this threaded comment; however, any edits to it will get removed if the file is opened in a newer version of Excel. Learn more: https://go.microsoft.com/fwlink/?linkid=870924
Comment:
    Assume 10% of estimated warranty liab paid out in current year; 10% of each prior years</t>
      </text>
    </comment>
    <comment ref="AI41" authorId="13" shapeId="0" xr:uid="{ACA21FCD-F096-44E1-8DC3-8B61B9DE140F}">
      <text>
        <t>[Threaded comment]
Your version of Excel allows you to read this threaded comment; however, any edits to it will get removed if the file is opened in a newer version of Excel. Learn more: https://go.microsoft.com/fwlink/?linkid=870924
Comment:
    Assume 10% of estimated warranty liab paid out in current year</t>
      </text>
    </comment>
    <comment ref="J84" authorId="14" shapeId="0" xr:uid="{46FC52C9-12DC-4FFC-AE9A-A6D6063A585B}">
      <text>
        <t>[Threaded comment]
Your version of Excel allows you to read this threaded comment; however, any edits to it will get removed if the file is opened in a newer version of Excel. Learn more: https://go.microsoft.com/fwlink/?linkid=870924
Comment:
    1) settlement of interest on convertible debt into shares; assumed settlement price of $0.50 per share (last financing)</t>
      </text>
    </comment>
    <comment ref="P84" authorId="15" shapeId="0" xr:uid="{A4D8AFD9-289D-4EBF-A282-F51FFC4B1FBC}">
      <text>
        <t>[Threaded comment]
Your version of Excel allows you to read this threaded comment; however, any edits to it will get removed if the file is opened in a newer version of Excel. Learn more: https://go.microsoft.com/fwlink/?linkid=870924
Comment:
    1) 2026 topside CFWD + interest on bridge loan for F27</t>
      </text>
    </comment>
    <comment ref="J88" authorId="16" shapeId="0" xr:uid="{8624F345-97D9-43F5-B119-4635650668F7}">
      <text>
        <t>[Threaded comment]
Your version of Excel allows you to read this threaded comment; however, any edits to it will get removed if the file is opened in a newer version of Excel. Learn more: https://go.microsoft.com/fwlink/?linkid=870924
Comment:
    1) Conversion of convertible debt to shares;
2) settlement of interest on convertible debt into shares; assumed settlement price of $0.50 per share (last financing)</t>
      </text>
    </comment>
    <comment ref="E99" authorId="17" shapeId="0" xr:uid="{309B83AA-B337-4A1C-8C94-BA2735AA4AFE}">
      <text>
        <t>[Threaded comment]
Your version of Excel allows you to read this threaded comment; however, any edits to it will get removed if the file is opened in a newer version of Excel. Learn more: https://go.microsoft.com/fwlink/?linkid=870924
Comment:
    CFWD from F24</t>
      </text>
    </comment>
    <comment ref="P101" authorId="18" shapeId="0" xr:uid="{BFF1A594-0204-49C7-80F6-66E745553B87}">
      <text>
        <t>[Threaded comment]
Your version of Excel allows you to read this threaded comment; however, any edits to it will get removed if the file is opened in a newer version of Excel. Learn more: https://go.microsoft.com/fwlink/?linkid=870924
Comment:
    One months of production assumed deferred revenue</t>
      </text>
    </comment>
    <comment ref="V101" authorId="19" shapeId="0" xr:uid="{BEB75E6A-ABE9-46D9-A20C-279ED370B5B7}">
      <text>
        <t>[Threaded comment]
Your version of Excel allows you to read this threaded comment; however, any edits to it will get removed if the file is opened in a newer version of Excel. Learn more: https://go.microsoft.com/fwlink/?linkid=870924
Comment:
    One months of production assumed deferred revenue</t>
      </text>
    </comment>
    <comment ref="AB101" authorId="20" shapeId="0" xr:uid="{A89314D0-D1A0-4154-BAE9-5C6542B4FB1E}">
      <text>
        <t>[Threaded comment]
Your version of Excel allows you to read this threaded comment; however, any edits to it will get removed if the file is opened in a newer version of Excel. Learn more: https://go.microsoft.com/fwlink/?linkid=870924
Comment:
    One months of production assumed deferred revenue</t>
      </text>
    </comment>
    <comment ref="P110" authorId="21" shapeId="0" xr:uid="{6DDAEDC9-1693-4046-8FF1-B23417092087}">
      <text>
        <t>[Threaded comment]
Your version of Excel allows you to read this threaded comment; however, any edits to it will get removed if the file is opened in a newer version of Excel. Learn more: https://go.microsoft.com/fwlink/?linkid=870924
Comment:
    One months of production assumed deferred revenue</t>
      </text>
    </comment>
    <comment ref="V110" authorId="22" shapeId="0" xr:uid="{B09EDB2D-C7DA-4B74-BC47-6CCAC4046CB5}">
      <text>
        <t>[Threaded comment]
Your version of Excel allows you to read this threaded comment; however, any edits to it will get removed if the file is opened in a newer version of Excel. Learn more: https://go.microsoft.com/fwlink/?linkid=870924
Comment:
    One months of production assumed deferred revenue</t>
      </text>
    </comment>
    <comment ref="AB110" authorId="23" shapeId="0" xr:uid="{19B2AB92-A43B-4416-9CB4-3D0A63A3C1E3}">
      <text>
        <t>[Threaded comment]
Your version of Excel allows you to read this threaded comment; however, any edits to it will get removed if the file is opened in a newer version of Excel. Learn more: https://go.microsoft.com/fwlink/?linkid=870924
Comment:
    One months of production assumed deferred revenue</t>
      </text>
    </comment>
    <comment ref="I189" authorId="24" shapeId="0" xr:uid="{2D6D62A2-433F-4388-8C6A-9EEE63240C56}">
      <text>
        <t>[Threaded comment]
Your version of Excel allows you to read this threaded comment; however, any edits to it will get removed if the file is opened in a newer version of Excel. Learn more: https://go.microsoft.com/fwlink/?linkid=870924
Comment:
    Manual reduction of half-year actuals already recorded</t>
      </text>
    </comment>
    <comment ref="C198" authorId="25" shapeId="0" xr:uid="{EF2F576C-6AA1-44FE-9F89-FFB0AE4BE756}">
      <text>
        <r>
          <rPr>
            <b/>
            <sz val="9"/>
            <color indexed="81"/>
            <rFont val="Tahoma"/>
            <family val="2"/>
          </rPr>
          <t>Terence Lee:</t>
        </r>
        <r>
          <rPr>
            <sz val="9"/>
            <color indexed="81"/>
            <rFont val="Tahoma"/>
            <family val="2"/>
          </rPr>
          <t xml:space="preserve">
assume we get bridge financing by end of Feb; 4 months remaining in fiscal 2026</t>
        </r>
      </text>
    </comment>
    <comment ref="B200" authorId="25" shapeId="0" xr:uid="{AF73CA95-AA7D-4741-BE6E-1691140CAE3E}">
      <text>
        <r>
          <rPr>
            <b/>
            <sz val="9"/>
            <color indexed="81"/>
            <rFont val="Tahoma"/>
            <family val="2"/>
          </rPr>
          <t>Terence Lee:</t>
        </r>
        <r>
          <rPr>
            <sz val="9"/>
            <color indexed="81"/>
            <rFont val="Tahoma"/>
            <family val="2"/>
          </rPr>
          <t xml:space="preserve">
assume repayment by June 30, 2028 - 2.5 years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tc={B1B66FC8-7102-4611-A375-645A1228B02D}</author>
    <author>tc={65240856-FE7D-484A-8D6D-CBB7313E6226}</author>
  </authors>
  <commentList>
    <comment ref="E7" authorId="0" shapeId="0" xr:uid="{B1B66FC8-7102-4611-A375-645A1228B02D}">
      <text>
        <t>[Threaded comment]
Your version of Excel allows you to read this threaded comment; however, any edits to it will get removed if the file is opened in a newer version of Excel. Learn more: https://go.microsoft.com/fwlink/?linkid=870924
Comment:
    to balance ending balances due to rounding</t>
      </text>
    </comment>
    <comment ref="E95" authorId="1" shapeId="0" xr:uid="{65240856-FE7D-484A-8D6D-CBB7313E6226}">
      <text>
        <t>[Threaded comment]
Your version of Excel allows you to read this threaded comment; however, any edits to it will get removed if the file is opened in a newer version of Excel. Learn more: https://go.microsoft.com/fwlink/?linkid=870924
Comment:
    CFWD from F24</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tc={1A55D021-4499-4CFF-8ABC-D9F4C84E5A22}</author>
    <author>tc={99199835-FCBE-4598-BBA0-15DDB358F4F9}</author>
    <author>tc={0528F355-568C-4274-A4A5-799000BDD9B5}</author>
    <author>tc={BED34A71-A355-4B36-960E-89BCB2C5501D}</author>
  </authors>
  <commentList>
    <comment ref="C2" authorId="0" shapeId="0" xr:uid="{1A55D021-4499-4CFF-8ABC-D9F4C84E5A22}">
      <text>
        <t>[Threaded comment]
Your version of Excel allows you to read this threaded comment; however, any edits to it will get removed if the file is opened in a newer version of Excel. Learn more: https://go.microsoft.com/fwlink/?linkid=870924
Comment:
    Update formula in this column each period</t>
      </text>
    </comment>
    <comment ref="D2" authorId="1" shapeId="0" xr:uid="{99199835-FCBE-4598-BBA0-15DDB358F4F9}">
      <text>
        <t>[Threaded comment]
Your version of Excel allows you to read this threaded comment; however, any edits to it will get removed if the file is opened in a newer version of Excel. Learn more: https://go.microsoft.com/fwlink/?linkid=870924
Comment:
    Update formula in this column each period</t>
      </text>
    </comment>
    <comment ref="I2" authorId="2" shapeId="0" xr:uid="{0528F355-568C-4274-A4A5-799000BDD9B5}">
      <text>
        <t>[Threaded comment]
Your version of Excel allows you to read this threaded comment; however, any edits to it will get removed if the file is opened in a newer version of Excel. Learn more: https://go.microsoft.com/fwlink/?linkid=870924
Comment:
    Update formula in this column each period</t>
      </text>
    </comment>
    <comment ref="J2" authorId="3" shapeId="0" xr:uid="{BED34A71-A355-4B36-960E-89BCB2C5501D}">
      <text>
        <t>[Threaded comment]
Your version of Excel allows you to read this threaded comment; however, any edits to it will get removed if the file is opened in a newer version of Excel. Learn more: https://go.microsoft.com/fwlink/?linkid=870924
Comment:
    Update formula in this column each period</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tc={B005D727-6CAD-4DEC-9B40-0A3F5078F85E}</author>
  </authors>
  <commentList>
    <comment ref="E7" authorId="0" shapeId="0" xr:uid="{B005D727-6CAD-4DEC-9B40-0A3F5078F85E}">
      <text>
        <t>[Threaded comment]
Your version of Excel allows you to read this threaded comment; however, any edits to it will get removed if the file is opened in a newer version of Excel. Learn more: https://go.microsoft.com/fwlink/?linkid=870924
Comment:
    to balance ending balances due to rounding</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tc={59747655-ADB9-445B-AFC9-85D6E0CA1EB5}</author>
    <author>tc={66967922-62B7-42DE-ABDA-6D5F0F097FBF}</author>
  </authors>
  <commentList>
    <comment ref="C2" authorId="0" shapeId="0" xr:uid="{59747655-ADB9-445B-AFC9-85D6E0CA1EB5}">
      <text>
        <t>[Threaded comment]
Your version of Excel allows you to read this threaded comment; however, any edits to it will get removed if the file is opened in a newer version of Excel. Learn more: https://go.microsoft.com/fwlink/?linkid=870924
Comment:
    Update formula in this column each period</t>
      </text>
    </comment>
    <comment ref="H2" authorId="1" shapeId="0" xr:uid="{66967922-62B7-42DE-ABDA-6D5F0F097FBF}">
      <text>
        <t>[Threaded comment]
Your version of Excel allows you to read this threaded comment; however, any edits to it will get removed if the file is opened in a newer version of Excel. Learn more: https://go.microsoft.com/fwlink/?linkid=870924
Comment:
    Update formula in this column each period</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tc={E0FC4687-8880-4E85-A5A2-47E8ACC9B1FB}</author>
    <author>tc={343C7655-B324-469F-B6E2-0124B813D906}</author>
  </authors>
  <commentList>
    <comment ref="D4" authorId="0" shapeId="0" xr:uid="{E0FC4687-8880-4E85-A5A2-47E8ACC9B1FB}">
      <text>
        <t>[Threaded comment]
Your version of Excel allows you to read this threaded comment; however, any edits to it will get removed if the file is opened in a newer version of Excel. Learn more: https://go.microsoft.com/fwlink/?linkid=870924
Comment:
    This column carries over adjusting entries from prior years - needed as these adjustments have not been pushed into the accounting system yet.</t>
      </text>
    </comment>
    <comment ref="F4" authorId="1" shapeId="0" xr:uid="{343C7655-B324-469F-B6E2-0124B813D906}">
      <text>
        <t>[Threaded comment]
Your version of Excel allows you to read this threaded comment; however, any edits to it will get removed if the file is opened in a newer version of Excel. Learn more: https://go.microsoft.com/fwlink/?linkid=870924
Comment:
    Due to rounding in column G we need plug to balance final TB balances</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tc={68C80784-118D-43F6-BCE7-B28A887C176F}</author>
  </authors>
  <commentList>
    <comment ref="E4" authorId="0" shapeId="0" xr:uid="{68C80784-118D-43F6-BCE7-B28A887C176F}">
      <text>
        <t>[Threaded comment]
Your version of Excel allows you to read this threaded comment; however, any edits to it will get removed if the file is opened in a newer version of Excel. Learn more: https://go.microsoft.com/fwlink/?linkid=870924
Comment:
    to balance ending balances due to rounding</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tc={7D31A87E-A07B-4C12-ACEF-19F27E6CF44C}</author>
  </authors>
  <commentList>
    <comment ref="I30" authorId="0" shapeId="0" xr:uid="{7D31A87E-A07B-4C12-ACEF-19F27E6CF44C}">
      <text>
        <t>[Threaded comment]
Your version of Excel allows you to read this threaded comment; however, any edits to it will get removed if the file is opened in a newer version of Excel. Learn more: https://go.microsoft.com/fwlink/?linkid=870924
Comment:
    SAK3 paid Upcapital this amount Sept 6, 2023; this entry was therefore to reflect payment and clear out Office supplies</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tc={D3C640E2-B907-485B-8708-B39904AC9782}</author>
    <author>tc={1FDD1247-8FEA-4AEC-AB80-4053C8E14723}</author>
    <author>tc={0E7D309E-DE78-451C-A7D9-116D8284EC5D}</author>
  </authors>
  <commentList>
    <comment ref="L29" authorId="0" shapeId="0" xr:uid="{D3C640E2-B907-485B-8708-B39904AC9782}">
      <text>
        <t>[Threaded comment]
Your version of Excel allows you to read this threaded comment; however, any edits to it will get removed if the file is opened in a newer version of Excel. Learn more: https://go.microsoft.com/fwlink/?linkid=870924
Comment:
    Must carry this forward indefinitely as cannot push into books the amortization on standalone basis - because there is no standalone intangible balance in the books of respective entities.</t>
      </text>
    </comment>
    <comment ref="L32" authorId="1" shapeId="0" xr:uid="{1FDD1247-8FEA-4AEC-AB80-4053C8E14723}">
      <text>
        <t>[Threaded comment]
Your version of Excel allows you to read this threaded comment; however, any edits to it will get removed if the file is opened in a newer version of Excel. Learn more: https://go.microsoft.com/fwlink/?linkid=870924
Comment:
    Must carry this forward indefinitely as cannot push into books the amortization on standalone basis - because there is no standalone intangible balance in the books of respective entities.</t>
      </text>
    </comment>
    <comment ref="L35" authorId="2" shapeId="0" xr:uid="{0E7D309E-DE78-451C-A7D9-116D8284EC5D}">
      <text>
        <t>[Threaded comment]
Your version of Excel allows you to read this threaded comment; however, any edits to it will get removed if the file is opened in a newer version of Excel. Learn more: https://go.microsoft.com/fwlink/?linkid=870924
Comment:
    Must carry this forward indefinitely as cannot push into books the amortization on standalone basis - because there is no standalone intangible balance in the books of respective entities.</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tc={3EDF5789-C79A-4605-8BC1-D8143F6EBA1E}</author>
    <author>tc={BAB93468-185D-42BE-98E8-8A8E2E4C1060}</author>
  </authors>
  <commentList>
    <comment ref="T6" authorId="0" shapeId="0" xr:uid="{3EDF5789-C79A-4605-8BC1-D8143F6EBA1E}">
      <text>
        <t>[Threaded comment]
Your version of Excel allows you to read this threaded comment; however, any edits to it will get removed if the file is opened in a newer version of Excel. Learn more: https://go.microsoft.com/fwlink/?linkid=870924
Comment:
    3 months, 6 months, 9 months etc</t>
      </text>
    </comment>
    <comment ref="R8" authorId="1" shapeId="0" xr:uid="{BAB93468-185D-42BE-98E8-8A8E2E4C1060}">
      <text>
        <t>[Threaded comment]
Your version of Excel allows you to read this threaded comment; however, any edits to it will get removed if the file is opened in a newer version of Excel. Learn more: https://go.microsoft.com/fwlink/?linkid=870924
Comment:
    Must carry this forward indefinitely as cannot push into books the amortization on standalone basis - because there is no standalone intangible balance in the books of respective entities.</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tc={3ECD74F1-5994-4C67-8BFC-457721531694}</author>
  </authors>
  <commentList>
    <comment ref="L18" authorId="0" shapeId="0" xr:uid="{3ECD74F1-5994-4C67-8BFC-457721531694}">
      <text>
        <t>[Threaded comment]
Your version of Excel allows you to read this threaded comment; however, any edits to it will get removed if the file is opened in a newer version of Excel. Learn more: https://go.microsoft.com/fwlink/?linkid=870924
Comment:
    Must carry this forward indefinitely as cannot push into books the amortization on standalone basis - because there is no standalone intangible balance in the books of respective entities.</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tc={F5C7755F-D9D5-4BFB-A207-37D9BAB17B50}</author>
    <author>tc={962D229F-39CE-4DD4-B1FB-188D93D7FB48}</author>
  </authors>
  <commentList>
    <comment ref="T6" authorId="0" shapeId="0" xr:uid="{F5C7755F-D9D5-4BFB-A207-37D9BAB17B50}">
      <text>
        <t>[Threaded comment]
Your version of Excel allows you to read this threaded comment; however, any edits to it will get removed if the file is opened in a newer version of Excel. Learn more: https://go.microsoft.com/fwlink/?linkid=870924
Comment:
    3 months, 6 months, 9 months etc</t>
      </text>
    </comment>
    <comment ref="R155" authorId="1" shapeId="0" xr:uid="{962D229F-39CE-4DD4-B1FB-188D93D7FB48}">
      <text>
        <t>[Threaded comment]
Your version of Excel allows you to read this threaded comment; however, any edits to it will get removed if the file is opened in a newer version of Excel. Learn more: https://go.microsoft.com/fwlink/?linkid=870924
Comment:
    Must carry this forward indefinitely as cannot push into books the amortization on standalone basis - because there is no standalone intangible balance in the books of respective entities.</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tc={DE1FBCD0-B212-465C-9682-C41AF14BE041}</author>
    <author>tc={478FE63E-6FC6-4661-9EF2-A88D3E4A7F40}</author>
  </authors>
  <commentList>
    <comment ref="F43" authorId="0" shapeId="0" xr:uid="{DE1FBCD0-B212-465C-9682-C41AF14BE041}">
      <text>
        <t>[Threaded comment]
Your version of Excel allows you to read this threaded comment; however, any edits to it will get removed if the file is opened in a newer version of Excel. Learn more: https://go.microsoft.com/fwlink/?linkid=870924
Comment:
    Opening RE has to be manually recalculated as QBO will not generated automatically. Due to year-end adjustment in Hallor Industries which were recorded on July 31, 2023 but which related to period prior to acquisition date on July 12, 2023
See column D in Tab PL.1
Includes $117.83 balancing plug</t>
      </text>
    </comment>
    <comment ref="H44" authorId="1" shapeId="0" xr:uid="{478FE63E-6FC6-4661-9EF2-A88D3E4A7F40}">
      <text>
        <t>[Threaded comment]
Your version of Excel allows you to read this threaded comment; however, any edits to it will get removed if the file is opened in a newer version of Excel. Learn more: https://go.microsoft.com/fwlink/?linkid=870924
Comment:
    As extracted from Tab PL.1 - represents YTD Q2 P&amp;L balances from July 12, 2023 - June 30, 2024</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tc={E84BDA8B-B32E-4F7E-A3DB-1587CC3EE2AF}</author>
    <author>tc={A6BB3974-6F6E-457E-8008-957276602830}</author>
  </authors>
  <commentList>
    <comment ref="H5" authorId="0" shapeId="0" xr:uid="{E84BDA8B-B32E-4F7E-A3DB-1587CC3EE2AF}">
      <text>
        <t xml:space="preserve">[Threaded comment]
Your version of Excel allows you to read this threaded comment; however, any edits to it will get removed if the file is opened in a newer version of Excel. Learn more: https://go.microsoft.com/fwlink/?linkid=870924
Comment:
    To adjust pre-acquisition P&amp;L balances </t>
      </text>
    </comment>
    <comment ref="I5" authorId="1" shapeId="0" xr:uid="{A6BB3974-6F6E-457E-8008-957276602830}">
      <text>
        <t xml:space="preserve">[Threaded comment]
Your version of Excel allows you to read this threaded comment; however, any edits to it will get removed if the file is opened in a newer version of Excel. Learn more: https://go.microsoft.com/fwlink/?linkid=870924
Comment:
    To adjust pre-acquisition P&amp;L balances </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tc={7B81CE71-2013-4C7C-AC5F-85197F21FF08}</author>
    <author>tc={8FB4C872-9C2C-4C28-9039-962B279E580E}</author>
    <author>tc={FB1937C6-1E9F-4FC2-856E-D189F4259A8F}</author>
    <author>tc={4AAB9436-E6C8-42DF-B8A3-B9D54761680B}</author>
    <author>tc={BCBEBD55-1A92-4948-A8E0-9A93CE44C451}</author>
    <author>tc={88EDB67D-9C1A-4BB8-B4CE-964A81CD0AF8}</author>
    <author>tc={2C295346-BD32-49E3-908D-FC7E167CC7FE}</author>
    <author>tc={2DE0E4A1-2B54-4827-BDF8-1721B461026B}</author>
    <author>tc={25DCDC72-DE38-409A-B0B1-5C1F2C329E47}</author>
    <author>tc={D3113E10-9356-42B8-8BBB-0D4A8A0D23B7}</author>
  </authors>
  <commentList>
    <comment ref="F2" authorId="0" shapeId="0" xr:uid="{7B81CE71-2013-4C7C-AC5F-85197F21FF08}">
      <text>
        <t>[Threaded comment]
Your version of Excel allows you to read this threaded comment; however, any edits to it will get removed if the file is opened in a newer version of Excel. Learn more: https://go.microsoft.com/fwlink/?linkid=870924
Comment:
    Unreconciled bank transactions; added to get WC figure for prospectus - s/b no adjustments when preparing actual Q2'24</t>
      </text>
    </comment>
    <comment ref="D13" authorId="1" shapeId="0" xr:uid="{8FB4C872-9C2C-4C28-9039-962B279E580E}">
      <text>
        <t>[Threaded comment]
Your version of Excel allows you to read this threaded comment; however, any edits to it will get removed if the file is opened in a newer version of Excel. Learn more: https://go.microsoft.com/fwlink/?linkid=870924
Comment:
    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
      </text>
    </comment>
    <comment ref="I13" authorId="2" shapeId="0" xr:uid="{FB1937C6-1E9F-4FC2-856E-D189F4259A8F}">
      <text>
        <t>[Threaded comment]
Your version of Excel allows you to read this threaded comment; however, any edits to it will get removed if the file is opened in a newer version of Excel. Learn more: https://go.microsoft.com/fwlink/?linkid=870924
Comment:
    To capitalize to WIP inventory</t>
      </text>
    </comment>
    <comment ref="D14" authorId="3" shapeId="0" xr:uid="{4AAB9436-E6C8-42DF-B8A3-B9D54761680B}">
      <text>
        <t>[Threaded comment]
Your version of Excel allows you to read this threaded comment; however, any edits to it will get removed if the file is opened in a newer version of Excel. Learn more: https://go.microsoft.com/fwlink/?linkid=870924
Comment:
    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
      </text>
    </comment>
    <comment ref="I14" authorId="4" shapeId="0" xr:uid="{BCBEBD55-1A92-4948-A8E0-9A93CE44C451}">
      <text>
        <t>[Threaded comment]
Your version of Excel allows you to read this threaded comment; however, any edits to it will get removed if the file is opened in a newer version of Excel. Learn more: https://go.microsoft.com/fwlink/?linkid=870924
Comment:
    To capitalize to WIP inventory</t>
      </text>
    </comment>
    <comment ref="D15" authorId="5" shapeId="0" xr:uid="{88EDB67D-9C1A-4BB8-B4CE-964A81CD0AF8}">
      <text>
        <t>[Threaded comment]
Your version of Excel allows you to read this threaded comment; however, any edits to it will get removed if the file is opened in a newer version of Excel. Learn more: https://go.microsoft.com/fwlink/?linkid=870924
Comment:
    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
      </text>
    </comment>
    <comment ref="I15" authorId="6" shapeId="0" xr:uid="{2C295346-BD32-49E3-908D-FC7E167CC7FE}">
      <text>
        <t>[Threaded comment]
Your version of Excel allows you to read this threaded comment; however, any edits to it will get removed if the file is opened in a newer version of Excel. Learn more: https://go.microsoft.com/fwlink/?linkid=870924
Comment:
    To capitalize to WIP inventory</t>
      </text>
    </comment>
    <comment ref="D17" authorId="7" shapeId="0" xr:uid="{2DE0E4A1-2B54-4827-BDF8-1721B461026B}">
      <text>
        <t>[Threaded comment]
Your version of Excel allows you to read this threaded comment; however, any edits to it will get removed if the file is opened in a newer version of Excel. Learn more: https://go.microsoft.com/fwlink/?linkid=870924
Comment:
    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
      </text>
    </comment>
    <comment ref="D22" authorId="8" shapeId="0" xr:uid="{25DCDC72-DE38-409A-B0B1-5C1F2C329E47}">
      <text>
        <t>[Threaded comment]
Your version of Excel allows you to read this threaded comment; however, any edits to it will get removed if the file is opened in a newer version of Excel. Learn more: https://go.microsoft.com/fwlink/?linkid=870924
Comment:
    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
      </text>
    </comment>
    <comment ref="D24" authorId="9" shapeId="0" xr:uid="{D3113E10-9356-42B8-8BBB-0D4A8A0D23B7}">
      <text>
        <t>[Threaded comment]
Your version of Excel allows you to read this threaded comment; however, any edits to it will get removed if the file is opened in a newer version of Excel. Learn more: https://go.microsoft.com/fwlink/?linkid=870924
Comment:
    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tc={249C4FBF-7FE4-4588-A782-91F2293D799C}</author>
    <author>tc={B5294455-BF43-4564-A0BB-40E520990019}</author>
    <author>tc={A467F5DF-2FB1-4313-9DC1-21B24E594E0C}</author>
    <author>tc={0FE4A6D7-D2F9-424A-AFFA-A390071EFC4D}</author>
    <author>tc={FD00B6AA-2B1B-45C0-A05C-586AF2F57AAE}</author>
    <author>tc={D4D3D003-7107-4B98-BA3F-465E8A9541FC}</author>
    <author>tc={BBC1E9D9-A629-4698-AD2D-96746B862CF7}</author>
    <author>tc={495FBF09-859C-4276-AC31-68FD6DD34ED5}</author>
    <author>tc={0EA6145E-2ACA-47DB-AF79-2D086DA1A380}</author>
    <author>tc={06FF2E9C-4D4E-4D34-A534-4F6335045925}</author>
    <author>tc={5943CBB8-40DD-4CDD-8DEB-C6DD7B422478}</author>
    <author>tc={58AA45CD-C2F2-4AAF-A496-6D7E29B27D98}</author>
    <author>tc={7A25C5D7-8AA7-46BA-8BDD-814A9D40F5DC}</author>
  </authors>
  <commentList>
    <comment ref="D8" authorId="0" shapeId="0" xr:uid="{249C4FBF-7FE4-4588-A782-91F2293D799C}">
      <text>
        <t>[Threaded comment]
Your version of Excel allows you to read this threaded comment; however, any edits to it will get removed if the file is opened in a newer version of Excel. Learn more: https://go.microsoft.com/fwlink/?linkid=870924
Comment:
    These July balances related to June 30 per QBO comments; no adjustment</t>
      </text>
    </comment>
    <comment ref="D9" authorId="1" shapeId="0" xr:uid="{B5294455-BF43-4564-A0BB-40E520990019}">
      <text>
        <t>[Threaded comment]
Your version of Excel allows you to read this threaded comment; however, any edits to it will get removed if the file is opened in a newer version of Excel. Learn more: https://go.microsoft.com/fwlink/?linkid=870924
Comment:
    These July balances related to June 30 per QBO comments; no adjustment</t>
      </text>
    </comment>
    <comment ref="D10" authorId="2" shapeId="0" xr:uid="{A467F5DF-2FB1-4313-9DC1-21B24E594E0C}">
      <text>
        <t>[Threaded comment]
Your version of Excel allows you to read this threaded comment; however, any edits to it will get removed if the file is opened in a newer version of Excel. Learn more: https://go.microsoft.com/fwlink/?linkid=870924
Comment:
    These July balances related to June 30 per QBO comments; no adjustment</t>
      </text>
    </comment>
    <comment ref="D12" authorId="3" shapeId="0" xr:uid="{0FE4A6D7-D2F9-424A-AFFA-A390071EFC4D}">
      <text>
        <t>[Threaded comment]
Your version of Excel allows you to read this threaded comment; however, any edits to it will get removed if the file is opened in a newer version of Excel. Learn more: https://go.microsoft.com/fwlink/?linkid=870924
Comment:
    These July balances related to June 30 per QBO comments; no adjustment</t>
      </text>
    </comment>
    <comment ref="D17" authorId="4" shapeId="0" xr:uid="{FD00B6AA-2B1B-45C0-A05C-586AF2F57AAE}">
      <text>
        <t>[Threaded comment]
Your version of Excel allows you to read this threaded comment; however, any edits to it will get removed if the file is opened in a newer version of Excel. Learn more: https://go.microsoft.com/fwlink/?linkid=870924
Comment:
    This was correcting adjustment pushed into July 31; TB balance already reflects correct balance at June 30, 2023 so no further adjustment here</t>
      </text>
    </comment>
    <comment ref="D18" authorId="5" shapeId="0" xr:uid="{D4D3D003-7107-4B98-BA3F-465E8A9541FC}">
      <text>
        <t xml:space="preserve">[Threaded comment]
Your version of Excel allows you to read this threaded comment; however, any edits to it will get removed if the file is opened in a newer version of Excel. Learn more: https://go.microsoft.com/fwlink/?linkid=870924
Comment:
    1,845 INK July invoice
4,500 imperium july invoice 
Reverse to adjust back to June 30, 2023 </t>
      </text>
    </comment>
    <comment ref="D19" authorId="6" shapeId="0" xr:uid="{BBC1E9D9-A629-4698-AD2D-96746B862CF7}">
      <text>
        <t>[Threaded comment]
Your version of Excel allows you to read this threaded comment; however, any edits to it will get removed if the file is opened in a newer version of Excel. Learn more: https://go.microsoft.com/fwlink/?linkid=870924
Comment:
    Allocating to inventory - TB already reflects as at June 30 for this account; no further adjustment needed</t>
      </text>
    </comment>
    <comment ref="D20" authorId="7" shapeId="0" xr:uid="{495FBF09-859C-4276-AC31-68FD6DD34ED5}">
      <text>
        <t>[Threaded comment]
Your version of Excel allows you to read this threaded comment; however, any edits to it will get removed if the file is opened in a newer version of Excel. Learn more: https://go.microsoft.com/fwlink/?linkid=870924
Comment:
    Reverse to arrive back to June 30 balance</t>
      </text>
    </comment>
    <comment ref="D21" authorId="8" shapeId="0" xr:uid="{0EA6145E-2ACA-47DB-AF79-2D086DA1A380}">
      <text>
        <t>[Threaded comment]
Your version of Excel allows you to read this threaded comment; however, any edits to it will get removed if the file is opened in a newer version of Excel. Learn more: https://go.microsoft.com/fwlink/?linkid=870924
Comment:
    Reverse to arrive back to June 30 balance</t>
      </text>
    </comment>
    <comment ref="D22" authorId="9" shapeId="0" xr:uid="{06FF2E9C-4D4E-4D34-A534-4F6335045925}">
      <text>
        <t>[Threaded comment]
Your version of Excel allows you to read this threaded comment; however, any edits to it will get removed if the file is opened in a newer version of Excel. Learn more: https://go.microsoft.com/fwlink/?linkid=870924
Comment:
    Reverse to arrive back to June 30 balance</t>
      </text>
    </comment>
    <comment ref="D23" authorId="10" shapeId="0" xr:uid="{5943CBB8-40DD-4CDD-8DEB-C6DD7B422478}">
      <text>
        <t>[Threaded comment]
Your version of Excel allows you to read this threaded comment; however, any edits to it will get removed if the file is opened in a newer version of Excel. Learn more: https://go.microsoft.com/fwlink/?linkid=870924
Comment:
    Reverse to arrive back to June 30 balance</t>
      </text>
    </comment>
    <comment ref="D26" authorId="11" shapeId="0" xr:uid="{58AA45CD-C2F2-4AAF-A496-6D7E29B27D98}">
      <text>
        <t>[Threaded comment]
Your version of Excel allows you to read this threaded comment; however, any edits to it will get removed if the file is opened in a newer version of Excel. Learn more: https://go.microsoft.com/fwlink/?linkid=870924
Comment:
    Trivial no adjustment</t>
      </text>
    </comment>
    <comment ref="D29" authorId="12" shapeId="0" xr:uid="{7A25C5D7-8AA7-46BA-8BDD-814A9D40F5DC}">
      <text>
        <t>[Threaded comment]
Your version of Excel allows you to read this threaded comment; however, any edits to it will get removed if the file is opened in a newer version of Excel. Learn more: https://go.microsoft.com/fwlink/?linkid=870924
Comment:
    This is FY depreciation; trivial amount relates to July, so no adjustment reflected here.</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tc={BA2B6482-B093-49D7-B372-0E05681F8647}</author>
    <author>tc={559FD825-7FB0-4651-9E36-CEC309183D45}</author>
    <author>tc={EE160E3A-98FF-4FEF-B3F4-5B2E09067840}</author>
    <author>tc={017D5903-DA7A-48A6-9C4D-197DC2E667E9}</author>
    <author>tc={95CCC13A-1037-4110-B23C-079FF1FC54FA}</author>
    <author>tc={1C55BEA6-D12E-4433-B246-D6E01CF50BDF}</author>
    <author>tc={EE0389C2-BDE9-456D-AD61-367E9C3E20DC}</author>
    <author>tc={8FFEC78B-8198-4253-904E-C33D9DA7E487}</author>
    <author>tc={90D038DC-E646-42D9-8C81-A060A019774E}</author>
    <author>tc={2F81F1AD-30D4-4E27-84CC-371DC68BC2A0}</author>
    <author>tc={251D4162-C8D0-4A2D-8E6F-8C31FE413158}</author>
    <author>tc={19894A38-51A4-4807-B9AC-F134F4111D6D}</author>
  </authors>
  <commentList>
    <comment ref="I5" authorId="0" shapeId="0" xr:uid="{BA2B6482-B093-49D7-B372-0E05681F8647}">
      <text>
        <t>[Threaded comment]
Your version of Excel allows you to read this threaded comment; however, any edits to it will get removed if the file is opened in a newer version of Excel. Learn more: https://go.microsoft.com/fwlink/?linkid=870924
Comment:
    Aditi recorded entries in QBO as at Dec 31, 2022 because Hallor Group was initially contemplated with a YE of Dec 31 - when Aditi did catchup accounting for purposes of audit with DMCL, she closed the records using manual journal entries recorded on Dec 31, 2022. 
However, some of these adjustments would have related to transactions for 3 months ended Sept 30, 2022, the historical period in question. 
This is attempt to rebuild the P&amp;L for Q1'23 as otherwise the P&amp;L reports from QBO will not show any balances</t>
      </text>
    </comment>
    <comment ref="H7" authorId="1" shapeId="0" xr:uid="{559FD825-7FB0-4651-9E36-CEC309183D45}">
      <text>
        <t>[Threaded comment]
Your version of Excel allows you to read this threaded comment; however, any edits to it will get removed if the file is opened in a newer version of Excel. Learn more: https://go.microsoft.com/fwlink/?linkid=870924
Comment:
    Company gets account rebates each month so reasonable to be zero</t>
      </text>
    </comment>
    <comment ref="H8" authorId="2" shapeId="0" xr:uid="{EE160E3A-98FF-4FEF-B3F4-5B2E09067840}">
      <text>
        <t>[Threaded comment]
Your version of Excel allows you to read this threaded comment; however, any edits to it will get removed if the file is opened in a newer version of Excel. Learn more: https://go.microsoft.com/fwlink/?linkid=870924
Comment:
    There were accrual reversals recorded in Q1 but no offsetting expense in the same period. So QBO shows credit balance, which doesn't make sense. The reversals are moved into Q2
$600 relates to invoices from 16 bit advisors, old bookkeeper before Aditi. $100 per month x 6 invoices (3 for Hallor, 3 for SAK6 charged back to Hallor) from July - Sept 2022</t>
      </text>
    </comment>
    <comment ref="I8" authorId="3" shapeId="0" xr:uid="{017D5903-DA7A-48A6-9C4D-197DC2E667E9}">
      <text>
        <t>[Threaded comment]
Your version of Excel allows you to read this threaded comment; however, any edits to it will get removed if the file is opened in a newer version of Excel. Learn more: https://go.microsoft.com/fwlink/?linkid=870924
Comment:
    Applied accrual reversals showing up in QBO as impact to Q1'23 and reflecting in Q2'23
Otherwise there would be credit expense balance in P&amp;L which doesn't make sense.</t>
      </text>
    </comment>
    <comment ref="H9" authorId="4" shapeId="0" xr:uid="{95CCC13A-1037-4110-B23C-079FF1FC54FA}">
      <text>
        <t>[Threaded comment]
Your version of Excel allows you to read this threaded comment; however, any edits to it will get removed if the file is opened in a newer version of Excel. Learn more: https://go.microsoft.com/fwlink/?linkid=870924
Comment:
    1) AJE3 from Aditi's Dec 31, 2022 AJE - relates to McMillian inv 1285339 and inv 1286664 - bot were related to legal services in FY22. So no need to include
2) GPL $5k july inv + $300 of fees for Eric bookkeeping July - Sept</t>
      </text>
    </comment>
    <comment ref="I9" authorId="5" shapeId="0" xr:uid="{1C55BEA6-D12E-4433-B246-D6E01CF50BDF}">
      <text>
        <t xml:space="preserve">[Threaded comment]
Your version of Excel allows you to read this threaded comment; however, any edits to it will get removed if the file is opened in a newer version of Excel. Learn more: https://go.microsoft.com/fwlink/?linkid=870924
Comment:
    Applied accrual reversals showing up in QBO as impact to Q1'23 and reflecting in Q2'23
Otherwise there would be credit expense balance in P&amp;L which doesn't make sense.
</t>
      </text>
    </comment>
    <comment ref="H10" authorId="6" shapeId="0" xr:uid="{EE0389C2-BDE9-456D-AD61-367E9C3E20DC}">
      <text>
        <t>[Threaded comment]
Your version of Excel allows you to read this threaded comment; however, any edits to it will get removed if the file is opened in a newer version of Excel. Learn more: https://go.microsoft.com/fwlink/?linkid=870924
Comment:
    1) Dream even bigger - July and Aug 2022 - no Sept invoice was billed. $2500 per month
2) $5,000 - invoice 310720221006 from GPL consulting for July services</t>
      </text>
    </comment>
    <comment ref="H11" authorId="7" shapeId="0" xr:uid="{8FFEC78B-8198-4253-904E-C33D9DA7E487}">
      <text>
        <t>[Threaded comment]
Your version of Excel allows you to read this threaded comment; however, any edits to it will get removed if the file is opened in a newer version of Excel. Learn more: https://go.microsoft.com/fwlink/?linkid=870924
Comment:
    Company was shell until closer to striking LOI to acquire Hallor Industries in November 2022 - so reasonable to be zero</t>
      </text>
    </comment>
    <comment ref="H12" authorId="8" shapeId="0" xr:uid="{90D038DC-E646-42D9-8C81-A060A019774E}">
      <text>
        <t>[Threaded comment]
Your version of Excel allows you to read this threaded comment; however, any edits to it will get removed if the file is opened in a newer version of Excel. Learn more: https://go.microsoft.com/fwlink/?linkid=870924
Comment:
    Company was shell until closer to striking LOI to acquire Hallor Industries in November 2022 - so reasonable to be zero</t>
      </text>
    </comment>
    <comment ref="H13" authorId="9" shapeId="0" xr:uid="{2F81F1AD-30D4-4E27-84CC-371DC68BC2A0}">
      <text>
        <t>[Threaded comment]
Your version of Excel allows you to read this threaded comment; however, any edits to it will get removed if the file is opened in a newer version of Excel. Learn more: https://go.microsoft.com/fwlink/?linkid=870924
Comment:
    Company was shell until closer to striking LOI to acquire Hallor Industries in November 2022 - so reasonable to be zero</t>
      </text>
    </comment>
    <comment ref="H14" authorId="10" shapeId="0" xr:uid="{251D4162-C8D0-4A2D-8E6F-8C31FE413158}">
      <text>
        <t xml:space="preserve">[Threaded comment]
Your version of Excel allows you to read this threaded comment; however, any edits to it will get removed if the file is opened in a newer version of Excel. Learn more: https://go.microsoft.com/fwlink/?linkid=870924
Comment:
    Dealmaker charges from SAK6 back to Hallor (Inv SAK6-01). For Aug and Sept 2022 charges </t>
      </text>
    </comment>
    <comment ref="H15" authorId="11" shapeId="0" xr:uid="{19894A38-51A4-4807-B9AC-F134F4111D6D}">
      <text>
        <t>[Threaded comment]
Your version of Excel allows you to read this threaded comment; however, any edits to it will get removed if the file is opened in a newer version of Excel. Learn more: https://go.microsoft.com/fwlink/?linkid=870924
Comment:
    Company was shell until closer to striking LOI to acquire Hallor Industries in November 2022 - so reasonable to be zero</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tc={D2804E14-4ECB-41CB-955D-0A009874C538}</author>
    <author>tc={E9F75B0D-D09A-4E8B-95FD-CD1D0D3BD5FF}</author>
    <author>tc={A0D3BE2E-34D8-493E-AE23-D5201E77A0C5}</author>
    <author>tc={602FF2D5-7072-44D6-B8B5-BF419E8B6B42}</author>
    <author>tc={6CF651F2-66CE-40E3-BA24-035F5841B6A0}</author>
    <author>tc={45A9A93C-9949-42D4-9E9A-6513FCD32D1C}</author>
    <author>tc={33506681-8139-427D-900D-2BCC60A55229}</author>
    <author>tc={11B04CCB-201B-4C8B-88F9-FC83EE7A5E21}</author>
  </authors>
  <commentList>
    <comment ref="L2" authorId="0" shapeId="0" xr:uid="{D2804E14-4ECB-41CB-955D-0A009874C538}">
      <text>
        <t>[Threaded comment]
Your version of Excel allows you to read this threaded comment; however, any edits to it will get removed if the file is opened in a newer version of Excel. Learn more: https://go.microsoft.com/fwlink/?linkid=870924
Comment:
    Per QBO ledger details; to determine the carrying value of inventory on acquisition date</t>
      </text>
    </comment>
    <comment ref="M4" authorId="1" shapeId="0" xr:uid="{E9F75B0D-D09A-4E8B-95FD-CD1D0D3BD5FF}">
      <text>
        <t>[Threaded comment]
Your version of Excel allows you to read this threaded comment; however, any edits to it will get removed if the file is opened in a newer version of Excel. Learn more: https://go.microsoft.com/fwlink/?linkid=870924
Comment:
    Based on raw material carrying value as audited at July 31, 2023 - would not have been materially different to parts and components as at July 12, 2023</t>
      </text>
    </comment>
    <comment ref="F7" authorId="2" shapeId="0" xr:uid="{A0D3BE2E-34D8-493E-AE23-D5201E77A0C5}">
      <text>
        <t>[Threaded comment]
Your version of Excel allows you to read this threaded comment; however, any edits to it will get removed if the file is opened in a newer version of Excel. Learn more: https://go.microsoft.com/fwlink/?linkid=870924
Comment:
    To adjust WIP inventory</t>
      </text>
    </comment>
    <comment ref="G7" authorId="3" shapeId="0" xr:uid="{602FF2D5-7072-44D6-B8B5-BF419E8B6B42}">
      <text>
        <t>[Threaded comment]
Your version of Excel allows you to read this threaded comment; however, any edits to it will get removed if the file is opened in a newer version of Excel. Learn more: https://go.microsoft.com/fwlink/?linkid=870924
Comment:
    To adjust cash balances</t>
      </text>
    </comment>
    <comment ref="M43" authorId="4" shapeId="0" xr:uid="{6CF651F2-66CE-40E3-BA24-035F5841B6A0}">
      <text>
        <t>[Threaded comment]
Your version of Excel allows you to read this threaded comment; however, any edits to it will get removed if the file is opened in a newer version of Excel. Learn more: https://go.microsoft.com/fwlink/?linkid=870924
Comment:
    This is actually accumulated deficit as of June 30, 2023 - the YE of Hallor Industries was changed from July 31 to June 30 in QBO - once you do that, when you generate a TB, QBO uses opening RE figure. So even though TB was run as at July 31, 2023, this is actually the accum deficit figure as of the LAST FISCAL YEAR - which is now June 30</t>
      </text>
    </comment>
    <comment ref="C44" authorId="5" shapeId="0" xr:uid="{45A9A93C-9949-42D4-9E9A-6513FCD32D1C}">
      <text>
        <t>[Threaded comment]
Your version of Excel allows you to read this threaded comment; however, any edits to it will get removed if the file is opened in a newer version of Excel. Learn more: https://go.microsoft.com/fwlink/?linkid=870924
Comment:
    This is actually accumulated deficit as of June 30, 2023 - the YE of Hallor Industries was changed from July 31 to June 30 in QBO - once you do that, when you generate a TB, QBO uses opening RE figure. So even though TB was run as at July 31, 2023, this is actually the accum deficit figure as of the LAST FISCAL YEAR - which is now June 30</t>
      </text>
    </comment>
    <comment ref="E44" authorId="6" shapeId="0" xr:uid="{33506681-8139-427D-900D-2BCC60A55229}">
      <text>
        <t>[Threaded comment]
Your version of Excel allows you to read this threaded comment; however, any edits to it will get removed if the file is opened in a newer version of Excel. Learn more: https://go.microsoft.com/fwlink/?linkid=870924
Comment:
    This is actually accumulated deficit as of June 30, 2023 - the YE of Hallor Industries was changed from July 31 to June 30 in QBO - once you do that, when you generate a TB, QBO uses opening RE figure. So even though TB was run as at July 31, 2023, this is actually the accum deficit figure as of the LAST FISCAL YEAR - which is now June 30</t>
      </text>
    </comment>
    <comment ref="D45" authorId="7" shapeId="0" xr:uid="{11B04CCB-201B-4C8B-88F9-FC83EE7A5E21}">
      <text>
        <t>[Threaded comment]
Your version of Excel allows you to read this threaded comment; however, any edits to it will get removed if the file is opened in a newer version of Excel. Learn more: https://go.microsoft.com/fwlink/?linkid=870924
Comment:
    Reflects all the YE adjusting entries which were booked as at July 31, 2023 as the year-end for Hallor was still July 31, 2023.</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tc={D252E69A-3278-458A-94CF-A0AE6C1C0A71}</author>
  </authors>
  <commentList>
    <comment ref="E3" authorId="0" shapeId="0" xr:uid="{D252E69A-3278-458A-94CF-A0AE6C1C0A71}">
      <text>
        <t>[Threaded comment]
Your version of Excel allows you to read this threaded comment; however, any edits to it will get removed if the file is opened in a newer version of Excel. Learn more: https://go.microsoft.com/fwlink/?linkid=870924
Comment:
    Based on most recent financing round</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tc={00CE85D9-A895-46B1-97D6-2AC7C3C7D8C7}</author>
    <author>tc={73D5D9CB-CE59-4634-BCA8-EA4C423E754A}</author>
    <author>tc={A929501A-F8C2-48A5-8E58-1D840B51FD09}</author>
    <author>tc={543CE225-F239-4767-ACD2-E6BC4A7ABCAD}</author>
    <author>tc={9C1B1F3B-C421-4026-8CDA-B10844F61B90}</author>
    <author>tc={9DC2738F-E782-4F9C-A2A1-160573C60268}</author>
    <author>tc={EB4E3DC6-A35B-48B9-B831-228E8AF2C68C}</author>
    <author>tc={138A2B9E-6385-4E47-BA4F-2F14954B7BF4}</author>
    <author>tc={B1C3D554-B103-473F-8699-9305D13AA8C4}</author>
    <author>tc={59FC04F3-1219-4ED9-9F83-2CEE480D641D}</author>
  </authors>
  <commentList>
    <comment ref="C5" authorId="0" shapeId="0" xr:uid="{00CE85D9-A895-46B1-97D6-2AC7C3C7D8C7}">
      <text>
        <t>[Threaded comment]
Your version of Excel allows you to read this threaded comment; however, any edits to it will get removed if the file is opened in a newer version of Excel. Learn more: https://go.microsoft.com/fwlink/?linkid=870924
Comment:
    Per terms of subscription agreement; 25% discount from the go public share price anticipated at $0.50.</t>
      </text>
    </comment>
    <comment ref="C17" authorId="1" shapeId="0" xr:uid="{73D5D9CB-CE59-4634-BCA8-EA4C423E754A}">
      <text>
        <t>[Threaded comment]
Your version of Excel allows you to read this threaded comment; however, any edits to it will get removed if the file is opened in a newer version of Excel. Learn more: https://go.microsoft.com/fwlink/?linkid=870924
Comment:
    Closing date of the notes (based on Christina's note agreement); Ashik's agreement was Aug 14, 2023</t>
      </text>
    </comment>
    <comment ref="C19" authorId="2" shapeId="0" xr:uid="{A929501A-F8C2-48A5-8E58-1D840B51FD09}">
      <text>
        <t>[Threaded comment]
Your version of Excel allows you to read this threaded comment; however, any edits to it will get removed if the file is opened in a newer version of Excel. Learn more: https://go.microsoft.com/fwlink/?linkid=870924
Comment:
    Most recent financing</t>
      </text>
    </comment>
    <comment ref="C21" authorId="3" shapeId="0" xr:uid="{543CE225-F239-4767-ACD2-E6BC4A7ABCAD}">
      <text>
        <t xml:space="preserve">[Threaded comment]
Your version of Excel allows you to read this threaded comment; however, any edits to it will get removed if the file is opened in a newer version of Excel. Learn more: https://go.microsoft.com/fwlink/?linkid=870924
Comment:
    Valuation date at August 18, 2023 - conversion expected to happen in Dec (estimated acceptance of final prospectus). So 4 months out </t>
      </text>
    </comment>
    <comment ref="D41" authorId="4" shapeId="0" xr:uid="{9C1B1F3B-C421-4026-8CDA-B10844F61B90}">
      <text>
        <t>[Threaded comment]
Your version of Excel allows you to read this threaded comment; however, any edits to it will get removed if the file is opened in a newer version of Excel. Learn more: https://go.microsoft.com/fwlink/?linkid=870924
Comment:
    Per Geske valuation model - compound options</t>
      </text>
    </comment>
    <comment ref="C49" authorId="5" shapeId="0" xr:uid="{9DC2738F-E782-4F9C-A2A1-160573C60268}">
      <text>
        <t>[Threaded comment]
Your version of Excel allows you to read this threaded comment; however, any edits to it will get removed if the file is opened in a newer version of Excel. Learn more: https://go.microsoft.com/fwlink/?linkid=870924
Comment:
    This represents the conversion option on the convertible note</t>
      </text>
    </comment>
    <comment ref="D49" authorId="6" shapeId="0" xr:uid="{EB4E3DC6-A35B-48B9-B831-228E8AF2C68C}">
      <text>
        <t>[Threaded comment]
Your version of Excel allows you to read this threaded comment; however, any edits to it will get removed if the file is opened in a newer version of Excel. Learn more: https://go.microsoft.com/fwlink/?linkid=870924
Comment:
    This represents the additional warrant that is issued on conversion of the debenture</t>
      </text>
    </comment>
    <comment ref="D50" authorId="7" shapeId="0" xr:uid="{138A2B9E-6385-4E47-BA4F-2F14954B7BF4}">
      <text>
        <t>[Threaded comment]
Your version of Excel allows you to read this threaded comment; however, any edits to it will get removed if the file is opened in a newer version of Excel. Learn more: https://go.microsoft.com/fwlink/?linkid=870924
Comment:
    Used for compound options</t>
      </text>
    </comment>
    <comment ref="D51" authorId="8" shapeId="0" xr:uid="{B1C3D554-B103-473F-8699-9305D13AA8C4}">
      <text>
        <t>[Threaded comment]
Your version of Excel allows you to read this threaded comment; however, any edits to it will get removed if the file is opened in a newer version of Excel. Learn more: https://go.microsoft.com/fwlink/?linkid=870924
Comment:
    4 months to conversion + 5 years life of warrant</t>
      </text>
    </comment>
    <comment ref="D52" authorId="9" shapeId="0" xr:uid="{59FC04F3-1219-4ED9-9F83-2CEE480D641D}">
      <text>
        <t>[Threaded comment]
Your version of Excel allows you to read this threaded comment; however, any edits to it will get removed if the file is opened in a newer version of Excel. Learn more: https://go.microsoft.com/fwlink/?linkid=870924
Comment:
    Comparing the strike price of $0.375 and the share price at issuance of $0.50, the initial conversion feature is in the money. Therefore, the conversion option strike price of $0.375 is allocated completely to the common share component and no value is allocated to the warrant component. 
A nominal amount of $0.0001 is allocated to the conversion option component to be conservative and to apply a value for the Geske model calculator (as an amount needs to be provided for a value to be calculated.)
In applying the Geske model, we used both $0.0001 and $0.001 in the valuation of the warrant on warrant and it made no difference in the resulting valuation.</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tc={56215B36-1398-4575-A51A-1CC7ED17E326}</author>
    <author>tc={4DABEB15-B889-4E4A-8185-5C4D1986FD47}</author>
  </authors>
  <commentList>
    <comment ref="B4" authorId="0" shapeId="0" xr:uid="{56215B36-1398-4575-A51A-1CC7ED17E326}">
      <text>
        <t>[Threaded comment]
Your version of Excel allows you to read this threaded comment; however, any edits to it will get removed if the file is opened in a newer version of Excel. Learn more: https://go.microsoft.com/fwlink/?linkid=870924
Comment:
    Date notes closed</t>
      </text>
    </comment>
    <comment ref="D25" authorId="1" shapeId="0" xr:uid="{4DABEB15-B889-4E4A-8185-5C4D1986FD47}">
      <text>
        <t>[Threaded comment]
Your version of Excel allows you to read this threaded comment; however, any edits to it will get removed if the file is opened in a newer version of Excel. Learn more: https://go.microsoft.com/fwlink/?linkid=870924
Comment:
    Goal seek</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tc={A04766BF-0273-497E-8CC2-437F8DA8DA63}</author>
  </authors>
  <commentList>
    <comment ref="D7" authorId="0" shapeId="0" xr:uid="{A04766BF-0273-497E-8CC2-437F8DA8DA63}">
      <text>
        <t>[Threaded comment]
Your version of Excel allows you to read this threaded comment; however, any edits to it will get removed if the file is opened in a newer version of Excel. Learn more: https://go.microsoft.com/fwlink/?linkid=870924
Comment:
    Seven years as estimated.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<sst xmlns="http://schemas.openxmlformats.org/spreadsheetml/2006/main" count="9409" uniqueCount="2313">
  <si>
    <t>TOTAL</t>
  </si>
  <si>
    <t>FS Classification</t>
  </si>
  <si>
    <t>Government grants</t>
  </si>
  <si>
    <t>Prepaid expenses</t>
  </si>
  <si>
    <t>Accounts payable and accrued liabilities</t>
  </si>
  <si>
    <t>Share capital</t>
  </si>
  <si>
    <t>Contributed surplus</t>
  </si>
  <si>
    <t>Share-based payments</t>
  </si>
  <si>
    <t>ASSETS</t>
  </si>
  <si>
    <t>Operating activities</t>
  </si>
  <si>
    <t>Amortization</t>
  </si>
  <si>
    <t>Net cash used in operating activities</t>
  </si>
  <si>
    <t>Investing activities</t>
  </si>
  <si>
    <t>Net cash used in investing activities</t>
  </si>
  <si>
    <t>Financing activities</t>
  </si>
  <si>
    <t>Bank indebtedness</t>
  </si>
  <si>
    <t>Net cash provided by financing activities</t>
  </si>
  <si>
    <t>Cash Flow Proof</t>
  </si>
  <si>
    <t>Net Change</t>
  </si>
  <si>
    <t>Check</t>
  </si>
  <si>
    <t>Increase (decrease) in cash during the year</t>
  </si>
  <si>
    <t>Finance income</t>
  </si>
  <si>
    <t>Receivables</t>
  </si>
  <si>
    <t>This page intentionally blank</t>
  </si>
  <si>
    <t>Finance costs</t>
  </si>
  <si>
    <t>Company name:</t>
  </si>
  <si>
    <t>Interest expense</t>
  </si>
  <si>
    <t>Meals and entertainment</t>
  </si>
  <si>
    <t>GL Account Name</t>
  </si>
  <si>
    <t>Inventory</t>
  </si>
  <si>
    <t>Loans and borrowings</t>
  </si>
  <si>
    <t>Other payables</t>
  </si>
  <si>
    <t>Accrued salaries</t>
  </si>
  <si>
    <t>Accrued liabilities</t>
  </si>
  <si>
    <t>Trade payables</t>
  </si>
  <si>
    <t>General and administration</t>
  </si>
  <si>
    <t>Sales and marketing</t>
  </si>
  <si>
    <t>Interest income</t>
  </si>
  <si>
    <t>Other receivables</t>
  </si>
  <si>
    <t>Placeholder</t>
  </si>
  <si>
    <t>FS Note Classification</t>
  </si>
  <si>
    <t>Input</t>
  </si>
  <si>
    <t>Net loss for the period</t>
  </si>
  <si>
    <t>Depreciation and amortization</t>
  </si>
  <si>
    <t>Cost of sales</t>
  </si>
  <si>
    <t>Cash Flow Proof Classification</t>
  </si>
  <si>
    <t>Items not affecting cash:</t>
  </si>
  <si>
    <t>Foreign currency exchange</t>
  </si>
  <si>
    <t>(Repayment of) advances from related party</t>
  </si>
  <si>
    <t>Interest paid</t>
  </si>
  <si>
    <t>Taxes paid</t>
  </si>
  <si>
    <t>Cash used in operating activities:</t>
  </si>
  <si>
    <t>Net change in non-cash working capital items:</t>
  </si>
  <si>
    <t>Repayment of lease liabilities</t>
  </si>
  <si>
    <t>Repayment of loans and borrowings</t>
  </si>
  <si>
    <t>Proceeds from loans, net of transaction costs</t>
  </si>
  <si>
    <t>Proceeds from convertibles notes, net of transaction costs</t>
  </si>
  <si>
    <t>Acquisition of property and equipment</t>
  </si>
  <si>
    <t>Expenditures on intangible assets</t>
  </si>
  <si>
    <t>Proceeds from exercise of stock options, net of issuance costs</t>
  </si>
  <si>
    <t>Proceeds from issuance of preferred shares, net of issuance costs</t>
  </si>
  <si>
    <t>Proceeds from exercise of share purchase warrants, net of issuance costs</t>
  </si>
  <si>
    <t>Foreign exchange effect on cash held in United States dollars</t>
  </si>
  <si>
    <t>Non-cash items (which have no impact on CFS):</t>
  </si>
  <si>
    <t>Initial recognition of ROU assets and lease liabilities</t>
  </si>
  <si>
    <t>-</t>
  </si>
  <si>
    <t>Cash, end of period</t>
  </si>
  <si>
    <t>Cash, beginning of period</t>
  </si>
  <si>
    <t>Non-cash items:</t>
  </si>
  <si>
    <t>Lease liabilities</t>
  </si>
  <si>
    <t>Prepaid expenses and deposits</t>
  </si>
  <si>
    <t>Total</t>
  </si>
  <si>
    <t>Total prepaid expenses and deposits</t>
  </si>
  <si>
    <t>Total accounts payable and accrued liabilities</t>
  </si>
  <si>
    <t>Customer deposits</t>
  </si>
  <si>
    <t>Liquidity risk</t>
  </si>
  <si>
    <t>Total carrying amount</t>
  </si>
  <si>
    <t>Contractual cash flows</t>
  </si>
  <si>
    <t>Less than 1 year</t>
  </si>
  <si>
    <t>1 to 5 years</t>
  </si>
  <si>
    <t>More than 5 years</t>
  </si>
  <si>
    <t>Fixed rate instruments</t>
  </si>
  <si>
    <t>Variable rate instruments</t>
  </si>
  <si>
    <t>Interest received</t>
  </si>
  <si>
    <t>Increase (decrease) of bank indebtedness</t>
  </si>
  <si>
    <t>Current period end date:</t>
  </si>
  <si>
    <t>Current Period</t>
  </si>
  <si>
    <t>Comparative Period</t>
  </si>
  <si>
    <t>Notes</t>
  </si>
  <si>
    <t>Current assets</t>
  </si>
  <si>
    <t>$</t>
  </si>
  <si>
    <t>Trade and other receivables</t>
  </si>
  <si>
    <t>Total current assets</t>
  </si>
  <si>
    <t>Non-current assets</t>
  </si>
  <si>
    <t>Property and equipment</t>
  </si>
  <si>
    <t>Total non-current assets</t>
  </si>
  <si>
    <t>LIABILITIES</t>
  </si>
  <si>
    <t>Current liabilities</t>
  </si>
  <si>
    <t>Trade payables and accrued liabilities</t>
  </si>
  <si>
    <t>Deferred revenue</t>
  </si>
  <si>
    <t>Due to related parties</t>
  </si>
  <si>
    <t>Total current liabilities</t>
  </si>
  <si>
    <t>Non-current liabilities</t>
  </si>
  <si>
    <t>EQUITY</t>
  </si>
  <si>
    <t>Total equity</t>
  </si>
  <si>
    <t>Other income (expenses)</t>
  </si>
  <si>
    <t>Net financing cost</t>
  </si>
  <si>
    <t>Loss before tax</t>
  </si>
  <si>
    <t>Current tax recovery (expense)</t>
  </si>
  <si>
    <t>Deferred tax recovery (expense)</t>
  </si>
  <si>
    <t>Net loss for the year</t>
  </si>
  <si>
    <t>Shares issued in business combination</t>
  </si>
  <si>
    <t>Shares issued to settle liabilities</t>
  </si>
  <si>
    <t>OPERATING ACTIVITIES</t>
  </si>
  <si>
    <t>Changes in non-cash working capital items:</t>
  </si>
  <si>
    <t>INVESTING ACTIVITIES</t>
  </si>
  <si>
    <t>FINANCING ACTIVITIES</t>
  </si>
  <si>
    <t>Increase (decrease) in cash</t>
  </si>
  <si>
    <t>Effect of exchange rate fluctuations on cash held</t>
  </si>
  <si>
    <t>Cash, beginning of year</t>
  </si>
  <si>
    <t>Cash, end of year</t>
  </si>
  <si>
    <t>Net cash flows from financing activities</t>
  </si>
  <si>
    <t>Net cash flows from investing activities</t>
  </si>
  <si>
    <t>GIFI</t>
  </si>
  <si>
    <t>Reclass</t>
  </si>
  <si>
    <t>FX plug</t>
  </si>
  <si>
    <t>[Placeholder]</t>
  </si>
  <si>
    <t>Note Disclosures</t>
  </si>
  <si>
    <t>Canada</t>
  </si>
  <si>
    <t>Total revenue</t>
  </si>
  <si>
    <t>Trade receivables from contracts with customers</t>
  </si>
  <si>
    <t>Loss allowance</t>
  </si>
  <si>
    <t>Total trade and other receivables</t>
  </si>
  <si>
    <t>Current portion of prepaid expenses and deposits</t>
  </si>
  <si>
    <t>Non-current portion of prepaid expenses and deposits</t>
  </si>
  <si>
    <t>Leasehold improvements</t>
  </si>
  <si>
    <t>Cost</t>
  </si>
  <si>
    <t>Additions</t>
  </si>
  <si>
    <t>Accumulated amortization</t>
  </si>
  <si>
    <t>Carrying amounts</t>
  </si>
  <si>
    <t>Balance, beginning of year</t>
  </si>
  <si>
    <t>Payments of lease obligations</t>
  </si>
  <si>
    <t>Finance cost on lease liabilities</t>
  </si>
  <si>
    <t>Effect from currency translation</t>
  </si>
  <si>
    <t>Balance, end of year</t>
  </si>
  <si>
    <t>Maturity analysis – contractual undiscounted cash outflows</t>
  </si>
  <si>
    <t>Less than on year</t>
  </si>
  <si>
    <t>One to five years</t>
  </si>
  <si>
    <t>More than five years</t>
  </si>
  <si>
    <t>Total undiscounted lease liabilities</t>
  </si>
  <si>
    <t>Current</t>
  </si>
  <si>
    <t>Non-current</t>
  </si>
  <si>
    <t>Total lease liabilities</t>
  </si>
  <si>
    <t>Amounts recognized in statement of loss and comprehensive loss:</t>
  </si>
  <si>
    <t>Interest on lease liabilities recorded as finance cost</t>
  </si>
  <si>
    <t>Total loans and borrowings</t>
  </si>
  <si>
    <t>Less: current portion of loans and borrowings</t>
  </si>
  <si>
    <t>Maximum amount of credit available</t>
  </si>
  <si>
    <t>Financial instruments</t>
  </si>
  <si>
    <t>For the year ended:</t>
  </si>
  <si>
    <t>Unbilled revenue ([Note X])</t>
  </si>
  <si>
    <t>Balance – December 31, 2019</t>
  </si>
  <si>
    <t>Less: Recognized in revenue</t>
  </si>
  <si>
    <t>Currency translation adjustment</t>
  </si>
  <si>
    <t>Acquired in business combination</t>
  </si>
  <si>
    <t>Less: Transferred to trade and other receivables</t>
  </si>
  <si>
    <t>Less: Loss allowance</t>
  </si>
  <si>
    <t>Interest on loans and borrowings</t>
  </si>
  <si>
    <t>Supplemental cash flow information</t>
  </si>
  <si>
    <t>Settlement of liabilities through issuance of common shares</t>
  </si>
  <si>
    <t>Shares issued in business combination ([Note X])</t>
  </si>
  <si>
    <t>Transaction costs settled through common shares in business combination ([Note X])</t>
  </si>
  <si>
    <t>Additions to property and equipment</t>
  </si>
  <si>
    <t>Additions to intangible assets</t>
  </si>
  <si>
    <t>Additions to right-of-use assets subsequent to transition to IFRS 16</t>
  </si>
  <si>
    <t>Recognition of lease liabilities subsequent to transition to IFRS 16</t>
  </si>
  <si>
    <t>Balance sheet balancing check</t>
  </si>
  <si>
    <t>SOCE - Share capital</t>
  </si>
  <si>
    <t>SOCE - Contributed surplus</t>
  </si>
  <si>
    <t>SOCE - AOCI</t>
  </si>
  <si>
    <t>SOCE - Accumulated deficit</t>
  </si>
  <si>
    <t>SOCE - NCI</t>
  </si>
  <si>
    <t>SOCE - Total equity</t>
  </si>
  <si>
    <t>Deferred tax asset</t>
  </si>
  <si>
    <t>GST/HST payables</t>
  </si>
  <si>
    <t>Due from related parties</t>
  </si>
  <si>
    <t>Office supplies</t>
  </si>
  <si>
    <t>Deposit</t>
  </si>
  <si>
    <t>Other expenses</t>
  </si>
  <si>
    <t>Revenues</t>
  </si>
  <si>
    <t>Income taxes payable</t>
  </si>
  <si>
    <t>Payroll liabilities</t>
  </si>
  <si>
    <t>Income tax payable</t>
  </si>
  <si>
    <t>Gain from debt forgiveness</t>
  </si>
  <si>
    <t>Other income</t>
  </si>
  <si>
    <t>Bad debt</t>
  </si>
  <si>
    <t>Due to shareholders</t>
  </si>
  <si>
    <t>DO NOT REMOVE - CARRYFORWARD</t>
  </si>
  <si>
    <t>Other prepaid expenses</t>
  </si>
  <si>
    <t>Accrued professional fees</t>
  </si>
  <si>
    <t>Office expenses</t>
  </si>
  <si>
    <t>Foreign exchange effect on cash held in other currencies</t>
  </si>
  <si>
    <t>Due to/from related parties</t>
  </si>
  <si>
    <t>(Repayment of) advances from shareholders</t>
  </si>
  <si>
    <t>Proceeds from private placements</t>
  </si>
  <si>
    <t xml:space="preserve">Check - Current Period </t>
  </si>
  <si>
    <t>Prepaid listing expenses</t>
  </si>
  <si>
    <t>Sales taxes receivable</t>
  </si>
  <si>
    <t>Bank overdraft</t>
  </si>
  <si>
    <t>Interest (calculated quarterly in arrears on the daily balance)</t>
  </si>
  <si>
    <t>Credit card</t>
  </si>
  <si>
    <t>Interest (calculated monthly in arrears on the daily balance)</t>
  </si>
  <si>
    <t>Interest payable</t>
  </si>
  <si>
    <t>Share issue costs</t>
  </si>
  <si>
    <t>Interest on overdue payables</t>
  </si>
  <si>
    <t>GL Account</t>
  </si>
  <si>
    <t>Europe</t>
  </si>
  <si>
    <t>Miscellaneous expenses</t>
  </si>
  <si>
    <t>Expenses by nature</t>
  </si>
  <si>
    <t>Tax refund</t>
  </si>
  <si>
    <t>Sales taxes</t>
  </si>
  <si>
    <t>AJEs</t>
  </si>
  <si>
    <t xml:space="preserve">Re-measurement of derivative liability </t>
  </si>
  <si>
    <t xml:space="preserve">Fair value of broker warrants on private placements </t>
  </si>
  <si>
    <t>Variable</t>
  </si>
  <si>
    <t>Comparative period end date #1:</t>
  </si>
  <si>
    <t>Comparative period end date #2:</t>
  </si>
  <si>
    <t>Period Description</t>
  </si>
  <si>
    <t>Current portion of lease liabilities</t>
  </si>
  <si>
    <t xml:space="preserve">Current portion of loans and borrowings </t>
  </si>
  <si>
    <t>Accumulated other comprehensive income</t>
  </si>
  <si>
    <t xml:space="preserve">FS Note Classification </t>
  </si>
  <si>
    <t>FS Face Statement Classification</t>
  </si>
  <si>
    <t>Net financial expenses</t>
  </si>
  <si>
    <t>Other operating expenses</t>
  </si>
  <si>
    <t xml:space="preserve">Other income </t>
  </si>
  <si>
    <t>Professional fees</t>
  </si>
  <si>
    <t>Cash and cash equivalents</t>
  </si>
  <si>
    <t>Advertising and marketing</t>
  </si>
  <si>
    <t>Sales tax payable</t>
  </si>
  <si>
    <t>Bank fees</t>
  </si>
  <si>
    <t xml:space="preserve">Telecommunications </t>
  </si>
  <si>
    <t>Travel expenses</t>
  </si>
  <si>
    <t>Dues, licenses, and permits</t>
  </si>
  <si>
    <t>Cost of goods sold</t>
  </si>
  <si>
    <t>Foreign exchange gain / loss</t>
  </si>
  <si>
    <t xml:space="preserve">Parking </t>
  </si>
  <si>
    <t>Other miscellaneous</t>
  </si>
  <si>
    <t xml:space="preserve">Interest and penalties </t>
  </si>
  <si>
    <t>DO NOT REMOVE THIS TAB</t>
  </si>
  <si>
    <t xml:space="preserve">GL Account </t>
  </si>
  <si>
    <t>Debit</t>
  </si>
  <si>
    <t>Credit</t>
  </si>
  <si>
    <t>Amount</t>
  </si>
  <si>
    <t>AJE 1</t>
  </si>
  <si>
    <t>AJE 2</t>
  </si>
  <si>
    <t>Sum of adjustments</t>
  </si>
  <si>
    <t>Summary of Manual Adjustments</t>
  </si>
  <si>
    <t>DR / (CR)</t>
  </si>
  <si>
    <t>Balance Check - s/b zero</t>
  </si>
  <si>
    <t>Summary of Manual Topside AJE's - See TAB AJE.1</t>
  </si>
  <si>
    <t>Total Adjusted Balances</t>
  </si>
  <si>
    <t>Prior- Year Topside AJE's Carried Forward</t>
  </si>
  <si>
    <t>Tab TB.1</t>
  </si>
  <si>
    <t>Tab AJE.1</t>
  </si>
  <si>
    <t xml:space="preserve">Balancing AJE </t>
  </si>
  <si>
    <t>Current Period Loss / (Profit)</t>
  </si>
  <si>
    <t>Computer Equipment</t>
  </si>
  <si>
    <t>Furniture and Equipment</t>
  </si>
  <si>
    <t>Open</t>
  </si>
  <si>
    <t>Support Ref &gt;&gt;</t>
  </si>
  <si>
    <t>Dividends declared</t>
  </si>
  <si>
    <t>META DATA BELOW - DO NOT EDIT</t>
  </si>
  <si>
    <t>DO NOT REMOVE &gt;&gt;</t>
  </si>
  <si>
    <t>Net Income / Loss for the period</t>
  </si>
  <si>
    <t>Intangible assets - NOT USED</t>
  </si>
  <si>
    <t>USA</t>
  </si>
  <si>
    <t xml:space="preserve">Asia </t>
  </si>
  <si>
    <t>Property</t>
  </si>
  <si>
    <t>Depreciation charge for the period</t>
  </si>
  <si>
    <t>Vehicles</t>
  </si>
  <si>
    <t>Bank indebtedness - NOT USED</t>
  </si>
  <si>
    <t xml:space="preserve">Bank operating line of credit </t>
  </si>
  <si>
    <t>Bank term loan #1</t>
  </si>
  <si>
    <t>Bank term loan #2</t>
  </si>
  <si>
    <t xml:space="preserve">Operating bank loan </t>
  </si>
  <si>
    <t>Non-current portion of loans and borrowings</t>
  </si>
  <si>
    <t>Other current assets</t>
  </si>
  <si>
    <t>Accumulated Deficit</t>
  </si>
  <si>
    <t>Management fees</t>
  </si>
  <si>
    <t>Bad debt expense</t>
  </si>
  <si>
    <t>Operating income / (loss)</t>
  </si>
  <si>
    <t>Net income / (loss) for the year</t>
  </si>
  <si>
    <t>Comprehensive income / (loss) for the year</t>
  </si>
  <si>
    <t>$ Variances</t>
  </si>
  <si>
    <t>% Variances</t>
  </si>
  <si>
    <t>Operating expenses</t>
  </si>
  <si>
    <t>Total operating expenses</t>
  </si>
  <si>
    <t>GL Account #</t>
  </si>
  <si>
    <t>Regulatory fees</t>
  </si>
  <si>
    <t>Type of BS</t>
  </si>
  <si>
    <t>Type of IS</t>
  </si>
  <si>
    <t>Type of CFS</t>
  </si>
  <si>
    <t>Type of SOCE</t>
  </si>
  <si>
    <t>Statement of Financial Position</t>
  </si>
  <si>
    <t>Statement of Loss and Comprehensive Loss</t>
  </si>
  <si>
    <t>Statements of Changes in Shareholders's Equity</t>
  </si>
  <si>
    <t>Statement of Cash Flows</t>
  </si>
  <si>
    <t>Accounts payables and accrued liabilities</t>
  </si>
  <si>
    <t>Accumlated deficit</t>
  </si>
  <si>
    <t>Total Equity</t>
  </si>
  <si>
    <t>Total Shareholders’ (deficit) equity</t>
  </si>
  <si>
    <t>Total Liabilities and equity</t>
  </si>
  <si>
    <t>Total Liabilities</t>
  </si>
  <si>
    <t>Total Assets</t>
  </si>
  <si>
    <t>Financial Statements</t>
  </si>
  <si>
    <t>Share based compensation</t>
  </si>
  <si>
    <t>Net loss for period</t>
  </si>
  <si>
    <t>Taxes and licenses</t>
  </si>
  <si>
    <t>1200 Prepaid expenses</t>
  </si>
  <si>
    <t>2000 Accounts Payable (A/P)</t>
  </si>
  <si>
    <t>2100 Accrued Liabilities</t>
  </si>
  <si>
    <t>1100 Accounts Receivable (A/R)</t>
  </si>
  <si>
    <t>1005 Undeposited Funds</t>
  </si>
  <si>
    <t>1400 Other current assets</t>
  </si>
  <si>
    <t>3000 Share capital</t>
  </si>
  <si>
    <t>3500 Opening Balance Equity</t>
  </si>
  <si>
    <t>6300 Unapplied Cash Bill Payment Expense</t>
  </si>
  <si>
    <t>Contributed Surplus</t>
  </si>
  <si>
    <t>Proceeds from issuance of common shares, net of issuance costs</t>
  </si>
  <si>
    <t>Weighted Average Shares Outstanding Calculations</t>
  </si>
  <si>
    <t>for the year ending</t>
  </si>
  <si>
    <t>(previous year end</t>
  </si>
  <si>
    <t>12 Months</t>
  </si>
  <si>
    <t>3 months</t>
  </si>
  <si>
    <t>9 months</t>
  </si>
  <si>
    <t>6 months</t>
  </si>
  <si>
    <t>12 mos.</t>
  </si>
  <si>
    <t>9 mos.</t>
  </si>
  <si>
    <t>6 mos.</t>
  </si>
  <si>
    <t>3 mos.</t>
  </si>
  <si>
    <t>days</t>
  </si>
  <si>
    <t>WTD. AVG.</t>
  </si>
  <si>
    <t># Shares</t>
  </si>
  <si>
    <t>OPENING BALANCE</t>
  </si>
  <si>
    <t>WEIGHTED AVG. SHARES O/S FOR 3 MO.S</t>
  </si>
  <si>
    <t>WEIGHTED AVG. SHARES O/S FOR 6 MO.S</t>
  </si>
  <si>
    <t>WEIGHTED AVG. SHARES O/S FOR 9 MO.S</t>
  </si>
  <si>
    <t>WEIGHTED AVG. SHARES O/S FOR 12 MO.S</t>
  </si>
  <si>
    <t>CLOSING BALANCE</t>
  </si>
  <si>
    <t xml:space="preserve">Ending WASO </t>
  </si>
  <si>
    <t>Total Loss</t>
  </si>
  <si>
    <t>Basic and diluted loss per share</t>
  </si>
  <si>
    <t>Segment Reporting - NOT USED</t>
  </si>
  <si>
    <t>Trade and other receivables - NOT USED</t>
  </si>
  <si>
    <t>Prepaid expenses and deposits - NOT USED</t>
  </si>
  <si>
    <t>Property and equipment- NOT USED</t>
  </si>
  <si>
    <t>Right-of-use assets - NOT USED</t>
  </si>
  <si>
    <t>Lease liabilities - NOT USED</t>
  </si>
  <si>
    <t>Trade payables and accrued liabilities - NOT USED</t>
  </si>
  <si>
    <t>Loans and borrowings - NOT USED</t>
  </si>
  <si>
    <t>Commitments and contingencies - NOT USED</t>
  </si>
  <si>
    <t>Revenue - NOT USED</t>
  </si>
  <si>
    <t>Net financing cost - NOT USED</t>
  </si>
  <si>
    <t>Other expenses and income - NOT USED</t>
  </si>
  <si>
    <t>Last updated:</t>
  </si>
  <si>
    <t>Period ended</t>
  </si>
  <si>
    <t>Q1</t>
  </si>
  <si>
    <t>Q2</t>
  </si>
  <si>
    <t>Q3</t>
  </si>
  <si>
    <t>Q4</t>
  </si>
  <si>
    <t>year ended</t>
  </si>
  <si>
    <t>3 Months</t>
  </si>
  <si>
    <t>SELECT Current Reporting Period &gt;&gt;</t>
  </si>
  <si>
    <t>Trial Balance</t>
  </si>
  <si>
    <t xml:space="preserve">Check - Prior Period </t>
  </si>
  <si>
    <t>Summary of Manual Topside AJE's</t>
  </si>
  <si>
    <t>Profit and Loss</t>
  </si>
  <si>
    <t>EXPENSES</t>
  </si>
  <si>
    <t xml:space="preserve">   6010 Accounting</t>
  </si>
  <si>
    <t xml:space="preserve">   6015 Bank charges</t>
  </si>
  <si>
    <t xml:space="preserve">   6020 Legal and professional fees</t>
  </si>
  <si>
    <t>Total Expenses</t>
  </si>
  <si>
    <t>OTHER EXPENSES</t>
  </si>
  <si>
    <t>Total Other Expenses</t>
  </si>
  <si>
    <t>PROFIT</t>
  </si>
  <si>
    <t>Jan - Mar., 2022</t>
  </si>
  <si>
    <t>Apr - Jun., 2022</t>
  </si>
  <si>
    <t xml:space="preserve">   6050 Regulatory and Transfer Agent fees</t>
  </si>
  <si>
    <t>GL Account being adjusted</t>
  </si>
  <si>
    <t>Description of adjustment</t>
  </si>
  <si>
    <t>Amount - DR / (CR)</t>
  </si>
  <si>
    <t>Period</t>
  </si>
  <si>
    <t>Check - must be zero</t>
  </si>
  <si>
    <t>w/p REF</t>
  </si>
  <si>
    <t>Sum of Adjustments  in period</t>
  </si>
  <si>
    <t>Current reporting period &gt;&gt; SELECT</t>
  </si>
  <si>
    <r>
      <t xml:space="preserve">Workbook Inputs - </t>
    </r>
    <r>
      <rPr>
        <b/>
        <sz val="9"/>
        <color rgb="FFFF0000"/>
        <rFont val="Roboto"/>
      </rPr>
      <t>DO NOT REMOVE OR EDIT</t>
    </r>
  </si>
  <si>
    <t>manual mapping to face FS</t>
  </si>
  <si>
    <t>MAPPING DO NOT REMOVE</t>
  </si>
  <si>
    <t>READ</t>
  </si>
  <si>
    <t>Check to PL.1</t>
  </si>
  <si>
    <t>Check to PL.2</t>
  </si>
  <si>
    <t>Accumulated deficit</t>
  </si>
  <si>
    <t xml:space="preserve">   6060 Communication</t>
  </si>
  <si>
    <t>January - September, 2022</t>
  </si>
  <si>
    <t>Jul - Sept., 2022</t>
  </si>
  <si>
    <t>Oct - Dec., 2022</t>
  </si>
  <si>
    <t>Q2 Total</t>
  </si>
  <si>
    <t>PL.2</t>
  </si>
  <si>
    <t>SOURCE LINK &gt;&gt;</t>
  </si>
  <si>
    <t>PL.1</t>
  </si>
  <si>
    <t>EXPAND BELOW - UNUSED NOTES</t>
  </si>
  <si>
    <t>Supplemental cash flow information - NOT USED</t>
  </si>
  <si>
    <t>RE-LINK</t>
  </si>
  <si>
    <t xml:space="preserve">Current </t>
  </si>
  <si>
    <t>TOTAL ASSETS</t>
  </si>
  <si>
    <t>TOTAL LIABILITES</t>
  </si>
  <si>
    <t>SHAREHOLDERS’ EQUITY (DEFICIENCY)</t>
  </si>
  <si>
    <t>TOTAL SHAREHOLDERS’ EQUITY (DEFICIENCY)</t>
  </si>
  <si>
    <t>Basic and diluted loss per common share</t>
  </si>
  <si>
    <t>Cash (used in) provided by:</t>
  </si>
  <si>
    <t>LINKS TO WORD FS - DO NOT EDIT THIS TAB</t>
  </si>
  <si>
    <t>Quarter</t>
  </si>
  <si>
    <t>YTD / Year</t>
  </si>
  <si>
    <t>Note #</t>
  </si>
  <si>
    <t>Title</t>
  </si>
  <si>
    <t>Code</t>
  </si>
  <si>
    <t>Sequence</t>
  </si>
  <si>
    <t>Identififer</t>
  </si>
  <si>
    <t>Description</t>
  </si>
  <si>
    <t>Nature of ops</t>
  </si>
  <si>
    <t>GEN</t>
  </si>
  <si>
    <t>working capital - PY</t>
  </si>
  <si>
    <t> As at</t>
  </si>
  <si>
    <t xml:space="preserve"> $ </t>
  </si>
  <si>
    <t xml:space="preserve">Revenues </t>
  </si>
  <si>
    <t>Working capital (deficiency)</t>
  </si>
  <si>
    <t>Total assets</t>
  </si>
  <si>
    <t>Total liabilities</t>
  </si>
  <si>
    <t>Comprehensive loss for the period</t>
  </si>
  <si>
    <t xml:space="preserve"> Three-month periods ended </t>
  </si>
  <si>
    <t xml:space="preserve"> Total revenue </t>
  </si>
  <si>
    <t>$ Movement</t>
  </si>
  <si>
    <t>% Movement</t>
  </si>
  <si>
    <t>Operating Expenses</t>
  </si>
  <si>
    <t>For the three-months period ended</t>
  </si>
  <si>
    <t>Year to date</t>
  </si>
  <si>
    <t xml:space="preserve"> Operating activities  </t>
  </si>
  <si>
    <t xml:space="preserve"> Investing activities </t>
  </si>
  <si>
    <t xml:space="preserve"> Financing activities </t>
  </si>
  <si>
    <t>Cash</t>
  </si>
  <si>
    <t>*LINK FAIL - RE-EXPORT REQUIRED EVERYTIME</t>
  </si>
  <si>
    <t>1000 Chequing - 5002829</t>
  </si>
  <si>
    <t>1999 Uncategorized Asset</t>
  </si>
  <si>
    <t>2200 PST Payable (BC)</t>
  </si>
  <si>
    <t>2201 PST Suspense (BC)</t>
  </si>
  <si>
    <t>2210 GST/HST Payable</t>
  </si>
  <si>
    <t>2211 GST/HST Suspense</t>
  </si>
  <si>
    <t>2500 Due to/(from) related parties</t>
  </si>
  <si>
    <t>2501 Due to/(from) related parties:Due To/From SAK2</t>
  </si>
  <si>
    <t>2502 Due to/(from) related parties:Due To/From SAK6</t>
  </si>
  <si>
    <t>2503 Due to/(from) related parties:Due To/From UpCapital</t>
  </si>
  <si>
    <t>2504 Due to/(from) related parties:Shareholder's Loan</t>
  </si>
  <si>
    <t>2600 Current portion of loans and borrowings</t>
  </si>
  <si>
    <t>2650 Loans and borrowings</t>
  </si>
  <si>
    <t>3001 Share capital:Common Shares</t>
  </si>
  <si>
    <t>3010 Share issuance cost</t>
  </si>
  <si>
    <t>3100 Warrant reserve</t>
  </si>
  <si>
    <t>3501 Retained Earnings</t>
  </si>
  <si>
    <t>5000 Revenue</t>
  </si>
  <si>
    <t>5999 Uncategorized Income</t>
  </si>
  <si>
    <t>6011 Bank charges</t>
  </si>
  <si>
    <t>6012 Bad debts</t>
  </si>
  <si>
    <t>6013 Interest expense</t>
  </si>
  <si>
    <t>6015 Accounting Fees</t>
  </si>
  <si>
    <t>6016 Legal and professional fees</t>
  </si>
  <si>
    <t>6017 Consulting Fees</t>
  </si>
  <si>
    <t>6020 Advertising &amp; Promotion</t>
  </si>
  <si>
    <t>6025 Dues and Subscriptions</t>
  </si>
  <si>
    <t>6040 Meals and entertainment</t>
  </si>
  <si>
    <t>6042 Travel</t>
  </si>
  <si>
    <t>6050 Insurance</t>
  </si>
  <si>
    <t>6060 Office expenses</t>
  </si>
  <si>
    <t>6061 Other general and administrative expenses</t>
  </si>
  <si>
    <t>6065 Rent</t>
  </si>
  <si>
    <t>6070 Office Supplies</t>
  </si>
  <si>
    <t>6080 PST Expense (BC)</t>
  </si>
  <si>
    <t>6090 Corporate Tax Expense</t>
  </si>
  <si>
    <t>6998 Uncategorized Expense</t>
  </si>
  <si>
    <t>5498 Interest income</t>
  </si>
  <si>
    <t>6092 Penalties</t>
  </si>
  <si>
    <t>6999 Miscellaneous</t>
  </si>
  <si>
    <t>7000 Reconciliation Discrepancies</t>
  </si>
  <si>
    <t>Insurance</t>
  </si>
  <si>
    <t>Rent</t>
  </si>
  <si>
    <t>Hallor Group Inc.</t>
  </si>
  <si>
    <t>6100 Listing expense</t>
  </si>
  <si>
    <t>Listing expense</t>
  </si>
  <si>
    <t>As of June 30, 2023</t>
  </si>
  <si>
    <t>2000 Accounts Payable</t>
  </si>
  <si>
    <t>Manual classification</t>
  </si>
  <si>
    <t>Current portion of loan receivable</t>
  </si>
  <si>
    <t>Income (loss) per share – basic and diluted</t>
  </si>
  <si>
    <t>WASO – basic and diluted</t>
  </si>
  <si>
    <t>#</t>
  </si>
  <si>
    <t xml:space="preserve">Share issue costs </t>
  </si>
  <si>
    <t>CHECK</t>
  </si>
  <si>
    <t>Proceeds from issuance of special warrants, net of issuance costs</t>
  </si>
  <si>
    <t xml:space="preserve">Loan receivable </t>
  </si>
  <si>
    <t>Share subscription payable</t>
  </si>
  <si>
    <t>2700 Share subscription payable</t>
  </si>
  <si>
    <t>Total Shareholder's Equity</t>
  </si>
  <si>
    <t>Share Capital</t>
  </si>
  <si>
    <t>Consulting expense</t>
  </si>
  <si>
    <t>1001 Petty Cash</t>
  </si>
  <si>
    <t>1002 TD - Chequing 1869</t>
  </si>
  <si>
    <t>1003 TD - Savings 2407</t>
  </si>
  <si>
    <t>1005 Interior Savings - 5224</t>
  </si>
  <si>
    <t>1006 Interior Savings - Member Shares 5182</t>
  </si>
  <si>
    <t>1100 Accounts Receivable</t>
  </si>
  <si>
    <t>1000 Undeposited Funds</t>
  </si>
  <si>
    <t>1010 Bank - suspense</t>
  </si>
  <si>
    <t>1120 Work in progress inventory</t>
  </si>
  <si>
    <t>1500 Payroll Advances Receivable</t>
  </si>
  <si>
    <t>1800 Computer Equipment</t>
  </si>
  <si>
    <t>1801 Computer Equipment:Accumulated Depreciation</t>
  </si>
  <si>
    <t>1810 Office Furniture</t>
  </si>
  <si>
    <t>1811 Office Furniture:Accumulated Depreciation</t>
  </si>
  <si>
    <t>1900 Shop Equipment</t>
  </si>
  <si>
    <t>1901 Shop Equipment:Accum deprec - shop equipment</t>
  </si>
  <si>
    <t>2001 Accounts Payable (A/P) - USD</t>
  </si>
  <si>
    <t>1004 TD - Visa 7692</t>
  </si>
  <si>
    <t>2010 Accrued Liabilities</t>
  </si>
  <si>
    <t>IMP4 - Warranty Liability</t>
  </si>
  <si>
    <t>2030 Cutomer prepayments</t>
  </si>
  <si>
    <t>2100 Payroll Liabilities</t>
  </si>
  <si>
    <t>2110 Payroll Liabilities:Payroll Taxes</t>
  </si>
  <si>
    <t>2120 Payroll Liabilities:Vacation Pay Due</t>
  </si>
  <si>
    <t>2130 Payroll Liabilities:WCB to be paid/(refunded)</t>
  </si>
  <si>
    <t>2140 Payroll Liabilities:Vacation Pay Payable</t>
  </si>
  <si>
    <t>2200 GST Payable/(Refund)</t>
  </si>
  <si>
    <t>2210 GST Payable/(Refund):GST Paid on Purchases</t>
  </si>
  <si>
    <t>2220 GST Payable/(Refund):GST Collected on Sales</t>
  </si>
  <si>
    <t>2230 GST Payable/(Refund):GST to Paid/(refunded)</t>
  </si>
  <si>
    <t>2201 GST and HST Suspense</t>
  </si>
  <si>
    <t>2202 Receiver General Suspense</t>
  </si>
  <si>
    <t>2280 PST Payable</t>
  </si>
  <si>
    <t>2240 PST Payable:PST Collected on Sales</t>
  </si>
  <si>
    <t>2245 PST Payable:PST Payable</t>
  </si>
  <si>
    <t>2300 Corporate Tax Payable</t>
  </si>
  <si>
    <t>2600 Due to RPT - Diane Halston</t>
  </si>
  <si>
    <t>2601 Due to RPT - Brett Halston</t>
  </si>
  <si>
    <t>2602 Due to RPT - Keith Halston</t>
  </si>
  <si>
    <t>2650 Loan Payable - current</t>
  </si>
  <si>
    <t>2651 Loan Payable - non-current</t>
  </si>
  <si>
    <t>2700 Due to Shareholders</t>
  </si>
  <si>
    <t>2705 Due to Shareholders:Due to SH - James Taylor</t>
  </si>
  <si>
    <t>2706 Due to Shareholders:Due to SH - Keith Halston</t>
  </si>
  <si>
    <t>3000 Opening Bal Equity</t>
  </si>
  <si>
    <t>3100 Common Shares</t>
  </si>
  <si>
    <t>3105 Common Shares:Class A Shares</t>
  </si>
  <si>
    <t>3110 Common Shares:Class B Shares</t>
  </si>
  <si>
    <t>3115 Common Shares:Class C Shares</t>
  </si>
  <si>
    <t>3200 Capital contribution</t>
  </si>
  <si>
    <t>3900 Retained Earnings</t>
  </si>
  <si>
    <t>5000 Utility Vehicle Sales</t>
  </si>
  <si>
    <t>5001 Other General Sales</t>
  </si>
  <si>
    <t>5002 Equipment parts sale</t>
  </si>
  <si>
    <t>5003 Labour service</t>
  </si>
  <si>
    <t>5004 Shop Supplies Sales</t>
  </si>
  <si>
    <t>5006 Markup</t>
  </si>
  <si>
    <t>5499 Other Income</t>
  </si>
  <si>
    <t>5998 Uncategorized Income</t>
  </si>
  <si>
    <t>5999 Unapplied Cash Payment Income</t>
  </si>
  <si>
    <t>5500 Cost of Goods Sold</t>
  </si>
  <si>
    <t>5510 Cost of Goods Sold:Parts and components  - COS</t>
  </si>
  <si>
    <t>5515 Cost of Goods Sold:Engineering  - COS</t>
  </si>
  <si>
    <t>5520 Cost of Goods Sold:Subcontracting  - COS</t>
  </si>
  <si>
    <t>5525 Cost of Goods Sold:Shipping  - COS</t>
  </si>
  <si>
    <t>5530 Cost of Goods Sold:Disposal/Landfill  - COS</t>
  </si>
  <si>
    <t>5535 Cost of Goods Sold:Inventory Write Off  - COS</t>
  </si>
  <si>
    <t>5540 Cost of Goods Sold:Equipment Fuel  - COS</t>
  </si>
  <si>
    <t>5545 Cost of Goods Sold:Equipment Leasing  - COS</t>
  </si>
  <si>
    <t>5511 Supplies and materials - COS</t>
  </si>
  <si>
    <t>6000 Payroll Expenses</t>
  </si>
  <si>
    <t>6001 Payroll Expenses:Management Salaries</t>
  </si>
  <si>
    <t>6002 Payroll Expenses:Wages</t>
  </si>
  <si>
    <t>6003 Payroll Expenses:Vacation Pay</t>
  </si>
  <si>
    <t>6004 Payroll Expenses:Employer Taxes</t>
  </si>
  <si>
    <t>6005 Payroll Expenses:WCB Expense</t>
  </si>
  <si>
    <t>6010 Other G&amp;A</t>
  </si>
  <si>
    <t>6011 Bank Charges</t>
  </si>
  <si>
    <t>6012 Bad Debt</t>
  </si>
  <si>
    <t>6015 Accounting &amp; Legal</t>
  </si>
  <si>
    <t>6016 Consulting Expense</t>
  </si>
  <si>
    <t>6021 Tradeshows and conventions</t>
  </si>
  <si>
    <t>6025 Automobile</t>
  </si>
  <si>
    <t>6026 Fuel / Industrial Gas</t>
  </si>
  <si>
    <t>6030 Communications</t>
  </si>
  <si>
    <t>6031 IT Expense</t>
  </si>
  <si>
    <t>6040 Meals and Entertainment</t>
  </si>
  <si>
    <t>6041 Travel Meals</t>
  </si>
  <si>
    <t>6060 Repairs and Maintenance</t>
  </si>
  <si>
    <t>6066 Utilities</t>
  </si>
  <si>
    <t>6068 Shipping, Freight, and Delivery</t>
  </si>
  <si>
    <t>6075 Minor shop tools</t>
  </si>
  <si>
    <t>6076 Disposal/Landfill</t>
  </si>
  <si>
    <t>6080 Shop and other supplies</t>
  </si>
  <si>
    <t>6997 Unapplied Cash Bill Payment Expense</t>
  </si>
  <si>
    <t>6085 Depreciation</t>
  </si>
  <si>
    <t>6092 Penalities</t>
  </si>
  <si>
    <t>8000 Exchange Gain or Loss</t>
  </si>
  <si>
    <t>IMP1 - Warranty expense</t>
  </si>
  <si>
    <t>IMP2 - Engineering expense</t>
  </si>
  <si>
    <t>IMP3 - Commission expense</t>
  </si>
  <si>
    <t>Equipment</t>
  </si>
  <si>
    <t>Warranty liability</t>
  </si>
  <si>
    <t>Sales tax receivable</t>
  </si>
  <si>
    <t>Retained earnings</t>
  </si>
  <si>
    <t xml:space="preserve">Sale of electric vehicle </t>
  </si>
  <si>
    <t>Mechanical services</t>
  </si>
  <si>
    <t>Surcharge on parts and components sold</t>
  </si>
  <si>
    <t xml:space="preserve">Salaries, wages, and benefits </t>
  </si>
  <si>
    <t>Communications</t>
  </si>
  <si>
    <t>Repairs and maintenance</t>
  </si>
  <si>
    <t>Utilities</t>
  </si>
  <si>
    <t>Shipping expense</t>
  </si>
  <si>
    <t>Shop supplies</t>
  </si>
  <si>
    <t>Foreign exchange</t>
  </si>
  <si>
    <t>Warranty expense</t>
  </si>
  <si>
    <t>Engineering expense</t>
  </si>
  <si>
    <t>IMP4</t>
  </si>
  <si>
    <t>IMP1</t>
  </si>
  <si>
    <t>IMP2</t>
  </si>
  <si>
    <t>IMP3</t>
  </si>
  <si>
    <t>IMP5</t>
  </si>
  <si>
    <t>Entity</t>
  </si>
  <si>
    <t>Hallor Group</t>
  </si>
  <si>
    <t>Hallor Industries</t>
  </si>
  <si>
    <t>CHECK &gt;&gt; s/b zero</t>
  </si>
  <si>
    <t>Proforma YE</t>
  </si>
  <si>
    <t>Hallor Industries Inc.</t>
  </si>
  <si>
    <t xml:space="preserve"> </t>
  </si>
  <si>
    <t>Intercompany</t>
  </si>
  <si>
    <t>Goodwill</t>
  </si>
  <si>
    <t>Consolidated</t>
  </si>
  <si>
    <t>Total selling expense</t>
  </si>
  <si>
    <t>Year One</t>
  </si>
  <si>
    <t>Year Two</t>
  </si>
  <si>
    <t>Year Three</t>
  </si>
  <si>
    <t>Year Four</t>
  </si>
  <si>
    <t>Assumptions</t>
  </si>
  <si>
    <t>input</t>
  </si>
  <si>
    <t>calculated</t>
  </si>
  <si>
    <t>1)</t>
  </si>
  <si>
    <t xml:space="preserve">Estimate the # of sales agents to hire </t>
  </si>
  <si>
    <t>Avg # of units sold per agent each year</t>
  </si>
  <si>
    <t>Annual base salary</t>
  </si>
  <si>
    <t>Commission % of gross profits per unit</t>
  </si>
  <si>
    <t>Gross profit per unit</t>
  </si>
  <si>
    <t>Commission $ per unit</t>
  </si>
  <si>
    <t>Potential total annual salary per agent</t>
  </si>
  <si>
    <t>Ext- commission per unit sold</t>
  </si>
  <si>
    <t>Projected unit sales</t>
  </si>
  <si>
    <t># units allocated Gary</t>
  </si>
  <si>
    <t># units remaining</t>
  </si>
  <si>
    <t># of sales agent needed</t>
  </si>
  <si>
    <t>Estimated Commissions</t>
  </si>
  <si>
    <t>Estimated Payroll</t>
  </si>
  <si>
    <t>Payroll vs Commission structure</t>
  </si>
  <si>
    <t>a)</t>
  </si>
  <si>
    <t>Commission per unit</t>
  </si>
  <si>
    <t>Total Commission expense</t>
  </si>
  <si>
    <t>b)</t>
  </si>
  <si>
    <t>Total payroll expense (exluding benefits)</t>
  </si>
  <si>
    <r>
      <t xml:space="preserve">Savings from hiring sales agent </t>
    </r>
    <r>
      <rPr>
        <b/>
        <sz val="11"/>
        <color rgb="FFFF0000"/>
        <rFont val="Calibri"/>
        <family val="2"/>
        <scheme val="minor"/>
      </rPr>
      <t>(a - b)</t>
    </r>
  </si>
  <si>
    <t>Convertible debt</t>
  </si>
  <si>
    <t>Net profit</t>
  </si>
  <si>
    <t>MAPPING</t>
  </si>
  <si>
    <t>1020 Prepaid expenses</t>
  </si>
  <si>
    <t>2801 long-term portion - convertible debt</t>
  </si>
  <si>
    <t>2800 Current portion - convertible debt</t>
  </si>
  <si>
    <t>2802 Derivative liability</t>
  </si>
  <si>
    <t>2900 Intercompany - due to Hallor Group Inc.</t>
  </si>
  <si>
    <t>Current portion - convertible debt</t>
  </si>
  <si>
    <t>Derivative liability</t>
  </si>
  <si>
    <t>1600 Investment in Hallor Industries</t>
  </si>
  <si>
    <t>Investment in subsidiary</t>
  </si>
  <si>
    <t xml:space="preserve">As at </t>
  </si>
  <si>
    <t xml:space="preserve">ASSETS </t>
  </si>
  <si>
    <t>TOTAL CURRENT ASSETS</t>
  </si>
  <si>
    <t>TOTAL LIABILITIES</t>
  </si>
  <si>
    <t xml:space="preserve">TOTAL LIABILITIES AND SHAREHOLDERS’ EQUITY </t>
  </si>
  <si>
    <t>Due to related party</t>
  </si>
  <si>
    <t>Total Share Consideration</t>
  </si>
  <si>
    <t>Settlement of note payable</t>
  </si>
  <si>
    <t># Shares issued</t>
  </si>
  <si>
    <t>Deemed FV per share</t>
  </si>
  <si>
    <t>Total purchase consideartion</t>
  </si>
  <si>
    <t>Settlement of pre-existing relationship</t>
  </si>
  <si>
    <t>Journal Entries</t>
  </si>
  <si>
    <t>To record acquisition of Hallor Industries</t>
  </si>
  <si>
    <t>IMP6</t>
  </si>
  <si>
    <t>Acquisition expense</t>
  </si>
  <si>
    <t>To record Finders Fee - 900,000 common shares</t>
  </si>
  <si>
    <t>1500 Intercompany - Due from Hallor Industries Inc.</t>
  </si>
  <si>
    <t>IMP7 Goodwill</t>
  </si>
  <si>
    <t>Consolidation Elimination Entry</t>
  </si>
  <si>
    <t>Preliminary</t>
  </si>
  <si>
    <t>BALANCE CHECK</t>
  </si>
  <si>
    <t>PPA</t>
  </si>
  <si>
    <t>IMP5 - Loss on settlement of pre-existing relationship</t>
  </si>
  <si>
    <t>IMP6 - Acquisition costs</t>
  </si>
  <si>
    <t>Profit and Loss by Month</t>
  </si>
  <si>
    <t>July 2023</t>
  </si>
  <si>
    <t>Jul. 2023</t>
  </si>
  <si>
    <t xml:space="preserve">   COST OF GOODS SOLD</t>
  </si>
  <si>
    <t xml:space="preserve">   Total Cost of Goods Sold</t>
  </si>
  <si>
    <t>GROSS PROFIT</t>
  </si>
  <si>
    <t>OTHER INCOME</t>
  </si>
  <si>
    <t>Total Other Income</t>
  </si>
  <si>
    <t>ROUNDED</t>
  </si>
  <si>
    <t>TO ADJUST</t>
  </si>
  <si>
    <t>Total Adjustment</t>
  </si>
  <si>
    <t>To support adjustments to P&amp;L for unaudited proforma IS</t>
  </si>
  <si>
    <t>Total 5500 Cost of Goods Sold</t>
  </si>
  <si>
    <t>Side 1</t>
  </si>
  <si>
    <t>Side 2</t>
  </si>
  <si>
    <t>Fair value of 12,000,000 common shares issued</t>
  </si>
  <si>
    <t>1300 Current portion of loan receivable</t>
  </si>
  <si>
    <t>Fair value of purchase consideration</t>
  </si>
  <si>
    <t>Intangible assets</t>
  </si>
  <si>
    <t>IMP8 Intangible assets</t>
  </si>
  <si>
    <t>Principal Purposes</t>
  </si>
  <si>
    <t>Funds ($)</t>
  </si>
  <si>
    <t>Total use of proceeds</t>
  </si>
  <si>
    <t>Unallocated funds (unaudited)</t>
  </si>
  <si>
    <t>Sources of Available Funds</t>
  </si>
  <si>
    <t>Available Funds ($)</t>
  </si>
  <si>
    <t>Working capital of Company</t>
  </si>
  <si>
    <t>Total pro forma working capital (unaudited)</t>
  </si>
  <si>
    <t>CON DEBT</t>
  </si>
  <si>
    <t>IMP9</t>
  </si>
  <si>
    <t>IMP9 - Share-based compensation</t>
  </si>
  <si>
    <t>SBC</t>
  </si>
  <si>
    <t>To record share based compensation DK options</t>
  </si>
  <si>
    <t>Input cell</t>
  </si>
  <si>
    <t>Calculated</t>
  </si>
  <si>
    <t xml:space="preserve">Min </t>
  </si>
  <si>
    <t>Max</t>
  </si>
  <si>
    <t>Grant Date Share Price</t>
  </si>
  <si>
    <t>Exercise Price</t>
  </si>
  <si>
    <t>Risk Free rate</t>
  </si>
  <si>
    <t>Expected Life</t>
  </si>
  <si>
    <t>Volatility</t>
  </si>
  <si>
    <t>Stock Options</t>
  </si>
  <si>
    <t>Stock Price</t>
  </si>
  <si>
    <t xml:space="preserve">Volatility </t>
  </si>
  <si>
    <t>Dividend Yield</t>
  </si>
  <si>
    <t>Risk Free Rate</t>
  </si>
  <si>
    <t>INTERMEDIATE COMPUTATIONS</t>
  </si>
  <si>
    <t>Present Value of Stock Ex-dividend</t>
  </si>
  <si>
    <t>Present Value of Exercise Price</t>
  </si>
  <si>
    <t>Cumulative Volatility</t>
  </si>
  <si>
    <t>CALL OPTION</t>
  </si>
  <si>
    <t>Proportion of Stock Present Value</t>
  </si>
  <si>
    <t>Proportion of Exercise Price PV</t>
  </si>
  <si>
    <t xml:space="preserve">Call Option Value </t>
  </si>
  <si>
    <t>PUT OPTION</t>
  </si>
  <si>
    <t>Proportion of Stock PV</t>
  </si>
  <si>
    <t>Put Option Value</t>
  </si>
  <si>
    <t>Value per Black Scholes</t>
  </si>
  <si>
    <t>Forfeiture Rate</t>
  </si>
  <si>
    <t>Adjusted Value per Option</t>
  </si>
  <si>
    <t>Total FV of Options</t>
  </si>
  <si>
    <t>Dean Options</t>
  </si>
  <si>
    <t>2023 Discloure Summary Details</t>
  </si>
  <si>
    <t>Total Principal Converted</t>
  </si>
  <si>
    <t>Conversion price</t>
  </si>
  <si>
    <t>Derivative Valuation</t>
  </si>
  <si>
    <t># share purchase warrants on conversion</t>
  </si>
  <si>
    <t># common shares on conversion</t>
  </si>
  <si>
    <t># of Instruments (options/warrants/conversion)</t>
  </si>
  <si>
    <t>Total FV of Instrument</t>
  </si>
  <si>
    <t>Underlying price</t>
  </si>
  <si>
    <t>Risk-free rate</t>
  </si>
  <si>
    <t>Dividend rate</t>
  </si>
  <si>
    <t>Black-Scholes</t>
  </si>
  <si>
    <t>Warrant on a Warrant</t>
  </si>
  <si>
    <r>
      <rPr>
        <b/>
        <sz val="10"/>
        <rFont val="Arial"/>
        <family val="2"/>
      </rPr>
      <t xml:space="preserve">Expected life
</t>
    </r>
    <r>
      <rPr>
        <sz val="10"/>
        <rFont val="Arial"/>
        <family val="2"/>
      </rPr>
      <t>“compound” refers to the initial option life,
“underlying” refers to the life of the option
that is received when the first option is
exercised.</t>
    </r>
  </si>
  <si>
    <r>
      <rPr>
        <b/>
        <sz val="10"/>
        <rFont val="Arial"/>
        <family val="2"/>
      </rPr>
      <t>Strike price</t>
    </r>
    <r>
      <rPr>
        <sz val="10"/>
        <rFont val="Arial"/>
        <family val="2"/>
      </rPr>
      <t xml:space="preserve">
“compound” refers to the initial option strike
price (allocated), “underlying” refers to the
strike price of the option that is received
when the first option is exercised.</t>
    </r>
  </si>
  <si>
    <t>$0.0001 (compound);        $0.50 (underlying)</t>
  </si>
  <si>
    <t>Conversion option</t>
  </si>
  <si>
    <t>0.33 year (compound);                   5.33 years (underlying)</t>
  </si>
  <si>
    <t>Valuation model used</t>
  </si>
  <si>
    <t>Geske 
(call on a call)</t>
  </si>
  <si>
    <t>Adjusted Value per Instrument</t>
  </si>
  <si>
    <t>Value per instrument</t>
  </si>
  <si>
    <t>Type of Instrument</t>
  </si>
  <si>
    <t>Total FV of Derivative</t>
  </si>
  <si>
    <t>Note 1:</t>
  </si>
  <si>
    <t>The conversion feature on the convertible debenture breaches fixed-for-fixed criterion and therefore cannot be classified as an equity instrument. The conversion option represents a derivative liability to be measrued at fair-valued. The conversion option itself will be fair-valued using black-scholes; however, the conversion option results in the issuance of a common share and one share warrant. Therefore, the fair-value of the warrant must also be considered. The additional warrant represents a compound option and its value can be measured using the Geske valuation method. Therefore, total FV of the derivative will be equal to the FV of the underlying conversion option AND the additional warrant. See summary of inputs and resulting valuation below:</t>
  </si>
  <si>
    <t xml:space="preserve">Conversion Option </t>
  </si>
  <si>
    <t>Additional Warrant</t>
  </si>
  <si>
    <t>Option and Warrant Valuation</t>
  </si>
  <si>
    <t>Warrants on conversion of Debenture</t>
  </si>
  <si>
    <t>Dean Options - FV inputs</t>
  </si>
  <si>
    <t>Warrants - FV inputs</t>
  </si>
  <si>
    <t>Issuance of share warrants on conversion of debt</t>
  </si>
  <si>
    <t>TB.1</t>
  </si>
  <si>
    <t>Committed convertible debenture financing per Convertible Note</t>
  </si>
  <si>
    <t>6043 Transfer agent and regulatory expenses</t>
  </si>
  <si>
    <t>Transfer agent and regulatory expenses</t>
  </si>
  <si>
    <t>Less: Advertising and marketing</t>
  </si>
  <si>
    <t>AJE.1</t>
  </si>
  <si>
    <t>Total G&amp;A</t>
  </si>
  <si>
    <t>Total general and administration and sales and marketing</t>
  </si>
  <si>
    <t>Total S&amp;M</t>
  </si>
  <si>
    <t>Total G&amp;A and S&amp;M</t>
  </si>
  <si>
    <t>Total COGS</t>
  </si>
  <si>
    <t xml:space="preserve">      5500 Cost of Goods Sold</t>
  </si>
  <si>
    <t xml:space="preserve">         5510 Parts and components  - COS</t>
  </si>
  <si>
    <t xml:space="preserve">         5515 Engineering  - COS</t>
  </si>
  <si>
    <t xml:space="preserve">         5520 Subcontracting  - COS</t>
  </si>
  <si>
    <t xml:space="preserve">      Total 5500 Cost of Goods Sold</t>
  </si>
  <si>
    <t xml:space="preserve">      5511 Supplies and materials - COS</t>
  </si>
  <si>
    <t xml:space="preserve">   6011 Bank Charges</t>
  </si>
  <si>
    <t xml:space="preserve">   6013 Interest expense</t>
  </si>
  <si>
    <t xml:space="preserve">   6015 Accounting &amp; Legal</t>
  </si>
  <si>
    <t xml:space="preserve">   6016 Consulting Expense</t>
  </si>
  <si>
    <t xml:space="preserve">   6020 Advertising &amp; Promotion</t>
  </si>
  <si>
    <t xml:space="preserve">   6021 Tradeshows and conventions</t>
  </si>
  <si>
    <t xml:space="preserve">   6026 Fuel / Industrial Gas</t>
  </si>
  <si>
    <t xml:space="preserve">   6031 IT Expense</t>
  </si>
  <si>
    <t xml:space="preserve">   6040 Meals and Entertainment</t>
  </si>
  <si>
    <t xml:space="preserve">   6041 Travel Meals</t>
  </si>
  <si>
    <t xml:space="preserve">   6042 Travel</t>
  </si>
  <si>
    <t xml:space="preserve">   6050 Insurance</t>
  </si>
  <si>
    <t xml:space="preserve">   6068 Shipping, Freight, and Delivery</t>
  </si>
  <si>
    <t xml:space="preserve">   6070 Office Supplies</t>
  </si>
  <si>
    <t xml:space="preserve">   6080 Shop and other supplies</t>
  </si>
  <si>
    <t xml:space="preserve">   5498 Interest income</t>
  </si>
  <si>
    <t xml:space="preserve">   6085 Depreciation</t>
  </si>
  <si>
    <t xml:space="preserve">   6999 Miscellaneous</t>
  </si>
  <si>
    <t xml:space="preserve">   7000 Reconciliation Discrepancies</t>
  </si>
  <si>
    <t xml:space="preserve">   8000 Exchange Gain or Loss</t>
  </si>
  <si>
    <t xml:space="preserve">   6011 Bank charges</t>
  </si>
  <si>
    <t xml:space="preserve">   6015 Accounting Fees</t>
  </si>
  <si>
    <t xml:space="preserve">   6016 Legal and professional fees</t>
  </si>
  <si>
    <t xml:space="preserve">   6017 Consulting Fees</t>
  </si>
  <si>
    <t>Jul - Sep., 2022</t>
  </si>
  <si>
    <t>Jan - Mar., 2023</t>
  </si>
  <si>
    <t>Apr - Jun., 2023</t>
  </si>
  <si>
    <t xml:space="preserve">   6040 Meals and entertainment</t>
  </si>
  <si>
    <t xml:space="preserve">   6060 Office expenses</t>
  </si>
  <si>
    <t>Diff</t>
  </si>
  <si>
    <t>Jul - Sep., 2023</t>
  </si>
  <si>
    <t>Oct - Dec., 2023</t>
  </si>
  <si>
    <t>Jan - Mar., 2024</t>
  </si>
  <si>
    <t>Apr - Jun., 2024</t>
  </si>
  <si>
    <t>Adj</t>
  </si>
  <si>
    <t>Adjusted - Jul - Sep., 2023</t>
  </si>
  <si>
    <t>Consolidated Hallor Group Inc.</t>
  </si>
  <si>
    <t>Transaction Report</t>
  </si>
  <si>
    <t>Date</t>
  </si>
  <si>
    <t>Transaction Type</t>
  </si>
  <si>
    <t>Name</t>
  </si>
  <si>
    <t>Memo/Description</t>
  </si>
  <si>
    <t>Balance</t>
  </si>
  <si>
    <t>2023-07-12</t>
  </si>
  <si>
    <t>Bill</t>
  </si>
  <si>
    <t>4210010192</t>
  </si>
  <si>
    <t>Lordco</t>
  </si>
  <si>
    <t>Brake master Cylinder; Brk Caliper</t>
  </si>
  <si>
    <t>Supplier Credit</t>
  </si>
  <si>
    <t>42CR002175</t>
  </si>
  <si>
    <t>Return: Brake master Cylinder (Inv#4210010192)</t>
  </si>
  <si>
    <t>2023-07-13</t>
  </si>
  <si>
    <t>4210010274</t>
  </si>
  <si>
    <t>CONT ARM WB</t>
  </si>
  <si>
    <t>2023-07-20</t>
  </si>
  <si>
    <t>Cutting Edge MFG</t>
  </si>
  <si>
    <t>004-021-0333- 002</t>
  </si>
  <si>
    <t>004-015-0100-001</t>
  </si>
  <si>
    <t>2023-07-21</t>
  </si>
  <si>
    <t>42CR002210</t>
  </si>
  <si>
    <t>Returns (see attached CM)</t>
  </si>
  <si>
    <t>42I0010636</t>
  </si>
  <si>
    <t>Industrial</t>
  </si>
  <si>
    <t>2023-07-31</t>
  </si>
  <si>
    <t>4210011050</t>
  </si>
  <si>
    <t>Journal Entry</t>
  </si>
  <si>
    <t>WIP-July31</t>
  </si>
  <si>
    <t>Account</t>
  </si>
  <si>
    <t>Split</t>
  </si>
  <si>
    <t>No</t>
  </si>
  <si>
    <t>FY23-correctinterest</t>
  </si>
  <si>
    <t>To reverse interest for month of Nov 2022 as this was not a full month</t>
  </si>
  <si>
    <t>Wednesday, Nov. 15, 2023 11:55:04 a.m. GMT-8 - Accrual Basis</t>
  </si>
  <si>
    <t>2022-10-17</t>
  </si>
  <si>
    <t>Expense</t>
  </si>
  <si>
    <t>Princess Auto</t>
  </si>
  <si>
    <t>Point Of Sale Withdrawal PRINCESS AUTO 08 KELOWNABCCA</t>
  </si>
  <si>
    <t>2023-01-09</t>
  </si>
  <si>
    <t>Point Of Sale Withdrawal LORDCO PARTS #42 WINFIELDBCCA</t>
  </si>
  <si>
    <t>2023-01-11</t>
  </si>
  <si>
    <t>OK Tire</t>
  </si>
  <si>
    <t>Service: Mount, Install &amp; Balance 4 New Loose Tire(s)</t>
  </si>
  <si>
    <t>2023-01-18</t>
  </si>
  <si>
    <t>Seatbelt Planet USD</t>
  </si>
  <si>
    <t>18006050; A80020F450 / 4" Boot and shipping charges</t>
  </si>
  <si>
    <t>2023-01-23</t>
  </si>
  <si>
    <t>1925899006523</t>
  </si>
  <si>
    <t>Interstate Battery</t>
  </si>
  <si>
    <t>Batteries - ROLLS 6V 375AH 116 FLOODED x 72; 4 LITE coMM coRE cHG x 72;</t>
  </si>
  <si>
    <t>2023-01-26</t>
  </si>
  <si>
    <t>Wheel and Lug Nut Purchase.</t>
  </si>
  <si>
    <t>2023-01-27</t>
  </si>
  <si>
    <t>OPT Precision Tool</t>
  </si>
  <si>
    <t>STEEL AXLE HUB; STEEL BUSHING;  UHMW-PE STEERING CYLINDER GUIDES</t>
  </si>
  <si>
    <t>2023-02-04</t>
  </si>
  <si>
    <t>quote552893</t>
  </si>
  <si>
    <t>Kraft Fluid Systems - USD</t>
  </si>
  <si>
    <t>six transaxle @ $1,857.43 USD per unit</t>
  </si>
  <si>
    <t>2023-02-07</t>
  </si>
  <si>
    <t>42V0010321</t>
  </si>
  <si>
    <t>Miscellaneous shop supplies</t>
  </si>
  <si>
    <t>2023-02-21</t>
  </si>
  <si>
    <t>Pacific Spring &amp; Axle Ltd</t>
  </si>
  <si>
    <t>Torsion axle ADJ, 3.5k HYD</t>
  </si>
  <si>
    <t>2023-03-02</t>
  </si>
  <si>
    <t>SO22349</t>
  </si>
  <si>
    <t>Canadian Electric Vehicles Ltd</t>
  </si>
  <si>
    <t>Powertrain Kit - Green Ox -No Cab Heater -No Wipers -No Turn Signals -No Batteries -Includes mushroom style push pull master switch (Ignition) -Includes Headlights, Front Amber LED, Rear Brake Light LED, Rear Backup Light LED -Includes FNR Switch and Inching Switches -Includes EM Parking Brake -Includes Charger for Lead Acid batteries</t>
  </si>
  <si>
    <t>2023-03-09</t>
  </si>
  <si>
    <t>Distinctive Enterprises Ltd.</t>
  </si>
  <si>
    <t>Labour-Marine Upholstery - hourly charge</t>
  </si>
  <si>
    <t>2023-03-15</t>
  </si>
  <si>
    <t>42I0004939</t>
  </si>
  <si>
    <t>CONTROL ARM; Premium Ceramic Disc Pad; BRK CALIPER; ** CORE CHARGE **; BRAKE ROTOR; DISC BRAKE CALIPER BRACKET MOUNTING BOLT; TIE ROD END</t>
  </si>
  <si>
    <t>Mount, Install &amp; Balance 24 New Tire(s)</t>
  </si>
  <si>
    <t>2023-03-21</t>
  </si>
  <si>
    <t>42I0005113</t>
  </si>
  <si>
    <t>GSPNCV12065 CV AXLE SHFT</t>
  </si>
  <si>
    <t>2023-03-29</t>
  </si>
  <si>
    <t>Chrome Hub Caps Remove and Replace components as required to access and install materials, and/or perform needed service. Retest and verify repair as required. Perform final road test where applicable. Small Chrome Hub Cover A BS 5x114.3 (5x4.5)</t>
  </si>
  <si>
    <t>2023-03-31</t>
  </si>
  <si>
    <t>42I0005528</t>
  </si>
  <si>
    <t>BRG/HUB ASM; QUICK-STRUT ASSEMBLY</t>
  </si>
  <si>
    <t>2023-04-01</t>
  </si>
  <si>
    <t>5093LE</t>
  </si>
  <si>
    <t>UPS Canada</t>
  </si>
  <si>
    <t>customs, agent, brokerage fees on Kraft Fluid systems quote 552893</t>
  </si>
  <si>
    <t>2023-04-02</t>
  </si>
  <si>
    <t>42CR001768</t>
  </si>
  <si>
    <t>Tie rod end</t>
  </si>
  <si>
    <t>42I0005604</t>
  </si>
  <si>
    <t>2023-04-17</t>
  </si>
  <si>
    <t>4210006184</t>
  </si>
  <si>
    <t>2007-12 Dodge Nitro Jeep Liberty FL; Premium Ceramic Disc Pad</t>
  </si>
  <si>
    <t>4210006188</t>
  </si>
  <si>
    <t>Tie Rod; Cont Arm W/B</t>
  </si>
  <si>
    <t>4210006197</t>
  </si>
  <si>
    <t>2023-04-18</t>
  </si>
  <si>
    <t>7310004283</t>
  </si>
  <si>
    <t>Standard Rotation Severe Duty Thermal Fan Clutch</t>
  </si>
  <si>
    <t>4210006227</t>
  </si>
  <si>
    <t>Tie Rod</t>
  </si>
  <si>
    <t>4210006226</t>
  </si>
  <si>
    <t>Cont Arm W/B</t>
  </si>
  <si>
    <t>42I0006224</t>
  </si>
  <si>
    <t>Tie Rod; Control Arm; Tie Rod End</t>
  </si>
  <si>
    <t>4210006225</t>
  </si>
  <si>
    <t>2023-04-19</t>
  </si>
  <si>
    <t>4210006282</t>
  </si>
  <si>
    <t>2023-04-20</t>
  </si>
  <si>
    <t>4210006349</t>
  </si>
  <si>
    <t>2023-04-27</t>
  </si>
  <si>
    <t>42I0006714</t>
  </si>
  <si>
    <t>Brake Master Cylinder; Tie Rod; 2007-12 Dodge Nitro Jeep Liberty FL</t>
  </si>
  <si>
    <t>Brake master Cylinder</t>
  </si>
  <si>
    <t>2023-05-08</t>
  </si>
  <si>
    <t>Pipe; Handle</t>
  </si>
  <si>
    <t>Knuckles; Steering end bracket</t>
  </si>
  <si>
    <t>2023-05-09</t>
  </si>
  <si>
    <t>Green Ox Kits</t>
  </si>
  <si>
    <t>Ignition Lock Cylinder</t>
  </si>
  <si>
    <t>2023-05-15</t>
  </si>
  <si>
    <t>Heavy Hitches</t>
  </si>
  <si>
    <t>2023-05-17</t>
  </si>
  <si>
    <t>Signs of Vinyl</t>
  </si>
  <si>
    <t>View more SEND E-TFR *fC5 AP View more SEND E-TFR *fC5 AP - prepaid to John Georgeson - Decal signs</t>
  </si>
  <si>
    <t>Rework hoods and add louver panels</t>
  </si>
  <si>
    <t>2023-05-18</t>
  </si>
  <si>
    <t>42I0007731</t>
  </si>
  <si>
    <t>POWER DOOR LOCK SWITCH</t>
  </si>
  <si>
    <t>Clevis ring; clevis bar</t>
  </si>
  <si>
    <t>2023-05-23</t>
  </si>
  <si>
    <t>Lakeside Fasteners Ltd.</t>
  </si>
  <si>
    <t>Head cap screw; lock nut; flat washer zinc plated; mounted flap wheel</t>
  </si>
  <si>
    <t>2023-05-24</t>
  </si>
  <si>
    <t>42I0007945</t>
  </si>
  <si>
    <t>Disc brake caliper bracket mounting bolt; tie rod</t>
  </si>
  <si>
    <t>42I0007943</t>
  </si>
  <si>
    <t>DISC BRAKE CALIPER BRACKET MOUNTING BOLT; CONT ARM W/B</t>
  </si>
  <si>
    <t>Head capscrew yellow zinc plated</t>
  </si>
  <si>
    <t>Socket Head Cap Screw Plain</t>
  </si>
  <si>
    <t>Socket head cap screw plain; flat washer yellow zinc plated</t>
  </si>
  <si>
    <t>2023-05-25</t>
  </si>
  <si>
    <t>42I0008009</t>
  </si>
  <si>
    <t>42I0008016</t>
  </si>
  <si>
    <t>Tie Rod; BRG/Hub ASM; Cont Arm W/B</t>
  </si>
  <si>
    <t>42I0008030</t>
  </si>
  <si>
    <t>Brake Pedal Pad</t>
  </si>
  <si>
    <t>42I0008010</t>
  </si>
  <si>
    <t>2023-05-26</t>
  </si>
  <si>
    <t>42I0008073</t>
  </si>
  <si>
    <t>2023-05-29</t>
  </si>
  <si>
    <t>6 Green Ox Decals Set</t>
  </si>
  <si>
    <t>2023-05-30</t>
  </si>
  <si>
    <t>Brake Pin</t>
  </si>
  <si>
    <t>2023-06-01</t>
  </si>
  <si>
    <t>Brake assemblies</t>
  </si>
  <si>
    <t>2023-06-12</t>
  </si>
  <si>
    <t>4010034028</t>
  </si>
  <si>
    <t>Tie Rod End</t>
  </si>
  <si>
    <t>2023-06-13</t>
  </si>
  <si>
    <t>Green Ox, package-5, updates, clevis, steering knuckle, engine bay brackets</t>
  </si>
  <si>
    <t>2023-06-14</t>
  </si>
  <si>
    <t>Allans Hose N'All</t>
  </si>
  <si>
    <t>Front Brake Lines set; Fitting - Banjo</t>
  </si>
  <si>
    <t>2023-06-15</t>
  </si>
  <si>
    <t>42I0008977</t>
  </si>
  <si>
    <t>ARMFRT LWR C</t>
  </si>
  <si>
    <t>2023-06-21</t>
  </si>
  <si>
    <t>Green Ox units</t>
  </si>
  <si>
    <t>2023-06-29</t>
  </si>
  <si>
    <t>New Strut &amp; Control arm mounts; Rush Powder Coating</t>
  </si>
  <si>
    <t>2023-06-30</t>
  </si>
  <si>
    <t>Control Arm</t>
  </si>
  <si>
    <t>2023-07-04</t>
  </si>
  <si>
    <t>4210009779</t>
  </si>
  <si>
    <t>Pad Kit Frt; Brake Rotor</t>
  </si>
  <si>
    <t>2023-07-05</t>
  </si>
  <si>
    <t>42CR002149</t>
  </si>
  <si>
    <t>Pad Kit FRT; Brake Rotor (Inv#42100009779)</t>
  </si>
  <si>
    <t>Cost of Goods Sold</t>
  </si>
  <si>
    <t xml:space="preserve">   Parts and components  - COS</t>
  </si>
  <si>
    <t>To reclass balances in COS to WIP inventory as at July 31, 2023</t>
  </si>
  <si>
    <t>2023-08-01</t>
  </si>
  <si>
    <t>4210010203</t>
  </si>
  <si>
    <t>Brake Master Cylinder</t>
  </si>
  <si>
    <t>2023-08-10</t>
  </si>
  <si>
    <t>Metal Supermarkets</t>
  </si>
  <si>
    <t>METAL SUPERMARKETS- KE</t>
  </si>
  <si>
    <t>2023-08-11</t>
  </si>
  <si>
    <t>4210011607</t>
  </si>
  <si>
    <t>Quick Strut Assembly</t>
  </si>
  <si>
    <t>2023-09-01</t>
  </si>
  <si>
    <t>CA22220</t>
  </si>
  <si>
    <t>Misc - FNR Switch - K3AB2FQF-33-Amber Indicators 010491 - METR Switch Forward Reverse - Rotary</t>
  </si>
  <si>
    <t>2023-09-05</t>
  </si>
  <si>
    <t>BCKEL177801</t>
  </si>
  <si>
    <t>Fastenal</t>
  </si>
  <si>
    <t>Fastenal Invoice</t>
  </si>
  <si>
    <t>2023-09-06</t>
  </si>
  <si>
    <t>McMaster-CARR USD</t>
  </si>
  <si>
    <t>Gas Spring, 5/16"-18 Thread Size, 29.49"
Extended Length, 100 lbs. Force</t>
  </si>
  <si>
    <t>2023-09-07</t>
  </si>
  <si>
    <t>Amazon</t>
  </si>
  <si>
    <t>Xprite Green Emergency Beacon Lights Roof top Strobe Light bar with Magnetic Warning Caution Flashing for Vehicles Trucks Volunteer Firefighter Construction Snow Plow Cars</t>
  </si>
  <si>
    <t>Green Ox Cab; Powder coating</t>
  </si>
  <si>
    <t>Pantograph Windshield wiper arm adapter</t>
  </si>
  <si>
    <t>2023-09-10</t>
  </si>
  <si>
    <t>AMZN Mktp CA*TR8ZK9CF1</t>
  </si>
  <si>
    <t>2023-09-11</t>
  </si>
  <si>
    <t>4210012936</t>
  </si>
  <si>
    <t>PR Studs/Nuts; Mirror 6 Stainless Steel</t>
  </si>
  <si>
    <t>2023-09-12</t>
  </si>
  <si>
    <t>Gas Spring, 5/16"-18 Thread Size, 13.19"
Extended Length, 60 lbs. Force</t>
  </si>
  <si>
    <t>2023-09-15</t>
  </si>
  <si>
    <t>BCKEL178081</t>
  </si>
  <si>
    <t>Pull Handles</t>
  </si>
  <si>
    <t>Shipping &amp; Handling</t>
  </si>
  <si>
    <t>2023-09-16</t>
  </si>
  <si>
    <t>AMZN Mktp CA*TX1GM8A80</t>
  </si>
  <si>
    <t>AMZN Mktp CA*TX9A44P12</t>
  </si>
  <si>
    <t>2023-09-19</t>
  </si>
  <si>
    <t>4210013317</t>
  </si>
  <si>
    <t>Cavity Weather Pack Kit; Nonslip Tape; Directconnect Wiper Blade; Primary Wire</t>
  </si>
  <si>
    <t>2023-09-20</t>
  </si>
  <si>
    <t>4210013380</t>
  </si>
  <si>
    <t>Pick up Truck/Camper Cap Tape; Direct Connect Wiper Blade</t>
  </si>
  <si>
    <t xml:space="preserve">   Total for Parts and components  - COS</t>
  </si>
  <si>
    <t>Total for Cost of Goods Sold</t>
  </si>
  <si>
    <t>Supplies and materials - COS</t>
  </si>
  <si>
    <t>2022-08-03</t>
  </si>
  <si>
    <t>Force in Motion Fluid Power Inc.</t>
  </si>
  <si>
    <t>Bearing; Shaft Seal</t>
  </si>
  <si>
    <t>2022-08-13</t>
  </si>
  <si>
    <t>42CS025861</t>
  </si>
  <si>
    <t>Grease Fitting</t>
  </si>
  <si>
    <t>Total for Supplies and materials - COS</t>
  </si>
  <si>
    <t xml:space="preserve">   Subcontracting  - COS</t>
  </si>
  <si>
    <t>2022-07-22</t>
  </si>
  <si>
    <t>BCKEL167525</t>
  </si>
  <si>
    <t>ML51RH Lse JT Hng</t>
  </si>
  <si>
    <t>2023-02-22</t>
  </si>
  <si>
    <t>BCKEL172775</t>
  </si>
  <si>
    <t>hardware and fasteners for all six Green Oxen</t>
  </si>
  <si>
    <t>2023-04-26</t>
  </si>
  <si>
    <t>Barmac Coatings Inc</t>
  </si>
  <si>
    <t>Green OX Car Assy. - Zinc Rich Primer &amp; Sky White</t>
  </si>
  <si>
    <t>2023-05-27</t>
  </si>
  <si>
    <t>Josh Figley Manufacturing</t>
  </si>
  <si>
    <t>Machine and Polish – 3.5 thousands of inch to slip fit into supplied bearing</t>
  </si>
  <si>
    <t>2023-08-31</t>
  </si>
  <si>
    <t>hi20230831</t>
  </si>
  <si>
    <t>Colby Fulton Creative</t>
  </si>
  <si>
    <t>Hallor Ox EV Website</t>
  </si>
  <si>
    <t>Shipping Ace Courier</t>
  </si>
  <si>
    <t>CA22229</t>
  </si>
  <si>
    <t>Shipping parts for test fitting on Unit</t>
  </si>
  <si>
    <t>2023-09-13</t>
  </si>
  <si>
    <t>Rutland Glass</t>
  </si>
  <si>
    <t>Clear Laminated; Cut to pattern - Windshield; Labour Shop Cut glass to pattern and install into supplied frame</t>
  </si>
  <si>
    <t xml:space="preserve">   Total for Subcontracting  - COS</t>
  </si>
  <si>
    <t>Sunday, Nov. 19, 2023 02:29:23 p.m. GMT-8</t>
  </si>
  <si>
    <t xml:space="preserve">   Engineering  - COS</t>
  </si>
  <si>
    <t>2022-10-31</t>
  </si>
  <si>
    <t>004-016</t>
  </si>
  <si>
    <t>Forward Design &amp; Studies Inc.</t>
  </si>
  <si>
    <t>Sept - Oct Projects (Drafting &amp; Design; Modelling; Render)</t>
  </si>
  <si>
    <t>2022-11-15</t>
  </si>
  <si>
    <t>KMS Tools &amp; Equipment</t>
  </si>
  <si>
    <t>Surface prep disc; Brush Wheel Knot; Brush cup knot</t>
  </si>
  <si>
    <t>2022-11-30</t>
  </si>
  <si>
    <t>004-018</t>
  </si>
  <si>
    <t>Modelling, Drafting &amp; Design (November Projects)</t>
  </si>
  <si>
    <t>2023-01-31</t>
  </si>
  <si>
    <t>004-020</t>
  </si>
  <si>
    <t>Analysis, Drafting &amp; Design, Modelling, Rapid Printing (December 07, 2022 to January 30, 2023)</t>
  </si>
  <si>
    <t>2023-03-01</t>
  </si>
  <si>
    <t>004-021</t>
  </si>
  <si>
    <t>Reverse engineering and modelling - Jesse - Feb 2023</t>
  </si>
  <si>
    <t>004-023</t>
  </si>
  <si>
    <t>Modelling, Analysis, Drafting  &amp; Design - March Projects</t>
  </si>
  <si>
    <t>2023-05-01</t>
  </si>
  <si>
    <t>004-023b</t>
  </si>
  <si>
    <t>Modelling, Drafting &amp; Design</t>
  </si>
  <si>
    <t>2023-05-31</t>
  </si>
  <si>
    <t>021-033e</t>
  </si>
  <si>
    <t>Drafting &amp; Design; Modelling</t>
  </si>
  <si>
    <t>004-026</t>
  </si>
  <si>
    <t>2023-08-09</t>
  </si>
  <si>
    <t>004-27</t>
  </si>
  <si>
    <t>2023-09-30</t>
  </si>
  <si>
    <t>004-023c</t>
  </si>
  <si>
    <t>Analysis; Drafting &amp; Design</t>
  </si>
  <si>
    <t xml:space="preserve">   Total for Engineering  - COS</t>
  </si>
  <si>
    <t>Sunday, Nov. 19, 2023 02:28:24 p.m. GMT-8</t>
  </si>
  <si>
    <t>Consulting Expense</t>
  </si>
  <si>
    <t>2022-12-07</t>
  </si>
  <si>
    <t>James Taylor</t>
  </si>
  <si>
    <t>Consulting (October and November 2022)</t>
  </si>
  <si>
    <t>Halston Services</t>
  </si>
  <si>
    <t>Consulting - October and November 2022</t>
  </si>
  <si>
    <t>2022-12-30</t>
  </si>
  <si>
    <t>Consulting - December 2022</t>
  </si>
  <si>
    <t>Consulting</t>
  </si>
  <si>
    <t>2022-12-31</t>
  </si>
  <si>
    <t>T. Dean Kneider</t>
  </si>
  <si>
    <t>Consulting Fees for Oct, Nov &amp; Dec 2022 at ½ price</t>
  </si>
  <si>
    <t>2023-01-19</t>
  </si>
  <si>
    <t>Consulting - January 2023</t>
  </si>
  <si>
    <t>2023-01-30</t>
  </si>
  <si>
    <t>Consulting Fees</t>
  </si>
  <si>
    <t>2023-02-20</t>
  </si>
  <si>
    <t>Consulting - October 2022</t>
  </si>
  <si>
    <t>2023-02-28</t>
  </si>
  <si>
    <t>Dean Feb 2023 consulting services</t>
  </si>
  <si>
    <t>2023-03-20</t>
  </si>
  <si>
    <t>2023-03-22</t>
  </si>
  <si>
    <t>On going consulting</t>
  </si>
  <si>
    <t>2023-04-30</t>
  </si>
  <si>
    <t>NEED INVOICE</t>
  </si>
  <si>
    <t>May2023-Consulting</t>
  </si>
  <si>
    <t>Accrued consulting expense for Dean, James and Keith</t>
  </si>
  <si>
    <t>June2023-Consulting</t>
  </si>
  <si>
    <t>FY23-WIP#2</t>
  </si>
  <si>
    <t>To capitalize labor costs on GreenOx build-out to WIP inventory as at July 31, 2023</t>
  </si>
  <si>
    <t>Professional and expert advise</t>
  </si>
  <si>
    <t>Total for Consulting Expense</t>
  </si>
  <si>
    <t>AJE.1B</t>
  </si>
  <si>
    <t>CHECK to IS.1</t>
  </si>
  <si>
    <r>
      <t>CHECK to</t>
    </r>
    <r>
      <rPr>
        <b/>
        <sz val="9"/>
        <color rgb="FFFF0000"/>
        <rFont val="Roboto"/>
      </rPr>
      <t xml:space="preserve"> IS.1</t>
    </r>
  </si>
  <si>
    <t>Difference</t>
  </si>
  <si>
    <t>Balance CHECK</t>
  </si>
  <si>
    <t>ADJ Acqusition Day balances</t>
  </si>
  <si>
    <t>ADJ-1</t>
  </si>
  <si>
    <t>ADJ-2</t>
  </si>
  <si>
    <t>ADJ-3</t>
  </si>
  <si>
    <t>As of July 31, 2023</t>
  </si>
  <si>
    <t>Purpose: to reconcile from July 31, 2023 audited balances in Hallor Industries, back to acquisition date (July 12, 2023) trial balance for the purpose of completing asset acquisition accounting</t>
  </si>
  <si>
    <t>As of July 12, 2023</t>
  </si>
  <si>
    <t>Expected Captialized WIP</t>
  </si>
  <si>
    <t>Balance at July 31, 2023</t>
  </si>
  <si>
    <t>Net Assets</t>
  </si>
  <si>
    <r>
      <t xml:space="preserve">Net assets as at July 12, 2023 - see Tab </t>
    </r>
    <r>
      <rPr>
        <b/>
        <sz val="11"/>
        <color rgb="FFFF0000"/>
        <rFont val="Calibri"/>
        <family val="2"/>
        <scheme val="minor"/>
      </rPr>
      <t>TB.3</t>
    </r>
  </si>
  <si>
    <t>To recognize convertible debenture - FV of derivative with residual to liability</t>
  </si>
  <si>
    <t xml:space="preserve">DR. Cash </t>
  </si>
  <si>
    <t>CR. Derivative Liability</t>
  </si>
  <si>
    <t>CR. Convertible debenture</t>
  </si>
  <si>
    <t>Adjusting Journal Entry - recorded TOPSIDE in this workbook</t>
  </si>
  <si>
    <t>Movement explanation</t>
  </si>
  <si>
    <t>Shares issued on acquisition of Hallor Industries Inc.</t>
  </si>
  <si>
    <t>Acquisition costs of acquiring Hallor Industries Inc.</t>
  </si>
  <si>
    <t>Not material</t>
  </si>
  <si>
    <t>no movement</t>
  </si>
  <si>
    <t>Change</t>
  </si>
  <si>
    <t>Trial Balance per QBO as of July 11, 2023</t>
  </si>
  <si>
    <t>Amounts capitalized to WIP post-acq</t>
  </si>
  <si>
    <t>All Dates</t>
  </si>
  <si>
    <t>Work in progress inventory</t>
  </si>
  <si>
    <t>2019-07-31</t>
  </si>
  <si>
    <t>FY19-COGS</t>
  </si>
  <si>
    <t>To re-class inventory balances to COS</t>
  </si>
  <si>
    <t>Year End 2019</t>
  </si>
  <si>
    <t>2019 Year End Balances from TB - unable to validate &amp; should be written dorn as needed (JF 2021 YE)</t>
  </si>
  <si>
    <t>2020-07-31</t>
  </si>
  <si>
    <t>Year End 20</t>
  </si>
  <si>
    <t>as discussed with management - write down as not accurate</t>
  </si>
  <si>
    <t>YearEnd20R</t>
  </si>
  <si>
    <t>reversing entry from Jennifer fleming</t>
  </si>
  <si>
    <t>2021-07-31</t>
  </si>
  <si>
    <t>FY21-WIP</t>
  </si>
  <si>
    <t>In progress parts and components relating to Green Ox build for Alpine Aerotech</t>
  </si>
  <si>
    <t>2022-01-31</t>
  </si>
  <si>
    <t>FY21-WIPR</t>
  </si>
  <si>
    <t>Recognize WIP to COGS upon delivery of Green Ox to Alpine Aerotech</t>
  </si>
  <si>
    <t>2023-01-16</t>
  </si>
  <si>
    <t>LOAD REACTION ORBITAL VALVE</t>
  </si>
  <si>
    <t>Green OX components - Steering components</t>
  </si>
  <si>
    <t>2023-03-14</t>
  </si>
  <si>
    <t>TForce Freight</t>
  </si>
  <si>
    <t>AXLE CENTER SECTION; COGS AND WHEELS</t>
  </si>
  <si>
    <t>The Home Depot</t>
  </si>
  <si>
    <t>Screws; nut</t>
  </si>
  <si>
    <t>Fitting; brake hose; Brakequip attaching and pressure test</t>
  </si>
  <si>
    <t>Brake tube-green; tube nut; adapter; 3-way tee; fem. tube joiner; countersunk plug</t>
  </si>
  <si>
    <t>Green Ox components</t>
  </si>
  <si>
    <t>2023-06-26</t>
  </si>
  <si>
    <t>Plumbing kits</t>
  </si>
  <si>
    <t>Gas Spring; 302 Stainless Steel spring; 1050-1095 Spring Steel spring pin</t>
  </si>
  <si>
    <t>Radial SRDG Ball Bearings; Oil Seals</t>
  </si>
  <si>
    <t>4210009771</t>
  </si>
  <si>
    <t>AMMTECH SPRING</t>
  </si>
  <si>
    <t>FY23-Accrual</t>
  </si>
  <si>
    <t>To accrue for Forward Design July services invoiced in Aug 2023</t>
  </si>
  <si>
    <t>FY23-AccrualR</t>
  </si>
  <si>
    <t>Total for Work in progress inventory</t>
  </si>
  <si>
    <t>Tuesday, Nov. 21, 2023 11:41:33 a.m. GMT-8 - Accrual Basis</t>
  </si>
  <si>
    <t>Primiarly due to GST rec balance of $26k acquired on acquisition of Hallor Industries; remaining amount due to GST ITCs recognized in Q1 for consolidated group</t>
  </si>
  <si>
    <t xml:space="preserve">From the acquisition of Hallor Industries - was $397,450 on acquisition date; plus additions throughout Q1 </t>
  </si>
  <si>
    <t>Post-acquisition of Hallor Industries this became an inter-company balance and eliminates on consolidation</t>
  </si>
  <si>
    <t>From the acquisition of Hallor Industries - was $6,108 on acquisition date less depreciation</t>
  </si>
  <si>
    <t xml:space="preserve">From the acquisition of Hallor Industries </t>
  </si>
  <si>
    <t>$225k of convertible note subscription occurred in Q1; the conversion feature recognized as derivative liability, FV'd first and residual of face-value on note allocated to host debt liability. Refer to Tab DER.V in this workbook for valuation of derivative.</t>
  </si>
  <si>
    <t>$6M share consideration to acquire Hallor Industries; $450k finders fee on closing of acquisition</t>
  </si>
  <si>
    <t>Net loss in the period - see P&amp;L variance analysis for details</t>
  </si>
  <si>
    <t>Total sales and marketing</t>
  </si>
  <si>
    <t>Total general and administration</t>
  </si>
  <si>
    <t>Audited P&amp;L balances</t>
  </si>
  <si>
    <t>Explanation</t>
  </si>
  <si>
    <t>Refer to Tab 'Note Disclosures'</t>
  </si>
  <si>
    <t>Assets acquired and liabilities assumed:</t>
  </si>
  <si>
    <t>Intangible asset</t>
  </si>
  <si>
    <t>Total purchase price allocated</t>
  </si>
  <si>
    <t>Asset acquisition - Hallor Industries</t>
  </si>
  <si>
    <t>Cash received on acquisition of Hallor Industries Inc.</t>
  </si>
  <si>
    <t>Depreciation</t>
  </si>
  <si>
    <t>Finders fee on acquisition of Hallor Industries Inc.</t>
  </si>
  <si>
    <t>Cost:</t>
  </si>
  <si>
    <t>Accumulated Depreciation:</t>
  </si>
  <si>
    <t>Carrying Amount:</t>
  </si>
  <si>
    <t>Raw Materials</t>
  </si>
  <si>
    <t>Work-in-Progress Inventory</t>
  </si>
  <si>
    <t>Other expenses and income</t>
  </si>
  <si>
    <t>Related party transactions</t>
  </si>
  <si>
    <t xml:space="preserve">Key management compensation </t>
  </si>
  <si>
    <t>Total key management compensation</t>
  </si>
  <si>
    <t>Settlement of loan receivable on acquisition of Hallor Industries Inc.</t>
  </si>
  <si>
    <t>As of December 31, 2022</t>
  </si>
  <si>
    <t>Acquisition of Hallor Industries Inc.</t>
  </si>
  <si>
    <t>CHECK BALANCE</t>
  </si>
  <si>
    <t>CHECK TO FS.1</t>
  </si>
  <si>
    <t>Net loss and comprehensive loss</t>
  </si>
  <si>
    <t>Three months ended</t>
  </si>
  <si>
    <t>Balance - July 1, 2023</t>
  </si>
  <si>
    <t>CHECK to BS</t>
  </si>
  <si>
    <t>WIP inventory</t>
  </si>
  <si>
    <t>GL #</t>
  </si>
  <si>
    <t>Raw material</t>
  </si>
  <si>
    <t>Additions in the period</t>
  </si>
  <si>
    <t>As at June 30, 2023</t>
  </si>
  <si>
    <t>Acquired during the period</t>
  </si>
  <si>
    <t>Depreciation in the period</t>
  </si>
  <si>
    <t>Consulting fees payable to a entity controlled by the CFO of the Company (1)</t>
  </si>
  <si>
    <t>RPT</t>
  </si>
  <si>
    <t>AP balance - to CEO of the Company</t>
  </si>
  <si>
    <t>AP balance - to CFO</t>
  </si>
  <si>
    <t xml:space="preserve">Shares issued on acquisition of Hallor </t>
  </si>
  <si>
    <t>RR</t>
  </si>
  <si>
    <t>FV per share issued</t>
  </si>
  <si>
    <t># of common shares issued as finders fee</t>
  </si>
  <si>
    <t>Total FV of share consideration for Hallor</t>
  </si>
  <si>
    <t>Total FV of finders fee for Hallor</t>
  </si>
  <si>
    <t>Purchase price consideration</t>
  </si>
  <si>
    <t>Total purchase price</t>
  </si>
  <si>
    <t>Fair value of 12,000,000 common shares issued at $0.50</t>
  </si>
  <si>
    <t>Acquired in the period (Note 5)</t>
  </si>
  <si>
    <t>Total director fees - PY</t>
  </si>
  <si>
    <t>nil</t>
  </si>
  <si>
    <t>AP balance - UpCapital</t>
  </si>
  <si>
    <t>Asset acquisition</t>
  </si>
  <si>
    <t> Issued and outstanding common shares</t>
  </si>
  <si>
    <t>Number of shares</t>
  </si>
  <si>
    <t xml:space="preserve">Convertible Debt </t>
  </si>
  <si>
    <t>Christina Van</t>
  </si>
  <si>
    <t>Ashik Karim</t>
  </si>
  <si>
    <t>Total Note Principal</t>
  </si>
  <si>
    <t>deposited Aug 2023</t>
  </si>
  <si>
    <t>Annual interest rate</t>
  </si>
  <si>
    <t>Monthly interest rate</t>
  </si>
  <si>
    <t xml:space="preserve">&lt;&lt; as confirmed with Ashik this is simple interest </t>
  </si>
  <si>
    <t># periods</t>
  </si>
  <si>
    <t>Start date</t>
  </si>
  <si>
    <t>Current period end date</t>
  </si>
  <si>
    <t xml:space="preserve">Interest expense </t>
  </si>
  <si>
    <t xml:space="preserve"># of periods lapsed </t>
  </si>
  <si>
    <t>DEBT</t>
  </si>
  <si>
    <t>NN</t>
  </si>
  <si>
    <t>interest expense - convertible debt - CY</t>
  </si>
  <si>
    <t>interest expense - convertible debt - PY</t>
  </si>
  <si>
    <t>Convert note principal OS - CY</t>
  </si>
  <si>
    <t>Convert note principal OS - PY</t>
  </si>
  <si>
    <t>Interest payable Convert note - CY</t>
  </si>
  <si>
    <t>Interest payable Convert note - PY</t>
  </si>
  <si>
    <t>Expected life (in years)</t>
  </si>
  <si>
    <t>Black-scholes option model inputs</t>
  </si>
  <si>
    <t>Geske compound option model inputs</t>
  </si>
  <si>
    <t>Share price at grant date ($)</t>
  </si>
  <si>
    <t>Exercise price ($)</t>
  </si>
  <si>
    <t>Expected annual volatility (%)</t>
  </si>
  <si>
    <t>Expected dividend yield (%)</t>
  </si>
  <si>
    <t>Risk-free interest rate (%)</t>
  </si>
  <si>
    <t>FV of embedded derivative</t>
  </si>
  <si>
    <t>FV of host debt liability</t>
  </si>
  <si>
    <t>Beginning Balance</t>
  </si>
  <si>
    <t>Closing balance</t>
  </si>
  <si>
    <t>Daily interest rate</t>
  </si>
  <si>
    <t>End Date</t>
  </si>
  <si>
    <t>Days lapsed</t>
  </si>
  <si>
    <t>Effective interest rate &gt;&gt;</t>
  </si>
  <si>
    <t>&lt;&lt; using goal seek</t>
  </si>
  <si>
    <t>CR. Convertible note</t>
  </si>
  <si>
    <t>Cash Coupon (12%)</t>
  </si>
  <si>
    <t>Interest expense (at effective IR)</t>
  </si>
  <si>
    <t>Accretion expense</t>
  </si>
  <si>
    <t xml:space="preserve">&lt;&lt; just present interest payable net with convertible debt </t>
  </si>
  <si>
    <t>FV of derivative liability - initial recognition</t>
  </si>
  <si>
    <t>host liability FV</t>
  </si>
  <si>
    <t>Transferred to work-in-progress on assembly</t>
  </si>
  <si>
    <t>Maturity date</t>
  </si>
  <si>
    <t xml:space="preserve">The conversion feature on the convertible debenture breaches fixed-for-fixed criterion and therefore cannot be classified as an equity instrument. The conversion option represents an embedded derivative liability that is separately accounted for at fair-value with the residual allocated to the host debt. In fair-valuing the conversion feature, management represents that the conversion mechnism is based on the lesser of i) a 25% discount to IPO price; and ii) price based on valuation of $20M. The Company believes that scenario ii) is a very unlikely scenario and remote given the net assets of the Company as  of measurement date is well below a $20M valuation, and there is a relatively short amount of time remaining until the IPO. Therefore, the valuation approach taken will be based on observing the in-the-money value of the essentially the conversion option - see calculation below  </t>
  </si>
  <si>
    <t>Total conversion amount</t>
  </si>
  <si>
    <t>Estimated share price at IPO</t>
  </si>
  <si>
    <t>&lt;&lt; based on last financing</t>
  </si>
  <si>
    <t>Discounted exercise price</t>
  </si>
  <si>
    <t xml:space="preserve"># of shares issued </t>
  </si>
  <si>
    <t>Fair value of shares on IPO</t>
  </si>
  <si>
    <t>Resulting day 1 gain by investors</t>
  </si>
  <si>
    <t>Face value of note</t>
  </si>
  <si>
    <t>[A]</t>
  </si>
  <si>
    <t>DR. Accretion expense</t>
  </si>
  <si>
    <t xml:space="preserve">Derivative valuation and accretion schedule </t>
  </si>
  <si>
    <t>DR. Interest expense</t>
  </si>
  <si>
    <t xml:space="preserve">Fair value of convertible notes on issuance </t>
  </si>
  <si>
    <t>Type</t>
  </si>
  <si>
    <t>Num</t>
  </si>
  <si>
    <t>Memo</t>
  </si>
  <si>
    <t>Clr</t>
  </si>
  <si>
    <t>BANK</t>
  </si>
  <si>
    <t>1010 Operating Bank</t>
  </si>
  <si>
    <t>General Journal</t>
  </si>
  <si>
    <t>2</t>
  </si>
  <si>
    <t>Ö</t>
  </si>
  <si>
    <t>Gurg Share Purchase - 400,000 shares @ 0.05</t>
  </si>
  <si>
    <t>3112 - Class A - Gurg</t>
  </si>
  <si>
    <t>3</t>
  </si>
  <si>
    <t>Ken Share Purchase - 200,000 shares @ 0.05</t>
  </si>
  <si>
    <t>3113 - Class A - Ken</t>
  </si>
  <si>
    <t>1</t>
  </si>
  <si>
    <t>Ashik Share Purchase - 1.4 million shares @ 0.05</t>
  </si>
  <si>
    <t>3111 - Class A - Ashik</t>
  </si>
  <si>
    <t>4</t>
  </si>
  <si>
    <t>Monthly Plan Fee</t>
  </si>
  <si>
    <t>5590 Bank Fees</t>
  </si>
  <si>
    <t>Bill Pmt -Cheque</t>
  </si>
  <si>
    <t>Heywood Beaudry</t>
  </si>
  <si>
    <t>11637649 Canada Ltd</t>
  </si>
  <si>
    <t>UpCapital</t>
  </si>
  <si>
    <t>K. Davidson Inc.</t>
  </si>
  <si>
    <t>8</t>
  </si>
  <si>
    <t>Share Subscription Payment</t>
  </si>
  <si>
    <t>DealMaker.Tech</t>
  </si>
  <si>
    <t>10</t>
  </si>
  <si>
    <t>Test Transfer to UpCapital</t>
  </si>
  <si>
    <t>2400 Due to/from UpCapital</t>
  </si>
  <si>
    <t>9</t>
  </si>
  <si>
    <t>Equity Deposit</t>
  </si>
  <si>
    <t>-SPLIT-</t>
  </si>
  <si>
    <t>3210 SHARES - CLASS B</t>
  </si>
  <si>
    <t>11</t>
  </si>
  <si>
    <t>Equipty Payment</t>
  </si>
  <si>
    <t>31</t>
  </si>
  <si>
    <t>Investor Deposit</t>
  </si>
  <si>
    <t>13</t>
  </si>
  <si>
    <t>14</t>
  </si>
  <si>
    <t>15</t>
  </si>
  <si>
    <t>12</t>
  </si>
  <si>
    <t>16</t>
  </si>
  <si>
    <t>17</t>
  </si>
  <si>
    <t>Share Purchase</t>
  </si>
  <si>
    <t>18</t>
  </si>
  <si>
    <t>19</t>
  </si>
  <si>
    <t>Dream Even Bigger Developments Inc</t>
  </si>
  <si>
    <t>20</t>
  </si>
  <si>
    <t>21</t>
  </si>
  <si>
    <t>22</t>
  </si>
  <si>
    <t>23</t>
  </si>
  <si>
    <t>24</t>
  </si>
  <si>
    <t>25</t>
  </si>
  <si>
    <t>26</t>
  </si>
  <si>
    <t>27</t>
  </si>
  <si>
    <t>28</t>
  </si>
  <si>
    <t>29</t>
  </si>
  <si>
    <t>30</t>
  </si>
  <si>
    <t>32</t>
  </si>
  <si>
    <t>33</t>
  </si>
  <si>
    <t>34</t>
  </si>
  <si>
    <t>35</t>
  </si>
  <si>
    <t>36</t>
  </si>
  <si>
    <t>46</t>
  </si>
  <si>
    <t>Transfer to SAK2</t>
  </si>
  <si>
    <t>2102 Due to/from SAK2</t>
  </si>
  <si>
    <t>37</t>
  </si>
  <si>
    <t>47</t>
  </si>
  <si>
    <t>Transfer to UpCapital</t>
  </si>
  <si>
    <t>38</t>
  </si>
  <si>
    <t>39</t>
  </si>
  <si>
    <t>48</t>
  </si>
  <si>
    <t>Wire Investor Deposit</t>
  </si>
  <si>
    <t>40</t>
  </si>
  <si>
    <t>Repayment to Investor - Overpaid investment</t>
  </si>
  <si>
    <t>41</t>
  </si>
  <si>
    <t>42</t>
  </si>
  <si>
    <t>43</t>
  </si>
  <si>
    <t>44</t>
  </si>
  <si>
    <t>49</t>
  </si>
  <si>
    <t>45</t>
  </si>
  <si>
    <t>49R</t>
  </si>
  <si>
    <t>Transfer from SAK2</t>
  </si>
  <si>
    <t>50</t>
  </si>
  <si>
    <t>51</t>
  </si>
  <si>
    <t>0854689 BC Ltd</t>
  </si>
  <si>
    <t>53</t>
  </si>
  <si>
    <t>52</t>
  </si>
  <si>
    <t>55</t>
  </si>
  <si>
    <t>GC 0047-DEPOSIT</t>
  </si>
  <si>
    <t>54</t>
  </si>
  <si>
    <t>Cheque</t>
  </si>
  <si>
    <t>Service Charge</t>
  </si>
  <si>
    <t>56</t>
  </si>
  <si>
    <t>GC 0047 Transfer</t>
  </si>
  <si>
    <t>Tandem Innovation Group Inc</t>
  </si>
  <si>
    <t>SAK6 Capital Corp</t>
  </si>
  <si>
    <t>59</t>
  </si>
  <si>
    <t>2106 Due to/from SAK6</t>
  </si>
  <si>
    <t>60</t>
  </si>
  <si>
    <t>Refund RF-SAK6-01. Costs related to SAK6 Capital Corp DealMaker</t>
  </si>
  <si>
    <t>61</t>
  </si>
  <si>
    <t>62</t>
  </si>
  <si>
    <t>McMillan LLP</t>
  </si>
  <si>
    <t>63</t>
  </si>
  <si>
    <t>2800 Shareholder Loan</t>
  </si>
  <si>
    <t>Total 1010 Operating Bank</t>
  </si>
  <si>
    <t>Total BANK</t>
  </si>
  <si>
    <t>1500 Accounts Receivable</t>
  </si>
  <si>
    <t>6</t>
  </si>
  <si>
    <t>As per Central Cesurities Register, funds owed.  1 Share</t>
  </si>
  <si>
    <t>Total 1500 Accounts Receivable</t>
  </si>
  <si>
    <t>0050</t>
  </si>
  <si>
    <t>0057</t>
  </si>
  <si>
    <t>Adobe</t>
  </si>
  <si>
    <t>0056</t>
  </si>
  <si>
    <t>0058</t>
  </si>
  <si>
    <t>UC003</t>
  </si>
  <si>
    <t>EspenseReport</t>
  </si>
  <si>
    <t>0064</t>
  </si>
  <si>
    <t>EE7AFF59-0001</t>
  </si>
  <si>
    <t>0072</t>
  </si>
  <si>
    <t>EE7AFF59-0002</t>
  </si>
  <si>
    <t>$1050 USD</t>
  </si>
  <si>
    <t>EE7AFF59-0003</t>
  </si>
  <si>
    <t>603.75 USD</t>
  </si>
  <si>
    <t>0082</t>
  </si>
  <si>
    <t>EE7AFF59-0004</t>
  </si>
  <si>
    <t>EE7AFF59-0005</t>
  </si>
  <si>
    <t>0096</t>
  </si>
  <si>
    <t>007</t>
  </si>
  <si>
    <t>EE7AFF59-0006</t>
  </si>
  <si>
    <t>009</t>
  </si>
  <si>
    <t>0105</t>
  </si>
  <si>
    <t>041220201001</t>
  </si>
  <si>
    <t>EE7AFF59-0007</t>
  </si>
  <si>
    <t>0110</t>
  </si>
  <si>
    <t>010</t>
  </si>
  <si>
    <t>EE7AFF59-0008</t>
  </si>
  <si>
    <t>0120</t>
  </si>
  <si>
    <t>EE7AFF59-0009</t>
  </si>
  <si>
    <t>0128</t>
  </si>
  <si>
    <t>EE7AFF59-0010</t>
  </si>
  <si>
    <t>0137</t>
  </si>
  <si>
    <t xml:space="preserve"> EE7AFF59-0011</t>
  </si>
  <si>
    <t>0146</t>
  </si>
  <si>
    <t>EE7AFF59-0012</t>
  </si>
  <si>
    <t>EE7AFF59-0013</t>
  </si>
  <si>
    <t>0165</t>
  </si>
  <si>
    <t>EE7AFF59-0014</t>
  </si>
  <si>
    <t>0174</t>
  </si>
  <si>
    <t>1285160</t>
  </si>
  <si>
    <t>UC 035</t>
  </si>
  <si>
    <t>5510 Office Supplies</t>
  </si>
  <si>
    <t>0182</t>
  </si>
  <si>
    <t>0188</t>
  </si>
  <si>
    <t>030</t>
  </si>
  <si>
    <t>1291751</t>
  </si>
  <si>
    <t>4521</t>
  </si>
  <si>
    <t>0198</t>
  </si>
  <si>
    <t>SAK6-01</t>
  </si>
  <si>
    <t>SAK6-02</t>
  </si>
  <si>
    <t>SAK6-03</t>
  </si>
  <si>
    <t>SAK6-04</t>
  </si>
  <si>
    <t>SAK6-05</t>
  </si>
  <si>
    <t>SAK6-06</t>
  </si>
  <si>
    <t>SAK6-07</t>
  </si>
  <si>
    <t>1292936</t>
  </si>
  <si>
    <t>1292937</t>
  </si>
  <si>
    <t>1292938</t>
  </si>
  <si>
    <t>031</t>
  </si>
  <si>
    <t>205</t>
  </si>
  <si>
    <t>033</t>
  </si>
  <si>
    <t>Total 2000 Accounts Payable</t>
  </si>
  <si>
    <t>CURRENT LIABILITIES</t>
  </si>
  <si>
    <t>2200 Accrued Liabilities</t>
  </si>
  <si>
    <t>5</t>
  </si>
  <si>
    <t>Accrual for expected professional fees related to April 30 2021 year end - as per Ken</t>
  </si>
  <si>
    <t>6011 Accounting Fees</t>
  </si>
  <si>
    <t>Total 2200 Accrued Liabilities</t>
  </si>
  <si>
    <t>Total CURRENT LIABILITIES</t>
  </si>
  <si>
    <t>DUE TO/FROM</t>
  </si>
  <si>
    <t>Costs related to the setup and ongoing maintenance of DealMaker</t>
  </si>
  <si>
    <t>For costs related to UpCapital</t>
  </si>
  <si>
    <t>For costs associated with 16 Bit Business</t>
  </si>
  <si>
    <t>For costs associated with McMillan</t>
  </si>
  <si>
    <t>For costs associated with Dream Even Bigger Developments Inc</t>
  </si>
  <si>
    <t xml:space="preserve">For costs associated with Banking Fees	</t>
  </si>
  <si>
    <t>Total 2106 Due to/from SAK6</t>
  </si>
  <si>
    <t>Total 2102 Due to/from SAK2</t>
  </si>
  <si>
    <t>Paid by Upcapital</t>
  </si>
  <si>
    <t>Total 2400 Due to/from UpCapital</t>
  </si>
  <si>
    <t>Total DUE TO/FROM</t>
  </si>
  <si>
    <t>SALES TAX</t>
  </si>
  <si>
    <t>2670 GST ITC's</t>
  </si>
  <si>
    <t>Total 2670 GST ITC's</t>
  </si>
  <si>
    <t>Total SALES TAX</t>
  </si>
  <si>
    <t>SHAREHOLDER LOANS</t>
  </si>
  <si>
    <t>Total 2800 Shareholder Loan</t>
  </si>
  <si>
    <t>Total SHAREHOLDER LOANS</t>
  </si>
  <si>
    <t>CAPITAL STOCK</t>
  </si>
  <si>
    <t>3110 SHARES - CLASS A</t>
  </si>
  <si>
    <t>Total 3111 - Class A - Ashik</t>
  </si>
  <si>
    <t>Total 3112 - Class A - Gurg</t>
  </si>
  <si>
    <t>Total 3113 - Class A - Ken</t>
  </si>
  <si>
    <t>Total 3110 SHARES - CLASS A</t>
  </si>
  <si>
    <t>Interest</t>
  </si>
  <si>
    <t>Inverter Deposit</t>
  </si>
  <si>
    <t>Total 3210 SHARES - CLASS B</t>
  </si>
  <si>
    <t>Total CAPITAL STOCK</t>
  </si>
  <si>
    <t>OPERATING EXPENSES</t>
  </si>
  <si>
    <t>-MULTIPLE-</t>
  </si>
  <si>
    <t>DM - Monthly Platform Fee</t>
  </si>
  <si>
    <t>Rebate</t>
  </si>
  <si>
    <t>Engage, Signature Fees, Platform Fees</t>
  </si>
  <si>
    <t>Total 5510 Office Supplies</t>
  </si>
  <si>
    <t>Wire Investor Deposit Fees</t>
  </si>
  <si>
    <t>Total 5590 Bank Fees</t>
  </si>
  <si>
    <t>Total OPERATING EXPENSES</t>
  </si>
  <si>
    <t>PROMOTIONS</t>
  </si>
  <si>
    <t>5850 Advertising</t>
  </si>
  <si>
    <t>Profile Marketing - from Ken Expense</t>
  </si>
  <si>
    <t>Total 5850 Advertising</t>
  </si>
  <si>
    <t>Total PROMOTIONS</t>
  </si>
  <si>
    <t>FIXED EXPENSE</t>
  </si>
  <si>
    <t>PROFESSIONAL FEES</t>
  </si>
  <si>
    <t>50% of fees</t>
  </si>
  <si>
    <t>May Bookkeeping</t>
  </si>
  <si>
    <t>June Bookkeeping</t>
  </si>
  <si>
    <t>July Bookkeeping</t>
  </si>
  <si>
    <t>August Bookkeeping</t>
  </si>
  <si>
    <t>September Bookkeeping</t>
  </si>
  <si>
    <t>November Bookkeeping</t>
  </si>
  <si>
    <t>December Bookkeeping</t>
  </si>
  <si>
    <t>Ongoing Bookkeeping</t>
  </si>
  <si>
    <t>Total 6011 Accounting Fees</t>
  </si>
  <si>
    <t>6013 Consulting Fees</t>
  </si>
  <si>
    <t>for services in preperation to go public</t>
  </si>
  <si>
    <t>Design</t>
  </si>
  <si>
    <t>Administration, set up, and maintain corporate shell structure</t>
  </si>
  <si>
    <t>consulting November</t>
  </si>
  <si>
    <t>Total 6013 Consulting Fees</t>
  </si>
  <si>
    <t>Total PROFESSIONAL FEES</t>
  </si>
  <si>
    <t>Total FIXED EXPENSE</t>
  </si>
  <si>
    <t>1292846 B.C. Ltd</t>
  </si>
  <si>
    <t>General Ledger</t>
  </si>
  <si>
    <t>January - June, 2023</t>
  </si>
  <si>
    <t>Operating Bank</t>
  </si>
  <si>
    <t>09/01/2023</t>
  </si>
  <si>
    <t>Bill Payment (Cheque)</t>
  </si>
  <si>
    <t>E-Transfer</t>
  </si>
  <si>
    <t>Cvan Creatives</t>
  </si>
  <si>
    <t>Reimburse 2022 expense</t>
  </si>
  <si>
    <t>Dream Even Bigger Developments Inc.</t>
  </si>
  <si>
    <t>Wire</t>
  </si>
  <si>
    <t>McMillan</t>
  </si>
  <si>
    <t>06/02/2023</t>
  </si>
  <si>
    <t>1394336 B.C. LTD.</t>
  </si>
  <si>
    <t>21/02/2023</t>
  </si>
  <si>
    <t>Bank Conf Fee</t>
  </si>
  <si>
    <t>06/03/2023</t>
  </si>
  <si>
    <t>20/03/2023</t>
  </si>
  <si>
    <t>28/03/2023</t>
  </si>
  <si>
    <t>SAK3 transfer the payment to UpCapital</t>
  </si>
  <si>
    <t>03/04/2023</t>
  </si>
  <si>
    <t>Tamara MacPherson Warrants @ $ .50</t>
  </si>
  <si>
    <t>ken Ricci Warrants @ $ .50</t>
  </si>
  <si>
    <t>Ken Ricci Warrants @ $ .50</t>
  </si>
  <si>
    <t>Lance MacDonald Warrants @ $ .50</t>
  </si>
  <si>
    <t>04/04/2023</t>
  </si>
  <si>
    <t>05/04/2023</t>
  </si>
  <si>
    <t>Erin Weisbrod Warrants @ $ .50</t>
  </si>
  <si>
    <t>17/04/2023</t>
  </si>
  <si>
    <t>Dean Burton Warrants @ $ .50</t>
  </si>
  <si>
    <t>26/04/2023</t>
  </si>
  <si>
    <t>02/05/2023</t>
  </si>
  <si>
    <t>Mark Halston Warrants @ $ .50</t>
  </si>
  <si>
    <t>03/05/2023</t>
  </si>
  <si>
    <t>09/05/2023</t>
  </si>
  <si>
    <t>29/05/2023</t>
  </si>
  <si>
    <t>12/06/2023</t>
  </si>
  <si>
    <t>29/06/2023</t>
  </si>
  <si>
    <t>Total for Operating Bank</t>
  </si>
  <si>
    <t>Accounts Payable (A/P)</t>
  </si>
  <si>
    <t>05/01/2023</t>
  </si>
  <si>
    <t>31/01/2023</t>
  </si>
  <si>
    <t>01/02/2023</t>
  </si>
  <si>
    <t>2023-036</t>
  </si>
  <si>
    <t>02/02/2023</t>
  </si>
  <si>
    <t>03/02/2023</t>
  </si>
  <si>
    <t>01/03/2023</t>
  </si>
  <si>
    <t>2023-039</t>
  </si>
  <si>
    <t>09/03/2023</t>
  </si>
  <si>
    <t>01/04/2023</t>
  </si>
  <si>
    <t>2023-042</t>
  </si>
  <si>
    <t>02/04/2023</t>
  </si>
  <si>
    <t>20/04/2023</t>
  </si>
  <si>
    <t>01/05/2023</t>
  </si>
  <si>
    <t>04/05/2023</t>
  </si>
  <si>
    <t>15/05/2023</t>
  </si>
  <si>
    <t>UC 055 UC 056</t>
  </si>
  <si>
    <t>30/05/2023</t>
  </si>
  <si>
    <t>DMCL</t>
  </si>
  <si>
    <t>01/06/2023</t>
  </si>
  <si>
    <t>UC 052</t>
  </si>
  <si>
    <t>07/06/2023</t>
  </si>
  <si>
    <t>20/06/2023</t>
  </si>
  <si>
    <t>26/06/2023</t>
  </si>
  <si>
    <t>30/06/2023</t>
  </si>
  <si>
    <t>Total for Accounts Payable (A/P)</t>
  </si>
  <si>
    <t>Current Liabilities</t>
  </si>
  <si>
    <t xml:space="preserve">   Accrued Liabilities</t>
  </si>
  <si>
    <t>To accrue year-end fee as per Ken's instructions</t>
  </si>
  <si>
    <t xml:space="preserve">   Total for Accrued Liabilities</t>
  </si>
  <si>
    <t xml:space="preserve">   </t>
  </si>
  <si>
    <t xml:space="preserve">   Due To/From</t>
  </si>
  <si>
    <t xml:space="preserve">      Due To/From UpCapital</t>
  </si>
  <si>
    <t xml:space="preserve">      Beginning Balance</t>
  </si>
  <si>
    <t xml:space="preserve">      Total for Due To/From UpCapital</t>
  </si>
  <si>
    <t xml:space="preserve">      </t>
  </si>
  <si>
    <t xml:space="preserve">   Total for Due To/From</t>
  </si>
  <si>
    <t>Total for Current Liabilities</t>
  </si>
  <si>
    <t>GST/HST Payable</t>
  </si>
  <si>
    <t>Total for GST/HST Payable</t>
  </si>
  <si>
    <t>Short-Term Loan (Hallor Industries)</t>
  </si>
  <si>
    <t>Total for Short-Term Loan (Hallor Industries)</t>
  </si>
  <si>
    <t>Capital Stock</t>
  </si>
  <si>
    <t xml:space="preserve">   Common Shares</t>
  </si>
  <si>
    <t xml:space="preserve">   Beginning Balance</t>
  </si>
  <si>
    <t xml:space="preserve">   Total for Common Shares</t>
  </si>
  <si>
    <t xml:space="preserve">   Warrants</t>
  </si>
  <si>
    <t>How were warrants valued?</t>
  </si>
  <si>
    <t xml:space="preserve">   Total for Warrants</t>
  </si>
  <si>
    <t>Total for Capital Stock</t>
  </si>
  <si>
    <t>Retained Earnings</t>
  </si>
  <si>
    <t>Total for Retained Earnings</t>
  </si>
  <si>
    <t>Bank charges</t>
  </si>
  <si>
    <t>Wire Fee</t>
  </si>
  <si>
    <t>Total for Bank charges</t>
  </si>
  <si>
    <t>Legal and professional fees</t>
  </si>
  <si>
    <t xml:space="preserve">   Legal Expenses</t>
  </si>
  <si>
    <t>As per Dani's text, this invoice is reversed</t>
  </si>
  <si>
    <t xml:space="preserve">   Total for Legal Expenses</t>
  </si>
  <si>
    <t xml:space="preserve">   Professional fees</t>
  </si>
  <si>
    <t>Shell Maintenance</t>
  </si>
  <si>
    <t xml:space="preserve">   Total for Professional fees</t>
  </si>
  <si>
    <t>Total for Legal and professional fees</t>
  </si>
  <si>
    <t>Marketing Cost</t>
  </si>
  <si>
    <t>Total for Marketing Cost</t>
  </si>
  <si>
    <t>Coast</t>
  </si>
  <si>
    <t>Canucks Sports Captain</t>
  </si>
  <si>
    <t>Boston Pizza # 021</t>
  </si>
  <si>
    <t>Total for Meals and entertainment</t>
  </si>
  <si>
    <t>QuickBooks charges paid by Dream Even Bigger</t>
  </si>
  <si>
    <t>INTUIT QBooks Online</t>
  </si>
  <si>
    <t>Total for Office expenses</t>
  </si>
  <si>
    <t>Parking Expense</t>
  </si>
  <si>
    <t>City of Van PayByPhone</t>
  </si>
  <si>
    <t>Total for Parking Expense</t>
  </si>
  <si>
    <t>Taxes and Licenses</t>
  </si>
  <si>
    <t>Total for Taxes and Licenses</t>
  </si>
  <si>
    <t>Not Specified</t>
  </si>
  <si>
    <t>Total for Not Specified</t>
  </si>
  <si>
    <t>*NOTE THESE WERE ORG AJE's propsed by Aditi - for the year-end audit, the entries were updated within QBO- see 'AJE-FY23' and notes within</t>
  </si>
  <si>
    <t>Transaction type</t>
  </si>
  <si>
    <t>Transaction number</t>
  </si>
  <si>
    <t>30/12/2022</t>
  </si>
  <si>
    <t>AJE</t>
  </si>
  <si>
    <t>--</t>
  </si>
  <si>
    <t>AJE# 1 - To record bank charges moved from SAK6</t>
  </si>
  <si>
    <t>Current Liabilities:Due To/From:Due To/From SAK6</t>
  </si>
  <si>
    <t>AJE# 2 - To record Dream even Bigger charges/ invoices moved from SAK6</t>
  </si>
  <si>
    <t>Legal and professional fees:Professional fees</t>
  </si>
  <si>
    <t>AJE# 3 - To record McMillan charges/ invoices moved from SAK6</t>
  </si>
  <si>
    <t>Legal and professional fees:Legal Expenses</t>
  </si>
  <si>
    <t>AJE# 4 - To record Erik's bookkeeping charges/ invoices moved from SAK6</t>
  </si>
  <si>
    <t>AJE# 5 - To record GPL Consulting charges/ invoices moved from SAK6</t>
  </si>
  <si>
    <t>AJE# 6 - To record Deal Maker charges/ invoices moved from SAK6</t>
  </si>
  <si>
    <t>AJE# 7 - To record investors Warrants moved from SAK6 to SAK3</t>
  </si>
  <si>
    <t>Capital Stock:Warrants</t>
  </si>
  <si>
    <t>AJE# 8 - To reclass / rectify the loan entry as this is loan given to the Target company i.e. Hallor Industries</t>
  </si>
  <si>
    <t>Shareholder's Loan</t>
  </si>
  <si>
    <t>AJE# 9 - To reclass/rectify Inv# UC036</t>
  </si>
  <si>
    <t>Current Liabilities:Due To/From:Due To/From UpCapital</t>
  </si>
  <si>
    <t>Office Supplies</t>
  </si>
  <si>
    <t>AJE# 10 - Common shares issued for the past services</t>
  </si>
  <si>
    <t>Capital Stock:Common Shares</t>
  </si>
  <si>
    <t>AJE# 11 - To rectify the entry of SAK6-01</t>
  </si>
  <si>
    <t>AJE# 12 - To rectify the entry of SAK6-02</t>
  </si>
  <si>
    <t>AJE# 13 -  To move the balance to Due/to from Upcapital for the money transferred by Upcapital to SAK6 on Nov 16, 2022</t>
  </si>
  <si>
    <t>AJE# 13 -  To move the balance to Due/to from Upcapital for Dealmaker Inv# C5B55EDB-0004</t>
  </si>
  <si>
    <t>AJE# 14 - To move the balance to one account as requested by Ken</t>
  </si>
  <si>
    <t>Legal and professional fees:Accounting Fees</t>
  </si>
  <si>
    <t>Legal and professional fees:Consulting Fees</t>
  </si>
  <si>
    <t>AJE# 15 - To reclass Mcmillan, Dealmaker and Tandem invoices</t>
  </si>
  <si>
    <t>Office Expenses</t>
  </si>
  <si>
    <t xml:space="preserve">AJE# 16 - To accrue the audit / Year-end fee </t>
  </si>
  <si>
    <t>Current Liabilities:Accrued Liabilities</t>
  </si>
  <si>
    <t>Affects Q1 2022?</t>
  </si>
  <si>
    <t>No - Nov</t>
  </si>
  <si>
    <t>Yes - May, June and July invoices; partial impact to opening balance</t>
  </si>
  <si>
    <t>July</t>
  </si>
  <si>
    <t>June</t>
  </si>
  <si>
    <t>May</t>
  </si>
  <si>
    <t>Aug</t>
  </si>
  <si>
    <t>Sept</t>
  </si>
  <si>
    <t>SAK3</t>
  </si>
  <si>
    <t>SAK6</t>
  </si>
  <si>
    <t>Yes - June inv opening; July - Sept</t>
  </si>
  <si>
    <t>No - flush to Q2 2022</t>
  </si>
  <si>
    <t>No - Dec share settlement</t>
  </si>
  <si>
    <t>No - reclass</t>
  </si>
  <si>
    <t>No - Q2 expense</t>
  </si>
  <si>
    <t>Prepaids</t>
  </si>
  <si>
    <t>Subscriptions received in advance</t>
  </si>
  <si>
    <t>Yes - Sept 6 EFT to Upcapital</t>
  </si>
  <si>
    <t>No - thwas a Q2 expense; DMCL audit in Dec 2022</t>
  </si>
  <si>
    <t>SELECT ANNUAL INFORMATION</t>
  </si>
  <si>
    <t xml:space="preserve"> Net loss</t>
  </si>
  <si>
    <t xml:space="preserve"> Net income / (loss) and comprehensive income / (loss)</t>
  </si>
  <si>
    <t xml:space="preserve"> Basic and diluted income / (loss) per share</t>
  </si>
  <si>
    <t>Six months ended</t>
  </si>
  <si>
    <r>
      <t> </t>
    </r>
    <r>
      <rPr>
        <b/>
        <sz val="9"/>
        <color theme="0"/>
        <rFont val="Arial"/>
        <family val="2"/>
      </rPr>
      <t>Cash provided by (used in):</t>
    </r>
  </si>
  <si>
    <t>MDA</t>
  </si>
  <si>
    <t># common shares at MDA report date</t>
  </si>
  <si>
    <t># SW OS at MDA report date</t>
  </si>
  <si>
    <t xml:space="preserve">Total general and administration </t>
  </si>
  <si>
    <t>Total G&amp;A breakdown</t>
  </si>
  <si>
    <t>cash balance at CY reporting date</t>
  </si>
  <si>
    <t>cash balance at PY reporting date</t>
  </si>
  <si>
    <t>current liabilities - CY</t>
  </si>
  <si>
    <t>current liabilities - PY</t>
  </si>
  <si>
    <t>As at June 30, 2022 and 2023</t>
  </si>
  <si>
    <t>Funds raised on convertible debentures</t>
  </si>
  <si>
    <t>Cash received on acquisition of Hallor</t>
  </si>
  <si>
    <t>Balance, June 30, 2023</t>
  </si>
  <si>
    <t>%</t>
  </si>
  <si>
    <t>Fair-value</t>
  </si>
  <si>
    <t>Asset acquired</t>
  </si>
  <si>
    <t xml:space="preserve">SHAREHOLDERS’ EQUITY </t>
  </si>
  <si>
    <t xml:space="preserve">TOTAL SHAREHOLDERS’ EQUITY </t>
  </si>
  <si>
    <t>Purchase of equipment</t>
  </si>
  <si>
    <t>Acquistion Date</t>
  </si>
  <si>
    <t>Useful life 
(mths)</t>
  </si>
  <si>
    <t>Useful life 
(years)</t>
  </si>
  <si>
    <t>Total Depreciation</t>
  </si>
  <si>
    <t>Intellectual property - Hallor</t>
  </si>
  <si>
    <t>Amorization summary</t>
  </si>
  <si>
    <t xml:space="preserve">Intangible asset amortization schedule </t>
  </si>
  <si>
    <t>Period start</t>
  </si>
  <si>
    <t>Period End</t>
  </si>
  <si>
    <t>Asset type</t>
  </si>
  <si>
    <t>Intangibles</t>
  </si>
  <si>
    <t>Accumulated Amortization:</t>
  </si>
  <si>
    <t>Intellectual Property</t>
  </si>
  <si>
    <t>Loss from operating activities</t>
  </si>
  <si>
    <t>Weighted average number of common shares outstanding - basic and diluted</t>
  </si>
  <si>
    <t>Proceeds from convertibles notes</t>
  </si>
  <si>
    <t>Loss and comprehensive loss</t>
  </si>
  <si>
    <t>6018 Dues and Subscription</t>
  </si>
  <si>
    <t>July 12 - December 31, 2023</t>
  </si>
  <si>
    <t>WITH FINANCING REFLECTED</t>
  </si>
  <si>
    <t>as at November 30, 2023</t>
  </si>
  <si>
    <t>Committed production financing ($CAD)</t>
  </si>
  <si>
    <t>USD to CAD FX rate</t>
  </si>
  <si>
    <t>Total working capital available</t>
  </si>
  <si>
    <t xml:space="preserve">Less: Estimated product commercialization </t>
  </si>
  <si>
    <t>Less: Estimated test-trial expenses</t>
  </si>
  <si>
    <t>Less: Estimated expenses related to the development of additional modular components</t>
  </si>
  <si>
    <t>Less: Estimated salaries</t>
  </si>
  <si>
    <t>Less: Estimated transaction fees (legal, accounting, listing fee, etc.)</t>
  </si>
  <si>
    <t>&lt;&lt; must be positive $100k</t>
  </si>
  <si>
    <t>WITHOUT FINANCING REFLECTED</t>
  </si>
  <si>
    <t>proforma exclude</t>
  </si>
  <si>
    <t>Proforma WC of Company</t>
  </si>
  <si>
    <t>Accounting WC</t>
  </si>
  <si>
    <t>Ashik funds</t>
  </si>
  <si>
    <t>GST Rec</t>
  </si>
  <si>
    <t>Oth Asset</t>
  </si>
  <si>
    <t>Accounts Payable</t>
  </si>
  <si>
    <t>Due to RPT</t>
  </si>
  <si>
    <t>Conv Debt</t>
  </si>
  <si>
    <t>Minimum unallocated funds requirement</t>
  </si>
  <si>
    <t>Cash short-fall to meet $100k requirment</t>
  </si>
  <si>
    <t>&lt;&lt; current as of Dec 31 - QBO</t>
  </si>
  <si>
    <t>&lt;&lt; NOV numbers as previously calc'd and communicated to Habib via email</t>
  </si>
  <si>
    <t xml:space="preserve"> NOV 2023</t>
  </si>
  <si>
    <t>DEC 2023</t>
  </si>
  <si>
    <t>manual adj</t>
  </si>
  <si>
    <t>July - December, 2023</t>
  </si>
  <si>
    <t>3&amp;6 mths Q2'23</t>
  </si>
  <si>
    <t>Kelowna InstaPrint</t>
  </si>
  <si>
    <t>interest on OS balance</t>
  </si>
  <si>
    <t>2023-10-01</t>
  </si>
  <si>
    <t>Consulting - providing professional and expert advice</t>
  </si>
  <si>
    <t>2023-11-01</t>
  </si>
  <si>
    <t>2023-12-01</t>
  </si>
  <si>
    <t>July 2022 - December 2023</t>
  </si>
  <si>
    <t>2023-11-06</t>
  </si>
  <si>
    <t>CA22358</t>
  </si>
  <si>
    <t>Non-Recurring charges for first 6 Green Ox Kits; Expedite Fee for Kendrion Brake sample (Fedex); Expedite Fee for Kendrion Brake order - 5 units (Express Build); Dash Plates - Waterjet cut; First order of steering columns without console and levers; Modification to Steering Column Console; -Installation of Gauge and Turn Indicators; -Supply ABS spacer to fit gauge; Machine brake discs to fit Trans-axle; Rotary Forward/Reverse Switches - Special Ordered - Not Used</t>
  </si>
  <si>
    <t>2023-12-21</t>
  </si>
  <si>
    <t>CA22384</t>
  </si>
  <si>
    <t>Shipping from Vendor - UPS Express Saver -estimated</t>
  </si>
  <si>
    <t>Shipping to Hallor Winfield - Ace Courier - estimated</t>
  </si>
  <si>
    <t>2023-10-31</t>
  </si>
  <si>
    <t>004-028</t>
  </si>
  <si>
    <t>Model and Drawing Package Update</t>
  </si>
  <si>
    <t>2023-11-30</t>
  </si>
  <si>
    <t>004-032</t>
  </si>
  <si>
    <t>Communication; Modelling; Create Renderings</t>
  </si>
  <si>
    <t>004-023A</t>
  </si>
  <si>
    <t>2023-12-08</t>
  </si>
  <si>
    <t>004-029</t>
  </si>
  <si>
    <t>2023-10-14</t>
  </si>
  <si>
    <t>CA32XBATY32I</t>
  </si>
  <si>
    <t>UTV Rear View Mirror, Center Convex Rearview Mirror
for 1.75”-2” Roll Bar Cage Compatible with Polaris RZR
Turbo, Kawasaki Mule, Teryx, Honda Pioneer, Can am Maverick X3</t>
  </si>
  <si>
    <t>CA31PGYI510I</t>
  </si>
  <si>
    <t>ELING Waterproof GPS Speedometer 0-35 MPH
Speedo Gauge Kit for Marine Sailboat Snowmobile
Gokart with Backlight 3-3/8'' (85mm) 12V 24V (LED
Shows Course not Odometer)</t>
  </si>
  <si>
    <t>2023-10-16</t>
  </si>
  <si>
    <t>CA3YSRSKM6GI</t>
  </si>
  <si>
    <t>DC4V-100V Voltage Gauge, Linkstyle LED Digital
Two-Wire Battery Meter, Waterproof Round Mini Voltage
Display Tester Gauge Meter for Car Motorcycle ATV
Boat Truck Marine Battery Monitor (Blue LED)</t>
  </si>
  <si>
    <t>2023-10-28</t>
  </si>
  <si>
    <t>CA32PDKD7ACII</t>
  </si>
  <si>
    <t>Dorman 602-211AS Windshield Wiper Motor and
Linkage Assembly for Select Chevrolet/GMC Models</t>
  </si>
  <si>
    <t>2023-10-30</t>
  </si>
  <si>
    <t>CA35EBKG066I</t>
  </si>
  <si>
    <t>Xprite Amber LED Roof Top Mini Strobe Light Bar,
Beacon Flashing Emergency Hazard Safety Warning
Caution Light w/Magnetic Base for Construction
Vehicles Trucks Snow Plow Postal Cars 12 Inch</t>
  </si>
  <si>
    <t>2023-11-03</t>
  </si>
  <si>
    <t>CA22355</t>
  </si>
  <si>
    <t>Transaxle Gearbox - Schafer - 030AS100-30 HD Carrier</t>
  </si>
  <si>
    <t>CA22357</t>
  </si>
  <si>
    <t>METR Window Double Slider (PS); METR Window Double Slider (DS)</t>
  </si>
  <si>
    <t>2023-11-08</t>
  </si>
  <si>
    <t>9" x 22" x 1/2" P&amp;O Bumper plate</t>
  </si>
  <si>
    <t>2023-11-16</t>
  </si>
  <si>
    <t>Home Hardware</t>
  </si>
  <si>
    <t>Bolt; Finish Hex.Nut; Flat Washer</t>
  </si>
  <si>
    <t>2023-11-23</t>
  </si>
  <si>
    <t>4210016483</t>
  </si>
  <si>
    <t>Back-up alarm med/low noise surround SAE Type C 97</t>
  </si>
  <si>
    <t>2023-11-25</t>
  </si>
  <si>
    <t>CA39NMJO9USI</t>
  </si>
  <si>
    <t>Hour Meter Round Display Counter, DC AC 6 Digit
Accurate Round Quartz Hour Meter Gauge Tester for
Boat Car Truck Engine(12-36V)</t>
  </si>
  <si>
    <t>2023-12-06</t>
  </si>
  <si>
    <t>Relay 12v 40/30amp</t>
  </si>
  <si>
    <t>12V 85A 4 POST SOLEN
AGC 10A FUSE</t>
  </si>
  <si>
    <t>Dunbar Lumber Supply</t>
  </si>
  <si>
    <t>Extension; Closed Hook; Bolts, Nuts &amp; Washers; Double Jack</t>
  </si>
  <si>
    <t>CA22385</t>
  </si>
  <si>
    <t>Towing - Parksville Towing</t>
  </si>
  <si>
    <t>Electric Parking Brake - Friction Rotor Disc</t>
  </si>
  <si>
    <t>Expendite Fee</t>
  </si>
  <si>
    <t>Towing - Nanoose Towing</t>
  </si>
  <si>
    <t>Electric Parking Brake - Complete assembly</t>
  </si>
  <si>
    <t>July - December, 2022</t>
  </si>
  <si>
    <t>NA - WAS NOT CONSOLIDATED IN Q2'23</t>
  </si>
  <si>
    <t>Change $</t>
  </si>
  <si>
    <t>Change %</t>
  </si>
  <si>
    <t>There was no covertible note and corresponding accretion expense in the comparative period</t>
  </si>
  <si>
    <t>There was no covertible note and corresponding interest expense in the comparative period</t>
  </si>
  <si>
    <t>Shares for debt - upcapital</t>
  </si>
  <si>
    <t>Shares for debt settlement</t>
  </si>
  <si>
    <t>Proceeds from issuance of special warrants</t>
  </si>
  <si>
    <t>Share issuance costs</t>
  </si>
  <si>
    <t>Refer to cashflow proof and SCF for movement of cash</t>
  </si>
  <si>
    <t>Opening bal of $67k from YE:
Net accrual increase: $44k for accrued legal (McMillian) and accounitng expenses (MNP) in Hallor Group;
Add; $178k of AP assumed on acquisition of Hallor Industries; 
Net increase in AP of $62k in Hallor Group YTD 6 mths
Net decrease in AP of $14k in Hallor industries YTD 6 mths</t>
  </si>
  <si>
    <t>$225k of convertible note subscription occurred in Q1; the conversion feature recognized as derivative liability, FV'd first and residual of face-value on note allocated to host debt liability ($150,000). Convertiblenote balance is accreted up and includes interest payable amount. See Tab COV.DEBT for more details</t>
  </si>
  <si>
    <t>Consolidated Working Capital &gt;&gt;</t>
  </si>
  <si>
    <t>** DO NOT DELETE - THIS TAB DRIVES THE INVENTORY NOTE - TO UPDATE EACH REPORTING PERIOD</t>
  </si>
  <si>
    <t>working capital Deficiency - CY</t>
  </si>
  <si>
    <t>net loss YTD - current</t>
  </si>
  <si>
    <t>net loss 3 mths - current</t>
  </si>
  <si>
    <t>net loss 3 mths - prior</t>
  </si>
  <si>
    <t>net loss YTD - prior</t>
  </si>
  <si>
    <t>Consulting fees paid to the CEO of the Company (2)</t>
  </si>
  <si>
    <t>Three-months ended</t>
  </si>
  <si>
    <t>Six-months ended</t>
  </si>
  <si>
    <t>For the year ended</t>
  </si>
  <si>
    <t>For the period</t>
  </si>
  <si>
    <t>Balance Sheet</t>
  </si>
  <si>
    <t>Income Statement - Annual</t>
  </si>
  <si>
    <t>Income Statement - Interim</t>
  </si>
  <si>
    <t>Total consulting expenses - CFO - CY YTD</t>
  </si>
  <si>
    <t>Total consulting expenses - CEO - - CY YTD</t>
  </si>
  <si>
    <t>Total consulting expenses - CFO - CY 3 mths</t>
  </si>
  <si>
    <t>Total consulting expenses - CEO - - CY 3 mths</t>
  </si>
  <si>
    <t>Total consulting expenses - UpCapital - CY YTD</t>
  </si>
  <si>
    <t>Total consulting expenses - UpCapital - CY 3 mths</t>
  </si>
  <si>
    <t>Total director fees - CY YTD</t>
  </si>
  <si>
    <t>Total director fees - CY 3 mths</t>
  </si>
  <si>
    <t>Total consulting expenses - CFO - PY YTD</t>
  </si>
  <si>
    <t>Total consulting expenses - CFO - PY 3mths</t>
  </si>
  <si>
    <t>Total consulting expenses - CEO - PY YTD</t>
  </si>
  <si>
    <t>Total consulting expenses - CEO - PY 3 mths</t>
  </si>
  <si>
    <t>Total consulting expenses - UpCapital - PY YTD</t>
  </si>
  <si>
    <t>Total consulting expenses - UpCapital - PY 3 mths</t>
  </si>
  <si>
    <t>Nil</t>
  </si>
  <si>
    <t>6300 Design and modeling</t>
  </si>
  <si>
    <t>6350 Other labor costs</t>
  </si>
  <si>
    <t>July 12 - June 30, 2024</t>
  </si>
  <si>
    <t>July 2023 - June 30 2024</t>
  </si>
  <si>
    <t xml:space="preserve">   INCOME</t>
  </si>
  <si>
    <t xml:space="preserve">   Total Income</t>
  </si>
  <si>
    <t>F24</t>
  </si>
  <si>
    <t>Adjustments</t>
  </si>
  <si>
    <t>To amortize convertible note up to June 30, 2024</t>
  </si>
  <si>
    <t>*DO NOT REMOVE TAB 'QBO SYNC' as that tab is synced to QBO this tab pulls balances here</t>
  </si>
  <si>
    <t>Last Updated</t>
  </si>
  <si>
    <t>GL ACCOUNT</t>
  </si>
  <si>
    <t>Net Loss</t>
  </si>
  <si>
    <t>Trial balance</t>
  </si>
  <si>
    <t>Currency</t>
  </si>
  <si>
    <t>Account Code</t>
  </si>
  <si>
    <t>2000</t>
  </si>
  <si>
    <t>CAD</t>
  </si>
  <si>
    <t>Accounts Payable (A/P) - USD</t>
  </si>
  <si>
    <t>1100</t>
  </si>
  <si>
    <t>Accounts Receivable</t>
  </si>
  <si>
    <t>2001</t>
  </si>
  <si>
    <t>Accrued Liabilities</t>
  </si>
  <si>
    <t>1000</t>
  </si>
  <si>
    <t>1002</t>
  </si>
  <si>
    <t>6013</t>
  </si>
  <si>
    <t>2200</t>
  </si>
  <si>
    <t>Dues and Subscriptions</t>
  </si>
  <si>
    <t>Exchange Gain or Loss</t>
  </si>
  <si>
    <t>1300</t>
  </si>
  <si>
    <t>2800</t>
  </si>
  <si>
    <t>2300</t>
  </si>
  <si>
    <t>6080</t>
  </si>
  <si>
    <t>5000</t>
  </si>
  <si>
    <t>6020</t>
  </si>
  <si>
    <t>6060</t>
  </si>
  <si>
    <t>6050</t>
  </si>
  <si>
    <t>Miscellaneous</t>
  </si>
  <si>
    <t>6200</t>
  </si>
  <si>
    <t>PST Payable (BC)</t>
  </si>
  <si>
    <t>7000</t>
  </si>
  <si>
    <t>Reconciliation Discrepancies</t>
  </si>
  <si>
    <t>6011</t>
  </si>
  <si>
    <t>6040</t>
  </si>
  <si>
    <t>2600</t>
  </si>
  <si>
    <t>Travel</t>
  </si>
  <si>
    <t>Uncategorized Asset</t>
  </si>
  <si>
    <t>1999</t>
  </si>
  <si>
    <t>6999</t>
  </si>
  <si>
    <t>1001</t>
  </si>
  <si>
    <t>Profit and loss</t>
  </si>
  <si>
    <t>Jul 1 2024 - Jun 30 2025</t>
  </si>
  <si>
    <t>6015</t>
  </si>
  <si>
    <t>Accounting &amp; Legal</t>
  </si>
  <si>
    <t>2100</t>
  </si>
  <si>
    <t>2010</t>
  </si>
  <si>
    <t>Advertising &amp; Promotion</t>
  </si>
  <si>
    <t>1010</t>
  </si>
  <si>
    <t>Bank - suspense</t>
  </si>
  <si>
    <t>0001</t>
  </si>
  <si>
    <t>Bank suspense</t>
  </si>
  <si>
    <t>3200</t>
  </si>
  <si>
    <t>Capital contribution</t>
  </si>
  <si>
    <t>Chequing - 5002829</t>
  </si>
  <si>
    <t>3105</t>
  </si>
  <si>
    <t>Common Shares:Class A Shares</t>
  </si>
  <si>
    <t>3110</t>
  </si>
  <si>
    <t>Common Shares:Class B Shares</t>
  </si>
  <si>
    <t>3115</t>
  </si>
  <si>
    <t>Common Shares:Class C Shares</t>
  </si>
  <si>
    <t>6016</t>
  </si>
  <si>
    <t>6017</t>
  </si>
  <si>
    <t>Corporate Tax Payable</t>
  </si>
  <si>
    <t>5510</t>
  </si>
  <si>
    <t>Cost of Goods Sold:Parts and components  - COS</t>
  </si>
  <si>
    <t>5520</t>
  </si>
  <si>
    <t>Cost of Goods Sold:Subcontracting  - COS</t>
  </si>
  <si>
    <t>2030</t>
  </si>
  <si>
    <t>Cutomer prepayments</t>
  </si>
  <si>
    <t>6300</t>
  </si>
  <si>
    <t>Design and modeling</t>
  </si>
  <si>
    <t>2601</t>
  </si>
  <si>
    <t>Due to RPT - Brett Halston</t>
  </si>
  <si>
    <t>Due to RPT - Diane Halston</t>
  </si>
  <si>
    <t>2602</t>
  </si>
  <si>
    <t>Due to RPT - Keith Halston</t>
  </si>
  <si>
    <t>2705</t>
  </si>
  <si>
    <t>Due to Shareholders:Due to SH - James Taylor</t>
  </si>
  <si>
    <t>2706</t>
  </si>
  <si>
    <t>Due to Shareholders:Due to SH - Keith Halston</t>
  </si>
  <si>
    <t>2500</t>
  </si>
  <si>
    <t>Due to/(from) related parties</t>
  </si>
  <si>
    <t>2502</t>
  </si>
  <si>
    <t>Due to/(from) related parties:Due To/From SAK6</t>
  </si>
  <si>
    <t>2503</t>
  </si>
  <si>
    <t>Due to/(from) related parties:Due To/From UpCapital</t>
  </si>
  <si>
    <t>2504</t>
  </si>
  <si>
    <t>Due to/(from) related parties:Shareholder's Loan</t>
  </si>
  <si>
    <t>6018</t>
  </si>
  <si>
    <t>Dues and Subscription</t>
  </si>
  <si>
    <t>6025</t>
  </si>
  <si>
    <t>8000</t>
  </si>
  <si>
    <t>6026</t>
  </si>
  <si>
    <t>Fuel / Industrial Gas</t>
  </si>
  <si>
    <t>2220</t>
  </si>
  <si>
    <t>GST Payable/(Refund):GST Collected on Sales</t>
  </si>
  <si>
    <t>2210</t>
  </si>
  <si>
    <t>GST Payable/(Refund):GST Paid on Purchases</t>
  </si>
  <si>
    <t>2230</t>
  </si>
  <si>
    <t>GST Payable/(Refund):GST to Paid/(refunded)</t>
  </si>
  <si>
    <t>2201</t>
  </si>
  <si>
    <t>GST and HST Suspense</t>
  </si>
  <si>
    <t>6031</t>
  </si>
  <si>
    <t>IT Expense</t>
  </si>
  <si>
    <t>1500</t>
  </si>
  <si>
    <t>Intercompany - Due from Hallor Industries Inc.</t>
  </si>
  <si>
    <t>2900</t>
  </si>
  <si>
    <t>Intercompany - due to Hallor Group Inc.</t>
  </si>
  <si>
    <t>5498</t>
  </si>
  <si>
    <t>1005</t>
  </si>
  <si>
    <t>Interior Savings - 5224</t>
  </si>
  <si>
    <t>1006</t>
  </si>
  <si>
    <t>Interior Savings - Member Shares 5182</t>
  </si>
  <si>
    <t>2650</t>
  </si>
  <si>
    <t>Loan Payable - current</t>
  </si>
  <si>
    <t>6070</t>
  </si>
  <si>
    <t>3000</t>
  </si>
  <si>
    <t>Opening Bal Equity</t>
  </si>
  <si>
    <t>6350</t>
  </si>
  <si>
    <t>Other labor costs</t>
  </si>
  <si>
    <t>2240</t>
  </si>
  <si>
    <t>PST Payable:PST Collected on Sales</t>
  </si>
  <si>
    <t>2245</t>
  </si>
  <si>
    <t>PST Payable:PST Payable</t>
  </si>
  <si>
    <t>Petty Cash</t>
  </si>
  <si>
    <t>1020</t>
  </si>
  <si>
    <t>2202</t>
  </si>
  <si>
    <t>Receiver General Suspense</t>
  </si>
  <si>
    <t>3501</t>
  </si>
  <si>
    <t>3900</t>
  </si>
  <si>
    <t>3001</t>
  </si>
  <si>
    <t>Share capital:Common Shares</t>
  </si>
  <si>
    <t>3010</t>
  </si>
  <si>
    <t>Share issuance cost</t>
  </si>
  <si>
    <t>1900</t>
  </si>
  <si>
    <t>Shop Equipment</t>
  </si>
  <si>
    <t>1901</t>
  </si>
  <si>
    <t>Shop Equipment:Accum deprec - shop equipment</t>
  </si>
  <si>
    <t>Shop and other supplies</t>
  </si>
  <si>
    <t>5511</t>
  </si>
  <si>
    <t>TD - Chequing 1869</t>
  </si>
  <si>
    <t>1003</t>
  </si>
  <si>
    <t>TD - Savings 2407</t>
  </si>
  <si>
    <t>1004</t>
  </si>
  <si>
    <t>TD - Visa 7692</t>
  </si>
  <si>
    <t>6021</t>
  </si>
  <si>
    <t>Tradeshows and conventions</t>
  </si>
  <si>
    <t>6042</t>
  </si>
  <si>
    <t>6041</t>
  </si>
  <si>
    <t>Travel Meals</t>
  </si>
  <si>
    <t>Utility Vehicle Sales</t>
  </si>
  <si>
    <t>3100</t>
  </si>
  <si>
    <t>Warrant reserve</t>
  </si>
  <si>
    <t>1120</t>
  </si>
  <si>
    <t>INCOME</t>
  </si>
  <si>
    <t>Total Income</t>
  </si>
  <si>
    <t>COST OF GOODS SOLD</t>
  </si>
  <si>
    <t>5510 Parts and components  - COS</t>
  </si>
  <si>
    <t>5520 Subcontracting  - COS</t>
  </si>
  <si>
    <t>Total Cost of Goods Sold</t>
  </si>
  <si>
    <t>Account 1</t>
  </si>
  <si>
    <t>Account 2</t>
  </si>
  <si>
    <t>To amortize convertible note up to January 31, 2024</t>
  </si>
  <si>
    <t>DR. 6200 Accretion expense</t>
  </si>
  <si>
    <t>CR. 2800 Current portion - convertible debt</t>
  </si>
  <si>
    <t>DR. 6013 Interest expense</t>
  </si>
  <si>
    <t>CR. 2803 Accrued loan interest</t>
  </si>
  <si>
    <t>Jul 1 2023 - Jun 30 2024</t>
  </si>
  <si>
    <t>6200 Accretion expense</t>
  </si>
  <si>
    <t>6250 Finance expense</t>
  </si>
  <si>
    <t>5515 Engineering  - COS</t>
  </si>
  <si>
    <t>1420 Intangible assets</t>
  </si>
  <si>
    <t>1421 Accumulated amortization</t>
  </si>
  <si>
    <t>2803 Accrued loan interest</t>
  </si>
  <si>
    <t>CONSOL - CFWD</t>
  </si>
  <si>
    <t>F25</t>
  </si>
  <si>
    <t>Q1'26</t>
  </si>
  <si>
    <t>CFWD</t>
  </si>
  <si>
    <t>F24 amortization of intangibles</t>
  </si>
  <si>
    <t>F25 amortization of intangibles</t>
  </si>
  <si>
    <t>F24 Amort</t>
  </si>
  <si>
    <t>2803</t>
  </si>
  <si>
    <t>Accrued loan interest</t>
  </si>
  <si>
    <t>2802</t>
  </si>
  <si>
    <t>1420</t>
  </si>
  <si>
    <t>1600</t>
  </si>
  <si>
    <t>Investment in Hallor Industries</t>
  </si>
  <si>
    <t>F25 Amort</t>
  </si>
  <si>
    <t>Jul 12 2023 - Jun 30 2024</t>
  </si>
  <si>
    <t>Accounting Fees</t>
  </si>
  <si>
    <t>5500</t>
  </si>
  <si>
    <t>5515</t>
  </si>
  <si>
    <t>Cost of Goods Sold:Engineering  - COS</t>
  </si>
  <si>
    <t>6085</t>
  </si>
  <si>
    <t>6250</t>
  </si>
  <si>
    <t>Finance expense</t>
  </si>
  <si>
    <t>6075</t>
  </si>
  <si>
    <t>Minor shop tools</t>
  </si>
  <si>
    <t>5499</t>
  </si>
  <si>
    <t>Other Income</t>
  </si>
  <si>
    <t>6068</t>
  </si>
  <si>
    <t>Shipping, Freight, and Delivery</t>
  </si>
  <si>
    <t>6043</t>
  </si>
  <si>
    <t>TB.2</t>
  </si>
  <si>
    <t>AJE.2</t>
  </si>
  <si>
    <t>GL account</t>
  </si>
  <si>
    <t>CHECK TO BS.1/2</t>
  </si>
  <si>
    <t>ADJ</t>
  </si>
  <si>
    <t>Balance - July 1, 2024</t>
  </si>
  <si>
    <t>Vehicle sales</t>
  </si>
  <si>
    <t>Gain on re-measurement of derivative liability</t>
  </si>
  <si>
    <t>Operating loss</t>
  </si>
  <si>
    <t>Net Loss and comprehensive loss</t>
  </si>
  <si>
    <t>Balance - June 30, 2024</t>
  </si>
  <si>
    <t>Balance - June 30, 2025</t>
  </si>
  <si>
    <t>Net loss for year</t>
  </si>
  <si>
    <t>Year ended</t>
  </si>
  <si>
    <t>As at June 30, 2024 and 2025</t>
  </si>
  <si>
    <t>Amortization in the year</t>
  </si>
  <si>
    <t>Acquired on acquisition of Hallor Industries</t>
  </si>
  <si>
    <t>4,5</t>
  </si>
  <si>
    <t>Opening balance</t>
  </si>
  <si>
    <t>Ending balance</t>
  </si>
  <si>
    <t xml:space="preserve">Convertible Debt - LINKED </t>
  </si>
  <si>
    <t>Balance, June 30, 2024 and 2025</t>
  </si>
  <si>
    <t>Common shares issued on acquisition of Hallor (Note 4)</t>
  </si>
  <si>
    <t>Common shares issued as finders fee on Hallor acquisition (Note 4)</t>
  </si>
  <si>
    <t>Total general and administration expenses</t>
  </si>
  <si>
    <t>June 30, 2025
(unaudited)</t>
  </si>
  <si>
    <t>June 30, 2024
(unaudited)</t>
  </si>
  <si>
    <t>As at</t>
  </si>
  <si>
    <t>PROFORMA IS</t>
  </si>
  <si>
    <t>PROFORMA BS</t>
  </si>
  <si>
    <t>PROFORMA ADJ</t>
  </si>
  <si>
    <t>SUM</t>
  </si>
  <si>
    <t>ADJ 1</t>
  </si>
  <si>
    <t>ADJ 2</t>
  </si>
  <si>
    <t>ADJ 3</t>
  </si>
  <si>
    <t>June 30, 2026
(forecasted)</t>
  </si>
  <si>
    <t>Gross profit (loss)</t>
  </si>
  <si>
    <t>ADJ 4</t>
  </si>
  <si>
    <t>ADJ 5</t>
  </si>
  <si>
    <t>$20k worth of parts</t>
  </si>
  <si>
    <t>motor - $8k - burnt out due to modfication</t>
  </si>
  <si>
    <t>controller -$2.5k - re-program</t>
  </si>
  <si>
    <t>2 x heater - $1k - broke</t>
  </si>
  <si>
    <t>brake plate - $1.1k - burn-out</t>
  </si>
  <si>
    <t>$6k battery - limited use testing req'd</t>
  </si>
  <si>
    <t>ADJ 6</t>
  </si>
  <si>
    <t>Impairment expense</t>
  </si>
  <si>
    <t>F26</t>
  </si>
  <si>
    <t>Convertible loan accretion expense</t>
  </si>
  <si>
    <t>Net financial expense</t>
  </si>
  <si>
    <t>Cash – beginning of the year</t>
  </si>
  <si>
    <t>Cash – end of the year</t>
  </si>
  <si>
    <t>June 30, 2025 
(unaudited)</t>
  </si>
  <si>
    <t>Net cash provided from investing activities</t>
  </si>
  <si>
    <t>Net (decrease) increase in cash in the year</t>
  </si>
  <si>
    <t>Balance - June 30, 2026</t>
  </si>
  <si>
    <t>Balance - June 30, 2027</t>
  </si>
  <si>
    <t>Balance - June 30, 2028</t>
  </si>
  <si>
    <t>Balance - June 30, 2029</t>
  </si>
  <si>
    <t>Balance - June 30, 2030</t>
  </si>
  <si>
    <t>Proforma Financial Statements</t>
  </si>
  <si>
    <t>Group</t>
  </si>
  <si>
    <t>Industries</t>
  </si>
  <si>
    <t>Jul 1 2025 - Jun 30 2026</t>
  </si>
  <si>
    <t>1421</t>
  </si>
  <si>
    <t>6086</t>
  </si>
  <si>
    <t>2050</t>
  </si>
  <si>
    <t>2063</t>
  </si>
  <si>
    <t>Due to RPT - Dean Kneider</t>
  </si>
  <si>
    <t>5400</t>
  </si>
  <si>
    <t>Government grant income</t>
  </si>
  <si>
    <t>5003</t>
  </si>
  <si>
    <t>Labour service</t>
  </si>
  <si>
    <t>6065</t>
  </si>
  <si>
    <t>3500</t>
  </si>
  <si>
    <t>Revaluation surplus</t>
  </si>
  <si>
    <t>6086 Amortization</t>
  </si>
  <si>
    <t>0001 Bank suspense</t>
  </si>
  <si>
    <t>2050 Deferred revenue</t>
  </si>
  <si>
    <t>2063 Due to RPT - Dean Kneider</t>
  </si>
  <si>
    <t>5400 Government grant income</t>
  </si>
  <si>
    <t>3500 Revaluation surplus</t>
  </si>
  <si>
    <t>Amortization expense</t>
  </si>
  <si>
    <t>Research and development</t>
  </si>
  <si>
    <t>IMP5 - R&amp;D</t>
  </si>
  <si>
    <t>CHECK TO FORECAST</t>
  </si>
  <si>
    <t>Accrued Warranty Liability</t>
  </si>
  <si>
    <t>Consolidation + Reversing</t>
  </si>
  <si>
    <t>Net operating income / (loss)</t>
  </si>
  <si>
    <t>Selling expense</t>
  </si>
  <si>
    <t>Consolidation + Reversing + OTH</t>
  </si>
  <si>
    <t>FINANCING Summary</t>
  </si>
  <si>
    <t>Cash from Shell</t>
  </si>
  <si>
    <t>Principal</t>
  </si>
  <si>
    <t>Topside - FORECAST</t>
  </si>
  <si>
    <t>Topside - OTH</t>
  </si>
  <si>
    <t>Conversion of convertible debt to common shares</t>
  </si>
  <si>
    <t>Net income for year</t>
  </si>
  <si>
    <t>Check - F29</t>
  </si>
  <si>
    <t>Check - F30</t>
  </si>
  <si>
    <t>Check - F28</t>
  </si>
  <si>
    <t>Check - F27</t>
  </si>
  <si>
    <t>Check - F26</t>
  </si>
  <si>
    <t>For the years ended</t>
  </si>
  <si>
    <t>Income (loss) before tax</t>
  </si>
  <si>
    <t>June, 30, 2026 (forecasted)</t>
  </si>
  <si>
    <t>June, 30, 2027 (forecasted)</t>
  </si>
  <si>
    <t>June, 30, 2028 (forecasted)</t>
  </si>
  <si>
    <t>June, 30, 2029 (forecasted)</t>
  </si>
  <si>
    <t>June, 30, 2030 (forecasted)</t>
  </si>
  <si>
    <t>Bridge loan @12% simple int; 2.5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</si>
</sst>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5" formatCode="&quot;$&quot;#,##0_);\(&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_(* #,##0_);_(* \(#,##0\);_(* &quot;-&quot;??_);_(@_)"/>
    <numFmt numFmtId="166" formatCode="_(&quot;$&quot;* #,##0_);_(&quot;$&quot;* \(#,##0\);_(&quot;$&quot;* &quot;-&quot;??_);_(@_)"/>
    <numFmt numFmtId="167" formatCode="[$-1009]mmmm\ d\,\ yyyy;@"/>
    <numFmt numFmtId="168" formatCode="[$-F800]dddd\,\ mmmm\ dd\,\ yyyy"/>
    <numFmt numFmtId="169" formatCode="0.0000"/>
    <numFmt numFmtId="170" formatCode="#,##0.00\ _€"/>
    <numFmt numFmtId="171" formatCode="[$-409]mmmm\ d\,\ yyyy;@"/>
    <numFmt numFmtId="172" formatCode="yyyy/mm/dd;@"/>
    <numFmt numFmtId="173" formatCode="#,##0_);\(#,##0\);&quot;-&quot;"/>
    <numFmt numFmtId="174" formatCode="#,##0.00_);\(#,##0.00\);&quot;-&quot;"/>
    <numFmt numFmtId="175" formatCode="#,##0.00_);\(#,##0.00\);\(#,##0.00\)"/>
    <numFmt numFmtId="176" formatCode="0.0%"/>
    <numFmt numFmtId="177" formatCode="&quot;$&quot;* #,##0.00\ _€"/>
    <numFmt numFmtId="178" formatCode="_-&quot;$&quot;* #,##0.00_-;\-&quot;$&quot;* #,##0.00_-;_-&quot;$&quot;* &quot;-&quot;??_-;_-@_-"/>
    <numFmt numFmtId="179" formatCode="&quot;$&quot;#,##0"/>
    <numFmt numFmtId="180" formatCode="_-* #,##0_-;\-* #,##0_-;_-* &quot;-&quot;??_-;_-@_-"/>
    <numFmt numFmtId="181" formatCode="_-&quot;$&quot;* #,##0_-;\-&quot;$&quot;* #,##0_-;_-&quot;$&quot;* &quot;-&quot;??_-;_-@_-"/>
    <numFmt numFmtId="182" formatCode="_(&quot;$&quot;* #,##0.000_);_(&quot;$&quot;* \(#,##0.000\);_(&quot;$&quot;* &quot;-&quot;??_);_(@_)"/>
    <numFmt numFmtId="183" formatCode="&quot;$&quot;#,##0.000000_);\(&quot;$&quot;#,##0.000000\)"/>
    <numFmt numFmtId="184" formatCode="&quot;$&quot;#,##0;\-&quot;$&quot;#,##0"/>
    <numFmt numFmtId="185" formatCode="[$$]#,##0.00"/>
  </numFmts>
  <fonts count="175" x14ac:knownFonts="1">
    <font>
      <sz val="11"/>
      <color theme="1"/>
      <name val="Calibri"/>
      <family val="2"/>
      <scheme val="minor"/>
    </font>
    <font>
      <sz val="9"/>
      <color theme="1"/>
      <name val="Roboto"/>
      <family val="2"/>
    </font>
    <font>
      <sz val="9"/>
      <color theme="1"/>
      <name val="Roboto"/>
      <family val="2"/>
    </font>
    <font>
      <sz val="11"/>
      <color theme="1"/>
      <name val="Calibri"/>
      <family val="2"/>
      <scheme val="minor"/>
    </font>
    <font>
      <b/>
      <sz val="11"/>
      <color theme="1"/>
      <name val="Calibri"/>
      <family val="2"/>
      <scheme val="minor"/>
    </font>
    <font>
      <sz val="10"/>
      <name val="Arial"/>
      <family val="2"/>
    </font>
    <font>
      <i/>
      <sz val="11"/>
      <color rgb="FF0000FF"/>
      <name val="Calibri"/>
      <family val="2"/>
      <scheme val="minor"/>
    </font>
    <font>
      <sz val="10"/>
      <color theme="1"/>
      <name val="Trebuchet MS"/>
      <family val="2"/>
    </font>
    <font>
      <sz val="11"/>
      <color indexed="8"/>
      <name val="Calibri"/>
      <family val="2"/>
      <scheme val="minor"/>
    </font>
    <font>
      <sz val="9"/>
      <color theme="1"/>
      <name val="Roboto"/>
    </font>
    <font>
      <b/>
      <sz val="9"/>
      <color rgb="FF000000"/>
      <name val="Roboto"/>
    </font>
    <font>
      <b/>
      <sz val="9"/>
      <color theme="1"/>
      <name val="Roboto"/>
    </font>
    <font>
      <b/>
      <i/>
      <sz val="9"/>
      <color rgb="FFFF0000"/>
      <name val="Roboto"/>
    </font>
    <font>
      <b/>
      <sz val="9"/>
      <color rgb="FFFF0000"/>
      <name val="Roboto"/>
    </font>
    <font>
      <i/>
      <sz val="9"/>
      <color theme="1"/>
      <name val="Roboto"/>
    </font>
    <font>
      <sz val="9"/>
      <color rgb="FF000000"/>
      <name val="Roboto"/>
    </font>
    <font>
      <i/>
      <sz val="9"/>
      <color rgb="FFFF0000"/>
      <name val="Roboto"/>
    </font>
    <font>
      <b/>
      <sz val="9"/>
      <color theme="0"/>
      <name val="Roboto"/>
    </font>
    <font>
      <b/>
      <i/>
      <sz val="9"/>
      <color theme="1"/>
      <name val="Roboto"/>
    </font>
    <font>
      <b/>
      <sz val="9"/>
      <color theme="4"/>
      <name val="Roboto"/>
    </font>
    <font>
      <i/>
      <sz val="9"/>
      <color rgb="FF0000FF"/>
      <name val="Roboto"/>
    </font>
    <font>
      <b/>
      <sz val="9"/>
      <color rgb="FFFFFFFF"/>
      <name val="Roboto"/>
    </font>
    <font>
      <b/>
      <sz val="9"/>
      <color theme="8"/>
      <name val="Roboto"/>
    </font>
    <font>
      <b/>
      <sz val="20"/>
      <color rgb="FF000000"/>
      <name val="Roboto"/>
    </font>
    <font>
      <b/>
      <i/>
      <sz val="9"/>
      <color theme="8"/>
      <name val="Roboto"/>
    </font>
    <font>
      <sz val="9"/>
      <name val="Roboto"/>
    </font>
    <font>
      <sz val="9"/>
      <color rgb="FF0000FF"/>
      <name val="Roboto"/>
    </font>
    <font>
      <b/>
      <sz val="12"/>
      <color theme="8"/>
      <name val="Roboto"/>
    </font>
    <font>
      <sz val="11"/>
      <name val="Calibri"/>
      <family val="2"/>
    </font>
    <font>
      <b/>
      <sz val="9"/>
      <color rgb="FF000000"/>
      <name val="Arial"/>
      <family val="2"/>
    </font>
    <font>
      <sz val="8"/>
      <color rgb="FF000000"/>
      <name val="Arial"/>
      <family val="2"/>
    </font>
    <font>
      <b/>
      <sz val="8"/>
      <color rgb="FF000000"/>
      <name val="Arial"/>
      <family val="2"/>
    </font>
    <font>
      <b/>
      <sz val="11"/>
      <color rgb="FF0000FF"/>
      <name val="Calibri"/>
      <family val="2"/>
      <scheme val="minor"/>
    </font>
    <font>
      <b/>
      <sz val="8"/>
      <color rgb="FF0000FF"/>
      <name val="Roboto"/>
    </font>
    <font>
      <b/>
      <sz val="16"/>
      <color rgb="FF000000"/>
      <name val="Roboto"/>
    </font>
    <font>
      <sz val="8"/>
      <color rgb="FF000000"/>
      <name val="Roboto"/>
    </font>
    <font>
      <sz val="8"/>
      <color theme="1"/>
      <name val="Roboto"/>
    </font>
    <font>
      <b/>
      <sz val="11"/>
      <color rgb="FF000000"/>
      <name val="Arial"/>
      <family val="2"/>
    </font>
    <font>
      <b/>
      <sz val="11"/>
      <color rgb="FF800080"/>
      <name val="Arial"/>
      <family val="2"/>
    </font>
    <font>
      <b/>
      <sz val="8"/>
      <color rgb="FF000000"/>
      <name val="Times New Roman"/>
      <family val="1"/>
    </font>
    <font>
      <b/>
      <sz val="14"/>
      <color rgb="FFFF0000"/>
      <name val="Roboto"/>
    </font>
    <font>
      <sz val="11"/>
      <color rgb="FFFF0000"/>
      <name val="Calibri"/>
      <family val="2"/>
      <scheme val="minor"/>
    </font>
    <font>
      <sz val="8"/>
      <name val="Calibri"/>
      <family val="2"/>
      <scheme val="minor"/>
    </font>
    <font>
      <b/>
      <sz val="11"/>
      <color rgb="FFFF0000"/>
      <name val="Calibri"/>
      <family val="2"/>
      <scheme val="minor"/>
    </font>
    <font>
      <b/>
      <sz val="11"/>
      <color rgb="FFFF0000"/>
      <name val="Roboto"/>
    </font>
    <font>
      <u/>
      <sz val="11"/>
      <color theme="10"/>
      <name val="Calibri"/>
      <family val="2"/>
      <scheme val="minor"/>
    </font>
    <font>
      <b/>
      <u/>
      <sz val="11"/>
      <color rgb="FFFF0000"/>
      <name val="Calibri"/>
      <family val="2"/>
      <scheme val="minor"/>
    </font>
    <font>
      <b/>
      <sz val="9"/>
      <name val="Roboto"/>
    </font>
    <font>
      <b/>
      <sz val="8"/>
      <color rgb="FFFF0000"/>
      <name val="Roboto"/>
    </font>
    <font>
      <i/>
      <sz val="9"/>
      <name val="Roboto"/>
    </font>
    <font>
      <b/>
      <sz val="8"/>
      <color indexed="8"/>
      <name val="Arial"/>
      <family val="2"/>
    </font>
    <font>
      <sz val="8"/>
      <color indexed="8"/>
      <name val="Arial"/>
      <family val="2"/>
    </font>
    <font>
      <b/>
      <sz val="10"/>
      <color theme="1"/>
      <name val="Roboto"/>
    </font>
    <font>
      <b/>
      <sz val="14"/>
      <color rgb="FF000000"/>
      <name val="Roboto"/>
    </font>
    <font>
      <b/>
      <sz val="14"/>
      <color theme="1"/>
      <name val="Roboto"/>
    </font>
    <font>
      <b/>
      <u/>
      <sz val="11"/>
      <color theme="10"/>
      <name val="Calibri"/>
      <family val="2"/>
      <scheme val="minor"/>
    </font>
    <font>
      <b/>
      <sz val="12"/>
      <name val="Arial"/>
      <family val="2"/>
    </font>
    <font>
      <b/>
      <sz val="10"/>
      <name val="Arial"/>
      <family val="2"/>
    </font>
    <font>
      <b/>
      <i/>
      <sz val="10"/>
      <name val="Arial"/>
      <family val="2"/>
    </font>
    <font>
      <b/>
      <sz val="10"/>
      <color rgb="FFFF0000"/>
      <name val="Arial"/>
      <family val="2"/>
    </font>
    <font>
      <i/>
      <sz val="10"/>
      <name val="Arial"/>
      <family val="2"/>
    </font>
    <font>
      <sz val="11"/>
      <color indexed="8"/>
      <name val="Calibri"/>
      <family val="2"/>
    </font>
    <font>
      <b/>
      <sz val="11"/>
      <name val="Calibri"/>
      <family val="2"/>
      <scheme val="minor"/>
    </font>
    <font>
      <sz val="11"/>
      <name val="Calibri"/>
      <family val="2"/>
      <scheme val="minor"/>
    </font>
    <font>
      <b/>
      <sz val="10"/>
      <color indexed="9"/>
      <name val="Arial"/>
      <family val="2"/>
    </font>
    <font>
      <b/>
      <sz val="14"/>
      <color indexed="8"/>
      <name val="Arial"/>
      <family val="2"/>
    </font>
    <font>
      <b/>
      <sz val="10"/>
      <color indexed="8"/>
      <name val="Arial"/>
      <family val="2"/>
    </font>
    <font>
      <b/>
      <sz val="9"/>
      <color indexed="8"/>
      <name val="Arial"/>
      <family val="2"/>
    </font>
    <font>
      <b/>
      <sz val="8"/>
      <color indexed="8"/>
      <name val="Arial"/>
      <family val="2"/>
    </font>
    <font>
      <sz val="8"/>
      <color indexed="8"/>
      <name val="Arial"/>
      <family val="2"/>
    </font>
    <font>
      <b/>
      <sz val="11"/>
      <color rgb="FF7030A0"/>
      <name val="Roboto"/>
    </font>
    <font>
      <b/>
      <sz val="11"/>
      <color rgb="FF7030A0"/>
      <name val="Calibri"/>
      <family val="2"/>
      <scheme val="minor"/>
    </font>
    <font>
      <sz val="11"/>
      <color rgb="FF7030A0"/>
      <name val="Roboto"/>
    </font>
    <font>
      <sz val="11"/>
      <color rgb="FF7030A0"/>
      <name val="Calibri"/>
      <family val="2"/>
      <scheme val="minor"/>
    </font>
    <font>
      <sz val="9"/>
      <color rgb="FFFF0000"/>
      <name val="Roboto"/>
    </font>
    <font>
      <b/>
      <sz val="9"/>
      <color rgb="FF7030A0"/>
      <name val="Roboto"/>
    </font>
    <font>
      <b/>
      <sz val="10"/>
      <color indexed="8"/>
      <name val="Arial"/>
      <family val="2"/>
    </font>
    <font>
      <b/>
      <sz val="8"/>
      <color indexed="8"/>
      <name val="Arial"/>
      <family val="2"/>
    </font>
    <font>
      <b/>
      <sz val="11"/>
      <color indexed="8"/>
      <name val="Calibri"/>
      <family val="2"/>
      <scheme val="minor"/>
    </font>
    <font>
      <b/>
      <sz val="12"/>
      <color rgb="FF7030A0"/>
      <name val="Roboto"/>
    </font>
    <font>
      <b/>
      <sz val="9"/>
      <color rgb="FFFFFFFF"/>
      <name val="Arial"/>
      <family val="2"/>
    </font>
    <font>
      <sz val="9"/>
      <color rgb="FF051526"/>
      <name val="Arial"/>
      <family val="2"/>
    </font>
    <font>
      <b/>
      <sz val="9"/>
      <color rgb="FF051526"/>
      <name val="Arial"/>
      <family val="2"/>
    </font>
    <font>
      <b/>
      <sz val="9"/>
      <name val="Arial"/>
      <family val="2"/>
    </font>
    <font>
      <sz val="9"/>
      <color rgb="FF000000"/>
      <name val="Arial"/>
      <family val="2"/>
    </font>
    <font>
      <b/>
      <i/>
      <sz val="9"/>
      <color rgb="FF051526"/>
      <name val="Arial"/>
      <family val="2"/>
    </font>
    <font>
      <sz val="9"/>
      <color theme="1"/>
      <name val="Arial"/>
      <family val="2"/>
    </font>
    <font>
      <b/>
      <sz val="9"/>
      <color theme="1"/>
      <name val="Arial"/>
      <family val="2"/>
    </font>
    <font>
      <b/>
      <sz val="9"/>
      <color theme="0"/>
      <name val="Arial"/>
      <family val="2"/>
    </font>
    <font>
      <b/>
      <sz val="10"/>
      <color rgb="FF0000FF"/>
      <name val="Arial"/>
      <family val="2"/>
    </font>
    <font>
      <b/>
      <sz val="9"/>
      <color indexed="8"/>
      <name val="Arial"/>
      <family val="2"/>
    </font>
    <font>
      <sz val="8"/>
      <color indexed="8"/>
      <name val="Arial"/>
      <family val="2"/>
    </font>
    <font>
      <b/>
      <sz val="8"/>
      <color indexed="8"/>
      <name val="Arial"/>
      <family val="2"/>
    </font>
    <font>
      <sz val="11"/>
      <color rgb="FF0000FF"/>
      <name val="Calibri"/>
      <family val="2"/>
      <scheme val="minor"/>
    </font>
    <font>
      <b/>
      <sz val="12"/>
      <color theme="1"/>
      <name val="Calibri"/>
      <family val="2"/>
      <scheme val="minor"/>
    </font>
    <font>
      <b/>
      <sz val="11"/>
      <name val="Roboto"/>
    </font>
    <font>
      <sz val="9"/>
      <color rgb="FFFF0000"/>
      <name val="Arial"/>
      <family val="2"/>
    </font>
    <font>
      <sz val="9"/>
      <color rgb="FF000000"/>
      <name val="Calibri"/>
      <family val="2"/>
      <scheme val="minor"/>
    </font>
    <font>
      <b/>
      <sz val="9"/>
      <color rgb="FF0000FF"/>
      <name val="Arial"/>
      <family val="2"/>
    </font>
    <font>
      <b/>
      <sz val="9"/>
      <color rgb="FFFF0000"/>
      <name val="Arial"/>
      <family val="2"/>
    </font>
    <font>
      <sz val="10"/>
      <color rgb="FF000000"/>
      <name val="Arial"/>
      <family val="2"/>
    </font>
    <font>
      <sz val="10"/>
      <color theme="1"/>
      <name val="Arial"/>
      <family val="2"/>
    </font>
    <font>
      <b/>
      <sz val="10"/>
      <color theme="1"/>
      <name val="Arial"/>
      <family val="2"/>
    </font>
    <font>
      <b/>
      <i/>
      <sz val="10"/>
      <color theme="1"/>
      <name val="Arial"/>
      <family val="2"/>
    </font>
    <font>
      <b/>
      <sz val="9"/>
      <color rgb="FF0000FF"/>
      <name val="Roboto"/>
    </font>
    <font>
      <b/>
      <sz val="14"/>
      <color indexed="8"/>
      <name val="Arial"/>
      <family val="2"/>
    </font>
    <font>
      <b/>
      <sz val="10"/>
      <color indexed="8"/>
      <name val="Arial"/>
      <family val="2"/>
    </font>
    <font>
      <b/>
      <sz val="8"/>
      <color indexed="8"/>
      <name val="Arial"/>
      <family val="2"/>
    </font>
    <font>
      <sz val="8"/>
      <color indexed="8"/>
      <name val="Arial"/>
      <family val="2"/>
    </font>
    <font>
      <sz val="12"/>
      <color theme="1"/>
      <name val="Calibri"/>
      <family val="2"/>
      <scheme val="minor"/>
    </font>
    <font>
      <b/>
      <sz val="12"/>
      <color rgb="FF000000"/>
      <name val="Times New Roman"/>
      <family val="1"/>
    </font>
    <font>
      <sz val="12"/>
      <color theme="1"/>
      <name val="Times New Roman"/>
      <family val="1"/>
    </font>
    <font>
      <b/>
      <sz val="12"/>
      <color theme="1"/>
      <name val="Times New Roman"/>
      <family val="1"/>
    </font>
    <font>
      <b/>
      <sz val="11"/>
      <color theme="0"/>
      <name val="Calibri"/>
      <family val="2"/>
      <scheme val="minor"/>
    </font>
    <font>
      <sz val="11"/>
      <color theme="0"/>
      <name val="Calibri"/>
      <family val="2"/>
      <scheme val="minor"/>
    </font>
    <font>
      <b/>
      <sz val="11"/>
      <name val="Trebuchet MS"/>
      <family val="2"/>
    </font>
    <font>
      <b/>
      <sz val="10"/>
      <color rgb="FF00B050"/>
      <name val="Arial"/>
      <family val="2"/>
    </font>
    <font>
      <sz val="11"/>
      <name val="Trebuchet MS"/>
      <family val="2"/>
    </font>
    <font>
      <sz val="11"/>
      <name val="Arial"/>
      <family val="2"/>
    </font>
    <font>
      <b/>
      <sz val="11"/>
      <name val="Arial"/>
      <family val="2"/>
    </font>
    <font>
      <b/>
      <sz val="11"/>
      <name val="Calibri"/>
      <family val="2"/>
    </font>
    <font>
      <u/>
      <sz val="10"/>
      <color indexed="12"/>
      <name val="Arial"/>
      <family val="2"/>
    </font>
    <font>
      <sz val="8"/>
      <color rgb="FFFF0000"/>
      <name val="Arial"/>
      <family val="2"/>
    </font>
    <font>
      <sz val="14"/>
      <color rgb="FFFF0000"/>
      <name val="Arial"/>
      <family val="2"/>
    </font>
    <font>
      <sz val="10"/>
      <color rgb="FFFF0000"/>
      <name val="Arial"/>
      <family val="2"/>
    </font>
    <font>
      <b/>
      <sz val="8"/>
      <color rgb="FF7030A0"/>
      <name val="Arial"/>
      <family val="2"/>
    </font>
    <font>
      <b/>
      <sz val="14"/>
      <color rgb="FFFF0000"/>
      <name val="Arial"/>
      <family val="2"/>
    </font>
    <font>
      <b/>
      <sz val="8"/>
      <color rgb="FFFF0000"/>
      <name val="Arial"/>
      <family val="2"/>
    </font>
    <font>
      <b/>
      <sz val="14"/>
      <color indexed="8"/>
      <name val="Arial"/>
      <family val="2"/>
    </font>
    <font>
      <b/>
      <sz val="9"/>
      <color indexed="8"/>
      <name val="Arial"/>
      <family val="2"/>
    </font>
    <font>
      <sz val="8"/>
      <color indexed="8"/>
      <name val="Arial"/>
      <family val="2"/>
    </font>
    <font>
      <b/>
      <sz val="8"/>
      <color indexed="8"/>
      <name val="Arial"/>
      <family val="2"/>
    </font>
    <font>
      <b/>
      <sz val="9"/>
      <color rgb="FF7030A0"/>
      <name val="Arial"/>
      <family val="2"/>
    </font>
    <font>
      <sz val="8"/>
      <color rgb="FF7030A0"/>
      <name val="Arial"/>
      <family val="2"/>
    </font>
    <font>
      <b/>
      <sz val="14"/>
      <color rgb="FFC00000"/>
      <name val="Arial"/>
      <family val="2"/>
    </font>
    <font>
      <b/>
      <sz val="10"/>
      <color rgb="FFC00000"/>
      <name val="Arial"/>
      <family val="2"/>
    </font>
    <font>
      <sz val="11"/>
      <color rgb="FFC00000"/>
      <name val="Calibri"/>
      <family val="2"/>
      <scheme val="minor"/>
    </font>
    <font>
      <b/>
      <sz val="8"/>
      <color rgb="FFC00000"/>
      <name val="Arial"/>
      <family val="2"/>
    </font>
    <font>
      <b/>
      <sz val="8"/>
      <name val="Arial"/>
      <family val="2"/>
    </font>
    <font>
      <i/>
      <sz val="10"/>
      <color rgb="FF000000"/>
      <name val="Arial"/>
      <family val="2"/>
    </font>
    <font>
      <b/>
      <sz val="13"/>
      <color rgb="FF0000FF"/>
      <name val="Arial"/>
      <family val="2"/>
    </font>
    <font>
      <sz val="11"/>
      <color theme="1"/>
      <name val="Arial"/>
      <family val="2"/>
    </font>
    <font>
      <b/>
      <sz val="11"/>
      <color theme="1"/>
      <name val="Arial"/>
      <family val="2"/>
    </font>
    <font>
      <b/>
      <sz val="10"/>
      <color rgb="FFFFFFFF"/>
      <name val="Arial"/>
      <family val="2"/>
    </font>
    <font>
      <b/>
      <sz val="10"/>
      <color rgb="FF000000"/>
      <name val="Arial"/>
      <family val="2"/>
    </font>
    <font>
      <sz val="11"/>
      <color rgb="FFFFFFFF"/>
      <name val="Calibri"/>
      <family val="2"/>
      <scheme val="minor"/>
    </font>
    <font>
      <b/>
      <sz val="11"/>
      <color rgb="FF00B050"/>
      <name val="Calibri"/>
      <family val="2"/>
      <scheme val="minor"/>
    </font>
    <font>
      <i/>
      <sz val="11"/>
      <color theme="1"/>
      <name val="Calibri"/>
      <family val="2"/>
      <scheme val="minor"/>
    </font>
    <font>
      <b/>
      <sz val="8"/>
      <color rgb="FF323232"/>
      <name val="Arial"/>
      <family val="2"/>
    </font>
    <font>
      <b/>
      <sz val="8"/>
      <color rgb="FF323232"/>
      <name val="Symbol"/>
      <family val="1"/>
      <charset val="2"/>
    </font>
    <font>
      <sz val="8"/>
      <color rgb="FF323232"/>
      <name val="Arial"/>
      <family val="2"/>
    </font>
    <font>
      <sz val="8"/>
      <color rgb="FF323232"/>
      <name val="Symbol"/>
      <family val="1"/>
      <charset val="2"/>
    </font>
    <font>
      <b/>
      <sz val="8"/>
      <color rgb="FFFFFFFF"/>
      <name val="Arial"/>
      <family val="2"/>
    </font>
    <font>
      <sz val="8"/>
      <color rgb="FF051526"/>
      <name val="Arial"/>
      <family val="2"/>
    </font>
    <font>
      <b/>
      <sz val="8"/>
      <color rgb="FF051526"/>
      <name val="Arial"/>
      <family val="2"/>
    </font>
    <font>
      <b/>
      <sz val="9"/>
      <color theme="0"/>
      <name val="Calibri"/>
      <family val="2"/>
      <scheme val="minor"/>
    </font>
    <font>
      <b/>
      <sz val="10"/>
      <color theme="0"/>
      <name val="Arial"/>
      <family val="2"/>
    </font>
    <font>
      <sz val="9"/>
      <color theme="0"/>
      <name val="Arial"/>
      <family val="2"/>
    </font>
    <font>
      <b/>
      <sz val="12"/>
      <color rgb="FF0000FF"/>
      <name val="Calibri"/>
      <family val="2"/>
      <scheme val="minor"/>
    </font>
    <font>
      <sz val="8"/>
      <color indexed="8"/>
      <name val="Arial"/>
      <family val="2"/>
    </font>
    <font>
      <b/>
      <sz val="11"/>
      <color rgb="FF0000FF"/>
      <name val="Arial"/>
      <family val="2"/>
    </font>
    <font>
      <b/>
      <sz val="8"/>
      <color indexed="8"/>
      <name val="Arial"/>
      <family val="2"/>
    </font>
    <font>
      <sz val="8"/>
      <color indexed="8"/>
      <name val="Arial"/>
      <family val="2"/>
    </font>
    <font>
      <b/>
      <sz val="8"/>
      <color rgb="FF7030A0"/>
      <name val="Arial"/>
      <family val="2"/>
    </font>
    <font>
      <b/>
      <sz val="8"/>
      <color theme="1"/>
      <name val="Arial"/>
      <family val="2"/>
    </font>
    <font>
      <sz val="8"/>
      <color theme="1"/>
      <name val="Arial"/>
      <family val="2"/>
    </font>
    <font>
      <sz val="11"/>
      <color rgb="FFFF0000"/>
      <name val="Arial"/>
      <family val="2"/>
    </font>
    <font>
      <b/>
      <sz val="8"/>
      <color theme="1"/>
      <name val="Arial"/>
      <family val="2"/>
    </font>
    <font>
      <sz val="8"/>
      <color theme="1"/>
      <name val="Arial"/>
      <family val="2"/>
    </font>
    <font>
      <b/>
      <sz val="11"/>
      <color rgb="FFFF0000"/>
      <name val="Arial"/>
      <family val="2"/>
    </font>
    <font>
      <sz val="11"/>
      <color rgb="FF0000FF"/>
      <name val="Arial"/>
      <family val="2"/>
    </font>
    <font>
      <b/>
      <sz val="11"/>
      <color rgb="FF7030A0"/>
      <name val="Arial"/>
      <family val="2"/>
    </font>
    <font>
      <sz val="9"/>
      <color indexed="81"/>
      <name val="Tahoma"/>
      <family val="2"/>
    </font>
    <font>
      <b/>
      <sz val="9"/>
      <color indexed="81"/>
      <name val="Tahoma"/>
      <family val="2"/>
    </font>
    <font>
      <sz val="9"/>
      <color theme="0"/>
      <name val="Roboto"/>
    </font>
  </fonts>
  <fills count="33">
    <fill>
      <patternFill patternType="none"/>
    </fill>
    <fill>
      <patternFill patternType="gray125"/>
    </fill>
    <fill>
      <patternFill patternType="solid">
        <fgColor theme="8"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bgColor indexed="64"/>
      </patternFill>
    </fill>
    <fill>
      <patternFill patternType="solid">
        <fgColor rgb="FF5B9BD5"/>
        <bgColor indexed="64"/>
      </patternFill>
    </fill>
    <fill>
      <patternFill patternType="solid">
        <fgColor rgb="FF9CC2E5"/>
        <bgColor indexed="64"/>
      </patternFill>
    </fill>
    <fill>
      <patternFill patternType="lightUp"/>
    </fill>
    <fill>
      <patternFill patternType="solid">
        <fgColor theme="8" tint="0.39997558519241921"/>
        <bgColor indexed="64"/>
      </patternFill>
    </fill>
    <fill>
      <patternFill patternType="solid">
        <fgColor rgb="FF00FFCC"/>
        <bgColor indexed="64"/>
      </patternFill>
    </fill>
    <fill>
      <patternFill patternType="solid">
        <fgColor indexed="13"/>
        <bgColor indexed="64"/>
      </patternFill>
    </fill>
    <fill>
      <patternFill patternType="solid">
        <fgColor indexed="41"/>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FFCC"/>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rgb="FFFFC000"/>
        <bgColor indexed="64"/>
      </patternFill>
    </fill>
    <fill>
      <patternFill patternType="solid">
        <fgColor rgb="FFFFFFFF"/>
        <bgColor rgb="FFFFFFFF"/>
      </patternFill>
    </fill>
    <fill>
      <patternFill patternType="solid">
        <fgColor rgb="FF00FFFF"/>
        <bgColor indexed="64"/>
      </patternFill>
    </fill>
    <fill>
      <patternFill patternType="solid">
        <fgColor rgb="FF92D050"/>
        <bgColor indexed="64"/>
      </patternFill>
    </fill>
    <fill>
      <patternFill patternType="solid">
        <fgColor rgb="FFF2F2F2"/>
        <bgColor indexed="64"/>
      </patternFill>
    </fill>
    <fill>
      <patternFill patternType="solid">
        <fgColor rgb="FF000000"/>
        <bgColor indexed="64"/>
      </patternFill>
    </fill>
    <fill>
      <patternFill patternType="solid">
        <fgColor rgb="FF00FF99"/>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9D9D9"/>
        <bgColor indexed="64"/>
      </patternFill>
    </fill>
    <fill>
      <patternFill patternType="solid">
        <fgColor theme="5" tint="0.39997558519241921"/>
        <bgColor indexed="64"/>
      </patternFill>
    </fill>
    <fill>
      <patternFill patternType="solid">
        <fgColor rgb="FF7030A0"/>
        <bgColor indexed="64"/>
      </patternFill>
    </fill>
  </fills>
  <borders count="95">
    <border>
      <left/>
      <right/>
      <top/>
      <bottom/>
      <diagonal/>
    </border>
    <border>
      <left/>
      <right/>
      <top/>
      <bottom style="thick">
        <color indexed="64"/>
      </bottom>
      <diagonal/>
    </border>
    <border>
      <left/>
      <right/>
      <top style="thin">
        <color indexed="64"/>
      </top>
      <bottom style="medium">
        <color indexed="64"/>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right/>
      <top style="thin">
        <color indexed="64"/>
      </top>
      <bottom style="double">
        <color indexed="64"/>
      </bottom>
      <diagonal/>
    </border>
    <border>
      <left style="medium">
        <color rgb="FF4472C4"/>
      </left>
      <right/>
      <top style="medium">
        <color rgb="FF4472C4"/>
      </top>
      <bottom/>
      <diagonal/>
    </border>
    <border>
      <left/>
      <right/>
      <top style="medium">
        <color rgb="FF4472C4"/>
      </top>
      <bottom/>
      <diagonal/>
    </border>
    <border>
      <left/>
      <right style="medium">
        <color rgb="FF4472C4"/>
      </right>
      <top style="medium">
        <color rgb="FF4472C4"/>
      </top>
      <bottom/>
      <diagonal/>
    </border>
    <border>
      <left/>
      <right/>
      <top/>
      <bottom style="medium">
        <color rgb="FF5B9BD5"/>
      </bottom>
      <diagonal/>
    </border>
    <border>
      <left/>
      <right/>
      <top/>
      <bottom style="thick">
        <color rgb="FF5B9BD5"/>
      </bottom>
      <diagonal/>
    </border>
    <border>
      <left/>
      <right/>
      <top style="medium">
        <color rgb="FF5B9BD5"/>
      </top>
      <bottom style="thick">
        <color rgb="FF5B9BD5"/>
      </bottom>
      <diagonal/>
    </border>
    <border>
      <left/>
      <right/>
      <top style="thin">
        <color rgb="FFFF0000"/>
      </top>
      <bottom style="double">
        <color rgb="FFFF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rgb="FFFF0000"/>
      </left>
      <right/>
      <top style="thin">
        <color rgb="FFFF0000"/>
      </top>
      <bottom style="double">
        <color rgb="FFFF0000"/>
      </bottom>
      <diagonal/>
    </border>
    <border>
      <left/>
      <right style="thin">
        <color rgb="FFFF0000"/>
      </right>
      <top style="thin">
        <color rgb="FFFF0000"/>
      </top>
      <bottom style="double">
        <color rgb="FFFF0000"/>
      </bottom>
      <diagonal/>
    </border>
    <border>
      <left/>
      <right/>
      <top style="thin">
        <color rgb="FFFF0000"/>
      </top>
      <bottom style="medium">
        <color rgb="FFFF0000"/>
      </bottom>
      <diagonal/>
    </border>
    <border>
      <left/>
      <right/>
      <top style="medium">
        <color indexed="64"/>
      </top>
      <bottom/>
      <diagonal/>
    </border>
    <border>
      <left/>
      <right/>
      <top style="thick">
        <color rgb="FF5B9BD5"/>
      </top>
      <bottom style="medium">
        <color rgb="FF5B9BD5"/>
      </bottom>
      <diagonal/>
    </border>
    <border>
      <left/>
      <right/>
      <top style="thick">
        <color rgb="FF5B9BD5"/>
      </top>
      <bottom style="thin">
        <color rgb="FFFF0000"/>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medium">
        <color indexed="64"/>
      </top>
      <bottom/>
      <diagonal/>
    </border>
    <border>
      <left/>
      <right/>
      <top style="medium">
        <color rgb="FF5B9BD5"/>
      </top>
      <bottom style="thin">
        <color indexed="64"/>
      </bottom>
      <diagonal/>
    </border>
    <border>
      <left style="medium">
        <color rgb="FF4472C4"/>
      </left>
      <right/>
      <top style="medium">
        <color rgb="FF4472C4"/>
      </top>
      <bottom style="thin">
        <color indexed="64"/>
      </bottom>
      <diagonal/>
    </border>
    <border>
      <left/>
      <right/>
      <top style="medium">
        <color rgb="FF4472C4"/>
      </top>
      <bottom style="thin">
        <color indexed="64"/>
      </bottom>
      <diagonal/>
    </border>
    <border>
      <left style="thin">
        <color indexed="64"/>
      </left>
      <right/>
      <top style="thin">
        <color indexed="64"/>
      </top>
      <bottom style="medium">
        <color indexed="64"/>
      </bottom>
      <diagonal/>
    </border>
    <border>
      <left/>
      <right style="medium">
        <color rgb="FF4472C4"/>
      </right>
      <top style="medium">
        <color rgb="FF4472C4"/>
      </top>
      <bottom style="thin">
        <color indexed="64"/>
      </bottom>
      <diagonal/>
    </border>
    <border>
      <left style="medium">
        <color rgb="FF4472C4"/>
      </left>
      <right/>
      <top style="thin">
        <color indexed="64"/>
      </top>
      <bottom style="thin">
        <color indexed="64"/>
      </bottom>
      <diagonal/>
    </border>
    <border>
      <left/>
      <right/>
      <top style="thin">
        <color theme="4"/>
      </top>
      <bottom style="medium">
        <color theme="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style="hair">
        <color indexed="64"/>
      </right>
      <top/>
      <bottom/>
      <diagonal/>
    </border>
    <border>
      <left/>
      <right/>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top style="double">
        <color indexed="64"/>
      </top>
      <bottom/>
      <diagonal/>
    </border>
    <border>
      <left/>
      <right style="hair">
        <color indexed="64"/>
      </right>
      <top style="double">
        <color indexed="64"/>
      </top>
      <bottom/>
      <diagonal/>
    </border>
    <border>
      <left style="hair">
        <color indexed="64"/>
      </left>
      <right style="hair">
        <color indexed="64"/>
      </right>
      <top style="double">
        <color indexed="64"/>
      </top>
      <bottom/>
      <diagonal/>
    </border>
    <border>
      <left style="hair">
        <color indexed="64"/>
      </left>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style="medium">
        <color indexed="64"/>
      </top>
      <bottom/>
      <diagonal/>
    </border>
    <border>
      <left/>
      <right style="hair">
        <color indexed="64"/>
      </right>
      <top style="medium">
        <color indexed="64"/>
      </top>
      <bottom/>
      <diagonal/>
    </border>
    <border>
      <left/>
      <right/>
      <top/>
      <bottom style="medium">
        <color indexed="64"/>
      </bottom>
      <diagonal/>
    </border>
    <border>
      <left style="medium">
        <color indexed="64"/>
      </left>
      <right style="hair">
        <color indexed="64"/>
      </right>
      <top/>
      <bottom style="medium">
        <color indexed="64"/>
      </bottom>
      <diagonal/>
    </border>
    <border>
      <left style="thin">
        <color indexed="64"/>
      </left>
      <right/>
      <top style="thin">
        <color indexed="64"/>
      </top>
      <bottom style="double">
        <color indexed="64"/>
      </bottom>
      <diagonal/>
    </border>
    <border>
      <left style="medium">
        <color rgb="FF4472C4"/>
      </left>
      <right/>
      <top/>
      <bottom/>
      <diagonal/>
    </border>
    <border>
      <left/>
      <right/>
      <top style="thick">
        <color indexed="64"/>
      </top>
      <bottom style="medium">
        <color indexed="64"/>
      </bottom>
      <diagonal/>
    </border>
    <border>
      <left/>
      <right/>
      <top style="thick">
        <color rgb="FF051526"/>
      </top>
      <bottom style="thin">
        <color indexed="64"/>
      </bottom>
      <diagonal/>
    </border>
    <border>
      <left style="medium">
        <color rgb="FF4472C4"/>
      </left>
      <right/>
      <top style="thin">
        <color theme="4"/>
      </top>
      <bottom style="thin">
        <color indexed="64"/>
      </bottom>
      <diagonal/>
    </border>
    <border>
      <left/>
      <right/>
      <top style="thin">
        <color theme="4"/>
      </top>
      <bottom style="thin">
        <color indexed="64"/>
      </bottom>
      <diagonal/>
    </border>
    <border>
      <left/>
      <right/>
      <top/>
      <bottom style="thick">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indexed="64"/>
      </top>
      <bottom style="thin">
        <color indexed="64"/>
      </bottom>
      <diagonal/>
    </border>
    <border>
      <left/>
      <right/>
      <top style="thick">
        <color rgb="FF051526"/>
      </top>
      <bottom style="medium">
        <color rgb="FF05152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double">
        <color indexed="64"/>
      </bottom>
      <diagonal/>
    </border>
    <border>
      <left/>
      <right/>
      <top/>
      <bottom style="thick">
        <color rgb="FF051526"/>
      </bottom>
      <diagonal/>
    </border>
    <border>
      <left style="thin">
        <color indexed="64"/>
      </left>
      <right style="thin">
        <color indexed="64"/>
      </right>
      <top style="medium">
        <color indexed="64"/>
      </top>
      <bottom style="medium">
        <color indexed="64"/>
      </bottom>
      <diagonal/>
    </border>
    <border>
      <left/>
      <right/>
      <top style="thick">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ck">
        <color indexed="64"/>
      </top>
      <bottom style="medium">
        <color indexed="64"/>
      </bottom>
      <diagonal/>
    </border>
  </borders>
  <cellStyleXfs count="50">
    <xf numFmtId="0" fontId="0" fillId="0" borderId="0"/>
    <xf numFmtId="43" fontId="3" fillId="0" borderId="0" applyFont="0" applyFill="0" applyBorder="0" applyAlignment="0" applyProtection="0"/>
    <xf numFmtId="0" fontId="5" fillId="0" borderId="0"/>
    <xf numFmtId="0" fontId="5" fillId="0" borderId="0"/>
    <xf numFmtId="43" fontId="3"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7" fillId="0" borderId="0"/>
    <xf numFmtId="164" fontId="7" fillId="0" borderId="0" applyFont="0" applyFill="0" applyBorder="0" applyAlignment="0" applyProtection="0"/>
    <xf numFmtId="0" fontId="8" fillId="0" borderId="0"/>
    <xf numFmtId="44" fontId="3" fillId="0" borderId="0" applyFont="0" applyFill="0" applyBorder="0" applyAlignment="0" applyProtection="0"/>
    <xf numFmtId="43" fontId="8" fillId="0" borderId="0" applyFont="0" applyFill="0" applyBorder="0" applyAlignment="0" applyProtection="0"/>
    <xf numFmtId="0" fontId="28" fillId="0" borderId="0"/>
    <xf numFmtId="0" fontId="2" fillId="0" borderId="0"/>
    <xf numFmtId="0" fontId="29" fillId="0" borderId="0"/>
    <xf numFmtId="0" fontId="30" fillId="0" borderId="0"/>
    <xf numFmtId="43" fontId="7" fillId="0" borderId="0" applyFont="0" applyFill="0" applyBorder="0" applyAlignment="0" applyProtection="0"/>
    <xf numFmtId="0" fontId="31" fillId="0" borderId="0"/>
    <xf numFmtId="9" fontId="3" fillId="0" borderId="0" applyFont="0" applyFill="0" applyBorder="0" applyAlignment="0" applyProtection="0"/>
    <xf numFmtId="44" fontId="28" fillId="0" borderId="0" applyFont="0" applyFill="0" applyBorder="0" applyAlignment="0" applyProtection="0"/>
    <xf numFmtId="0" fontId="37" fillId="0" borderId="0"/>
    <xf numFmtId="0" fontId="29" fillId="0" borderId="0"/>
    <xf numFmtId="0" fontId="38" fillId="0" borderId="0"/>
    <xf numFmtId="0" fontId="39" fillId="0" borderId="0"/>
    <xf numFmtId="0" fontId="30" fillId="0" borderId="0"/>
    <xf numFmtId="0" fontId="31" fillId="0" borderId="0"/>
    <xf numFmtId="0" fontId="1" fillId="0" borderId="0"/>
    <xf numFmtId="43" fontId="1" fillId="0" borderId="0" applyFont="0" applyFill="0" applyBorder="0" applyAlignment="0" applyProtection="0"/>
    <xf numFmtId="0" fontId="45" fillId="0" borderId="0" applyNumberFormat="0" applyFill="0" applyBorder="0" applyAlignment="0" applyProtection="0"/>
    <xf numFmtId="43" fontId="3" fillId="0" borderId="0" applyFont="0" applyFill="0" applyBorder="0" applyAlignment="0" applyProtection="0"/>
    <xf numFmtId="44" fontId="5" fillId="0" borderId="0" applyFont="0" applyFill="0" applyBorder="0" applyAlignment="0" applyProtection="0"/>
    <xf numFmtId="0" fontId="5" fillId="0" borderId="0"/>
    <xf numFmtId="43" fontId="61" fillId="0" borderId="0" applyFont="0" applyFill="0" applyBorder="0" applyAlignment="0" applyProtection="0"/>
    <xf numFmtId="44" fontId="3" fillId="0" borderId="0" applyFont="0" applyFill="0" applyBorder="0" applyAlignment="0" applyProtection="0"/>
    <xf numFmtId="0" fontId="94" fillId="0" borderId="22"/>
    <xf numFmtId="178" fontId="8" fillId="0" borderId="0" applyFont="0" applyFill="0" applyBorder="0" applyAlignment="0" applyProtection="0"/>
    <xf numFmtId="0" fontId="97" fillId="0" borderId="0"/>
    <xf numFmtId="44" fontId="97" fillId="0" borderId="0" applyFont="0" applyFill="0" applyBorder="0" applyAlignment="0" applyProtection="0"/>
    <xf numFmtId="43" fontId="97"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9" fontId="5" fillId="0" borderId="0" applyFont="0" applyFill="0" applyBorder="0" applyAlignment="0" applyProtection="0"/>
    <xf numFmtId="9" fontId="5" fillId="0" borderId="0" applyFont="0" applyFill="0" applyBorder="0" applyAlignment="0" applyProtection="0"/>
    <xf numFmtId="0" fontId="5" fillId="0" borderId="0"/>
    <xf numFmtId="184" fontId="5" fillId="0" borderId="0" applyFont="0" applyFill="0" applyBorder="0" applyAlignment="0" applyProtection="0"/>
    <xf numFmtId="0" fontId="121" fillId="0" borderId="0" applyNumberFormat="0" applyFill="0" applyBorder="0" applyAlignment="0" applyProtection="0">
      <alignment vertical="top"/>
      <protection locked="0"/>
    </xf>
    <xf numFmtId="43" fontId="8" fillId="0" borderId="0" applyFont="0" applyFill="0" applyBorder="0" applyAlignment="0" applyProtection="0"/>
  </cellStyleXfs>
  <cellXfs count="1652">
    <xf numFmtId="0" fontId="0" fillId="0" borderId="0" xfId="0"/>
    <xf numFmtId="0" fontId="0" fillId="4" borderId="0" xfId="0" applyFill="1"/>
    <xf numFmtId="0" fontId="6" fillId="4" borderId="0" xfId="0" applyFont="1" applyFill="1"/>
    <xf numFmtId="0" fontId="9" fillId="0" borderId="0" xfId="0" applyFont="1"/>
    <xf numFmtId="0" fontId="9" fillId="0" borderId="0" xfId="0" applyFont="1" applyAlignment="1">
      <alignment vertical="center" wrapText="1"/>
    </xf>
    <xf numFmtId="0" fontId="10" fillId="0" borderId="0" xfId="0" quotePrefix="1" applyFont="1" applyAlignment="1">
      <alignment horizontal="left" vertical="center"/>
    </xf>
    <xf numFmtId="0" fontId="11" fillId="0" borderId="0" xfId="0" applyFont="1"/>
    <xf numFmtId="0" fontId="11" fillId="0" borderId="0" xfId="0" applyFont="1" applyAlignment="1">
      <alignment vertical="center" wrapText="1"/>
    </xf>
    <xf numFmtId="0" fontId="11" fillId="0" borderId="0" xfId="0" applyFont="1" applyAlignment="1">
      <alignment horizontal="right" vertical="center" wrapText="1"/>
    </xf>
    <xf numFmtId="0" fontId="9" fillId="0" borderId="0" xfId="0" applyFont="1" applyAlignment="1">
      <alignment horizontal="right" vertical="center" wrapText="1"/>
    </xf>
    <xf numFmtId="0" fontId="9" fillId="0" borderId="0" xfId="0" applyFont="1" applyAlignment="1">
      <alignment horizontal="center" vertical="center" wrapText="1"/>
    </xf>
    <xf numFmtId="41" fontId="9" fillId="0" borderId="0" xfId="0" applyNumberFormat="1" applyFont="1" applyAlignment="1">
      <alignment horizontal="right" vertical="center" wrapText="1"/>
    </xf>
    <xf numFmtId="41" fontId="11" fillId="0" borderId="0" xfId="0" applyNumberFormat="1" applyFont="1" applyAlignment="1">
      <alignment horizontal="right" vertical="center" wrapText="1"/>
    </xf>
    <xf numFmtId="0" fontId="17" fillId="3" borderId="0" xfId="0" applyFont="1" applyFill="1"/>
    <xf numFmtId="0" fontId="9" fillId="5" borderId="0" xfId="0" applyFont="1" applyFill="1"/>
    <xf numFmtId="0" fontId="9" fillId="6" borderId="0" xfId="0" applyFont="1" applyFill="1"/>
    <xf numFmtId="0" fontId="9" fillId="0" borderId="0" xfId="0" applyFont="1" applyAlignment="1">
      <alignment vertical="center"/>
    </xf>
    <xf numFmtId="0" fontId="19" fillId="0" borderId="0" xfId="0" applyFont="1" applyAlignment="1">
      <alignment vertical="center"/>
    </xf>
    <xf numFmtId="0" fontId="14" fillId="0" borderId="0" xfId="0" applyFont="1" applyAlignment="1">
      <alignment vertical="center"/>
    </xf>
    <xf numFmtId="43" fontId="9" fillId="0" borderId="0" xfId="1" applyFont="1" applyAlignment="1">
      <alignment vertical="center"/>
    </xf>
    <xf numFmtId="0" fontId="21" fillId="8" borderId="6" xfId="0" applyFont="1" applyFill="1" applyBorder="1" applyAlignment="1">
      <alignment vertical="center" wrapText="1"/>
    </xf>
    <xf numFmtId="0" fontId="21" fillId="8" borderId="7" xfId="0" applyFont="1" applyFill="1" applyBorder="1" applyAlignment="1">
      <alignment horizontal="center" vertical="center" wrapText="1"/>
    </xf>
    <xf numFmtId="0" fontId="21" fillId="8" borderId="7" xfId="0" applyFont="1" applyFill="1" applyBorder="1" applyAlignment="1">
      <alignment horizontal="right" vertical="center" wrapText="1"/>
    </xf>
    <xf numFmtId="0" fontId="9" fillId="9" borderId="0" xfId="0" applyFont="1" applyFill="1" applyAlignment="1">
      <alignment horizontal="right" vertical="center" wrapText="1"/>
    </xf>
    <xf numFmtId="0" fontId="9" fillId="0" borderId="9" xfId="0" applyFont="1" applyBorder="1" applyAlignment="1">
      <alignment vertical="center" wrapText="1"/>
    </xf>
    <xf numFmtId="0" fontId="11" fillId="0" borderId="10" xfId="0" applyFont="1" applyBorder="1" applyAlignment="1">
      <alignment vertical="center" wrapText="1"/>
    </xf>
    <xf numFmtId="0" fontId="9" fillId="0" borderId="10" xfId="0" applyFont="1" applyBorder="1" applyAlignment="1">
      <alignment horizontal="right" vertical="center" wrapText="1"/>
    </xf>
    <xf numFmtId="0" fontId="9" fillId="0" borderId="10" xfId="0" applyFont="1" applyBorder="1" applyAlignment="1">
      <alignment horizontal="center" vertical="center" wrapText="1"/>
    </xf>
    <xf numFmtId="0" fontId="11" fillId="0" borderId="9" xfId="0" applyFont="1" applyBorder="1" applyAlignment="1">
      <alignment vertical="center" wrapText="1"/>
    </xf>
    <xf numFmtId="0" fontId="9" fillId="0" borderId="10" xfId="0" applyFont="1" applyBorder="1" applyAlignment="1">
      <alignment vertical="center" wrapText="1"/>
    </xf>
    <xf numFmtId="165" fontId="9" fillId="0" borderId="0" xfId="1" applyNumberFormat="1" applyFont="1" applyFill="1" applyBorder="1" applyAlignment="1">
      <alignment horizontal="right" vertical="center" wrapText="1"/>
    </xf>
    <xf numFmtId="0" fontId="11" fillId="0" borderId="11" xfId="0" applyFont="1" applyBorder="1" applyAlignment="1">
      <alignment vertical="center" wrapText="1"/>
    </xf>
    <xf numFmtId="41" fontId="15" fillId="9" borderId="0" xfId="0" applyNumberFormat="1" applyFont="1" applyFill="1" applyAlignment="1">
      <alignment horizontal="right" vertical="center" wrapText="1"/>
    </xf>
    <xf numFmtId="41" fontId="15" fillId="9" borderId="9" xfId="0" applyNumberFormat="1" applyFont="1" applyFill="1" applyBorder="1" applyAlignment="1">
      <alignment horizontal="right" vertical="center" wrapText="1"/>
    </xf>
    <xf numFmtId="41" fontId="15" fillId="9" borderId="10" xfId="0" applyNumberFormat="1" applyFont="1" applyFill="1" applyBorder="1" applyAlignment="1">
      <alignment horizontal="right" vertical="center" wrapText="1"/>
    </xf>
    <xf numFmtId="41" fontId="9" fillId="9" borderId="0" xfId="0" applyNumberFormat="1" applyFont="1" applyFill="1" applyAlignment="1">
      <alignment horizontal="right" vertical="center" wrapText="1"/>
    </xf>
    <xf numFmtId="41" fontId="10" fillId="9" borderId="10" xfId="0" applyNumberFormat="1" applyFont="1" applyFill="1" applyBorder="1" applyAlignment="1">
      <alignment horizontal="right" vertical="center" wrapText="1"/>
    </xf>
    <xf numFmtId="41" fontId="9" fillId="0" borderId="9" xfId="0" applyNumberFormat="1" applyFont="1" applyBorder="1" applyAlignment="1">
      <alignment horizontal="right" vertical="center" wrapText="1"/>
    </xf>
    <xf numFmtId="41" fontId="9" fillId="0" borderId="10" xfId="0" applyNumberFormat="1" applyFont="1" applyBorder="1" applyAlignment="1">
      <alignment horizontal="right" vertical="center" wrapText="1"/>
    </xf>
    <xf numFmtId="41" fontId="11" fillId="0" borderId="10" xfId="0" applyNumberFormat="1" applyFont="1" applyBorder="1" applyAlignment="1">
      <alignment horizontal="right" vertical="center" wrapText="1"/>
    </xf>
    <xf numFmtId="41" fontId="13" fillId="0" borderId="12" xfId="0" applyNumberFormat="1" applyFont="1" applyBorder="1" applyAlignment="1">
      <alignment horizontal="right" vertical="center" wrapText="1"/>
    </xf>
    <xf numFmtId="41" fontId="10" fillId="9" borderId="11" xfId="0" applyNumberFormat="1" applyFont="1" applyFill="1" applyBorder="1" applyAlignment="1">
      <alignment horizontal="right" vertical="center" wrapText="1"/>
    </xf>
    <xf numFmtId="0" fontId="10" fillId="9" borderId="10" xfId="0" applyFont="1" applyFill="1" applyBorder="1" applyAlignment="1">
      <alignment vertical="center" wrapText="1"/>
    </xf>
    <xf numFmtId="0" fontId="14" fillId="0" borderId="0" xfId="0" applyFont="1" applyAlignment="1">
      <alignment vertical="center" wrapText="1"/>
    </xf>
    <xf numFmtId="0" fontId="23" fillId="0" borderId="0" xfId="0" quotePrefix="1" applyFont="1" applyAlignment="1">
      <alignment horizontal="left" vertical="center"/>
    </xf>
    <xf numFmtId="165" fontId="9" fillId="2" borderId="0" xfId="1" applyNumberFormat="1" applyFont="1" applyFill="1" applyBorder="1" applyAlignment="1">
      <alignment vertical="center"/>
    </xf>
    <xf numFmtId="0" fontId="17" fillId="7" borderId="2" xfId="0" applyFont="1" applyFill="1" applyBorder="1" applyAlignment="1">
      <alignment vertical="center"/>
    </xf>
    <xf numFmtId="0" fontId="17" fillId="7" borderId="2" xfId="0" applyFont="1" applyFill="1" applyBorder="1" applyAlignment="1">
      <alignment horizontal="right" wrapText="1"/>
    </xf>
    <xf numFmtId="0" fontId="11" fillId="2" borderId="5" xfId="0" applyFont="1" applyFill="1" applyBorder="1" applyAlignment="1">
      <alignment vertical="center"/>
    </xf>
    <xf numFmtId="165" fontId="11" fillId="2" borderId="5" xfId="1" applyNumberFormat="1" applyFont="1" applyFill="1" applyBorder="1" applyAlignment="1">
      <alignment vertical="center"/>
    </xf>
    <xf numFmtId="0" fontId="9" fillId="6" borderId="0" xfId="0" applyFont="1" applyFill="1" applyAlignment="1">
      <alignment vertical="center"/>
    </xf>
    <xf numFmtId="165" fontId="9" fillId="6" borderId="13" xfId="1" applyNumberFormat="1" applyFont="1" applyFill="1" applyBorder="1" applyAlignment="1">
      <alignment vertical="center"/>
    </xf>
    <xf numFmtId="0" fontId="11" fillId="6" borderId="13" xfId="0" applyFont="1" applyFill="1" applyBorder="1" applyAlignment="1">
      <alignment vertical="center"/>
    </xf>
    <xf numFmtId="0" fontId="9" fillId="6" borderId="13" xfId="0" applyFont="1" applyFill="1" applyBorder="1" applyAlignment="1">
      <alignment vertical="center"/>
    </xf>
    <xf numFmtId="0" fontId="14" fillId="6" borderId="13" xfId="0" applyFont="1" applyFill="1" applyBorder="1" applyAlignment="1">
      <alignment vertical="center"/>
    </xf>
    <xf numFmtId="165" fontId="9" fillId="2" borderId="13" xfId="1" applyNumberFormat="1" applyFont="1" applyFill="1" applyBorder="1" applyAlignment="1">
      <alignment vertical="center"/>
    </xf>
    <xf numFmtId="0" fontId="11" fillId="2" borderId="2" xfId="0" applyFont="1" applyFill="1" applyBorder="1" applyAlignment="1">
      <alignment vertical="center"/>
    </xf>
    <xf numFmtId="165" fontId="9" fillId="2" borderId="14" xfId="1" applyNumberFormat="1" applyFont="1" applyFill="1" applyBorder="1" applyAlignment="1">
      <alignment vertical="center"/>
    </xf>
    <xf numFmtId="165" fontId="9" fillId="6" borderId="14" xfId="1" applyNumberFormat="1" applyFont="1" applyFill="1" applyBorder="1" applyAlignment="1">
      <alignment vertical="center"/>
    </xf>
    <xf numFmtId="165" fontId="11" fillId="2" borderId="2" xfId="1" applyNumberFormat="1" applyFont="1" applyFill="1" applyBorder="1" applyAlignment="1">
      <alignment vertical="center"/>
    </xf>
    <xf numFmtId="0" fontId="9" fillId="6" borderId="14" xfId="0" applyFont="1" applyFill="1" applyBorder="1" applyAlignment="1">
      <alignment vertical="center"/>
    </xf>
    <xf numFmtId="165" fontId="11" fillId="2" borderId="14" xfId="1" applyNumberFormat="1" applyFont="1" applyFill="1" applyBorder="1" applyAlignment="1">
      <alignment vertical="center"/>
    </xf>
    <xf numFmtId="0" fontId="11" fillId="6" borderId="15" xfId="0" applyFont="1" applyFill="1" applyBorder="1" applyAlignment="1">
      <alignment vertical="center"/>
    </xf>
    <xf numFmtId="165" fontId="11" fillId="2" borderId="15" xfId="1" applyNumberFormat="1" applyFont="1" applyFill="1" applyBorder="1" applyAlignment="1">
      <alignment vertical="center"/>
    </xf>
    <xf numFmtId="168" fontId="11" fillId="2" borderId="0" xfId="0" quotePrefix="1" applyNumberFormat="1" applyFont="1" applyFill="1" applyAlignment="1">
      <alignment horizontal="left" vertical="center"/>
    </xf>
    <xf numFmtId="0" fontId="12" fillId="0" borderId="16" xfId="0" applyFont="1" applyBorder="1" applyAlignment="1">
      <alignment vertical="center"/>
    </xf>
    <xf numFmtId="165" fontId="12" fillId="0" borderId="17" xfId="0" applyNumberFormat="1" applyFont="1" applyBorder="1" applyAlignment="1">
      <alignment vertical="center"/>
    </xf>
    <xf numFmtId="0" fontId="22" fillId="6" borderId="15" xfId="0" applyFont="1" applyFill="1" applyBorder="1" applyAlignment="1">
      <alignment vertical="center"/>
    </xf>
    <xf numFmtId="165" fontId="22" fillId="2" borderId="15" xfId="1" applyNumberFormat="1" applyFont="1" applyFill="1" applyBorder="1" applyAlignment="1">
      <alignment vertical="center"/>
    </xf>
    <xf numFmtId="0" fontId="22" fillId="6" borderId="13" xfId="0" applyFont="1" applyFill="1" applyBorder="1" applyAlignment="1">
      <alignment vertical="center"/>
    </xf>
    <xf numFmtId="0" fontId="24" fillId="6" borderId="13" xfId="0" applyFont="1" applyFill="1" applyBorder="1" applyAlignment="1">
      <alignment vertical="center"/>
    </xf>
    <xf numFmtId="43" fontId="9" fillId="0" borderId="0" xfId="1" applyFont="1" applyFill="1" applyBorder="1" applyAlignment="1">
      <alignment vertical="center"/>
    </xf>
    <xf numFmtId="0" fontId="9" fillId="0" borderId="0" xfId="0" applyFont="1" applyAlignment="1">
      <alignment horizontal="center" vertical="center"/>
    </xf>
    <xf numFmtId="0" fontId="26" fillId="0" borderId="0" xfId="0" applyFont="1" applyAlignment="1">
      <alignment vertical="center"/>
    </xf>
    <xf numFmtId="43" fontId="9" fillId="0" borderId="0" xfId="1" applyFont="1" applyAlignment="1">
      <alignment horizontal="center" vertical="center"/>
    </xf>
    <xf numFmtId="0" fontId="10" fillId="0" borderId="0" xfId="0" quotePrefix="1" applyFont="1"/>
    <xf numFmtId="165" fontId="11" fillId="0" borderId="0" xfId="0" applyNumberFormat="1" applyFont="1" applyAlignment="1">
      <alignment vertical="center"/>
    </xf>
    <xf numFmtId="0" fontId="11" fillId="0" borderId="0" xfId="0" applyFont="1" applyAlignment="1">
      <alignment vertical="center"/>
    </xf>
    <xf numFmtId="43" fontId="11" fillId="0" borderId="0" xfId="0" applyNumberFormat="1" applyFont="1" applyAlignment="1">
      <alignment vertical="center"/>
    </xf>
    <xf numFmtId="0" fontId="17" fillId="7" borderId="2" xfId="0" applyFont="1" applyFill="1" applyBorder="1"/>
    <xf numFmtId="0" fontId="9" fillId="2" borderId="0" xfId="0" applyFont="1" applyFill="1" applyAlignment="1">
      <alignment vertical="center"/>
    </xf>
    <xf numFmtId="0" fontId="9" fillId="2" borderId="0" xfId="0" applyFont="1" applyFill="1" applyAlignment="1">
      <alignment horizontal="center" vertical="center"/>
    </xf>
    <xf numFmtId="0" fontId="17" fillId="7" borderId="2" xfId="0" applyFont="1" applyFill="1" applyBorder="1" applyAlignment="1">
      <alignment horizontal="left" wrapText="1"/>
    </xf>
    <xf numFmtId="0" fontId="9" fillId="6" borderId="0" xfId="0" applyFont="1" applyFill="1" applyAlignment="1">
      <alignment horizontal="right" vertical="center"/>
    </xf>
    <xf numFmtId="0" fontId="11" fillId="2" borderId="5" xfId="0" applyFont="1" applyFill="1" applyBorder="1" applyAlignment="1">
      <alignment horizontal="center" vertical="center"/>
    </xf>
    <xf numFmtId="0" fontId="9" fillId="10" borderId="0" xfId="0" applyFont="1" applyFill="1" applyAlignment="1">
      <alignment vertical="center"/>
    </xf>
    <xf numFmtId="0" fontId="26" fillId="10" borderId="0" xfId="0" applyFont="1" applyFill="1" applyAlignment="1">
      <alignment vertical="center"/>
    </xf>
    <xf numFmtId="43" fontId="9" fillId="10" borderId="0" xfId="1" applyFont="1" applyFill="1" applyAlignment="1">
      <alignment vertical="center"/>
    </xf>
    <xf numFmtId="165" fontId="13" fillId="0" borderId="0" xfId="0" applyNumberFormat="1" applyFont="1" applyAlignment="1">
      <alignment vertical="center"/>
    </xf>
    <xf numFmtId="0" fontId="12" fillId="0" borderId="0" xfId="0" applyFont="1" applyAlignment="1">
      <alignment horizontal="right" vertical="center"/>
    </xf>
    <xf numFmtId="41" fontId="9" fillId="11" borderId="9" xfId="0" applyNumberFormat="1" applyFont="1" applyFill="1" applyBorder="1" applyAlignment="1">
      <alignment horizontal="right" vertical="center" wrapText="1"/>
    </xf>
    <xf numFmtId="165" fontId="9" fillId="6" borderId="15" xfId="1" applyNumberFormat="1" applyFont="1" applyFill="1" applyBorder="1" applyAlignment="1">
      <alignment vertical="center"/>
    </xf>
    <xf numFmtId="165" fontId="11" fillId="6" borderId="15" xfId="1" applyNumberFormat="1" applyFont="1" applyFill="1" applyBorder="1" applyAlignment="1">
      <alignment vertical="center"/>
    </xf>
    <xf numFmtId="0" fontId="21" fillId="8" borderId="8" xfId="0" applyFont="1" applyFill="1" applyBorder="1" applyAlignment="1">
      <alignment horizontal="right" vertical="center" wrapText="1"/>
    </xf>
    <xf numFmtId="3" fontId="9" fillId="0" borderId="0" xfId="0" applyNumberFormat="1" applyFont="1" applyAlignment="1">
      <alignment horizontal="right" vertical="center" wrapText="1"/>
    </xf>
    <xf numFmtId="3" fontId="9" fillId="0" borderId="9" xfId="0" applyNumberFormat="1" applyFont="1" applyBorder="1" applyAlignment="1">
      <alignment horizontal="right" vertical="center" wrapText="1"/>
    </xf>
    <xf numFmtId="3" fontId="10" fillId="9" borderId="10" xfId="0" applyNumberFormat="1" applyFont="1" applyFill="1" applyBorder="1" applyAlignment="1">
      <alignment horizontal="right" vertical="center" wrapText="1"/>
    </xf>
    <xf numFmtId="3" fontId="11" fillId="0" borderId="10" xfId="0" applyNumberFormat="1" applyFont="1" applyBorder="1" applyAlignment="1">
      <alignment horizontal="right" vertical="center" wrapText="1"/>
    </xf>
    <xf numFmtId="168" fontId="21" fillId="8" borderId="0" xfId="0" applyNumberFormat="1" applyFont="1" applyFill="1" applyAlignment="1">
      <alignment horizontal="right" vertical="center" wrapText="1"/>
    </xf>
    <xf numFmtId="0" fontId="27" fillId="0" borderId="0" xfId="0" applyFont="1"/>
    <xf numFmtId="3" fontId="11" fillId="0" borderId="20" xfId="0" applyNumberFormat="1" applyFont="1" applyBorder="1" applyAlignment="1">
      <alignment horizontal="right" vertical="center" wrapText="1"/>
    </xf>
    <xf numFmtId="3" fontId="11" fillId="0" borderId="0" xfId="0" applyNumberFormat="1" applyFont="1" applyAlignment="1">
      <alignment horizontal="right" vertical="center" wrapText="1"/>
    </xf>
    <xf numFmtId="3" fontId="11" fillId="0" borderId="9" xfId="0" applyNumberFormat="1" applyFont="1" applyBorder="1" applyAlignment="1">
      <alignment horizontal="right" vertical="center" wrapText="1"/>
    </xf>
    <xf numFmtId="168" fontId="11" fillId="0" borderId="20" xfId="0" applyNumberFormat="1" applyFont="1" applyBorder="1" applyAlignment="1">
      <alignment horizontal="left" vertical="center" wrapText="1"/>
    </xf>
    <xf numFmtId="0" fontId="9" fillId="0" borderId="0" xfId="0" applyFont="1" applyAlignment="1">
      <alignment horizontal="left" vertical="center" wrapText="1"/>
    </xf>
    <xf numFmtId="0" fontId="11" fillId="0" borderId="10" xfId="0" applyFont="1" applyBorder="1" applyAlignment="1">
      <alignment horizontal="left" vertical="center" wrapText="1"/>
    </xf>
    <xf numFmtId="0" fontId="9" fillId="0" borderId="9" xfId="0" applyFont="1" applyBorder="1" applyAlignment="1">
      <alignment horizontal="left" vertical="center" wrapText="1"/>
    </xf>
    <xf numFmtId="168" fontId="11" fillId="0" borderId="0" xfId="0" applyNumberFormat="1" applyFont="1" applyAlignment="1">
      <alignment horizontal="left" vertical="center" wrapText="1"/>
    </xf>
    <xf numFmtId="168" fontId="11" fillId="0" borderId="10" xfId="0" applyNumberFormat="1" applyFont="1" applyBorder="1" applyAlignment="1">
      <alignment horizontal="left" vertical="center" wrapText="1"/>
    </xf>
    <xf numFmtId="168" fontId="11" fillId="0" borderId="9" xfId="0" applyNumberFormat="1" applyFont="1" applyBorder="1" applyAlignment="1">
      <alignment horizontal="left" vertical="center" wrapText="1"/>
    </xf>
    <xf numFmtId="168" fontId="9" fillId="0" borderId="0" xfId="0" applyNumberFormat="1" applyFont="1" applyAlignment="1">
      <alignment horizontal="left" vertical="center" wrapText="1"/>
    </xf>
    <xf numFmtId="168" fontId="9" fillId="0" borderId="9" xfId="0" applyNumberFormat="1" applyFont="1" applyBorder="1" applyAlignment="1">
      <alignment horizontal="left" vertical="center" wrapText="1"/>
    </xf>
    <xf numFmtId="168" fontId="10" fillId="9" borderId="10" xfId="0" applyNumberFormat="1" applyFont="1" applyFill="1" applyBorder="1" applyAlignment="1">
      <alignment horizontal="left" vertical="center" wrapText="1"/>
    </xf>
    <xf numFmtId="41" fontId="11" fillId="0" borderId="20" xfId="0" applyNumberFormat="1" applyFont="1" applyBorder="1" applyAlignment="1">
      <alignment horizontal="right" vertical="center" wrapText="1"/>
    </xf>
    <xf numFmtId="41" fontId="11" fillId="0" borderId="9" xfId="0" applyNumberFormat="1" applyFont="1" applyBorder="1" applyAlignment="1">
      <alignment horizontal="right" vertical="center" wrapText="1"/>
    </xf>
    <xf numFmtId="41" fontId="9" fillId="0" borderId="0" xfId="0" applyNumberFormat="1" applyFont="1"/>
    <xf numFmtId="10" fontId="15" fillId="9" borderId="0" xfId="0" applyNumberFormat="1" applyFont="1" applyFill="1" applyAlignment="1">
      <alignment horizontal="right" vertical="center" wrapText="1"/>
    </xf>
    <xf numFmtId="10" fontId="9" fillId="0" borderId="0" xfId="0" applyNumberFormat="1" applyFont="1" applyAlignment="1">
      <alignment horizontal="right" vertical="center" wrapText="1"/>
    </xf>
    <xf numFmtId="0" fontId="9" fillId="0" borderId="21" xfId="0" applyFont="1" applyBorder="1"/>
    <xf numFmtId="0" fontId="9" fillId="0" borderId="18" xfId="0" applyFont="1" applyBorder="1"/>
    <xf numFmtId="0" fontId="12" fillId="0" borderId="18" xfId="0" applyFont="1" applyBorder="1"/>
    <xf numFmtId="41" fontId="16" fillId="0" borderId="18" xfId="0" applyNumberFormat="1" applyFont="1" applyBorder="1"/>
    <xf numFmtId="41" fontId="10" fillId="0" borderId="11" xfId="0" applyNumberFormat="1" applyFont="1" applyBorder="1" applyAlignment="1">
      <alignment horizontal="right" vertical="center" wrapText="1"/>
    </xf>
    <xf numFmtId="0" fontId="17" fillId="7" borderId="0" xfId="0" applyFont="1" applyFill="1" applyAlignment="1">
      <alignment horizontal="center"/>
    </xf>
    <xf numFmtId="0" fontId="9" fillId="0" borderId="13" xfId="0" applyFont="1" applyBorder="1"/>
    <xf numFmtId="41" fontId="13" fillId="0" borderId="13" xfId="0" applyNumberFormat="1" applyFont="1" applyBorder="1"/>
    <xf numFmtId="0" fontId="17" fillId="7" borderId="2" xfId="0" applyFont="1" applyFill="1" applyBorder="1" applyAlignment="1">
      <alignment horizontal="center" wrapText="1"/>
    </xf>
    <xf numFmtId="165" fontId="9" fillId="6" borderId="3" xfId="1" applyNumberFormat="1" applyFont="1" applyFill="1" applyBorder="1" applyAlignment="1">
      <alignment vertical="center"/>
    </xf>
    <xf numFmtId="0" fontId="17" fillId="7" borderId="15" xfId="0" applyFont="1" applyFill="1" applyBorder="1" applyAlignment="1">
      <alignment horizontal="center" wrapText="1"/>
    </xf>
    <xf numFmtId="0" fontId="25" fillId="6" borderId="0" xfId="0" applyFont="1" applyFill="1" applyAlignment="1">
      <alignment vertical="center"/>
    </xf>
    <xf numFmtId="0" fontId="11" fillId="0" borderId="0" xfId="0" applyFont="1" applyAlignment="1">
      <alignment horizontal="right"/>
    </xf>
    <xf numFmtId="165" fontId="9" fillId="0" borderId="0" xfId="0" applyNumberFormat="1" applyFont="1" applyAlignment="1">
      <alignment vertical="center"/>
    </xf>
    <xf numFmtId="165" fontId="9" fillId="5" borderId="13" xfId="1" applyNumberFormat="1" applyFont="1" applyFill="1" applyBorder="1" applyAlignment="1">
      <alignment vertical="center"/>
    </xf>
    <xf numFmtId="43" fontId="9" fillId="0" borderId="0" xfId="0" applyNumberFormat="1" applyFont="1" applyAlignment="1">
      <alignment vertical="center"/>
    </xf>
    <xf numFmtId="41" fontId="9" fillId="0" borderId="0" xfId="0" applyNumberFormat="1" applyFont="1" applyAlignment="1">
      <alignment vertical="center"/>
    </xf>
    <xf numFmtId="0" fontId="9" fillId="2" borderId="28" xfId="0" applyFont="1" applyFill="1" applyBorder="1" applyAlignment="1">
      <alignment vertical="center"/>
    </xf>
    <xf numFmtId="0" fontId="9" fillId="2" borderId="24" xfId="0" applyFont="1" applyFill="1" applyBorder="1" applyAlignment="1">
      <alignment vertical="center"/>
    </xf>
    <xf numFmtId="0" fontId="9" fillId="2" borderId="26" xfId="0" applyFont="1" applyFill="1" applyBorder="1" applyAlignment="1">
      <alignment vertical="center"/>
    </xf>
    <xf numFmtId="0" fontId="32" fillId="4" borderId="0" xfId="0" applyFont="1" applyFill="1"/>
    <xf numFmtId="0" fontId="20" fillId="4" borderId="0" xfId="0" applyFont="1" applyFill="1"/>
    <xf numFmtId="0" fontId="9" fillId="4" borderId="0" xfId="0" applyFont="1" applyFill="1"/>
    <xf numFmtId="0" fontId="33" fillId="0" borderId="0" xfId="0" applyFont="1" applyAlignment="1">
      <alignment horizontal="center" wrapText="1"/>
    </xf>
    <xf numFmtId="0" fontId="35" fillId="0" borderId="0" xfId="0" applyFont="1" applyAlignment="1">
      <alignment horizontal="left"/>
    </xf>
    <xf numFmtId="0" fontId="36" fillId="0" borderId="0" xfId="0" applyFont="1"/>
    <xf numFmtId="0" fontId="36" fillId="0" borderId="0" xfId="0" applyFont="1" applyAlignment="1">
      <alignment horizontal="center"/>
    </xf>
    <xf numFmtId="0" fontId="36" fillId="0" borderId="0" xfId="0" applyFont="1" applyAlignment="1">
      <alignment vertical="center"/>
    </xf>
    <xf numFmtId="165" fontId="10" fillId="9" borderId="10" xfId="1" applyNumberFormat="1" applyFont="1" applyFill="1" applyBorder="1" applyAlignment="1">
      <alignment horizontal="right" vertical="center" wrapText="1"/>
    </xf>
    <xf numFmtId="41" fontId="10" fillId="0" borderId="10" xfId="0" applyNumberFormat="1" applyFont="1" applyBorder="1" applyAlignment="1">
      <alignment horizontal="right" vertical="center" wrapText="1"/>
    </xf>
    <xf numFmtId="41" fontId="9" fillId="0" borderId="0" xfId="0" applyNumberFormat="1" applyFont="1" applyAlignment="1">
      <alignment horizontal="right"/>
    </xf>
    <xf numFmtId="0" fontId="10" fillId="0" borderId="0" xfId="0" applyFont="1" applyAlignment="1">
      <alignment horizontal="right"/>
    </xf>
    <xf numFmtId="0" fontId="25" fillId="0" borderId="0" xfId="0" applyFont="1"/>
    <xf numFmtId="0" fontId="11" fillId="0" borderId="4" xfId="0" applyFont="1" applyBorder="1"/>
    <xf numFmtId="0" fontId="18" fillId="0" borderId="4" xfId="0" applyFont="1" applyBorder="1"/>
    <xf numFmtId="168" fontId="34" fillId="0" borderId="0" xfId="0" quotePrefix="1" applyNumberFormat="1" applyFont="1" applyAlignment="1">
      <alignment horizontal="left" vertical="center"/>
    </xf>
    <xf numFmtId="0" fontId="40" fillId="5" borderId="0" xfId="0" applyFont="1" applyFill="1"/>
    <xf numFmtId="49" fontId="9" fillId="6" borderId="0" xfId="0" applyNumberFormat="1" applyFont="1" applyFill="1"/>
    <xf numFmtId="167" fontId="21" fillId="0" borderId="0" xfId="0" applyNumberFormat="1" applyFont="1" applyAlignment="1">
      <alignment horizontal="right" vertical="center" wrapText="1"/>
    </xf>
    <xf numFmtId="41" fontId="10" fillId="0" borderId="0" xfId="0" applyNumberFormat="1" applyFont="1" applyAlignment="1">
      <alignment horizontal="right" vertical="center" wrapText="1"/>
    </xf>
    <xf numFmtId="41" fontId="13" fillId="0" borderId="0" xfId="0" applyNumberFormat="1" applyFont="1" applyAlignment="1">
      <alignment horizontal="right" vertical="center" wrapText="1"/>
    </xf>
    <xf numFmtId="0" fontId="0" fillId="0" borderId="0" xfId="0" applyAlignment="1">
      <alignment horizontal="center"/>
    </xf>
    <xf numFmtId="49" fontId="9" fillId="6" borderId="22" xfId="0" applyNumberFormat="1" applyFont="1" applyFill="1" applyBorder="1"/>
    <xf numFmtId="0" fontId="4" fillId="0" borderId="0" xfId="0" applyFont="1" applyAlignment="1">
      <alignment wrapText="1"/>
    </xf>
    <xf numFmtId="49" fontId="0" fillId="0" borderId="0" xfId="0" applyNumberFormat="1" applyAlignment="1">
      <alignment wrapText="1"/>
    </xf>
    <xf numFmtId="0" fontId="0" fillId="0" borderId="0" xfId="0" applyAlignment="1">
      <alignment wrapText="1"/>
    </xf>
    <xf numFmtId="49" fontId="0" fillId="0" borderId="22" xfId="0" applyNumberFormat="1" applyBorder="1" applyAlignment="1">
      <alignment wrapText="1"/>
    </xf>
    <xf numFmtId="0" fontId="0" fillId="0" borderId="22" xfId="0" applyBorder="1"/>
    <xf numFmtId="43" fontId="0" fillId="0" borderId="23" xfId="0" applyNumberFormat="1" applyBorder="1"/>
    <xf numFmtId="43" fontId="0" fillId="0" borderId="0" xfId="0" applyNumberFormat="1"/>
    <xf numFmtId="43" fontId="0" fillId="0" borderId="3" xfId="0" applyNumberFormat="1" applyBorder="1"/>
    <xf numFmtId="43" fontId="0" fillId="0" borderId="25" xfId="0" applyNumberFormat="1" applyBorder="1"/>
    <xf numFmtId="43" fontId="0" fillId="0" borderId="22" xfId="0" applyNumberFormat="1" applyBorder="1"/>
    <xf numFmtId="43" fontId="0" fillId="0" borderId="14" xfId="0" applyNumberFormat="1" applyBorder="1"/>
    <xf numFmtId="0" fontId="4" fillId="0" borderId="3" xfId="0" applyFont="1" applyBorder="1" applyAlignment="1">
      <alignment horizontal="center" wrapText="1"/>
    </xf>
    <xf numFmtId="0" fontId="4" fillId="0" borderId="25" xfId="0" applyFont="1" applyBorder="1" applyAlignment="1">
      <alignment horizontal="center"/>
    </xf>
    <xf numFmtId="0" fontId="4" fillId="0" borderId="25" xfId="0" applyFont="1" applyBorder="1" applyAlignment="1">
      <alignment horizontal="center" wrapText="1"/>
    </xf>
    <xf numFmtId="0" fontId="43" fillId="0" borderId="0" xfId="0" applyFont="1"/>
    <xf numFmtId="43" fontId="9" fillId="0" borderId="0" xfId="1" applyFont="1" applyFill="1" applyBorder="1" applyAlignment="1">
      <alignment horizontal="left" vertical="center"/>
    </xf>
    <xf numFmtId="0" fontId="36" fillId="0" borderId="0" xfId="0" applyFont="1" applyAlignment="1">
      <alignment horizontal="left"/>
    </xf>
    <xf numFmtId="0" fontId="9" fillId="2" borderId="0" xfId="0" applyFont="1" applyFill="1" applyAlignment="1">
      <alignment horizontal="left" vertical="center"/>
    </xf>
    <xf numFmtId="0" fontId="9" fillId="2" borderId="22" xfId="0" applyFont="1" applyFill="1" applyBorder="1" applyAlignment="1">
      <alignment horizontal="left" vertical="center"/>
    </xf>
    <xf numFmtId="0" fontId="11" fillId="2" borderId="5" xfId="0" applyFont="1" applyFill="1" applyBorder="1" applyAlignment="1">
      <alignment horizontal="left" vertical="center"/>
    </xf>
    <xf numFmtId="43" fontId="9" fillId="0" borderId="0" xfId="1" applyFont="1" applyAlignment="1">
      <alignment horizontal="left" vertical="center"/>
    </xf>
    <xf numFmtId="0" fontId="11" fillId="0" borderId="0" xfId="0" applyFont="1" applyAlignment="1">
      <alignment horizontal="left" vertical="center"/>
    </xf>
    <xf numFmtId="0" fontId="9" fillId="0" borderId="0" xfId="0" applyFont="1" applyAlignment="1">
      <alignment horizontal="left" vertical="center"/>
    </xf>
    <xf numFmtId="0" fontId="46" fillId="0" borderId="0" xfId="29" applyFont="1" applyFill="1" applyAlignment="1">
      <alignment horizontal="center" wrapText="1"/>
    </xf>
    <xf numFmtId="0" fontId="9" fillId="2" borderId="23" xfId="0" applyFont="1" applyFill="1" applyBorder="1" applyAlignment="1">
      <alignment horizontal="left" vertical="center"/>
    </xf>
    <xf numFmtId="0" fontId="11" fillId="0" borderId="0" xfId="1" applyNumberFormat="1" applyFont="1" applyAlignment="1">
      <alignment horizontal="left" vertical="center"/>
    </xf>
    <xf numFmtId="43" fontId="43" fillId="0" borderId="27" xfId="0" applyNumberFormat="1" applyFont="1" applyBorder="1"/>
    <xf numFmtId="168" fontId="11" fillId="0" borderId="35" xfId="0" applyNumberFormat="1" applyFont="1" applyBorder="1" applyAlignment="1">
      <alignment horizontal="left" vertical="center" wrapText="1"/>
    </xf>
    <xf numFmtId="3" fontId="11" fillId="0" borderId="35" xfId="0" applyNumberFormat="1" applyFont="1" applyBorder="1" applyAlignment="1">
      <alignment horizontal="right" vertical="center" wrapText="1"/>
    </xf>
    <xf numFmtId="165" fontId="11" fillId="0" borderId="20" xfId="1" applyNumberFormat="1" applyFont="1" applyBorder="1" applyAlignment="1">
      <alignment horizontal="right" vertical="center" wrapText="1"/>
    </xf>
    <xf numFmtId="165" fontId="9" fillId="0" borderId="9" xfId="1" applyNumberFormat="1" applyFont="1" applyBorder="1" applyAlignment="1">
      <alignment horizontal="right" vertical="center" wrapText="1"/>
    </xf>
    <xf numFmtId="165" fontId="11" fillId="0" borderId="35" xfId="1" applyNumberFormat="1" applyFont="1" applyBorder="1" applyAlignment="1">
      <alignment horizontal="right" vertical="center" wrapText="1"/>
    </xf>
    <xf numFmtId="165" fontId="11" fillId="0" borderId="10" xfId="1" applyNumberFormat="1" applyFont="1" applyBorder="1" applyAlignment="1">
      <alignment horizontal="right" vertical="center" wrapText="1"/>
    </xf>
    <xf numFmtId="165" fontId="9" fillId="0" borderId="0" xfId="1" applyNumberFormat="1" applyFont="1" applyAlignment="1">
      <alignment horizontal="right" vertical="center" wrapText="1"/>
    </xf>
    <xf numFmtId="165" fontId="9" fillId="0" borderId="10" xfId="1" applyNumberFormat="1" applyFont="1" applyBorder="1" applyAlignment="1">
      <alignment horizontal="right" vertical="center" wrapText="1"/>
    </xf>
    <xf numFmtId="165" fontId="11" fillId="0" borderId="9" xfId="1" applyNumberFormat="1" applyFont="1" applyBorder="1" applyAlignment="1">
      <alignment horizontal="right" vertical="center" wrapText="1"/>
    </xf>
    <xf numFmtId="0" fontId="15" fillId="0" borderId="0" xfId="0" applyFont="1" applyAlignment="1">
      <alignment horizontal="right" vertical="center" wrapText="1"/>
    </xf>
    <xf numFmtId="0" fontId="9" fillId="6" borderId="30" xfId="0" applyFont="1" applyFill="1" applyBorder="1" applyAlignment="1">
      <alignment vertical="center"/>
    </xf>
    <xf numFmtId="165" fontId="9" fillId="6" borderId="29" xfId="1" applyNumberFormat="1" applyFont="1" applyFill="1" applyBorder="1" applyAlignment="1">
      <alignment vertical="center"/>
    </xf>
    <xf numFmtId="0" fontId="9" fillId="6" borderId="23" xfId="0" applyFont="1" applyFill="1" applyBorder="1" applyAlignment="1">
      <alignment vertical="center"/>
    </xf>
    <xf numFmtId="0" fontId="9" fillId="6" borderId="25" xfId="0" applyFont="1" applyFill="1" applyBorder="1" applyAlignment="1">
      <alignment vertical="center"/>
    </xf>
    <xf numFmtId="0" fontId="11" fillId="0" borderId="0" xfId="0" applyFont="1" applyAlignment="1">
      <alignment horizontal="left"/>
    </xf>
    <xf numFmtId="0" fontId="21" fillId="8" borderId="36" xfId="0" applyFont="1" applyFill="1" applyBorder="1" applyAlignment="1">
      <alignment vertical="center" wrapText="1"/>
    </xf>
    <xf numFmtId="0" fontId="21" fillId="8" borderId="37" xfId="0" applyFont="1" applyFill="1" applyBorder="1" applyAlignment="1">
      <alignment horizontal="right" wrapText="1"/>
    </xf>
    <xf numFmtId="0" fontId="21" fillId="8" borderId="37" xfId="0" applyFont="1" applyFill="1" applyBorder="1" applyAlignment="1">
      <alignment horizontal="right" vertical="center" wrapText="1"/>
    </xf>
    <xf numFmtId="0" fontId="9" fillId="0" borderId="22" xfId="0" applyFont="1" applyBorder="1" applyAlignment="1">
      <alignment vertical="center" wrapText="1"/>
    </xf>
    <xf numFmtId="0" fontId="32" fillId="0" borderId="0" xfId="0" applyFont="1"/>
    <xf numFmtId="0" fontId="41" fillId="0" borderId="0" xfId="0" applyFont="1"/>
    <xf numFmtId="0" fontId="43" fillId="0" borderId="0" xfId="0" applyFont="1" applyAlignment="1">
      <alignment horizontal="right"/>
    </xf>
    <xf numFmtId="0" fontId="43" fillId="0" borderId="23" xfId="0" applyFont="1" applyBorder="1" applyAlignment="1">
      <alignment horizontal="center" wrapText="1"/>
    </xf>
    <xf numFmtId="0" fontId="13" fillId="0" borderId="0" xfId="0" applyFont="1" applyAlignment="1">
      <alignment horizontal="center"/>
    </xf>
    <xf numFmtId="0" fontId="48" fillId="0" borderId="0" xfId="0" applyFont="1" applyAlignment="1">
      <alignment horizontal="right"/>
    </xf>
    <xf numFmtId="0" fontId="9" fillId="6" borderId="29" xfId="0" applyFont="1" applyFill="1" applyBorder="1" applyAlignment="1">
      <alignment vertical="center"/>
    </xf>
    <xf numFmtId="165" fontId="9" fillId="2" borderId="29" xfId="1" applyNumberFormat="1" applyFont="1" applyFill="1" applyBorder="1" applyAlignment="1">
      <alignment vertical="center"/>
    </xf>
    <xf numFmtId="0" fontId="9" fillId="2" borderId="27" xfId="0" applyFont="1" applyFill="1" applyBorder="1" applyAlignment="1">
      <alignment horizontal="left" vertical="center"/>
    </xf>
    <xf numFmtId="0" fontId="9" fillId="2" borderId="19" xfId="0" applyFont="1" applyFill="1" applyBorder="1" applyAlignment="1">
      <alignment horizontal="left" vertical="center"/>
    </xf>
    <xf numFmtId="0" fontId="17" fillId="7" borderId="15" xfId="0" applyFont="1" applyFill="1" applyBorder="1" applyAlignment="1">
      <alignment horizontal="right" wrapText="1"/>
    </xf>
    <xf numFmtId="165" fontId="9" fillId="2" borderId="34" xfId="1" applyNumberFormat="1" applyFont="1" applyFill="1" applyBorder="1" applyAlignment="1">
      <alignment vertical="center"/>
    </xf>
    <xf numFmtId="165" fontId="9" fillId="2" borderId="3" xfId="1" applyNumberFormat="1" applyFont="1" applyFill="1" applyBorder="1" applyAlignment="1">
      <alignment vertical="center"/>
    </xf>
    <xf numFmtId="41" fontId="16" fillId="0" borderId="0" xfId="0" applyNumberFormat="1" applyFont="1"/>
    <xf numFmtId="0" fontId="47" fillId="0" borderId="0" xfId="0" applyFont="1" applyAlignment="1">
      <alignment horizontal="right" vertical="center" wrapText="1"/>
    </xf>
    <xf numFmtId="41" fontId="25" fillId="0" borderId="0" xfId="0" applyNumberFormat="1" applyFont="1" applyAlignment="1">
      <alignment horizontal="right" vertical="center" wrapText="1"/>
    </xf>
    <xf numFmtId="41" fontId="47" fillId="0" borderId="0" xfId="0" applyNumberFormat="1" applyFont="1" applyAlignment="1">
      <alignment horizontal="right" vertical="center" wrapText="1"/>
    </xf>
    <xf numFmtId="41" fontId="49" fillId="0" borderId="0" xfId="0" applyNumberFormat="1" applyFont="1"/>
    <xf numFmtId="168" fontId="11" fillId="0" borderId="22" xfId="0" applyNumberFormat="1" applyFont="1" applyBorder="1" applyAlignment="1">
      <alignment horizontal="left" vertical="center" wrapText="1"/>
    </xf>
    <xf numFmtId="3" fontId="11" fillId="0" borderId="22" xfId="0" applyNumberFormat="1" applyFont="1" applyBorder="1" applyAlignment="1">
      <alignment horizontal="right" vertical="center" wrapText="1"/>
    </xf>
    <xf numFmtId="0" fontId="21" fillId="8" borderId="39" xfId="0" applyFont="1" applyFill="1" applyBorder="1" applyAlignment="1">
      <alignment horizontal="right" wrapText="1"/>
    </xf>
    <xf numFmtId="0" fontId="12" fillId="0" borderId="0" xfId="0" applyFont="1"/>
    <xf numFmtId="0" fontId="11" fillId="0" borderId="22" xfId="0" applyFont="1" applyBorder="1" applyAlignment="1">
      <alignment vertical="center" wrapText="1"/>
    </xf>
    <xf numFmtId="0" fontId="11" fillId="0" borderId="18" xfId="0" applyFont="1" applyBorder="1"/>
    <xf numFmtId="41" fontId="12" fillId="0" borderId="18" xfId="0" applyNumberFormat="1" applyFont="1" applyBorder="1"/>
    <xf numFmtId="43" fontId="12" fillId="0" borderId="18" xfId="1" applyFont="1" applyBorder="1"/>
    <xf numFmtId="165" fontId="15" fillId="9" borderId="0" xfId="1" applyNumberFormat="1" applyFont="1" applyFill="1" applyAlignment="1">
      <alignment horizontal="right" vertical="center" wrapText="1"/>
    </xf>
    <xf numFmtId="165" fontId="9" fillId="0" borderId="0" xfId="1" applyNumberFormat="1" applyFont="1" applyBorder="1" applyAlignment="1">
      <alignment horizontal="right" vertical="center" wrapText="1"/>
    </xf>
    <xf numFmtId="43" fontId="16" fillId="0" borderId="18" xfId="1" applyFont="1" applyBorder="1"/>
    <xf numFmtId="165" fontId="11" fillId="0" borderId="22" xfId="1" applyNumberFormat="1" applyFont="1" applyBorder="1" applyAlignment="1">
      <alignment horizontal="right" vertical="center" wrapText="1"/>
    </xf>
    <xf numFmtId="0" fontId="21" fillId="8" borderId="40" xfId="0" applyFont="1" applyFill="1" applyBorder="1" applyAlignment="1">
      <alignment vertical="center" wrapText="1"/>
    </xf>
    <xf numFmtId="0" fontId="21" fillId="8" borderId="32" xfId="0" applyFont="1" applyFill="1" applyBorder="1" applyAlignment="1">
      <alignment horizontal="center" vertical="center" wrapText="1"/>
    </xf>
    <xf numFmtId="168" fontId="21" fillId="8" borderId="32" xfId="0" applyNumberFormat="1" applyFont="1" applyFill="1" applyBorder="1" applyAlignment="1">
      <alignment horizontal="right" vertical="center" wrapText="1"/>
    </xf>
    <xf numFmtId="41" fontId="9" fillId="0" borderId="0" xfId="0" applyNumberFormat="1" applyFont="1" applyAlignment="1">
      <alignment horizontal="right" vertical="center"/>
    </xf>
    <xf numFmtId="41" fontId="11" fillId="0" borderId="0" xfId="0" applyNumberFormat="1" applyFont="1" applyAlignment="1">
      <alignment horizontal="right" vertical="center"/>
    </xf>
    <xf numFmtId="0" fontId="21" fillId="8" borderId="32" xfId="0" applyFont="1" applyFill="1" applyBorder="1" applyAlignment="1">
      <alignment vertical="center" wrapText="1"/>
    </xf>
    <xf numFmtId="165" fontId="10" fillId="9" borderId="22" xfId="1" applyNumberFormat="1" applyFont="1" applyFill="1" applyBorder="1" applyAlignment="1">
      <alignment horizontal="right" vertical="center" wrapText="1"/>
    </xf>
    <xf numFmtId="165" fontId="15" fillId="9" borderId="9" xfId="1" applyNumberFormat="1" applyFont="1" applyFill="1" applyBorder="1" applyAlignment="1">
      <alignment horizontal="right" vertical="center" wrapText="1"/>
    </xf>
    <xf numFmtId="166" fontId="10" fillId="9" borderId="0" xfId="11" applyNumberFormat="1" applyFont="1" applyFill="1" applyAlignment="1">
      <alignment horizontal="right" vertical="center" wrapText="1"/>
    </xf>
    <xf numFmtId="166" fontId="11" fillId="0" borderId="0" xfId="11" applyNumberFormat="1" applyFont="1" applyAlignment="1">
      <alignment horizontal="right" vertical="center" wrapText="1"/>
    </xf>
    <xf numFmtId="0" fontId="21" fillId="8" borderId="32" xfId="0" applyFont="1" applyFill="1" applyBorder="1" applyAlignment="1">
      <alignment horizontal="right" vertical="center" wrapText="1"/>
    </xf>
    <xf numFmtId="0" fontId="17" fillId="7" borderId="32" xfId="0" applyFont="1" applyFill="1" applyBorder="1" applyAlignment="1">
      <alignment horizontal="right" wrapText="1"/>
    </xf>
    <xf numFmtId="166" fontId="15" fillId="9" borderId="9" xfId="11" applyNumberFormat="1" applyFont="1" applyFill="1" applyBorder="1" applyAlignment="1">
      <alignment horizontal="right" vertical="center" wrapText="1"/>
    </xf>
    <xf numFmtId="166" fontId="9" fillId="0" borderId="9" xfId="11" applyNumberFormat="1" applyFont="1" applyBorder="1" applyAlignment="1">
      <alignment horizontal="right" vertical="center" wrapText="1"/>
    </xf>
    <xf numFmtId="166" fontId="10" fillId="9" borderId="9" xfId="11" applyNumberFormat="1" applyFont="1" applyFill="1" applyBorder="1" applyAlignment="1">
      <alignment horizontal="right" vertical="center" wrapText="1"/>
    </xf>
    <xf numFmtId="166" fontId="11" fillId="0" borderId="9" xfId="11" applyNumberFormat="1" applyFont="1" applyBorder="1" applyAlignment="1">
      <alignment horizontal="right" vertical="center" wrapText="1"/>
    </xf>
    <xf numFmtId="166" fontId="15" fillId="9" borderId="10" xfId="11" applyNumberFormat="1" applyFont="1" applyFill="1" applyBorder="1" applyAlignment="1">
      <alignment horizontal="right" vertical="center" wrapText="1"/>
    </xf>
    <xf numFmtId="166" fontId="9" fillId="0" borderId="10" xfId="11" applyNumberFormat="1" applyFont="1" applyBorder="1" applyAlignment="1">
      <alignment horizontal="right" vertical="center" wrapText="1"/>
    </xf>
    <xf numFmtId="0" fontId="9" fillId="6" borderId="4" xfId="0" applyFont="1" applyFill="1" applyBorder="1" applyAlignment="1">
      <alignment wrapText="1"/>
    </xf>
    <xf numFmtId="0" fontId="50" fillId="0" borderId="0" xfId="0" applyFont="1" applyAlignment="1">
      <alignment horizontal="left" wrapText="1"/>
    </xf>
    <xf numFmtId="170" fontId="51" fillId="0" borderId="0" xfId="0" applyNumberFormat="1" applyFont="1" applyAlignment="1">
      <alignment horizontal="right" wrapText="1"/>
    </xf>
    <xf numFmtId="170" fontId="51" fillId="0" borderId="0" xfId="0" applyNumberFormat="1" applyFont="1" applyAlignment="1">
      <alignment wrapText="1"/>
    </xf>
    <xf numFmtId="49" fontId="43" fillId="0" borderId="27" xfId="0" applyNumberFormat="1" applyFont="1" applyBorder="1" applyAlignment="1">
      <alignment horizontal="right" wrapText="1"/>
    </xf>
    <xf numFmtId="0" fontId="9" fillId="6" borderId="22" xfId="0" applyFont="1" applyFill="1" applyBorder="1" applyAlignment="1">
      <alignment vertical="center"/>
    </xf>
    <xf numFmtId="168" fontId="17" fillId="7" borderId="15" xfId="0" applyNumberFormat="1" applyFont="1" applyFill="1" applyBorder="1" applyAlignment="1">
      <alignment horizontal="center" wrapText="1"/>
    </xf>
    <xf numFmtId="165" fontId="15" fillId="0" borderId="0" xfId="1" applyNumberFormat="1" applyFont="1" applyFill="1" applyBorder="1" applyAlignment="1">
      <alignment horizontal="right" vertical="center" wrapText="1"/>
    </xf>
    <xf numFmtId="165" fontId="11" fillId="0" borderId="0" xfId="1" applyNumberFormat="1" applyFont="1" applyFill="1" applyBorder="1" applyAlignment="1">
      <alignment horizontal="right" vertical="center" wrapText="1"/>
    </xf>
    <xf numFmtId="0" fontId="10" fillId="0" borderId="0" xfId="0" applyFont="1" applyAlignment="1">
      <alignment horizontal="right" vertical="center"/>
    </xf>
    <xf numFmtId="9" fontId="9" fillId="0" borderId="0" xfId="19" applyFont="1"/>
    <xf numFmtId="0" fontId="21" fillId="0" borderId="0" xfId="0" applyFont="1" applyAlignment="1">
      <alignment horizontal="right" wrapText="1"/>
    </xf>
    <xf numFmtId="0" fontId="9" fillId="0" borderId="0" xfId="0" applyFont="1" applyAlignment="1">
      <alignment horizontal="right" vertical="center"/>
    </xf>
    <xf numFmtId="0" fontId="11" fillId="0" borderId="0" xfId="0" applyFont="1" applyAlignment="1">
      <alignment horizontal="right" vertical="center"/>
    </xf>
    <xf numFmtId="41" fontId="10" fillId="0" borderId="0" xfId="0" applyNumberFormat="1" applyFont="1" applyAlignment="1">
      <alignment horizontal="right" vertical="center"/>
    </xf>
    <xf numFmtId="43" fontId="13" fillId="0" borderId="12" xfId="1" applyFont="1" applyFill="1" applyBorder="1" applyAlignment="1">
      <alignment horizontal="right" vertical="center" wrapText="1"/>
    </xf>
    <xf numFmtId="43" fontId="9" fillId="0" borderId="12" xfId="1" applyFont="1" applyFill="1" applyBorder="1" applyAlignment="1">
      <alignment horizontal="right" vertical="center" wrapText="1"/>
    </xf>
    <xf numFmtId="0" fontId="9" fillId="0" borderId="0" xfId="0" applyFont="1" applyAlignment="1">
      <alignment horizontal="right"/>
    </xf>
    <xf numFmtId="0" fontId="4" fillId="0" borderId="0" xfId="0" applyFont="1" applyAlignment="1">
      <alignment horizontal="center"/>
    </xf>
    <xf numFmtId="0" fontId="4" fillId="0" borderId="0" xfId="0" applyFont="1" applyAlignment="1">
      <alignment horizontal="right"/>
    </xf>
    <xf numFmtId="43" fontId="0" fillId="0" borderId="0" xfId="1" applyFont="1" applyBorder="1"/>
    <xf numFmtId="0" fontId="8" fillId="0" borderId="0" xfId="0" applyFont="1" applyAlignment="1">
      <alignment horizontal="left" wrapText="1"/>
    </xf>
    <xf numFmtId="0" fontId="8" fillId="0" borderId="0" xfId="0" applyFont="1" applyAlignment="1">
      <alignment horizontal="center" wrapText="1"/>
    </xf>
    <xf numFmtId="14" fontId="9" fillId="6" borderId="4" xfId="0" applyNumberFormat="1" applyFont="1" applyFill="1" applyBorder="1" applyAlignment="1">
      <alignment horizontal="left" wrapText="1"/>
    </xf>
    <xf numFmtId="0" fontId="9" fillId="6" borderId="4" xfId="1" applyNumberFormat="1" applyFont="1" applyFill="1" applyBorder="1" applyAlignment="1">
      <alignment wrapText="1"/>
    </xf>
    <xf numFmtId="43" fontId="51" fillId="0" borderId="0" xfId="1" applyFont="1" applyAlignment="1">
      <alignment wrapText="1"/>
    </xf>
    <xf numFmtId="166" fontId="47" fillId="2" borderId="15" xfId="11" applyNumberFormat="1" applyFont="1" applyFill="1" applyBorder="1" applyAlignment="1">
      <alignment vertical="center"/>
    </xf>
    <xf numFmtId="0" fontId="55" fillId="0" borderId="0" xfId="29" applyFont="1" applyAlignment="1">
      <alignment vertical="center"/>
    </xf>
    <xf numFmtId="0" fontId="56" fillId="0" borderId="0" xfId="0" applyFont="1" applyAlignment="1">
      <alignment horizontal="center"/>
    </xf>
    <xf numFmtId="0" fontId="57" fillId="0" borderId="0" xfId="0" applyFont="1"/>
    <xf numFmtId="0" fontId="57" fillId="13" borderId="42" xfId="0" applyFont="1" applyFill="1" applyBorder="1" applyAlignment="1">
      <alignment horizontal="center"/>
    </xf>
    <xf numFmtId="0" fontId="57" fillId="14" borderId="43" xfId="0" applyFont="1" applyFill="1" applyBorder="1" applyAlignment="1">
      <alignment horizontal="center"/>
    </xf>
    <xf numFmtId="7" fontId="0" fillId="0" borderId="0" xfId="0" applyNumberFormat="1"/>
    <xf numFmtId="0" fontId="57" fillId="14" borderId="44" xfId="0" applyFont="1" applyFill="1" applyBorder="1" applyAlignment="1">
      <alignment horizontal="center"/>
    </xf>
    <xf numFmtId="3" fontId="57" fillId="0" borderId="0" xfId="0" applyNumberFormat="1" applyFont="1"/>
    <xf numFmtId="0" fontId="57" fillId="0" borderId="0" xfId="0" applyFont="1" applyAlignment="1">
      <alignment horizontal="center"/>
    </xf>
    <xf numFmtId="15" fontId="57" fillId="13" borderId="45" xfId="0" applyNumberFormat="1" applyFont="1" applyFill="1" applyBorder="1"/>
    <xf numFmtId="15" fontId="57" fillId="14" borderId="46" xfId="0" applyNumberFormat="1" applyFont="1" applyFill="1" applyBorder="1"/>
    <xf numFmtId="15" fontId="57" fillId="0" borderId="0" xfId="0" applyNumberFormat="1" applyFont="1"/>
    <xf numFmtId="15" fontId="57" fillId="13" borderId="45" xfId="0" applyNumberFormat="1" applyFont="1" applyFill="1" applyBorder="1" applyAlignment="1">
      <alignment horizontal="right"/>
    </xf>
    <xf numFmtId="15" fontId="57" fillId="14" borderId="46" xfId="0" applyNumberFormat="1" applyFont="1" applyFill="1" applyBorder="1" applyAlignment="1">
      <alignment horizontal="right"/>
    </xf>
    <xf numFmtId="7" fontId="57" fillId="0" borderId="0" xfId="0" applyNumberFormat="1" applyFont="1" applyAlignment="1">
      <alignment horizontal="center"/>
    </xf>
    <xf numFmtId="15" fontId="57" fillId="14" borderId="47" xfId="0" applyNumberFormat="1" applyFont="1" applyFill="1" applyBorder="1" applyAlignment="1">
      <alignment horizontal="center"/>
    </xf>
    <xf numFmtId="0" fontId="58" fillId="0" borderId="0" xfId="0" applyFont="1" applyAlignment="1">
      <alignment horizontal="center"/>
    </xf>
    <xf numFmtId="7" fontId="58" fillId="13" borderId="45" xfId="0" applyNumberFormat="1" applyFont="1" applyFill="1" applyBorder="1" applyAlignment="1">
      <alignment horizontal="center"/>
    </xf>
    <xf numFmtId="7" fontId="58" fillId="14" borderId="46" xfId="0" applyNumberFormat="1" applyFont="1" applyFill="1" applyBorder="1" applyAlignment="1">
      <alignment horizontal="center"/>
    </xf>
    <xf numFmtId="7" fontId="58" fillId="0" borderId="0" xfId="0" applyNumberFormat="1" applyFont="1" applyAlignment="1">
      <alignment horizontal="center"/>
    </xf>
    <xf numFmtId="7" fontId="58" fillId="13" borderId="45" xfId="0" applyNumberFormat="1" applyFont="1" applyFill="1" applyBorder="1" applyAlignment="1">
      <alignment horizontal="right"/>
    </xf>
    <xf numFmtId="7" fontId="58" fillId="14" borderId="46" xfId="0" applyNumberFormat="1" applyFont="1" applyFill="1" applyBorder="1" applyAlignment="1">
      <alignment horizontal="right"/>
    </xf>
    <xf numFmtId="7" fontId="58" fillId="14" borderId="47" xfId="0" applyNumberFormat="1" applyFont="1" applyFill="1" applyBorder="1" applyAlignment="1">
      <alignment horizontal="center"/>
    </xf>
    <xf numFmtId="0" fontId="57" fillId="0" borderId="48" xfId="0" applyFont="1" applyBorder="1"/>
    <xf numFmtId="3" fontId="57" fillId="0" borderId="48" xfId="0" applyNumberFormat="1" applyFont="1" applyBorder="1" applyAlignment="1">
      <alignment horizontal="center" wrapText="1"/>
    </xf>
    <xf numFmtId="43" fontId="59" fillId="0" borderId="48" xfId="30" applyFont="1" applyBorder="1" applyAlignment="1">
      <alignment horizontal="right" wrapText="1"/>
    </xf>
    <xf numFmtId="0" fontId="58" fillId="0" borderId="48" xfId="0" applyFont="1" applyBorder="1" applyAlignment="1">
      <alignment horizontal="center"/>
    </xf>
    <xf numFmtId="37" fontId="60" fillId="13" borderId="49" xfId="0" applyNumberFormat="1" applyFont="1" applyFill="1" applyBorder="1" applyAlignment="1">
      <alignment horizontal="right"/>
    </xf>
    <xf numFmtId="37" fontId="60" fillId="14" borderId="50" xfId="0" applyNumberFormat="1" applyFont="1" applyFill="1" applyBorder="1" applyAlignment="1">
      <alignment horizontal="right"/>
    </xf>
    <xf numFmtId="7" fontId="60" fillId="0" borderId="48" xfId="0" applyNumberFormat="1" applyFont="1" applyBorder="1" applyAlignment="1">
      <alignment horizontal="center"/>
    </xf>
    <xf numFmtId="0" fontId="60" fillId="0" borderId="48" xfId="0" applyFont="1" applyBorder="1" applyAlignment="1">
      <alignment horizontal="center"/>
    </xf>
    <xf numFmtId="1" fontId="60" fillId="13" borderId="49" xfId="31" applyNumberFormat="1" applyFont="1" applyFill="1" applyBorder="1" applyAlignment="1">
      <alignment horizontal="right"/>
    </xf>
    <xf numFmtId="1" fontId="60" fillId="14" borderId="51" xfId="31" applyNumberFormat="1" applyFont="1" applyFill="1" applyBorder="1" applyAlignment="1">
      <alignment horizontal="right"/>
    </xf>
    <xf numFmtId="43" fontId="43" fillId="0" borderId="0" xfId="1" applyFont="1" applyAlignment="1">
      <alignment horizontal="right"/>
    </xf>
    <xf numFmtId="0" fontId="60" fillId="0" borderId="0" xfId="0" applyFont="1" applyAlignment="1">
      <alignment horizontal="center"/>
    </xf>
    <xf numFmtId="37" fontId="60" fillId="13" borderId="52" xfId="0" applyNumberFormat="1" applyFont="1" applyFill="1" applyBorder="1" applyAlignment="1">
      <alignment horizontal="right"/>
    </xf>
    <xf numFmtId="37" fontId="60" fillId="14" borderId="53" xfId="0" applyNumberFormat="1" applyFont="1" applyFill="1" applyBorder="1" applyAlignment="1">
      <alignment horizontal="center"/>
    </xf>
    <xf numFmtId="7" fontId="60" fillId="0" borderId="0" xfId="0" applyNumberFormat="1" applyFont="1" applyAlignment="1">
      <alignment horizontal="center"/>
    </xf>
    <xf numFmtId="1" fontId="60" fillId="13" borderId="52" xfId="31" applyNumberFormat="1" applyFont="1" applyFill="1" applyBorder="1" applyAlignment="1">
      <alignment horizontal="right"/>
    </xf>
    <xf numFmtId="37" fontId="60" fillId="14" borderId="53" xfId="0" applyNumberFormat="1" applyFont="1" applyFill="1" applyBorder="1" applyAlignment="1">
      <alignment horizontal="right"/>
    </xf>
    <xf numFmtId="1" fontId="60" fillId="14" borderId="54" xfId="31" applyNumberFormat="1" applyFont="1" applyFill="1" applyBorder="1" applyAlignment="1">
      <alignment horizontal="right"/>
    </xf>
    <xf numFmtId="15" fontId="5" fillId="0" borderId="0" xfId="0" applyNumberFormat="1" applyFont="1"/>
    <xf numFmtId="0" fontId="5" fillId="0" borderId="0" xfId="0" applyFont="1"/>
    <xf numFmtId="3" fontId="5" fillId="0" borderId="0" xfId="0" applyNumberFormat="1" applyFont="1"/>
    <xf numFmtId="43" fontId="0" fillId="0" borderId="0" xfId="30" applyFont="1" applyAlignment="1">
      <alignment horizontal="right"/>
    </xf>
    <xf numFmtId="3" fontId="60" fillId="0" borderId="0" xfId="0" applyNumberFormat="1" applyFont="1" applyAlignment="1">
      <alignment horizontal="center"/>
    </xf>
    <xf numFmtId="37" fontId="60" fillId="13" borderId="45" xfId="0" applyNumberFormat="1" applyFont="1" applyFill="1" applyBorder="1" applyAlignment="1">
      <alignment horizontal="right"/>
    </xf>
    <xf numFmtId="37" fontId="60" fillId="14" borderId="46" xfId="0" applyNumberFormat="1" applyFont="1" applyFill="1" applyBorder="1" applyAlignment="1">
      <alignment horizontal="right"/>
    </xf>
    <xf numFmtId="1" fontId="60" fillId="0" borderId="0" xfId="0" applyNumberFormat="1" applyFont="1" applyAlignment="1">
      <alignment horizontal="center"/>
    </xf>
    <xf numFmtId="3" fontId="60" fillId="14" borderId="47" xfId="0" applyNumberFormat="1" applyFont="1" applyFill="1" applyBorder="1" applyAlignment="1">
      <alignment horizontal="right"/>
    </xf>
    <xf numFmtId="37" fontId="60" fillId="13" borderId="55" xfId="0" applyNumberFormat="1" applyFont="1" applyFill="1" applyBorder="1" applyAlignment="1">
      <alignment horizontal="right"/>
    </xf>
    <xf numFmtId="37" fontId="60" fillId="14" borderId="56" xfId="0" applyNumberFormat="1" applyFont="1" applyFill="1" applyBorder="1" applyAlignment="1">
      <alignment horizontal="right"/>
    </xf>
    <xf numFmtId="3" fontId="60" fillId="14" borderId="57" xfId="0" applyNumberFormat="1" applyFont="1" applyFill="1" applyBorder="1" applyAlignment="1">
      <alignment horizontal="right"/>
    </xf>
    <xf numFmtId="0" fontId="57" fillId="14" borderId="58" xfId="0" applyFont="1" applyFill="1" applyBorder="1"/>
    <xf numFmtId="3" fontId="0" fillId="14" borderId="59" xfId="0" applyNumberFormat="1" applyFill="1" applyBorder="1"/>
    <xf numFmtId="43" fontId="0" fillId="14" borderId="59" xfId="30" applyFont="1" applyFill="1" applyBorder="1" applyAlignment="1">
      <alignment horizontal="right"/>
    </xf>
    <xf numFmtId="3" fontId="60" fillId="14" borderId="59" xfId="0" applyNumberFormat="1" applyFont="1" applyFill="1" applyBorder="1" applyAlignment="1">
      <alignment horizontal="center"/>
    </xf>
    <xf numFmtId="37" fontId="60" fillId="14" borderId="59" xfId="0" applyNumberFormat="1" applyFont="1" applyFill="1" applyBorder="1" applyAlignment="1">
      <alignment horizontal="right"/>
    </xf>
    <xf numFmtId="5" fontId="60" fillId="14" borderId="59" xfId="0" applyNumberFormat="1" applyFont="1" applyFill="1" applyBorder="1" applyAlignment="1">
      <alignment horizontal="center"/>
    </xf>
    <xf numFmtId="1" fontId="60" fillId="14" borderId="59" xfId="0" applyNumberFormat="1" applyFont="1" applyFill="1" applyBorder="1" applyAlignment="1">
      <alignment horizontal="center"/>
    </xf>
    <xf numFmtId="7" fontId="60" fillId="14" borderId="59" xfId="0" applyNumberFormat="1" applyFont="1" applyFill="1" applyBorder="1" applyAlignment="1">
      <alignment horizontal="center"/>
    </xf>
    <xf numFmtId="3" fontId="58" fillId="14" borderId="60" xfId="0" applyNumberFormat="1" applyFont="1" applyFill="1" applyBorder="1" applyAlignment="1">
      <alignment horizontal="right"/>
    </xf>
    <xf numFmtId="7" fontId="60" fillId="13" borderId="61" xfId="0" applyNumberFormat="1" applyFont="1" applyFill="1" applyBorder="1" applyAlignment="1">
      <alignment horizontal="right"/>
    </xf>
    <xf numFmtId="7" fontId="60" fillId="14" borderId="62" xfId="0" applyNumberFormat="1" applyFont="1" applyFill="1" applyBorder="1" applyAlignment="1">
      <alignment horizontal="right"/>
    </xf>
    <xf numFmtId="37" fontId="57" fillId="13" borderId="61" xfId="0" applyNumberFormat="1" applyFont="1" applyFill="1" applyBorder="1" applyAlignment="1">
      <alignment horizontal="right"/>
    </xf>
    <xf numFmtId="0" fontId="0" fillId="14" borderId="62" xfId="0" applyFill="1" applyBorder="1" applyAlignment="1">
      <alignment horizontal="right"/>
    </xf>
    <xf numFmtId="43" fontId="43" fillId="0" borderId="0" xfId="30" applyFont="1" applyAlignment="1">
      <alignment horizontal="right"/>
    </xf>
    <xf numFmtId="7" fontId="60" fillId="13" borderId="45" xfId="0" applyNumberFormat="1" applyFont="1" applyFill="1" applyBorder="1" applyAlignment="1">
      <alignment horizontal="right"/>
    </xf>
    <xf numFmtId="7" fontId="60" fillId="14" borderId="46" xfId="0" applyNumberFormat="1" applyFont="1" applyFill="1" applyBorder="1" applyAlignment="1">
      <alignment horizontal="right"/>
    </xf>
    <xf numFmtId="37" fontId="57" fillId="13" borderId="45" xfId="0" applyNumberFormat="1" applyFont="1" applyFill="1" applyBorder="1" applyAlignment="1">
      <alignment horizontal="right"/>
    </xf>
    <xf numFmtId="0" fontId="0" fillId="14" borderId="46" xfId="0" applyFill="1" applyBorder="1" applyAlignment="1">
      <alignment horizontal="right"/>
    </xf>
    <xf numFmtId="3" fontId="60" fillId="0" borderId="0" xfId="32" applyNumberFormat="1" applyFont="1" applyAlignment="1">
      <alignment horizontal="center"/>
    </xf>
    <xf numFmtId="1" fontId="60" fillId="0" borderId="0" xfId="32" applyNumberFormat="1" applyFont="1" applyAlignment="1">
      <alignment horizontal="center"/>
    </xf>
    <xf numFmtId="37" fontId="60" fillId="13" borderId="45" xfId="32" applyNumberFormat="1" applyFont="1" applyFill="1" applyBorder="1" applyAlignment="1">
      <alignment horizontal="right"/>
    </xf>
    <xf numFmtId="0" fontId="0" fillId="14" borderId="0" xfId="0" applyFill="1" applyAlignment="1">
      <alignment horizontal="right"/>
    </xf>
    <xf numFmtId="37" fontId="60" fillId="14" borderId="46" xfId="32" applyNumberFormat="1" applyFont="1" applyFill="1" applyBorder="1" applyAlignment="1">
      <alignment horizontal="right"/>
    </xf>
    <xf numFmtId="37" fontId="60" fillId="13" borderId="63" xfId="0" applyNumberFormat="1" applyFont="1" applyFill="1" applyBorder="1" applyAlignment="1">
      <alignment horizontal="right"/>
    </xf>
    <xf numFmtId="37" fontId="60" fillId="14" borderId="63" xfId="0" applyNumberFormat="1" applyFont="1" applyFill="1" applyBorder="1" applyAlignment="1">
      <alignment horizontal="right"/>
    </xf>
    <xf numFmtId="37" fontId="60" fillId="13" borderId="0" xfId="0" applyNumberFormat="1" applyFont="1" applyFill="1" applyAlignment="1">
      <alignment horizontal="right"/>
    </xf>
    <xf numFmtId="0" fontId="57" fillId="13" borderId="58" xfId="0" applyFont="1" applyFill="1" applyBorder="1"/>
    <xf numFmtId="3" fontId="0" fillId="13" borderId="59" xfId="0" applyNumberFormat="1" applyFill="1" applyBorder="1"/>
    <xf numFmtId="43" fontId="0" fillId="13" borderId="59" xfId="30" applyFont="1" applyFill="1" applyBorder="1" applyAlignment="1">
      <alignment horizontal="right"/>
    </xf>
    <xf numFmtId="0" fontId="60" fillId="13" borderId="59" xfId="0" applyFont="1" applyFill="1" applyBorder="1" applyAlignment="1">
      <alignment horizontal="center"/>
    </xf>
    <xf numFmtId="7" fontId="60" fillId="13" borderId="59" xfId="0" applyNumberFormat="1" applyFont="1" applyFill="1" applyBorder="1" applyAlignment="1">
      <alignment horizontal="right"/>
    </xf>
    <xf numFmtId="7" fontId="60" fillId="13" borderId="59" xfId="0" applyNumberFormat="1" applyFont="1" applyFill="1" applyBorder="1" applyAlignment="1">
      <alignment horizontal="center"/>
    </xf>
    <xf numFmtId="165" fontId="58" fillId="13" borderId="60" xfId="33" applyNumberFormat="1" applyFont="1" applyFill="1" applyBorder="1" applyAlignment="1">
      <alignment horizontal="right"/>
    </xf>
    <xf numFmtId="0" fontId="0" fillId="14" borderId="64" xfId="0" applyFill="1" applyBorder="1"/>
    <xf numFmtId="0" fontId="60" fillId="14" borderId="59" xfId="0" applyFont="1" applyFill="1" applyBorder="1" applyAlignment="1">
      <alignment horizontal="center"/>
    </xf>
    <xf numFmtId="7" fontId="60" fillId="14" borderId="59" xfId="0" applyNumberFormat="1" applyFont="1" applyFill="1" applyBorder="1" applyAlignment="1">
      <alignment horizontal="right"/>
    </xf>
    <xf numFmtId="37" fontId="58" fillId="14" borderId="60" xfId="0" applyNumberFormat="1" applyFont="1" applyFill="1" applyBorder="1" applyAlignment="1">
      <alignment horizontal="right"/>
    </xf>
    <xf numFmtId="7" fontId="60" fillId="0" borderId="0" xfId="0" applyNumberFormat="1" applyFont="1" applyAlignment="1">
      <alignment horizontal="right"/>
    </xf>
    <xf numFmtId="43" fontId="41" fillId="0" borderId="0" xfId="1" applyFont="1" applyAlignment="1">
      <alignment horizontal="right"/>
    </xf>
    <xf numFmtId="37" fontId="60" fillId="0" borderId="45" xfId="32" applyNumberFormat="1" applyFont="1" applyBorder="1" applyAlignment="1">
      <alignment horizontal="right"/>
    </xf>
    <xf numFmtId="37" fontId="60" fillId="0" borderId="46" xfId="32" applyNumberFormat="1" applyFont="1" applyBorder="1" applyAlignment="1">
      <alignment horizontal="right"/>
    </xf>
    <xf numFmtId="3" fontId="0" fillId="0" borderId="0" xfId="0" applyNumberFormat="1"/>
    <xf numFmtId="37" fontId="58" fillId="13" borderId="60" xfId="0" applyNumberFormat="1" applyFont="1" applyFill="1" applyBorder="1" applyAlignment="1">
      <alignment horizontal="right"/>
    </xf>
    <xf numFmtId="37" fontId="58" fillId="0" borderId="0" xfId="0" applyNumberFormat="1" applyFont="1" applyAlignment="1">
      <alignment horizontal="right"/>
    </xf>
    <xf numFmtId="165" fontId="58" fillId="0" borderId="0" xfId="33" applyNumberFormat="1" applyFont="1" applyAlignment="1">
      <alignment horizontal="right"/>
    </xf>
    <xf numFmtId="0" fontId="0" fillId="0" borderId="0" xfId="0" applyAlignment="1">
      <alignment horizontal="right"/>
    </xf>
    <xf numFmtId="37" fontId="0" fillId="0" borderId="0" xfId="0" applyNumberFormat="1" applyAlignment="1">
      <alignment horizontal="right"/>
    </xf>
    <xf numFmtId="37" fontId="60" fillId="15" borderId="46" xfId="0" applyNumberFormat="1" applyFont="1" applyFill="1" applyBorder="1" applyAlignment="1">
      <alignment horizontal="right"/>
    </xf>
    <xf numFmtId="3" fontId="57" fillId="13" borderId="59" xfId="0" applyNumberFormat="1" applyFont="1" applyFill="1" applyBorder="1"/>
    <xf numFmtId="37" fontId="57" fillId="13" borderId="60" xfId="0" applyNumberFormat="1" applyFont="1" applyFill="1" applyBorder="1" applyAlignment="1">
      <alignment horizontal="right"/>
    </xf>
    <xf numFmtId="0" fontId="0" fillId="15" borderId="64" xfId="0" applyFill="1" applyBorder="1"/>
    <xf numFmtId="0" fontId="57" fillId="15" borderId="58" xfId="0" applyFont="1" applyFill="1" applyBorder="1"/>
    <xf numFmtId="3" fontId="57" fillId="15" borderId="59" xfId="0" applyNumberFormat="1" applyFont="1" applyFill="1" applyBorder="1"/>
    <xf numFmtId="43" fontId="0" fillId="15" borderId="59" xfId="30" applyFont="1" applyFill="1" applyBorder="1" applyAlignment="1">
      <alignment horizontal="right"/>
    </xf>
    <xf numFmtId="0" fontId="60" fillId="15" borderId="59" xfId="0" applyFont="1" applyFill="1" applyBorder="1" applyAlignment="1">
      <alignment horizontal="center"/>
    </xf>
    <xf numFmtId="7" fontId="60" fillId="15" borderId="59" xfId="0" applyNumberFormat="1" applyFont="1" applyFill="1" applyBorder="1" applyAlignment="1">
      <alignment horizontal="right"/>
    </xf>
    <xf numFmtId="0" fontId="59" fillId="0" borderId="0" xfId="0" applyFont="1" applyAlignment="1">
      <alignment horizontal="right"/>
    </xf>
    <xf numFmtId="43" fontId="59" fillId="0" borderId="0" xfId="30" applyFont="1" applyAlignment="1">
      <alignment horizontal="right"/>
    </xf>
    <xf numFmtId="0" fontId="32" fillId="0" borderId="0" xfId="0" applyFont="1" applyAlignment="1">
      <alignment horizontal="right" wrapText="1"/>
    </xf>
    <xf numFmtId="0" fontId="62" fillId="0" borderId="0" xfId="0" applyFont="1" applyAlignment="1">
      <alignment horizontal="right"/>
    </xf>
    <xf numFmtId="0" fontId="62" fillId="0" borderId="0" xfId="0" applyFont="1" applyAlignment="1">
      <alignment horizontal="right" wrapText="1"/>
    </xf>
    <xf numFmtId="0" fontId="63" fillId="0" borderId="0" xfId="0" applyFont="1"/>
    <xf numFmtId="171" fontId="62" fillId="0" borderId="22" xfId="0" quotePrefix="1" applyNumberFormat="1" applyFont="1" applyBorder="1" applyAlignment="1">
      <alignment horizontal="right"/>
    </xf>
    <xf numFmtId="165" fontId="62" fillId="0" borderId="0" xfId="30" applyNumberFormat="1" applyFont="1"/>
    <xf numFmtId="42" fontId="4" fillId="0" borderId="0" xfId="11" applyNumberFormat="1" applyFont="1" applyFill="1"/>
    <xf numFmtId="42" fontId="4" fillId="0" borderId="0" xfId="11" applyNumberFormat="1" applyFont="1" applyFill="1" applyBorder="1"/>
    <xf numFmtId="15" fontId="64" fillId="0" borderId="0" xfId="0" applyNumberFormat="1" applyFont="1" applyAlignment="1">
      <alignment horizontal="center"/>
    </xf>
    <xf numFmtId="44" fontId="4" fillId="0" borderId="0" xfId="34" applyFont="1" applyFill="1"/>
    <xf numFmtId="165" fontId="62" fillId="0" borderId="0" xfId="30" applyNumberFormat="1" applyFont="1" applyFill="1" applyBorder="1"/>
    <xf numFmtId="172" fontId="0" fillId="0" borderId="0" xfId="0" applyNumberFormat="1"/>
    <xf numFmtId="172" fontId="0" fillId="0" borderId="48" xfId="0" applyNumberFormat="1" applyBorder="1"/>
    <xf numFmtId="172" fontId="57" fillId="0" borderId="0" xfId="0" applyNumberFormat="1" applyFont="1"/>
    <xf numFmtId="172" fontId="5" fillId="0" borderId="0" xfId="0" applyNumberFormat="1" applyFont="1"/>
    <xf numFmtId="0" fontId="0" fillId="13" borderId="45" xfId="0" applyFill="1" applyBorder="1" applyAlignment="1">
      <alignment horizontal="right"/>
    </xf>
    <xf numFmtId="0" fontId="0" fillId="15" borderId="46" xfId="0" applyFill="1" applyBorder="1" applyAlignment="1">
      <alignment horizontal="right"/>
    </xf>
    <xf numFmtId="37" fontId="58" fillId="16" borderId="60" xfId="0" applyNumberFormat="1" applyFont="1" applyFill="1" applyBorder="1" applyAlignment="1">
      <alignment horizontal="right"/>
    </xf>
    <xf numFmtId="0" fontId="13" fillId="0" borderId="0" xfId="0" applyFont="1" applyAlignment="1">
      <alignment horizontal="right"/>
    </xf>
    <xf numFmtId="0" fontId="65" fillId="0" borderId="0" xfId="0" applyFont="1"/>
    <xf numFmtId="0" fontId="66" fillId="0" borderId="0" xfId="0" applyFont="1"/>
    <xf numFmtId="0" fontId="67" fillId="0" borderId="22" xfId="0" applyFont="1" applyBorder="1" applyAlignment="1">
      <alignment horizontal="center" wrapText="1"/>
    </xf>
    <xf numFmtId="0" fontId="68" fillId="0" borderId="0" xfId="0" applyFont="1" applyAlignment="1">
      <alignment horizontal="left" wrapText="1"/>
    </xf>
    <xf numFmtId="43" fontId="69" fillId="0" borderId="0" xfId="1" applyFont="1" applyAlignment="1">
      <alignment horizontal="right" wrapText="1"/>
    </xf>
    <xf numFmtId="43" fontId="69" fillId="0" borderId="0" xfId="1" applyFont="1" applyAlignment="1">
      <alignment wrapText="1"/>
    </xf>
    <xf numFmtId="0" fontId="13" fillId="0" borderId="0" xfId="0" applyFont="1" applyAlignment="1">
      <alignment horizontal="left"/>
    </xf>
    <xf numFmtId="165" fontId="9" fillId="0" borderId="0" xfId="1" applyNumberFormat="1" applyFont="1" applyFill="1" applyBorder="1" applyAlignment="1">
      <alignment vertical="center"/>
    </xf>
    <xf numFmtId="165" fontId="9" fillId="4" borderId="0" xfId="1" applyNumberFormat="1" applyFont="1" applyFill="1" applyBorder="1" applyAlignment="1">
      <alignment vertical="center"/>
    </xf>
    <xf numFmtId="168" fontId="17" fillId="7" borderId="38" xfId="0" applyNumberFormat="1" applyFont="1" applyFill="1" applyBorder="1" applyAlignment="1">
      <alignment horizontal="center" wrapText="1"/>
    </xf>
    <xf numFmtId="165" fontId="11" fillId="2" borderId="65" xfId="1" applyNumberFormat="1" applyFont="1" applyFill="1" applyBorder="1" applyAlignment="1">
      <alignment vertical="center"/>
    </xf>
    <xf numFmtId="0" fontId="11" fillId="0" borderId="0" xfId="1" applyNumberFormat="1" applyFont="1" applyAlignment="1">
      <alignment horizontal="right" vertical="center"/>
    </xf>
    <xf numFmtId="0" fontId="21" fillId="0" borderId="0" xfId="0" applyFont="1" applyAlignment="1">
      <alignment horizontal="right" vertical="center" wrapText="1"/>
    </xf>
    <xf numFmtId="0" fontId="10" fillId="0" borderId="0" xfId="0" applyFont="1" applyAlignment="1">
      <alignment horizontal="right" vertical="center" wrapText="1"/>
    </xf>
    <xf numFmtId="0" fontId="9" fillId="0" borderId="0" xfId="0" applyFont="1" applyAlignment="1">
      <alignment horizontal="center"/>
    </xf>
    <xf numFmtId="168" fontId="21" fillId="0" borderId="0" xfId="0" applyNumberFormat="1" applyFont="1" applyAlignment="1">
      <alignment horizontal="center" vertical="center" wrapText="1"/>
    </xf>
    <xf numFmtId="41" fontId="9" fillId="0" borderId="0" xfId="0" applyNumberFormat="1" applyFont="1" applyAlignment="1">
      <alignment horizontal="center" vertical="center" wrapText="1"/>
    </xf>
    <xf numFmtId="41" fontId="10" fillId="0" borderId="0" xfId="0" applyNumberFormat="1" applyFont="1" applyAlignment="1">
      <alignment horizontal="center" vertical="center" wrapText="1"/>
    </xf>
    <xf numFmtId="41" fontId="16" fillId="0" borderId="0" xfId="0" applyNumberFormat="1" applyFont="1" applyAlignment="1">
      <alignment horizontal="center"/>
    </xf>
    <xf numFmtId="41" fontId="12" fillId="0" borderId="0" xfId="0" applyNumberFormat="1" applyFont="1" applyAlignment="1">
      <alignment horizontal="center"/>
    </xf>
    <xf numFmtId="41" fontId="11" fillId="0" borderId="0" xfId="0" applyNumberFormat="1" applyFont="1" applyAlignment="1">
      <alignment horizontal="center" vertical="center" wrapText="1"/>
    </xf>
    <xf numFmtId="0" fontId="17" fillId="7" borderId="32" xfId="0" applyFont="1" applyFill="1" applyBorder="1" applyAlignment="1">
      <alignment horizontal="center" wrapText="1"/>
    </xf>
    <xf numFmtId="165" fontId="11" fillId="0" borderId="20" xfId="1" applyNumberFormat="1" applyFont="1" applyBorder="1" applyAlignment="1">
      <alignment horizontal="center" vertical="center" wrapText="1"/>
    </xf>
    <xf numFmtId="165" fontId="9" fillId="0" borderId="9" xfId="1" applyNumberFormat="1" applyFont="1" applyBorder="1" applyAlignment="1">
      <alignment horizontal="center" vertical="center" wrapText="1"/>
    </xf>
    <xf numFmtId="165" fontId="11" fillId="0" borderId="35" xfId="1" applyNumberFormat="1" applyFont="1" applyBorder="1" applyAlignment="1">
      <alignment horizontal="center" vertical="center" wrapText="1"/>
    </xf>
    <xf numFmtId="165" fontId="11" fillId="0" borderId="10" xfId="1" applyNumberFormat="1" applyFont="1" applyBorder="1" applyAlignment="1">
      <alignment horizontal="center" vertical="center" wrapText="1"/>
    </xf>
    <xf numFmtId="165" fontId="9" fillId="0" borderId="0" xfId="1" applyNumberFormat="1" applyFont="1" applyAlignment="1">
      <alignment horizontal="center" vertical="center" wrapText="1"/>
    </xf>
    <xf numFmtId="165" fontId="9" fillId="0" borderId="10" xfId="1" applyNumberFormat="1" applyFont="1" applyBorder="1" applyAlignment="1">
      <alignment horizontal="center" vertical="center" wrapText="1"/>
    </xf>
    <xf numFmtId="165" fontId="11" fillId="0" borderId="9" xfId="1" applyNumberFormat="1" applyFont="1" applyBorder="1" applyAlignment="1">
      <alignment horizontal="center" vertical="center" wrapText="1"/>
    </xf>
    <xf numFmtId="165" fontId="10" fillId="9" borderId="10" xfId="1" applyNumberFormat="1" applyFont="1" applyFill="1" applyBorder="1" applyAlignment="1">
      <alignment horizontal="center" vertical="center" wrapText="1"/>
    </xf>
    <xf numFmtId="41" fontId="16" fillId="0" borderId="18" xfId="0" applyNumberFormat="1" applyFont="1" applyBorder="1" applyAlignment="1">
      <alignment horizontal="center"/>
    </xf>
    <xf numFmtId="41" fontId="11" fillId="0" borderId="20" xfId="0" applyNumberFormat="1" applyFont="1" applyBorder="1" applyAlignment="1">
      <alignment horizontal="center" vertical="center" wrapText="1"/>
    </xf>
    <xf numFmtId="41" fontId="9" fillId="0" borderId="9" xfId="0" applyNumberFormat="1" applyFont="1" applyBorder="1" applyAlignment="1">
      <alignment horizontal="center" vertical="center" wrapText="1"/>
    </xf>
    <xf numFmtId="41" fontId="11" fillId="0" borderId="10" xfId="0" applyNumberFormat="1" applyFont="1" applyBorder="1" applyAlignment="1">
      <alignment horizontal="center" vertical="center" wrapText="1"/>
    </xf>
    <xf numFmtId="41" fontId="9" fillId="0" borderId="10" xfId="0" applyNumberFormat="1" applyFont="1" applyBorder="1" applyAlignment="1">
      <alignment horizontal="center" vertical="center" wrapText="1"/>
    </xf>
    <xf numFmtId="41" fontId="11" fillId="0" borderId="9" xfId="0" applyNumberFormat="1" applyFont="1" applyBorder="1" applyAlignment="1">
      <alignment horizontal="center" vertical="center" wrapText="1"/>
    </xf>
    <xf numFmtId="41" fontId="10" fillId="9" borderId="10" xfId="0" applyNumberFormat="1" applyFont="1" applyFill="1" applyBorder="1" applyAlignment="1">
      <alignment horizontal="center" vertical="center" wrapText="1"/>
    </xf>
    <xf numFmtId="41" fontId="9" fillId="0" borderId="0" xfId="0" applyNumberFormat="1" applyFont="1" applyAlignment="1">
      <alignment horizontal="center"/>
    </xf>
    <xf numFmtId="0" fontId="21" fillId="8" borderId="37" xfId="0" applyFont="1" applyFill="1" applyBorder="1" applyAlignment="1">
      <alignment horizontal="center" wrapText="1"/>
    </xf>
    <xf numFmtId="165" fontId="11" fillId="0" borderId="22" xfId="1" applyNumberFormat="1" applyFont="1" applyBorder="1" applyAlignment="1">
      <alignment horizontal="center" vertical="center" wrapText="1"/>
    </xf>
    <xf numFmtId="165" fontId="9" fillId="0" borderId="0" xfId="1" applyNumberFormat="1" applyFont="1" applyBorder="1" applyAlignment="1">
      <alignment horizontal="center" vertical="center" wrapText="1"/>
    </xf>
    <xf numFmtId="0" fontId="25" fillId="0" borderId="0" xfId="0" applyFont="1" applyAlignment="1">
      <alignment horizontal="center"/>
    </xf>
    <xf numFmtId="168" fontId="21" fillId="8" borderId="32" xfId="0" applyNumberFormat="1" applyFont="1" applyFill="1" applyBorder="1" applyAlignment="1">
      <alignment horizontal="center" vertical="center" wrapText="1"/>
    </xf>
    <xf numFmtId="0" fontId="47" fillId="0" borderId="0" xfId="0" applyFont="1" applyAlignment="1">
      <alignment horizontal="center" vertical="center" wrapText="1"/>
    </xf>
    <xf numFmtId="41" fontId="47" fillId="0" borderId="0" xfId="0" applyNumberFormat="1" applyFont="1" applyAlignment="1">
      <alignment horizontal="center" vertical="center" wrapText="1"/>
    </xf>
    <xf numFmtId="165" fontId="9" fillId="4" borderId="0" xfId="1" applyNumberFormat="1" applyFont="1" applyFill="1" applyAlignment="1">
      <alignment horizontal="center" vertical="center" wrapText="1"/>
    </xf>
    <xf numFmtId="41" fontId="25" fillId="0" borderId="0" xfId="0" applyNumberFormat="1" applyFont="1" applyAlignment="1">
      <alignment horizontal="center" vertical="center" wrapText="1"/>
    </xf>
    <xf numFmtId="165" fontId="9" fillId="4" borderId="9" xfId="1" applyNumberFormat="1" applyFont="1" applyFill="1" applyBorder="1" applyAlignment="1">
      <alignment horizontal="center" vertical="center" wrapText="1"/>
    </xf>
    <xf numFmtId="43" fontId="12" fillId="0" borderId="18" xfId="1" applyFont="1" applyBorder="1" applyAlignment="1">
      <alignment horizontal="center"/>
    </xf>
    <xf numFmtId="41" fontId="49" fillId="0" borderId="0" xfId="0" applyNumberFormat="1" applyFont="1" applyAlignment="1">
      <alignment horizontal="center"/>
    </xf>
    <xf numFmtId="10" fontId="9" fillId="0" borderId="0" xfId="0" applyNumberFormat="1" applyFont="1" applyAlignment="1">
      <alignment horizontal="center" vertical="center" wrapText="1"/>
    </xf>
    <xf numFmtId="166" fontId="11" fillId="0" borderId="9" xfId="11" applyNumberFormat="1" applyFont="1" applyBorder="1" applyAlignment="1">
      <alignment horizontal="center" vertical="center" wrapText="1"/>
    </xf>
    <xf numFmtId="166" fontId="9" fillId="0" borderId="9" xfId="11" applyNumberFormat="1" applyFont="1" applyBorder="1" applyAlignment="1">
      <alignment horizontal="center" vertical="center" wrapText="1"/>
    </xf>
    <xf numFmtId="166" fontId="9" fillId="0" borderId="10" xfId="11" applyNumberFormat="1" applyFont="1" applyBorder="1" applyAlignment="1">
      <alignment horizontal="center" vertical="center" wrapText="1"/>
    </xf>
    <xf numFmtId="43" fontId="9" fillId="0" borderId="0" xfId="0" applyNumberFormat="1" applyFont="1" applyAlignment="1">
      <alignment horizontal="center"/>
    </xf>
    <xf numFmtId="0" fontId="21" fillId="8" borderId="66" xfId="0" applyFont="1" applyFill="1" applyBorder="1" applyAlignment="1">
      <alignment vertical="center" wrapText="1"/>
    </xf>
    <xf numFmtId="0" fontId="21" fillId="8" borderId="0" xfId="0" applyFont="1" applyFill="1" applyAlignment="1">
      <alignment horizontal="center" vertical="center" wrapText="1"/>
    </xf>
    <xf numFmtId="0" fontId="27" fillId="0" borderId="22" xfId="0" applyFont="1" applyBorder="1"/>
    <xf numFmtId="0" fontId="9" fillId="0" borderId="22" xfId="0" applyFont="1" applyBorder="1"/>
    <xf numFmtId="0" fontId="11" fillId="0" borderId="22" xfId="0" applyFont="1" applyBorder="1" applyAlignment="1">
      <alignment horizontal="center"/>
    </xf>
    <xf numFmtId="0" fontId="11" fillId="0" borderId="0" xfId="0" applyFont="1" applyAlignment="1">
      <alignment horizontal="center"/>
    </xf>
    <xf numFmtId="0" fontId="65" fillId="0" borderId="0" xfId="10" applyFont="1"/>
    <xf numFmtId="0" fontId="8" fillId="0" borderId="0" xfId="10"/>
    <xf numFmtId="0" fontId="66" fillId="0" borderId="0" xfId="10" applyFont="1"/>
    <xf numFmtId="0" fontId="8" fillId="0" borderId="0" xfId="10" applyAlignment="1">
      <alignment wrapText="1"/>
    </xf>
    <xf numFmtId="0" fontId="67" fillId="0" borderId="22" xfId="10" applyFont="1" applyBorder="1" applyAlignment="1">
      <alignment horizontal="center" wrapText="1"/>
    </xf>
    <xf numFmtId="0" fontId="68" fillId="0" borderId="0" xfId="10" applyFont="1" applyAlignment="1">
      <alignment horizontal="left" wrapText="1"/>
    </xf>
    <xf numFmtId="170" fontId="69" fillId="0" borderId="0" xfId="10" applyNumberFormat="1" applyFont="1" applyAlignment="1">
      <alignment wrapText="1"/>
    </xf>
    <xf numFmtId="0" fontId="8" fillId="0" borderId="0" xfId="10" applyAlignment="1">
      <alignment horizontal="right"/>
    </xf>
    <xf numFmtId="0" fontId="4" fillId="18" borderId="0" xfId="0" applyFont="1" applyFill="1" applyAlignment="1">
      <alignment horizontal="center" wrapText="1"/>
    </xf>
    <xf numFmtId="43" fontId="0" fillId="18" borderId="0" xfId="0" applyNumberFormat="1" applyFill="1"/>
    <xf numFmtId="0" fontId="0" fillId="18" borderId="0" xfId="0" applyFill="1"/>
    <xf numFmtId="0" fontId="0" fillId="19" borderId="0" xfId="0" applyFill="1"/>
    <xf numFmtId="0" fontId="70" fillId="0" borderId="22" xfId="0" applyFont="1" applyBorder="1"/>
    <xf numFmtId="0" fontId="71" fillId="0" borderId="22" xfId="0" applyFont="1" applyBorder="1"/>
    <xf numFmtId="14" fontId="70" fillId="0" borderId="22" xfId="0" applyNumberFormat="1" applyFont="1" applyBorder="1" applyAlignment="1">
      <alignment horizontal="right" wrapText="1"/>
    </xf>
    <xf numFmtId="14" fontId="70" fillId="0" borderId="22" xfId="0" applyNumberFormat="1" applyFont="1" applyBorder="1" applyAlignment="1">
      <alignment horizontal="center" wrapText="1"/>
    </xf>
    <xf numFmtId="43" fontId="43" fillId="0" borderId="0" xfId="0" applyNumberFormat="1" applyFont="1" applyAlignment="1">
      <alignment wrapText="1"/>
    </xf>
    <xf numFmtId="0" fontId="43" fillId="0" borderId="0" xfId="0" applyFont="1" applyAlignment="1">
      <alignment horizontal="center"/>
    </xf>
    <xf numFmtId="0" fontId="72" fillId="0" borderId="0" xfId="0" applyFont="1" applyAlignment="1">
      <alignment vertical="center" wrapText="1"/>
    </xf>
    <xf numFmtId="0" fontId="72" fillId="0" borderId="0" xfId="0" applyFont="1" applyAlignment="1">
      <alignment vertical="center"/>
    </xf>
    <xf numFmtId="43" fontId="72" fillId="0" borderId="0" xfId="1" applyFont="1" applyFill="1" applyBorder="1" applyAlignment="1">
      <alignment vertical="center" wrapText="1"/>
    </xf>
    <xf numFmtId="0" fontId="43" fillId="0" borderId="22" xfId="0" applyFont="1" applyBorder="1" applyAlignment="1">
      <alignment horizontal="center"/>
    </xf>
    <xf numFmtId="0" fontId="70" fillId="0" borderId="0" xfId="0" applyFont="1" applyAlignment="1">
      <alignment horizontal="center" wrapText="1"/>
    </xf>
    <xf numFmtId="43" fontId="43" fillId="0" borderId="0" xfId="1" applyFont="1" applyAlignment="1">
      <alignment wrapText="1"/>
    </xf>
    <xf numFmtId="43" fontId="70" fillId="0" borderId="22" xfId="1" applyFont="1" applyBorder="1" applyAlignment="1">
      <alignment horizontal="right" wrapText="1"/>
    </xf>
    <xf numFmtId="43" fontId="71" fillId="0" borderId="0" xfId="1" applyFont="1" applyAlignment="1">
      <alignment wrapText="1"/>
    </xf>
    <xf numFmtId="43" fontId="73" fillId="0" borderId="0" xfId="1" applyFont="1"/>
    <xf numFmtId="0" fontId="73" fillId="0" borderId="0" xfId="0" applyFont="1"/>
    <xf numFmtId="0" fontId="73" fillId="0" borderId="0" xfId="0" applyFont="1" applyAlignment="1">
      <alignment horizontal="center"/>
    </xf>
    <xf numFmtId="0" fontId="43" fillId="0" borderId="0" xfId="29" applyFont="1" applyFill="1" applyBorder="1" applyAlignment="1">
      <alignment horizontal="center" wrapText="1"/>
    </xf>
    <xf numFmtId="168" fontId="17" fillId="4" borderId="0" xfId="0" applyNumberFormat="1" applyFont="1" applyFill="1" applyAlignment="1">
      <alignment horizontal="right" wrapText="1"/>
    </xf>
    <xf numFmtId="165" fontId="9" fillId="6" borderId="23" xfId="1" applyNumberFormat="1" applyFont="1" applyFill="1" applyBorder="1" applyAlignment="1">
      <alignment vertical="center"/>
    </xf>
    <xf numFmtId="0" fontId="11" fillId="5" borderId="0" xfId="1" applyNumberFormat="1" applyFont="1" applyFill="1" applyBorder="1" applyAlignment="1">
      <alignment horizontal="left" vertical="center"/>
    </xf>
    <xf numFmtId="165" fontId="9" fillId="4" borderId="24" xfId="1" applyNumberFormat="1" applyFont="1" applyFill="1" applyBorder="1" applyAlignment="1">
      <alignment vertical="center"/>
    </xf>
    <xf numFmtId="0" fontId="50" fillId="0" borderId="0" xfId="10" applyFont="1" applyAlignment="1">
      <alignment horizontal="left" wrapText="1"/>
    </xf>
    <xf numFmtId="0" fontId="43" fillId="0" borderId="0" xfId="10" applyFont="1"/>
    <xf numFmtId="0" fontId="43" fillId="0" borderId="22" xfId="10" applyFont="1" applyBorder="1"/>
    <xf numFmtId="0" fontId="13" fillId="0" borderId="0" xfId="1" applyNumberFormat="1" applyFont="1" applyAlignment="1">
      <alignment horizontal="right" vertical="center"/>
    </xf>
    <xf numFmtId="168" fontId="34" fillId="17" borderId="13" xfId="0" quotePrefix="1" applyNumberFormat="1" applyFont="1" applyFill="1" applyBorder="1" applyAlignment="1">
      <alignment horizontal="left" vertical="center"/>
    </xf>
    <xf numFmtId="0" fontId="74" fillId="0" borderId="0" xfId="0" applyFont="1" applyAlignment="1">
      <alignment horizontal="center"/>
    </xf>
    <xf numFmtId="167" fontId="13" fillId="0" borderId="2" xfId="0" applyNumberFormat="1" applyFont="1" applyBorder="1" applyAlignment="1">
      <alignment horizontal="center" vertical="center" wrapText="1"/>
    </xf>
    <xf numFmtId="1" fontId="74" fillId="0" borderId="0" xfId="0" applyNumberFormat="1" applyFont="1" applyAlignment="1">
      <alignment horizontal="center"/>
    </xf>
    <xf numFmtId="0" fontId="74" fillId="0" borderId="0" xfId="0" applyFont="1" applyAlignment="1">
      <alignment horizontal="center" vertical="center"/>
    </xf>
    <xf numFmtId="171" fontId="62" fillId="0" borderId="0" xfId="0" quotePrefix="1" applyNumberFormat="1" applyFont="1" applyAlignment="1">
      <alignment horizontal="right"/>
    </xf>
    <xf numFmtId="165" fontId="62" fillId="0" borderId="0" xfId="30" applyNumberFormat="1" applyFont="1" applyBorder="1"/>
    <xf numFmtId="44" fontId="4" fillId="0" borderId="0" xfId="34" applyFont="1" applyFill="1" applyBorder="1"/>
    <xf numFmtId="0" fontId="70" fillId="0" borderId="22" xfId="0" applyFont="1" applyBorder="1" applyAlignment="1">
      <alignment horizontal="center" wrapText="1"/>
    </xf>
    <xf numFmtId="0" fontId="73" fillId="0" borderId="22" xfId="0" applyFont="1" applyBorder="1"/>
    <xf numFmtId="43" fontId="73" fillId="0" borderId="22" xfId="1" applyFont="1" applyBorder="1"/>
    <xf numFmtId="0" fontId="70" fillId="0" borderId="22" xfId="0" applyFont="1" applyBorder="1" applyAlignment="1">
      <alignment horizontal="center"/>
    </xf>
    <xf numFmtId="0" fontId="75" fillId="0" borderId="0" xfId="0" applyFont="1" applyAlignment="1">
      <alignment horizontal="left" vertical="center"/>
    </xf>
    <xf numFmtId="0" fontId="76" fillId="0" borderId="0" xfId="0" applyFont="1"/>
    <xf numFmtId="0" fontId="77" fillId="0" borderId="0" xfId="0" applyFont="1" applyAlignment="1">
      <alignment horizontal="left" wrapText="1"/>
    </xf>
    <xf numFmtId="44" fontId="68" fillId="0" borderId="27" xfId="10" applyNumberFormat="1" applyFont="1" applyBorder="1" applyAlignment="1">
      <alignment horizontal="right" wrapText="1"/>
    </xf>
    <xf numFmtId="0" fontId="43" fillId="17" borderId="13" xfId="0" applyFont="1" applyFill="1" applyBorder="1" applyAlignment="1">
      <alignment horizontal="right"/>
    </xf>
    <xf numFmtId="0" fontId="43" fillId="17" borderId="13" xfId="0" applyFont="1" applyFill="1" applyBorder="1" applyAlignment="1">
      <alignment horizontal="center"/>
    </xf>
    <xf numFmtId="43" fontId="43" fillId="17" borderId="13" xfId="1" applyFont="1" applyFill="1" applyBorder="1" applyAlignment="1">
      <alignment horizontal="right"/>
    </xf>
    <xf numFmtId="0" fontId="71" fillId="0" borderId="0" xfId="0" applyFont="1"/>
    <xf numFmtId="43" fontId="9" fillId="0" borderId="0" xfId="1" applyFont="1" applyFill="1" applyAlignment="1">
      <alignment vertical="center"/>
    </xf>
    <xf numFmtId="168" fontId="44" fillId="0" borderId="0" xfId="0" quotePrefix="1" applyNumberFormat="1" applyFont="1" applyAlignment="1">
      <alignment horizontal="right" vertical="center"/>
    </xf>
    <xf numFmtId="43" fontId="46" fillId="0" borderId="0" xfId="29" applyNumberFormat="1" applyFont="1" applyFill="1" applyBorder="1" applyAlignment="1">
      <alignment horizontal="center" vertical="center"/>
    </xf>
    <xf numFmtId="168" fontId="34" fillId="17" borderId="31" xfId="0" quotePrefix="1" applyNumberFormat="1" applyFont="1" applyFill="1" applyBorder="1" applyAlignment="1">
      <alignment horizontal="left" vertical="center"/>
    </xf>
    <xf numFmtId="43" fontId="75" fillId="20" borderId="13" xfId="1" applyFont="1" applyFill="1" applyBorder="1" applyAlignment="1">
      <alignment horizontal="center" vertical="center"/>
    </xf>
    <xf numFmtId="43" fontId="13" fillId="20" borderId="14" xfId="1" applyFont="1" applyFill="1" applyBorder="1" applyAlignment="1">
      <alignment vertical="center"/>
    </xf>
    <xf numFmtId="165" fontId="11" fillId="0" borderId="22" xfId="0" applyNumberFormat="1" applyFont="1" applyBorder="1" applyAlignment="1">
      <alignment vertical="center"/>
    </xf>
    <xf numFmtId="0" fontId="47" fillId="17" borderId="13" xfId="0" applyFont="1" applyFill="1" applyBorder="1" applyAlignment="1">
      <alignment horizontal="right"/>
    </xf>
    <xf numFmtId="0" fontId="11" fillId="12" borderId="13" xfId="0" applyFont="1" applyFill="1" applyBorder="1" applyAlignment="1">
      <alignment horizontal="center"/>
    </xf>
    <xf numFmtId="0" fontId="47" fillId="12" borderId="13" xfId="0" applyFont="1" applyFill="1" applyBorder="1" applyAlignment="1">
      <alignment horizontal="center"/>
    </xf>
    <xf numFmtId="0" fontId="79" fillId="0" borderId="0" xfId="0" applyFont="1"/>
    <xf numFmtId="15" fontId="57" fillId="17" borderId="13" xfId="0" applyNumberFormat="1" applyFont="1" applyFill="1" applyBorder="1" applyAlignment="1">
      <alignment horizontal="center"/>
    </xf>
    <xf numFmtId="0" fontId="62" fillId="17" borderId="13" xfId="0" applyFont="1" applyFill="1" applyBorder="1" applyAlignment="1">
      <alignment horizontal="right" wrapText="1"/>
    </xf>
    <xf numFmtId="0" fontId="62" fillId="17" borderId="13" xfId="0" applyFont="1" applyFill="1" applyBorder="1" applyAlignment="1">
      <alignment horizontal="right"/>
    </xf>
    <xf numFmtId="14" fontId="71" fillId="17" borderId="13" xfId="0" applyNumberFormat="1" applyFont="1" applyFill="1" applyBorder="1" applyAlignment="1">
      <alignment horizontal="center" wrapText="1"/>
    </xf>
    <xf numFmtId="0" fontId="53" fillId="0" borderId="0" xfId="0" quotePrefix="1" applyFont="1" applyAlignment="1">
      <alignment horizontal="left" vertical="center"/>
    </xf>
    <xf numFmtId="0" fontId="75" fillId="0" borderId="0" xfId="0" applyFont="1" applyAlignment="1">
      <alignment horizontal="right"/>
    </xf>
    <xf numFmtId="41" fontId="10" fillId="0" borderId="0" xfId="0" applyNumberFormat="1" applyFont="1" applyAlignment="1">
      <alignment horizontal="right"/>
    </xf>
    <xf numFmtId="41" fontId="11" fillId="0" borderId="0" xfId="0" applyNumberFormat="1" applyFont="1" applyAlignment="1">
      <alignment horizontal="right"/>
    </xf>
    <xf numFmtId="41" fontId="9" fillId="0" borderId="0" xfId="0" applyNumberFormat="1" applyFont="1" applyAlignment="1">
      <alignment horizontal="right" wrapText="1"/>
    </xf>
    <xf numFmtId="0" fontId="9" fillId="0" borderId="0" xfId="0" applyFont="1" applyAlignment="1">
      <alignment horizontal="right" wrapText="1"/>
    </xf>
    <xf numFmtId="0" fontId="15" fillId="0" borderId="0" xfId="0" applyFont="1" applyAlignment="1">
      <alignment horizontal="right"/>
    </xf>
    <xf numFmtId="41" fontId="11" fillId="0" borderId="0" xfId="0" applyNumberFormat="1" applyFont="1" applyAlignment="1">
      <alignment horizontal="right" wrapText="1"/>
    </xf>
    <xf numFmtId="0" fontId="11" fillId="0" borderId="0" xfId="0" applyFont="1" applyAlignment="1">
      <alignment horizontal="right" wrapText="1"/>
    </xf>
    <xf numFmtId="43" fontId="10" fillId="0" borderId="0" xfId="1" applyFont="1" applyFill="1" applyAlignment="1">
      <alignment horizontal="right" wrapText="1"/>
    </xf>
    <xf numFmtId="0" fontId="10" fillId="0" borderId="0" xfId="0" applyFont="1" applyAlignment="1">
      <alignment horizontal="right" wrapText="1"/>
    </xf>
    <xf numFmtId="41" fontId="10" fillId="0" borderId="0" xfId="0" applyNumberFormat="1" applyFont="1" applyAlignment="1">
      <alignment horizontal="right" wrapText="1"/>
    </xf>
    <xf numFmtId="0" fontId="11" fillId="0" borderId="0" xfId="0" applyFont="1" applyAlignment="1">
      <alignment horizontal="left" wrapText="1"/>
    </xf>
    <xf numFmtId="0" fontId="9" fillId="0" borderId="0" xfId="0" applyFont="1" applyAlignment="1">
      <alignment horizontal="left"/>
    </xf>
    <xf numFmtId="0" fontId="9" fillId="0" borderId="0" xfId="0" applyFont="1" applyAlignment="1">
      <alignment horizontal="left" wrapText="1"/>
    </xf>
    <xf numFmtId="165" fontId="13" fillId="0" borderId="0" xfId="1" applyNumberFormat="1" applyFont="1" applyFill="1"/>
    <xf numFmtId="165" fontId="13" fillId="0" borderId="0" xfId="1" applyNumberFormat="1" applyFont="1" applyFill="1" applyBorder="1"/>
    <xf numFmtId="0" fontId="12" fillId="0" borderId="12" xfId="0" applyFont="1" applyBorder="1" applyAlignment="1">
      <alignment horizontal="left" vertical="center" wrapText="1" indent="1"/>
    </xf>
    <xf numFmtId="41" fontId="9" fillId="0" borderId="12" xfId="0" applyNumberFormat="1" applyFont="1" applyBorder="1" applyAlignment="1">
      <alignment horizontal="right" vertical="center" wrapText="1"/>
    </xf>
    <xf numFmtId="165" fontId="15" fillId="0" borderId="0" xfId="1" applyNumberFormat="1" applyFont="1" applyFill="1" applyAlignment="1">
      <alignment horizontal="right" vertical="center" wrapText="1"/>
    </xf>
    <xf numFmtId="165" fontId="9" fillId="0" borderId="0" xfId="1" applyNumberFormat="1" applyFont="1" applyFill="1" applyAlignment="1">
      <alignment horizontal="right" vertical="center" wrapText="1"/>
    </xf>
    <xf numFmtId="165" fontId="11" fillId="0" borderId="0" xfId="1" applyNumberFormat="1" applyFont="1" applyFill="1" applyAlignment="1">
      <alignment horizontal="right" vertical="center" wrapText="1"/>
    </xf>
    <xf numFmtId="0" fontId="52" fillId="0" borderId="0" xfId="0" applyFont="1" applyAlignment="1">
      <alignment vertical="center" wrapText="1"/>
    </xf>
    <xf numFmtId="0" fontId="9" fillId="0" borderId="22" xfId="0" applyFont="1" applyBorder="1" applyAlignment="1">
      <alignment vertical="center"/>
    </xf>
    <xf numFmtId="0" fontId="9" fillId="0" borderId="22" xfId="0" applyFont="1" applyBorder="1" applyAlignment="1">
      <alignment horizontal="center" vertical="center" wrapText="1"/>
    </xf>
    <xf numFmtId="0" fontId="15" fillId="0" borderId="22" xfId="0" applyFont="1" applyBorder="1" applyAlignment="1">
      <alignment horizontal="right" vertical="center" wrapText="1"/>
    </xf>
    <xf numFmtId="0" fontId="81" fillId="0" borderId="0" xfId="0" applyFont="1" applyAlignment="1">
      <alignment horizontal="right" vertical="center" wrapText="1"/>
    </xf>
    <xf numFmtId="173" fontId="81" fillId="0" borderId="0" xfId="0" applyNumberFormat="1" applyFont="1" applyAlignment="1">
      <alignment horizontal="right" vertical="center"/>
    </xf>
    <xf numFmtId="0" fontId="81" fillId="0" borderId="22" xfId="0" applyFont="1" applyBorder="1" applyAlignment="1">
      <alignment horizontal="right" vertical="center" wrapText="1"/>
    </xf>
    <xf numFmtId="173" fontId="81" fillId="0" borderId="22" xfId="0" applyNumberFormat="1" applyFont="1" applyBorder="1" applyAlignment="1">
      <alignment horizontal="right" vertical="center"/>
    </xf>
    <xf numFmtId="0" fontId="82" fillId="0" borderId="2" xfId="0" applyFont="1" applyBorder="1" applyAlignment="1">
      <alignment horizontal="right" vertical="center" wrapText="1"/>
    </xf>
    <xf numFmtId="173" fontId="82" fillId="0" borderId="2" xfId="0" applyNumberFormat="1" applyFont="1" applyBorder="1" applyAlignment="1">
      <alignment horizontal="right" vertical="center"/>
    </xf>
    <xf numFmtId="0" fontId="43" fillId="0" borderId="0" xfId="0" applyFont="1" applyAlignment="1">
      <alignment horizontal="left"/>
    </xf>
    <xf numFmtId="0" fontId="0" fillId="0" borderId="0" xfId="0" applyAlignment="1">
      <alignment horizontal="left"/>
    </xf>
    <xf numFmtId="0" fontId="4" fillId="0" borderId="22" xfId="0" applyFont="1" applyBorder="1" applyAlignment="1">
      <alignment horizontal="center"/>
    </xf>
    <xf numFmtId="0" fontId="4" fillId="0" borderId="22" xfId="0" applyFont="1" applyBorder="1" applyAlignment="1">
      <alignment horizontal="left"/>
    </xf>
    <xf numFmtId="0" fontId="4" fillId="0" borderId="22" xfId="0" applyFont="1" applyBorder="1" applyAlignment="1">
      <alignment horizontal="right"/>
    </xf>
    <xf numFmtId="165" fontId="0" fillId="0" borderId="0" xfId="1" applyNumberFormat="1" applyFont="1" applyAlignment="1">
      <alignment horizontal="right"/>
    </xf>
    <xf numFmtId="43" fontId="0" fillId="0" borderId="0" xfId="1" applyFont="1" applyAlignment="1">
      <alignment horizontal="right"/>
    </xf>
    <xf numFmtId="41" fontId="0" fillId="0" borderId="0" xfId="0" applyNumberFormat="1"/>
    <xf numFmtId="0" fontId="81" fillId="0" borderId="0" xfId="0" applyFont="1" applyAlignment="1">
      <alignment horizontal="right" wrapText="1"/>
    </xf>
    <xf numFmtId="0" fontId="84" fillId="0" borderId="0" xfId="0" applyFont="1"/>
    <xf numFmtId="0" fontId="81" fillId="0" borderId="0" xfId="0" applyFont="1" applyAlignment="1">
      <alignment horizontal="right"/>
    </xf>
    <xf numFmtId="0" fontId="29" fillId="0" borderId="0" xfId="0" applyFont="1"/>
    <xf numFmtId="173" fontId="82" fillId="0" borderId="0" xfId="0" applyNumberFormat="1" applyFont="1" applyAlignment="1">
      <alignment horizontal="right"/>
    </xf>
    <xf numFmtId="0" fontId="82" fillId="0" borderId="0" xfId="0" applyFont="1" applyAlignment="1">
      <alignment horizontal="right" wrapText="1"/>
    </xf>
    <xf numFmtId="0" fontId="86" fillId="0" borderId="0" xfId="0" applyFont="1"/>
    <xf numFmtId="0" fontId="84" fillId="0" borderId="63" xfId="0" applyFont="1" applyBorder="1"/>
    <xf numFmtId="0" fontId="29" fillId="0" borderId="19" xfId="0" applyFont="1" applyBorder="1"/>
    <xf numFmtId="173" fontId="29" fillId="0" borderId="19" xfId="0" applyNumberFormat="1" applyFont="1" applyBorder="1" applyAlignment="1">
      <alignment horizontal="right"/>
    </xf>
    <xf numFmtId="173" fontId="84" fillId="0" borderId="0" xfId="0" applyNumberFormat="1" applyFont="1" applyAlignment="1">
      <alignment horizontal="right"/>
    </xf>
    <xf numFmtId="173" fontId="86" fillId="0" borderId="0" xfId="0" applyNumberFormat="1" applyFont="1" applyAlignment="1">
      <alignment horizontal="right"/>
    </xf>
    <xf numFmtId="173" fontId="84" fillId="0" borderId="63" xfId="0" applyNumberFormat="1" applyFont="1" applyBorder="1" applyAlignment="1">
      <alignment horizontal="right"/>
    </xf>
    <xf numFmtId="173" fontId="86" fillId="0" borderId="63" xfId="0" applyNumberFormat="1" applyFont="1" applyBorder="1" applyAlignment="1">
      <alignment horizontal="right"/>
    </xf>
    <xf numFmtId="174" fontId="86" fillId="0" borderId="0" xfId="0" applyNumberFormat="1" applyFont="1" applyAlignment="1">
      <alignment horizontal="right"/>
    </xf>
    <xf numFmtId="173" fontId="29" fillId="0" borderId="0" xfId="0" applyNumberFormat="1" applyFont="1" applyAlignment="1">
      <alignment horizontal="right"/>
    </xf>
    <xf numFmtId="0" fontId="84" fillId="0" borderId="27" xfId="0" applyFont="1" applyBorder="1" applyAlignment="1">
      <alignment vertical="center"/>
    </xf>
    <xf numFmtId="0" fontId="89" fillId="0" borderId="0" xfId="0" applyFont="1" applyAlignment="1">
      <alignment horizontal="justify" vertical="center"/>
    </xf>
    <xf numFmtId="173" fontId="84" fillId="0" borderId="0" xfId="0" applyNumberFormat="1" applyFont="1" applyAlignment="1">
      <alignment horizontal="center"/>
    </xf>
    <xf numFmtId="0" fontId="86" fillId="0" borderId="0" xfId="0" applyFont="1" applyAlignment="1">
      <alignment horizontal="right" wrapText="1"/>
    </xf>
    <xf numFmtId="9" fontId="84" fillId="0" borderId="0" xfId="0" applyNumberFormat="1" applyFont="1" applyAlignment="1">
      <alignment horizontal="center" wrapText="1"/>
    </xf>
    <xf numFmtId="0" fontId="29" fillId="0" borderId="0" xfId="0" applyFont="1" applyAlignment="1">
      <alignment horizontal="right" wrapText="1"/>
    </xf>
    <xf numFmtId="0" fontId="29" fillId="0" borderId="0" xfId="0" applyFont="1" applyAlignment="1">
      <alignment horizontal="right"/>
    </xf>
    <xf numFmtId="0" fontId="86" fillId="0" borderId="0" xfId="0" applyFont="1" applyAlignment="1">
      <alignment horizontal="center"/>
    </xf>
    <xf numFmtId="0" fontId="86" fillId="0" borderId="0" xfId="0" applyFont="1" applyAlignment="1">
      <alignment horizontal="center" wrapText="1"/>
    </xf>
    <xf numFmtId="0" fontId="86" fillId="0" borderId="0" xfId="0" applyFont="1" applyAlignment="1">
      <alignment horizontal="left"/>
    </xf>
    <xf numFmtId="0" fontId="29" fillId="0" borderId="0" xfId="0" applyFont="1" applyAlignment="1">
      <alignment horizontal="center"/>
    </xf>
    <xf numFmtId="0" fontId="29" fillId="0" borderId="0" xfId="0" applyFont="1" applyAlignment="1">
      <alignment horizontal="center" wrapText="1"/>
    </xf>
    <xf numFmtId="0" fontId="81" fillId="0" borderId="0" xfId="0" applyFont="1" applyAlignment="1">
      <alignment horizontal="center" vertical="center"/>
    </xf>
    <xf numFmtId="0" fontId="82" fillId="0" borderId="0" xfId="0" applyFont="1" applyAlignment="1">
      <alignment horizontal="right" vertical="center"/>
    </xf>
    <xf numFmtId="0" fontId="82" fillId="0" borderId="0" xfId="0" applyFont="1" applyAlignment="1">
      <alignment vertical="center"/>
    </xf>
    <xf numFmtId="0" fontId="81" fillId="0" borderId="0" xfId="0" applyFont="1" applyAlignment="1">
      <alignment horizontal="right" vertical="center"/>
    </xf>
    <xf numFmtId="0" fontId="81" fillId="0" borderId="22" xfId="0" applyFont="1" applyBorder="1" applyAlignment="1">
      <alignment vertical="center"/>
    </xf>
    <xf numFmtId="0" fontId="81" fillId="0" borderId="22" xfId="0" applyFont="1" applyBorder="1" applyAlignment="1">
      <alignment horizontal="center" vertical="center"/>
    </xf>
    <xf numFmtId="0" fontId="82" fillId="0" borderId="63" xfId="0" applyFont="1" applyBorder="1" applyAlignment="1">
      <alignment vertical="center"/>
    </xf>
    <xf numFmtId="0" fontId="81" fillId="0" borderId="63" xfId="0" applyFont="1" applyBorder="1" applyAlignment="1">
      <alignment horizontal="center" vertical="center"/>
    </xf>
    <xf numFmtId="0" fontId="82" fillId="0" borderId="63" xfId="0" applyFont="1" applyBorder="1" applyAlignment="1">
      <alignment horizontal="right" vertical="center" wrapText="1"/>
    </xf>
    <xf numFmtId="173" fontId="82" fillId="0" borderId="63" xfId="0" applyNumberFormat="1" applyFont="1" applyBorder="1" applyAlignment="1">
      <alignment horizontal="right" vertical="center"/>
    </xf>
    <xf numFmtId="0" fontId="81" fillId="0" borderId="0" xfId="0" applyFont="1" applyAlignment="1">
      <alignment vertical="center"/>
    </xf>
    <xf numFmtId="0" fontId="82" fillId="0" borderId="0" xfId="0" applyFont="1" applyAlignment="1">
      <alignment horizontal="right" vertical="center" wrapText="1"/>
    </xf>
    <xf numFmtId="173" fontId="82" fillId="0" borderId="0" xfId="0" applyNumberFormat="1" applyFont="1" applyAlignment="1">
      <alignment horizontal="right" vertical="center"/>
    </xf>
    <xf numFmtId="0" fontId="82" fillId="0" borderId="59" xfId="0" applyFont="1" applyBorder="1" applyAlignment="1">
      <alignment vertical="center"/>
    </xf>
    <xf numFmtId="0" fontId="81" fillId="0" borderId="59" xfId="0" applyFont="1" applyBorder="1" applyAlignment="1">
      <alignment horizontal="center" vertical="center"/>
    </xf>
    <xf numFmtId="0" fontId="82" fillId="0" borderId="59" xfId="0" applyFont="1" applyBorder="1" applyAlignment="1">
      <alignment horizontal="right" vertical="center" wrapText="1"/>
    </xf>
    <xf numFmtId="173" fontId="82" fillId="0" borderId="59" xfId="0" applyNumberFormat="1" applyFont="1" applyBorder="1" applyAlignment="1">
      <alignment horizontal="right" vertical="center"/>
    </xf>
    <xf numFmtId="0" fontId="80" fillId="0" borderId="0" xfId="0" applyFont="1" applyAlignment="1">
      <alignment vertical="center"/>
    </xf>
    <xf numFmtId="0" fontId="80" fillId="0" borderId="0" xfId="0" applyFont="1" applyAlignment="1">
      <alignment horizontal="center" vertical="center"/>
    </xf>
    <xf numFmtId="0" fontId="80" fillId="0" borderId="0" xfId="0" applyFont="1" applyAlignment="1">
      <alignment horizontal="right" vertical="center" wrapText="1"/>
    </xf>
    <xf numFmtId="0" fontId="83" fillId="0" borderId="0" xfId="0" applyFont="1" applyAlignment="1">
      <alignment horizontal="right" vertical="center" wrapText="1"/>
    </xf>
    <xf numFmtId="43" fontId="81" fillId="0" borderId="0" xfId="0" applyNumberFormat="1" applyFont="1" applyAlignment="1">
      <alignment horizontal="right" vertical="center"/>
    </xf>
    <xf numFmtId="0" fontId="81" fillId="0" borderId="1" xfId="0" applyFont="1" applyBorder="1" applyAlignment="1">
      <alignment vertical="center" wrapText="1"/>
    </xf>
    <xf numFmtId="0" fontId="81" fillId="0" borderId="1" xfId="0" applyFont="1" applyBorder="1" applyAlignment="1">
      <alignment horizontal="center" vertical="center"/>
    </xf>
    <xf numFmtId="0" fontId="81" fillId="0" borderId="1" xfId="0" applyFont="1" applyBorder="1" applyAlignment="1">
      <alignment horizontal="right" vertical="center" wrapText="1"/>
    </xf>
    <xf numFmtId="41" fontId="81" fillId="0" borderId="1" xfId="0" applyNumberFormat="1" applyFont="1" applyBorder="1" applyAlignment="1">
      <alignment horizontal="right" vertical="center"/>
    </xf>
    <xf numFmtId="0" fontId="85" fillId="0" borderId="0" xfId="0" applyFont="1" applyAlignment="1">
      <alignment vertical="center"/>
    </xf>
    <xf numFmtId="0" fontId="82" fillId="0" borderId="2" xfId="0" applyFont="1" applyBorder="1" applyAlignment="1">
      <alignment vertical="center"/>
    </xf>
    <xf numFmtId="0" fontId="82" fillId="0" borderId="32" xfId="0" applyFont="1" applyBorder="1" applyAlignment="1">
      <alignment vertical="center"/>
    </xf>
    <xf numFmtId="0" fontId="82" fillId="0" borderId="32" xfId="0" applyFont="1" applyBorder="1" applyAlignment="1">
      <alignment horizontal="right" vertical="center" wrapText="1"/>
    </xf>
    <xf numFmtId="173" fontId="82" fillId="0" borderId="32" xfId="0" applyNumberFormat="1" applyFont="1" applyBorder="1" applyAlignment="1">
      <alignment horizontal="right" vertical="center"/>
    </xf>
    <xf numFmtId="0" fontId="84" fillId="0" borderId="0" xfId="0" applyFont="1" applyAlignment="1">
      <alignment vertical="center"/>
    </xf>
    <xf numFmtId="0" fontId="90" fillId="0" borderId="22" xfId="0" applyFont="1" applyBorder="1" applyAlignment="1">
      <alignment horizontal="center" wrapText="1"/>
    </xf>
    <xf numFmtId="0" fontId="93" fillId="0" borderId="0" xfId="0" applyFont="1"/>
    <xf numFmtId="0" fontId="4" fillId="0" borderId="22" xfId="0" applyFont="1" applyBorder="1" applyAlignment="1">
      <alignment wrapText="1"/>
    </xf>
    <xf numFmtId="0" fontId="65" fillId="17" borderId="13" xfId="10" applyFont="1" applyFill="1" applyBorder="1"/>
    <xf numFmtId="0" fontId="54" fillId="0" borderId="0" xfId="0" applyFont="1"/>
    <xf numFmtId="0" fontId="17" fillId="0" borderId="0" xfId="0" applyFont="1" applyAlignment="1">
      <alignment horizontal="left" vertical="center" wrapText="1"/>
    </xf>
    <xf numFmtId="167" fontId="21" fillId="3" borderId="41" xfId="0" applyNumberFormat="1" applyFont="1" applyFill="1" applyBorder="1" applyAlignment="1">
      <alignment horizontal="right" wrapText="1"/>
    </xf>
    <xf numFmtId="0" fontId="21" fillId="3" borderId="40" xfId="0" applyFont="1" applyFill="1" applyBorder="1" applyAlignment="1">
      <alignment vertical="center" wrapText="1"/>
    </xf>
    <xf numFmtId="0" fontId="21" fillId="3" borderId="32" xfId="0" applyFont="1" applyFill="1" applyBorder="1" applyAlignment="1">
      <alignment horizontal="center" wrapText="1"/>
    </xf>
    <xf numFmtId="167" fontId="21" fillId="3" borderId="32" xfId="0" applyNumberFormat="1" applyFont="1" applyFill="1" applyBorder="1" applyAlignment="1">
      <alignment horizontal="right" wrapText="1"/>
    </xf>
    <xf numFmtId="0" fontId="21" fillId="3" borderId="32" xfId="0" applyFont="1" applyFill="1" applyBorder="1" applyAlignment="1">
      <alignment horizontal="right" wrapText="1"/>
    </xf>
    <xf numFmtId="0" fontId="52" fillId="0" borderId="32" xfId="0" applyFont="1" applyBorder="1" applyAlignment="1">
      <alignment vertical="center" wrapText="1"/>
    </xf>
    <xf numFmtId="0" fontId="10" fillId="0" borderId="32" xfId="0" applyFont="1" applyBorder="1" applyAlignment="1">
      <alignment horizontal="right" vertical="center" wrapText="1"/>
    </xf>
    <xf numFmtId="165" fontId="10" fillId="0" borderId="32" xfId="1" applyNumberFormat="1" applyFont="1" applyFill="1" applyBorder="1" applyAlignment="1">
      <alignment horizontal="right" vertical="center" wrapText="1"/>
    </xf>
    <xf numFmtId="0" fontId="11" fillId="0" borderId="32" xfId="0" applyFont="1" applyBorder="1" applyAlignment="1">
      <alignment vertical="center" wrapText="1"/>
    </xf>
    <xf numFmtId="0" fontId="52" fillId="0" borderId="22" xfId="0" applyFont="1" applyBorder="1" applyAlignment="1">
      <alignment vertical="center" wrapText="1"/>
    </xf>
    <xf numFmtId="0" fontId="10" fillId="0" borderId="22" xfId="0" applyFont="1" applyBorder="1" applyAlignment="1">
      <alignment horizontal="right" vertical="center" wrapText="1"/>
    </xf>
    <xf numFmtId="165" fontId="10" fillId="0" borderId="22" xfId="1" applyNumberFormat="1" applyFont="1" applyFill="1" applyBorder="1" applyAlignment="1">
      <alignment horizontal="right" vertical="center" wrapText="1"/>
    </xf>
    <xf numFmtId="43" fontId="11" fillId="5" borderId="13" xfId="1" applyFont="1" applyFill="1" applyBorder="1" applyAlignment="1">
      <alignment horizontal="left" vertical="center"/>
    </xf>
    <xf numFmtId="165" fontId="9" fillId="2" borderId="23" xfId="1" applyNumberFormat="1" applyFont="1" applyFill="1" applyBorder="1" applyAlignment="1">
      <alignment vertical="center"/>
    </xf>
    <xf numFmtId="0" fontId="17" fillId="7" borderId="27" xfId="0" applyFont="1" applyFill="1" applyBorder="1" applyAlignment="1">
      <alignment horizontal="left" wrapText="1"/>
    </xf>
    <xf numFmtId="0" fontId="9" fillId="5" borderId="0" xfId="0" applyFont="1" applyFill="1" applyAlignment="1">
      <alignment horizontal="left" vertical="center"/>
    </xf>
    <xf numFmtId="0" fontId="11" fillId="0" borderId="32" xfId="0" applyFont="1" applyBorder="1" applyAlignment="1">
      <alignment horizontal="left"/>
    </xf>
    <xf numFmtId="0" fontId="10" fillId="0" borderId="32" xfId="0" applyFont="1" applyBorder="1" applyAlignment="1">
      <alignment horizontal="right"/>
    </xf>
    <xf numFmtId="41" fontId="10" fillId="0" borderId="32" xfId="0" applyNumberFormat="1" applyFont="1" applyBorder="1" applyAlignment="1">
      <alignment horizontal="right"/>
    </xf>
    <xf numFmtId="41" fontId="11" fillId="0" borderId="32" xfId="0" applyNumberFormat="1" applyFont="1" applyBorder="1" applyAlignment="1">
      <alignment horizontal="right"/>
    </xf>
    <xf numFmtId="0" fontId="15" fillId="0" borderId="32" xfId="0" applyFont="1" applyBorder="1" applyAlignment="1">
      <alignment horizontal="right"/>
    </xf>
    <xf numFmtId="41" fontId="9" fillId="0" borderId="32" xfId="0" applyNumberFormat="1" applyFont="1" applyBorder="1" applyAlignment="1">
      <alignment horizontal="right"/>
    </xf>
    <xf numFmtId="0" fontId="95" fillId="0" borderId="0" xfId="0" applyFont="1"/>
    <xf numFmtId="0" fontId="9" fillId="0" borderId="22" xfId="0" applyFont="1" applyBorder="1" applyAlignment="1">
      <alignment horizontal="right" vertical="center" wrapText="1"/>
    </xf>
    <xf numFmtId="41" fontId="9" fillId="0" borderId="22" xfId="0" applyNumberFormat="1" applyFont="1" applyBorder="1" applyAlignment="1">
      <alignment horizontal="right" vertical="center" wrapText="1"/>
    </xf>
    <xf numFmtId="0" fontId="11" fillId="0" borderId="32" xfId="0" applyFont="1" applyBorder="1" applyAlignment="1">
      <alignment vertical="center"/>
    </xf>
    <xf numFmtId="0" fontId="11" fillId="0" borderId="32" xfId="0" applyFont="1" applyBorder="1" applyAlignment="1">
      <alignment horizontal="center" vertical="center"/>
    </xf>
    <xf numFmtId="0" fontId="11" fillId="0" borderId="32" xfId="0" applyFont="1" applyBorder="1" applyAlignment="1">
      <alignment horizontal="right" vertical="center"/>
    </xf>
    <xf numFmtId="41" fontId="11" fillId="0" borderId="32" xfId="0" applyNumberFormat="1" applyFont="1" applyBorder="1" applyAlignment="1">
      <alignment horizontal="right" vertical="center"/>
    </xf>
    <xf numFmtId="41" fontId="10" fillId="0" borderId="32" xfId="0" applyNumberFormat="1" applyFont="1" applyBorder="1" applyAlignment="1">
      <alignment horizontal="right" vertical="center"/>
    </xf>
    <xf numFmtId="0" fontId="10" fillId="0" borderId="32" xfId="0" applyFont="1" applyBorder="1" applyAlignment="1">
      <alignment vertical="center"/>
    </xf>
    <xf numFmtId="0" fontId="9" fillId="0" borderId="32" xfId="0" applyFont="1" applyBorder="1" applyAlignment="1">
      <alignment horizontal="center" vertical="center"/>
    </xf>
    <xf numFmtId="0" fontId="10" fillId="0" borderId="32" xfId="0" applyFont="1" applyBorder="1" applyAlignment="1">
      <alignment horizontal="right" vertical="center"/>
    </xf>
    <xf numFmtId="0" fontId="21" fillId="3" borderId="32" xfId="0" applyFont="1" applyFill="1" applyBorder="1" applyAlignment="1">
      <alignment horizontal="right" vertical="center" wrapText="1"/>
    </xf>
    <xf numFmtId="0" fontId="21" fillId="3" borderId="31" xfId="0" applyFont="1" applyFill="1" applyBorder="1" applyAlignment="1">
      <alignment horizontal="right" wrapText="1"/>
    </xf>
    <xf numFmtId="41" fontId="10" fillId="0" borderId="31" xfId="0" applyNumberFormat="1" applyFont="1" applyBorder="1" applyAlignment="1">
      <alignment horizontal="right" vertical="center"/>
    </xf>
    <xf numFmtId="41" fontId="15" fillId="0" borderId="23" xfId="0" applyNumberFormat="1" applyFont="1" applyBorder="1" applyAlignment="1">
      <alignment horizontal="right" vertical="center" wrapText="1"/>
    </xf>
    <xf numFmtId="0" fontId="21" fillId="3" borderId="32" xfId="0" applyFont="1" applyFill="1" applyBorder="1" applyAlignment="1">
      <alignment horizontal="center" vertical="center" wrapText="1"/>
    </xf>
    <xf numFmtId="0" fontId="80" fillId="3" borderId="67" xfId="0" applyFont="1" applyFill="1" applyBorder="1"/>
    <xf numFmtId="0" fontId="80" fillId="3" borderId="67" xfId="0" applyFont="1" applyFill="1" applyBorder="1" applyAlignment="1">
      <alignment horizontal="center"/>
    </xf>
    <xf numFmtId="0" fontId="80" fillId="3" borderId="67" xfId="0" applyFont="1" applyFill="1" applyBorder="1" applyAlignment="1">
      <alignment horizontal="right" wrapText="1"/>
    </xf>
    <xf numFmtId="15" fontId="80" fillId="3" borderId="67" xfId="0" applyNumberFormat="1" applyFont="1" applyFill="1" applyBorder="1" applyAlignment="1">
      <alignment horizontal="right" wrapText="1"/>
    </xf>
    <xf numFmtId="0" fontId="80" fillId="3" borderId="63" xfId="0" applyFont="1" applyFill="1" applyBorder="1"/>
    <xf numFmtId="0" fontId="80" fillId="3" borderId="63" xfId="0" applyFont="1" applyFill="1" applyBorder="1" applyAlignment="1">
      <alignment horizontal="center"/>
    </xf>
    <xf numFmtId="0" fontId="80" fillId="3" borderId="63" xfId="0" applyFont="1" applyFill="1" applyBorder="1" applyAlignment="1">
      <alignment horizontal="right" wrapText="1"/>
    </xf>
    <xf numFmtId="0" fontId="21" fillId="3" borderId="30" xfId="0" applyFont="1" applyFill="1" applyBorder="1" applyAlignment="1">
      <alignment horizontal="right" wrapText="1"/>
    </xf>
    <xf numFmtId="41" fontId="15" fillId="0" borderId="0" xfId="0" applyNumberFormat="1" applyFont="1" applyAlignment="1">
      <alignment horizontal="right" vertical="center" wrapText="1"/>
    </xf>
    <xf numFmtId="0" fontId="13" fillId="0" borderId="0" xfId="0" applyFont="1" applyAlignment="1">
      <alignment horizontal="right" vertical="center" wrapText="1"/>
    </xf>
    <xf numFmtId="41" fontId="43" fillId="0" borderId="0" xfId="0" applyNumberFormat="1" applyFont="1" applyAlignment="1">
      <alignment horizontal="right"/>
    </xf>
    <xf numFmtId="0" fontId="80" fillId="3" borderId="22" xfId="0" applyFont="1" applyFill="1" applyBorder="1"/>
    <xf numFmtId="0" fontId="80" fillId="3" borderId="22" xfId="0" applyFont="1" applyFill="1" applyBorder="1" applyAlignment="1">
      <alignment horizontal="right" wrapText="1"/>
    </xf>
    <xf numFmtId="0" fontId="80" fillId="3" borderId="68" xfId="0" applyFont="1" applyFill="1" applyBorder="1"/>
    <xf numFmtId="0" fontId="80" fillId="3" borderId="68" xfId="0" applyFont="1" applyFill="1" applyBorder="1" applyAlignment="1">
      <alignment horizontal="right" wrapText="1"/>
    </xf>
    <xf numFmtId="0" fontId="80" fillId="3" borderId="27" xfId="0" applyFont="1" applyFill="1" applyBorder="1" applyAlignment="1">
      <alignment horizontal="right" wrapText="1"/>
    </xf>
    <xf numFmtId="43" fontId="96" fillId="0" borderId="0" xfId="1" applyFont="1" applyAlignment="1">
      <alignment horizontal="right" wrapText="1"/>
    </xf>
    <xf numFmtId="41" fontId="10" fillId="0" borderId="32" xfId="0" applyNumberFormat="1" applyFont="1" applyBorder="1" applyAlignment="1">
      <alignment horizontal="right" vertical="center" wrapText="1"/>
    </xf>
    <xf numFmtId="0" fontId="11" fillId="0" borderId="32" xfId="0" applyFont="1" applyBorder="1" applyAlignment="1">
      <alignment horizontal="right" vertical="center" wrapText="1"/>
    </xf>
    <xf numFmtId="173" fontId="43" fillId="0" borderId="0" xfId="0" applyNumberFormat="1" applyFont="1" applyAlignment="1">
      <alignment horizontal="right"/>
    </xf>
    <xf numFmtId="0" fontId="32" fillId="0" borderId="0" xfId="0" applyFont="1" applyAlignment="1">
      <alignment horizontal="center"/>
    </xf>
    <xf numFmtId="0" fontId="72" fillId="0" borderId="22" xfId="0" applyFont="1" applyBorder="1" applyAlignment="1">
      <alignment vertical="center" wrapText="1"/>
    </xf>
    <xf numFmtId="43" fontId="72" fillId="0" borderId="22" xfId="1" applyFont="1" applyFill="1" applyBorder="1" applyAlignment="1">
      <alignment vertical="center" wrapText="1"/>
    </xf>
    <xf numFmtId="0" fontId="4" fillId="0" borderId="0" xfId="0" applyFont="1"/>
    <xf numFmtId="43" fontId="43" fillId="0" borderId="23" xfId="0" applyNumberFormat="1" applyFont="1" applyBorder="1" applyAlignment="1">
      <alignment horizontal="center" wrapText="1"/>
    </xf>
    <xf numFmtId="168" fontId="4" fillId="12" borderId="13" xfId="0" applyNumberFormat="1" applyFont="1" applyFill="1" applyBorder="1" applyAlignment="1">
      <alignment horizontal="left" wrapText="1"/>
    </xf>
    <xf numFmtId="43" fontId="51" fillId="0" borderId="0" xfId="1" applyFont="1" applyAlignment="1">
      <alignment horizontal="right" wrapText="1"/>
    </xf>
    <xf numFmtId="43" fontId="51" fillId="0" borderId="27" xfId="1" applyFont="1" applyBorder="1" applyAlignment="1">
      <alignment wrapText="1"/>
    </xf>
    <xf numFmtId="43" fontId="11" fillId="0" borderId="0" xfId="1" applyFont="1" applyFill="1" applyBorder="1" applyAlignment="1">
      <alignment horizontal="left" vertical="center"/>
    </xf>
    <xf numFmtId="0" fontId="17" fillId="7" borderId="32" xfId="0" applyFont="1" applyFill="1" applyBorder="1" applyAlignment="1">
      <alignment horizontal="left" wrapText="1"/>
    </xf>
    <xf numFmtId="0" fontId="17" fillId="7" borderId="13" xfId="0" applyFont="1" applyFill="1" applyBorder="1" applyAlignment="1">
      <alignment horizontal="center" wrapText="1"/>
    </xf>
    <xf numFmtId="43" fontId="43" fillId="0" borderId="0" xfId="0" applyNumberFormat="1" applyFont="1" applyAlignment="1">
      <alignment horizontal="center" wrapText="1"/>
    </xf>
    <xf numFmtId="14" fontId="70" fillId="0" borderId="0" xfId="0" applyNumberFormat="1" applyFont="1" applyAlignment="1">
      <alignment horizontal="center" wrapText="1"/>
    </xf>
    <xf numFmtId="43" fontId="72" fillId="0" borderId="0" xfId="1" applyFont="1" applyFill="1" applyBorder="1" applyAlignment="1">
      <alignment horizontal="center" vertical="center" wrapText="1"/>
    </xf>
    <xf numFmtId="165" fontId="15" fillId="0" borderId="22" xfId="1" applyNumberFormat="1" applyFont="1" applyFill="1" applyBorder="1" applyAlignment="1">
      <alignment horizontal="right" vertical="center" wrapText="1"/>
    </xf>
    <xf numFmtId="0" fontId="11" fillId="0" borderId="0" xfId="0" applyFont="1" applyAlignment="1">
      <alignment horizontal="center" vertical="center"/>
    </xf>
    <xf numFmtId="0" fontId="21" fillId="3" borderId="69" xfId="0" applyFont="1" applyFill="1" applyBorder="1" applyAlignment="1">
      <alignment wrapText="1"/>
    </xf>
    <xf numFmtId="0" fontId="21" fillId="3" borderId="70" xfId="0" applyFont="1" applyFill="1" applyBorder="1" applyAlignment="1">
      <alignment horizontal="center" wrapText="1"/>
    </xf>
    <xf numFmtId="167" fontId="21" fillId="3" borderId="70" xfId="0" applyNumberFormat="1" applyFont="1" applyFill="1" applyBorder="1" applyAlignment="1">
      <alignment horizontal="right" wrapText="1"/>
    </xf>
    <xf numFmtId="0" fontId="21" fillId="3" borderId="70" xfId="0" applyFont="1" applyFill="1" applyBorder="1" applyAlignment="1">
      <alignment horizontal="right" wrapText="1"/>
    </xf>
    <xf numFmtId="0" fontId="17" fillId="7" borderId="13" xfId="0" applyFont="1" applyFill="1" applyBorder="1" applyAlignment="1">
      <alignment horizontal="left" wrapText="1"/>
    </xf>
    <xf numFmtId="0" fontId="8" fillId="0" borderId="22" xfId="0" applyFont="1" applyBorder="1" applyAlignment="1">
      <alignment horizontal="center" wrapText="1"/>
    </xf>
    <xf numFmtId="0" fontId="8" fillId="0" borderId="22" xfId="0" applyFont="1" applyBorder="1" applyAlignment="1">
      <alignment horizontal="left" wrapText="1"/>
    </xf>
    <xf numFmtId="165" fontId="0" fillId="0" borderId="0" xfId="1" applyNumberFormat="1" applyFont="1"/>
    <xf numFmtId="0" fontId="98" fillId="0" borderId="0" xfId="37" applyFont="1"/>
    <xf numFmtId="14" fontId="98" fillId="21" borderId="22" xfId="37" applyNumberFormat="1" applyFont="1" applyFill="1" applyBorder="1"/>
    <xf numFmtId="0" fontId="87" fillId="0" borderId="71" xfId="37" applyFont="1" applyBorder="1" applyAlignment="1">
      <alignment horizontal="right"/>
    </xf>
    <xf numFmtId="0" fontId="4" fillId="17" borderId="13" xfId="0" applyFont="1" applyFill="1" applyBorder="1" applyAlignment="1">
      <alignment horizontal="center"/>
    </xf>
    <xf numFmtId="0" fontId="4" fillId="22" borderId="13" xfId="0" applyFont="1" applyFill="1" applyBorder="1" applyAlignment="1">
      <alignment horizontal="center"/>
    </xf>
    <xf numFmtId="0" fontId="4" fillId="17" borderId="13" xfId="0" applyFont="1" applyFill="1" applyBorder="1" applyAlignment="1">
      <alignment horizontal="right"/>
    </xf>
    <xf numFmtId="166" fontId="4" fillId="17" borderId="13" xfId="11" applyNumberFormat="1" applyFont="1" applyFill="1" applyBorder="1" applyAlignment="1">
      <alignment horizontal="right"/>
    </xf>
    <xf numFmtId="9" fontId="4" fillId="17" borderId="13" xfId="19" applyFont="1" applyFill="1" applyBorder="1" applyAlignment="1">
      <alignment horizontal="right"/>
    </xf>
    <xf numFmtId="166" fontId="4" fillId="17" borderId="13" xfId="19" applyNumberFormat="1" applyFont="1" applyFill="1" applyBorder="1" applyAlignment="1">
      <alignment horizontal="right"/>
    </xf>
    <xf numFmtId="166" fontId="4" fillId="22" borderId="13" xfId="11" applyNumberFormat="1" applyFont="1" applyFill="1" applyBorder="1" applyAlignment="1">
      <alignment horizontal="right"/>
    </xf>
    <xf numFmtId="165" fontId="0" fillId="0" borderId="0" xfId="1" applyNumberFormat="1" applyFont="1" applyFill="1"/>
    <xf numFmtId="0" fontId="4" fillId="0" borderId="0" xfId="0" applyFont="1" applyAlignment="1">
      <alignment horizontal="left"/>
    </xf>
    <xf numFmtId="165" fontId="87" fillId="0" borderId="27" xfId="1" applyNumberFormat="1" applyFont="1" applyFill="1" applyBorder="1"/>
    <xf numFmtId="166" fontId="3" fillId="0" borderId="0" xfId="11" applyNumberFormat="1" applyFont="1" applyFill="1"/>
    <xf numFmtId="0" fontId="4" fillId="0" borderId="27" xfId="0" applyFont="1" applyBorder="1"/>
    <xf numFmtId="166" fontId="4" fillId="0" borderId="27" xfId="11" applyNumberFormat="1" applyFont="1" applyFill="1" applyBorder="1"/>
    <xf numFmtId="166" fontId="0" fillId="0" borderId="0" xfId="11" applyNumberFormat="1" applyFont="1" applyFill="1"/>
    <xf numFmtId="166" fontId="0" fillId="0" borderId="0" xfId="0" applyNumberFormat="1"/>
    <xf numFmtId="166" fontId="4" fillId="0" borderId="27" xfId="11" applyNumberFormat="1" applyFont="1" applyBorder="1"/>
    <xf numFmtId="166" fontId="4" fillId="0" borderId="0" xfId="0" applyNumberFormat="1" applyFont="1"/>
    <xf numFmtId="41" fontId="10" fillId="0" borderId="27" xfId="0" applyNumberFormat="1" applyFont="1" applyBorder="1" applyAlignment="1">
      <alignment horizontal="right"/>
    </xf>
    <xf numFmtId="173" fontId="86" fillId="0" borderId="0" xfId="1" applyNumberFormat="1" applyFont="1" applyFill="1" applyAlignment="1">
      <alignment vertical="center" wrapText="1"/>
    </xf>
    <xf numFmtId="3" fontId="82" fillId="0" borderId="2" xfId="0" applyNumberFormat="1" applyFont="1" applyBorder="1" applyAlignment="1">
      <alignment horizontal="right" vertical="center"/>
    </xf>
    <xf numFmtId="173" fontId="87" fillId="0" borderId="2" xfId="1" applyNumberFormat="1" applyFont="1" applyFill="1" applyBorder="1" applyAlignment="1">
      <alignment vertical="center" wrapText="1"/>
    </xf>
    <xf numFmtId="173" fontId="87" fillId="0" borderId="0" xfId="1" applyNumberFormat="1" applyFont="1" applyFill="1" applyAlignment="1">
      <alignment vertical="center" wrapText="1"/>
    </xf>
    <xf numFmtId="0" fontId="81" fillId="0" borderId="1" xfId="0" applyFont="1" applyBorder="1" applyAlignment="1">
      <alignment vertical="center"/>
    </xf>
    <xf numFmtId="43" fontId="41" fillId="0" borderId="0" xfId="1" applyFont="1" applyAlignment="1">
      <alignment wrapText="1"/>
    </xf>
    <xf numFmtId="43" fontId="41" fillId="0" borderId="0" xfId="1" applyFont="1" applyAlignment="1">
      <alignment horizontal="right" wrapText="1"/>
    </xf>
    <xf numFmtId="0" fontId="100" fillId="0" borderId="0" xfId="0" applyFont="1"/>
    <xf numFmtId="3" fontId="101" fillId="0" borderId="0" xfId="0" applyNumberFormat="1" applyFont="1" applyAlignment="1">
      <alignment horizontal="left" wrapText="1"/>
    </xf>
    <xf numFmtId="3" fontId="101" fillId="0" borderId="22" xfId="0" applyNumberFormat="1" applyFont="1" applyBorder="1" applyAlignment="1">
      <alignment horizontal="left" wrapText="1"/>
    </xf>
    <xf numFmtId="0" fontId="102" fillId="0" borderId="32" xfId="0" applyFont="1" applyBorder="1" applyAlignment="1">
      <alignment wrapText="1"/>
    </xf>
    <xf numFmtId="0" fontId="101" fillId="0" borderId="0" xfId="0" applyFont="1" applyAlignment="1">
      <alignment wrapText="1"/>
    </xf>
    <xf numFmtId="0" fontId="101" fillId="0" borderId="0" xfId="0" applyFont="1"/>
    <xf numFmtId="0" fontId="102" fillId="0" borderId="22" xfId="0" applyFont="1" applyBorder="1"/>
    <xf numFmtId="0" fontId="101" fillId="0" borderId="22" xfId="0" applyFont="1" applyBorder="1"/>
    <xf numFmtId="43" fontId="59" fillId="0" borderId="0" xfId="0" applyNumberFormat="1" applyFont="1" applyAlignment="1">
      <alignment horizontal="right"/>
    </xf>
    <xf numFmtId="180" fontId="5" fillId="0" borderId="0" xfId="1" applyNumberFormat="1" applyFont="1"/>
    <xf numFmtId="44" fontId="101" fillId="0" borderId="0" xfId="11" applyFont="1"/>
    <xf numFmtId="0" fontId="102" fillId="0" borderId="0" xfId="0" applyFont="1"/>
    <xf numFmtId="166" fontId="101" fillId="0" borderId="0" xfId="11" applyNumberFormat="1" applyFont="1"/>
    <xf numFmtId="166" fontId="57" fillId="0" borderId="5" xfId="11" applyNumberFormat="1" applyFont="1" applyBorder="1"/>
    <xf numFmtId="181" fontId="101" fillId="0" borderId="32" xfId="11" applyNumberFormat="1" applyFont="1" applyBorder="1"/>
    <xf numFmtId="0" fontId="4" fillId="0" borderId="3" xfId="0" applyFont="1" applyBorder="1" applyAlignment="1">
      <alignment wrapText="1"/>
    </xf>
    <xf numFmtId="0" fontId="107" fillId="0" borderId="0" xfId="10" applyFont="1" applyAlignment="1">
      <alignment horizontal="left" wrapText="1"/>
    </xf>
    <xf numFmtId="0" fontId="105" fillId="0" borderId="0" xfId="10" applyFont="1"/>
    <xf numFmtId="0" fontId="106" fillId="0" borderId="0" xfId="10" applyFont="1"/>
    <xf numFmtId="165" fontId="8" fillId="0" borderId="0" xfId="1" applyNumberFormat="1" applyFont="1" applyAlignment="1"/>
    <xf numFmtId="165" fontId="108" fillId="0" borderId="0" xfId="1" applyNumberFormat="1" applyFont="1" applyAlignment="1">
      <alignment wrapText="1"/>
    </xf>
    <xf numFmtId="165" fontId="108" fillId="0" borderId="0" xfId="1" applyNumberFormat="1" applyFont="1" applyAlignment="1">
      <alignment horizontal="right" wrapText="1"/>
    </xf>
    <xf numFmtId="165" fontId="107" fillId="0" borderId="27" xfId="1" applyNumberFormat="1" applyFont="1" applyBorder="1" applyAlignment="1">
      <alignment horizontal="right" wrapText="1"/>
    </xf>
    <xf numFmtId="165" fontId="8" fillId="0" borderId="0" xfId="1" applyNumberFormat="1" applyFont="1"/>
    <xf numFmtId="165" fontId="67" fillId="0" borderId="22" xfId="1" applyNumberFormat="1" applyFont="1" applyBorder="1" applyAlignment="1">
      <alignment horizontal="center" wrapText="1"/>
    </xf>
    <xf numFmtId="0" fontId="78" fillId="0" borderId="0" xfId="10" applyFont="1" applyAlignment="1">
      <alignment horizontal="right" wrapText="1"/>
    </xf>
    <xf numFmtId="0" fontId="32" fillId="0" borderId="0" xfId="10" applyFont="1"/>
    <xf numFmtId="0" fontId="41" fillId="0" borderId="0" xfId="10" applyFont="1"/>
    <xf numFmtId="0" fontId="101" fillId="0" borderId="32" xfId="0" applyFont="1" applyBorder="1" applyAlignment="1">
      <alignment wrapText="1"/>
    </xf>
    <xf numFmtId="0" fontId="102" fillId="0" borderId="32" xfId="0" applyFont="1" applyBorder="1" applyAlignment="1">
      <alignment horizontal="right"/>
    </xf>
    <xf numFmtId="43" fontId="0" fillId="0" borderId="0" xfId="1" applyFont="1"/>
    <xf numFmtId="165" fontId="101" fillId="0" borderId="0" xfId="1" applyNumberFormat="1" applyFont="1"/>
    <xf numFmtId="165" fontId="102" fillId="0" borderId="32" xfId="1" quotePrefix="1" applyNumberFormat="1" applyFont="1" applyBorder="1" applyAlignment="1">
      <alignment horizontal="right"/>
    </xf>
    <xf numFmtId="165" fontId="59" fillId="0" borderId="0" xfId="0" applyNumberFormat="1" applyFont="1" applyAlignment="1">
      <alignment horizontal="right"/>
    </xf>
    <xf numFmtId="0" fontId="103" fillId="0" borderId="0" xfId="0" applyFont="1"/>
    <xf numFmtId="0" fontId="104" fillId="0" borderId="0" xfId="0" applyFont="1" applyAlignment="1">
      <alignment horizontal="center"/>
    </xf>
    <xf numFmtId="0" fontId="17" fillId="0" borderId="0" xfId="0" applyFont="1" applyAlignment="1">
      <alignment horizontal="center" vertical="center" wrapText="1"/>
    </xf>
    <xf numFmtId="0" fontId="109" fillId="0" borderId="0" xfId="0" applyFont="1"/>
    <xf numFmtId="166" fontId="111" fillId="0" borderId="73" xfId="11" applyNumberFormat="1" applyFont="1" applyBorder="1" applyAlignment="1">
      <alignment horizontal="center" vertical="center" wrapText="1"/>
    </xf>
    <xf numFmtId="0" fontId="112" fillId="0" borderId="72" xfId="0" applyFont="1" applyBorder="1" applyAlignment="1">
      <alignment horizontal="justify" vertical="center" wrapText="1"/>
    </xf>
    <xf numFmtId="0" fontId="111" fillId="0" borderId="0" xfId="0" applyFont="1" applyAlignment="1">
      <alignment horizontal="left" vertical="center"/>
    </xf>
    <xf numFmtId="165" fontId="109" fillId="0" borderId="0" xfId="1" applyNumberFormat="1" applyFont="1"/>
    <xf numFmtId="165" fontId="9" fillId="0" borderId="0" xfId="0" applyNumberFormat="1" applyFont="1"/>
    <xf numFmtId="0" fontId="13" fillId="0" borderId="0" xfId="0" applyFont="1"/>
    <xf numFmtId="166" fontId="11" fillId="0" borderId="13" xfId="11" applyNumberFormat="1" applyFont="1" applyBorder="1" applyAlignment="1">
      <alignment horizontal="right"/>
    </xf>
    <xf numFmtId="166" fontId="11" fillId="0" borderId="13" xfId="11" applyNumberFormat="1" applyFont="1" applyBorder="1"/>
    <xf numFmtId="166" fontId="11" fillId="0" borderId="0" xfId="11" applyNumberFormat="1" applyFont="1"/>
    <xf numFmtId="0" fontId="5" fillId="0" borderId="0" xfId="40"/>
    <xf numFmtId="0" fontId="115" fillId="0" borderId="0" xfId="40" applyFont="1"/>
    <xf numFmtId="9" fontId="0" fillId="0" borderId="0" xfId="42" applyFont="1" applyFill="1"/>
    <xf numFmtId="0" fontId="5" fillId="2" borderId="23" xfId="40" applyFill="1" applyBorder="1"/>
    <xf numFmtId="0" fontId="4" fillId="2" borderId="22" xfId="40" applyFont="1" applyFill="1" applyBorder="1" applyAlignment="1">
      <alignment horizontal="right"/>
    </xf>
    <xf numFmtId="0" fontId="4" fillId="2" borderId="26" xfId="40" applyFont="1" applyFill="1" applyBorder="1" applyAlignment="1">
      <alignment horizontal="right"/>
    </xf>
    <xf numFmtId="167" fontId="115" fillId="0" borderId="0" xfId="40" quotePrefix="1" applyNumberFormat="1" applyFont="1" applyAlignment="1">
      <alignment horizontal="left"/>
    </xf>
    <xf numFmtId="0" fontId="62" fillId="0" borderId="0" xfId="40" applyFont="1" applyAlignment="1">
      <alignment horizontal="right" wrapText="1"/>
    </xf>
    <xf numFmtId="0" fontId="57" fillId="2" borderId="23" xfId="40" applyFont="1" applyFill="1" applyBorder="1"/>
    <xf numFmtId="44" fontId="0" fillId="2" borderId="0" xfId="5" applyFont="1" applyFill="1" applyBorder="1"/>
    <xf numFmtId="44" fontId="0" fillId="2" borderId="24" xfId="5" applyFont="1" applyFill="1" applyBorder="1"/>
    <xf numFmtId="9" fontId="116" fillId="0" borderId="0" xfId="42" applyFont="1" applyFill="1" applyAlignment="1">
      <alignment horizontal="right"/>
    </xf>
    <xf numFmtId="0" fontId="4" fillId="2" borderId="23" xfId="40" applyFont="1" applyFill="1" applyBorder="1"/>
    <xf numFmtId="0" fontId="32" fillId="0" borderId="0" xfId="40" applyFont="1" applyAlignment="1">
      <alignment horizontal="right" wrapText="1"/>
    </xf>
    <xf numFmtId="0" fontId="57" fillId="0" borderId="0" xfId="40" applyFont="1" applyAlignment="1">
      <alignment horizontal="right" wrapText="1"/>
    </xf>
    <xf numFmtId="10" fontId="0" fillId="2" borderId="0" xfId="43" applyNumberFormat="1" applyFont="1" applyFill="1" applyBorder="1"/>
    <xf numFmtId="10" fontId="0" fillId="2" borderId="24" xfId="43" applyNumberFormat="1" applyFont="1" applyFill="1" applyBorder="1"/>
    <xf numFmtId="167" fontId="117" fillId="0" borderId="0" xfId="40" quotePrefix="1" applyNumberFormat="1" applyFont="1" applyAlignment="1">
      <alignment horizontal="left"/>
    </xf>
    <xf numFmtId="0" fontId="41" fillId="0" borderId="0" xfId="40" applyFont="1" applyAlignment="1">
      <alignment horizontal="right" wrapText="1"/>
    </xf>
    <xf numFmtId="43" fontId="0" fillId="2" borderId="0" xfId="1" applyFont="1" applyFill="1" applyBorder="1"/>
    <xf numFmtId="43" fontId="0" fillId="2" borderId="24" xfId="1" applyFont="1" applyFill="1" applyBorder="1"/>
    <xf numFmtId="0" fontId="43" fillId="0" borderId="0" xfId="40" applyFont="1" applyAlignment="1">
      <alignment horizontal="right" wrapText="1"/>
    </xf>
    <xf numFmtId="0" fontId="4" fillId="0" borderId="0" xfId="40" applyFont="1" applyAlignment="1">
      <alignment horizontal="right" wrapText="1"/>
    </xf>
    <xf numFmtId="0" fontId="4" fillId="2" borderId="25" xfId="40" applyFont="1" applyFill="1" applyBorder="1"/>
    <xf numFmtId="10" fontId="0" fillId="2" borderId="22" xfId="43" applyNumberFormat="1" applyFont="1" applyFill="1" applyBorder="1"/>
    <xf numFmtId="10" fontId="0" fillId="2" borderId="26" xfId="43" applyNumberFormat="1" applyFont="1" applyFill="1" applyBorder="1"/>
    <xf numFmtId="0" fontId="114" fillId="3" borderId="2" xfId="40" applyFont="1" applyFill="1" applyBorder="1"/>
    <xf numFmtId="0" fontId="41" fillId="3" borderId="2" xfId="40" applyFont="1" applyFill="1" applyBorder="1" applyAlignment="1">
      <alignment horizontal="right" wrapText="1"/>
    </xf>
    <xf numFmtId="0" fontId="63" fillId="0" borderId="0" xfId="32" applyFont="1" applyAlignment="1">
      <alignment vertical="center"/>
    </xf>
    <xf numFmtId="0" fontId="41" fillId="0" borderId="0" xfId="32" applyFont="1" applyAlignment="1">
      <alignment horizontal="right" vertical="center" wrapText="1"/>
    </xf>
    <xf numFmtId="0" fontId="46" fillId="0" borderId="0" xfId="29" quotePrefix="1" applyFont="1" applyAlignment="1" applyProtection="1">
      <alignment horizontal="right" vertical="center" wrapText="1"/>
    </xf>
    <xf numFmtId="0" fontId="43" fillId="0" borderId="0" xfId="32" applyFont="1" applyAlignment="1">
      <alignment horizontal="right" vertical="center" wrapText="1"/>
    </xf>
    <xf numFmtId="0" fontId="41" fillId="0" borderId="0" xfId="40" applyFont="1"/>
    <xf numFmtId="0" fontId="46" fillId="0" borderId="0" xfId="29" applyFont="1" applyAlignment="1">
      <alignment horizontal="right" vertical="center" wrapText="1"/>
    </xf>
    <xf numFmtId="0" fontId="118" fillId="0" borderId="0" xfId="40" applyFont="1"/>
    <xf numFmtId="0" fontId="62" fillId="0" borderId="0" xfId="32" applyFont="1" applyAlignment="1">
      <alignment vertical="center"/>
    </xf>
    <xf numFmtId="0" fontId="63" fillId="0" borderId="0" xfId="32" applyFont="1" applyAlignment="1">
      <alignment horizontal="left" vertical="center" wrapText="1"/>
    </xf>
    <xf numFmtId="0" fontId="62" fillId="0" borderId="0" xfId="32" applyFont="1" applyAlignment="1">
      <alignment horizontal="left" vertical="center" wrapText="1"/>
    </xf>
    <xf numFmtId="14" fontId="5" fillId="0" borderId="0" xfId="40" applyNumberFormat="1"/>
    <xf numFmtId="183" fontId="120" fillId="0" borderId="0" xfId="40" applyNumberFormat="1" applyFont="1" applyAlignment="1">
      <alignment vertical="center"/>
    </xf>
    <xf numFmtId="0" fontId="113" fillId="3" borderId="2" xfId="32" applyFont="1" applyFill="1" applyBorder="1" applyAlignment="1">
      <alignment vertical="center"/>
    </xf>
    <xf numFmtId="0" fontId="41" fillId="3" borderId="2" xfId="32" applyFont="1" applyFill="1" applyBorder="1" applyAlignment="1">
      <alignment horizontal="right" vertical="center" wrapText="1"/>
    </xf>
    <xf numFmtId="166" fontId="113" fillId="3" borderId="2" xfId="47" applyNumberFormat="1" applyFont="1" applyFill="1" applyBorder="1" applyAlignment="1">
      <alignment vertical="center"/>
    </xf>
    <xf numFmtId="0" fontId="115" fillId="22" borderId="31" xfId="40" applyFont="1" applyFill="1" applyBorder="1"/>
    <xf numFmtId="0" fontId="4" fillId="17" borderId="13" xfId="0" applyFont="1" applyFill="1" applyBorder="1" applyAlignment="1">
      <alignment wrapText="1"/>
    </xf>
    <xf numFmtId="0" fontId="4" fillId="2" borderId="13" xfId="0" applyFont="1" applyFill="1" applyBorder="1" applyAlignment="1">
      <alignment wrapText="1"/>
    </xf>
    <xf numFmtId="14" fontId="113" fillId="3" borderId="2" xfId="40" applyNumberFormat="1" applyFont="1" applyFill="1" applyBorder="1" applyAlignment="1">
      <alignment horizontal="right"/>
    </xf>
    <xf numFmtId="0" fontId="59" fillId="0" borderId="0" xfId="0" applyFont="1" applyAlignment="1">
      <alignment horizontal="right" wrapText="1"/>
    </xf>
    <xf numFmtId="44" fontId="62" fillId="0" borderId="0" xfId="11" applyFont="1" applyAlignment="1">
      <alignment horizontal="right" wrapText="1"/>
    </xf>
    <xf numFmtId="0" fontId="57" fillId="0" borderId="0" xfId="40" applyFont="1"/>
    <xf numFmtId="165" fontId="62" fillId="0" borderId="0" xfId="1" applyNumberFormat="1" applyFont="1" applyAlignment="1">
      <alignment horizontal="right" wrapText="1"/>
    </xf>
    <xf numFmtId="14" fontId="113" fillId="3" borderId="27" xfId="40" applyNumberFormat="1" applyFont="1" applyFill="1" applyBorder="1" applyAlignment="1">
      <alignment horizontal="right"/>
    </xf>
    <xf numFmtId="165" fontId="63" fillId="17" borderId="13" xfId="1" applyNumberFormat="1" applyFont="1" applyFill="1" applyBorder="1" applyAlignment="1">
      <alignment vertical="center"/>
    </xf>
    <xf numFmtId="44" fontId="63" fillId="17" borderId="13" xfId="5" applyFont="1" applyFill="1" applyBorder="1" applyAlignment="1">
      <alignment vertical="center"/>
    </xf>
    <xf numFmtId="43" fontId="63" fillId="17" borderId="13" xfId="44" applyNumberFormat="1" applyFont="1" applyFill="1" applyBorder="1" applyAlignment="1">
      <alignment vertical="center"/>
    </xf>
    <xf numFmtId="176" fontId="63" fillId="17" borderId="13" xfId="45" applyNumberFormat="1" applyFont="1" applyFill="1" applyBorder="1" applyAlignment="1">
      <alignment vertical="center"/>
    </xf>
    <xf numFmtId="10" fontId="63" fillId="17" borderId="13" xfId="19" applyNumberFormat="1" applyFont="1" applyFill="1" applyBorder="1" applyAlignment="1">
      <alignment vertical="center"/>
    </xf>
    <xf numFmtId="0" fontId="118" fillId="0" borderId="0" xfId="46" applyFont="1"/>
    <xf numFmtId="9" fontId="63" fillId="0" borderId="0" xfId="44" applyNumberFormat="1" applyFont="1" applyFill="1" applyAlignment="1">
      <alignment vertical="center"/>
    </xf>
    <xf numFmtId="10" fontId="63" fillId="2" borderId="13" xfId="45" applyNumberFormat="1" applyFont="1" applyFill="1" applyBorder="1"/>
    <xf numFmtId="182" fontId="118" fillId="2" borderId="13" xfId="46" applyNumberFormat="1" applyFont="1" applyFill="1" applyBorder="1"/>
    <xf numFmtId="44" fontId="118" fillId="2" borderId="13" xfId="46" applyNumberFormat="1" applyFont="1" applyFill="1" applyBorder="1"/>
    <xf numFmtId="44" fontId="119" fillId="2" borderId="13" xfId="46" applyNumberFormat="1" applyFont="1" applyFill="1" applyBorder="1"/>
    <xf numFmtId="9" fontId="118" fillId="2" borderId="13" xfId="40" applyNumberFormat="1" applyFont="1" applyFill="1" applyBorder="1" applyAlignment="1">
      <alignment vertical="center"/>
    </xf>
    <xf numFmtId="166" fontId="62" fillId="0" borderId="0" xfId="11" applyNumberFormat="1" applyFont="1" applyAlignment="1">
      <alignment horizontal="right" wrapText="1"/>
    </xf>
    <xf numFmtId="0" fontId="5" fillId="0" borderId="0" xfId="40" applyAlignment="1">
      <alignment wrapText="1"/>
    </xf>
    <xf numFmtId="0" fontId="63" fillId="0" borderId="0" xfId="40" applyFont="1" applyAlignment="1">
      <alignment horizontal="right" wrapText="1"/>
    </xf>
    <xf numFmtId="0" fontId="57" fillId="0" borderId="13" xfId="2" applyFont="1" applyBorder="1" applyAlignment="1">
      <alignment horizontal="center" wrapText="1"/>
    </xf>
    <xf numFmtId="0" fontId="5" fillId="0" borderId="13" xfId="2" applyBorder="1" applyAlignment="1">
      <alignment vertical="top" wrapText="1"/>
    </xf>
    <xf numFmtId="0" fontId="5" fillId="0" borderId="13" xfId="2" applyBorder="1" applyAlignment="1">
      <alignment horizontal="center" wrapText="1"/>
    </xf>
    <xf numFmtId="0" fontId="5" fillId="0" borderId="13" xfId="2" applyBorder="1" applyAlignment="1">
      <alignment horizontal="center" vertical="center" wrapText="1"/>
    </xf>
    <xf numFmtId="0" fontId="57" fillId="0" borderId="13" xfId="2" applyFont="1" applyBorder="1"/>
    <xf numFmtId="10" fontId="5" fillId="0" borderId="13" xfId="19" applyNumberFormat="1" applyFont="1" applyBorder="1" applyAlignment="1">
      <alignment horizontal="center" wrapText="1"/>
    </xf>
    <xf numFmtId="0" fontId="57" fillId="0" borderId="13" xfId="2" applyFont="1" applyBorder="1" applyAlignment="1">
      <alignment vertical="center"/>
    </xf>
    <xf numFmtId="44" fontId="5" fillId="0" borderId="13" xfId="11" applyFont="1" applyBorder="1" applyAlignment="1">
      <alignment horizontal="center" vertical="center" wrapText="1"/>
    </xf>
    <xf numFmtId="43" fontId="5" fillId="0" borderId="13" xfId="1" applyFont="1" applyBorder="1" applyAlignment="1">
      <alignment horizontal="center" vertical="center" wrapText="1"/>
    </xf>
    <xf numFmtId="44" fontId="63" fillId="4" borderId="13" xfId="5" applyFont="1" applyFill="1" applyBorder="1" applyAlignment="1">
      <alignment vertical="center"/>
    </xf>
    <xf numFmtId="43" fontId="63" fillId="4" borderId="13" xfId="44" applyNumberFormat="1" applyFont="1" applyFill="1" applyBorder="1" applyAlignment="1">
      <alignment vertical="center"/>
    </xf>
    <xf numFmtId="176" fontId="63" fillId="4" borderId="13" xfId="45" applyNumberFormat="1" applyFont="1" applyFill="1" applyBorder="1" applyAlignment="1">
      <alignment vertical="center"/>
    </xf>
    <xf numFmtId="10" fontId="63" fillId="4" borderId="13" xfId="19" applyNumberFormat="1" applyFont="1" applyFill="1" applyBorder="1" applyAlignment="1">
      <alignment vertical="center"/>
    </xf>
    <xf numFmtId="44" fontId="118" fillId="4" borderId="13" xfId="46" applyNumberFormat="1" applyFont="1" applyFill="1" applyBorder="1"/>
    <xf numFmtId="10" fontId="63" fillId="4" borderId="13" xfId="45" applyNumberFormat="1" applyFont="1" applyFill="1" applyBorder="1"/>
    <xf numFmtId="182" fontId="118" fillId="4" borderId="13" xfId="46" applyNumberFormat="1" applyFont="1" applyFill="1" applyBorder="1"/>
    <xf numFmtId="0" fontId="57" fillId="0" borderId="13" xfId="40" applyFont="1" applyBorder="1"/>
    <xf numFmtId="182" fontId="119" fillId="17" borderId="13" xfId="46" applyNumberFormat="1" applyFont="1" applyFill="1" applyBorder="1"/>
    <xf numFmtId="182" fontId="119" fillId="2" borderId="13" xfId="46" applyNumberFormat="1" applyFont="1" applyFill="1" applyBorder="1"/>
    <xf numFmtId="182" fontId="62" fillId="0" borderId="0" xfId="11" applyNumberFormat="1" applyFont="1" applyAlignment="1">
      <alignment horizontal="right" wrapText="1"/>
    </xf>
    <xf numFmtId="9" fontId="63" fillId="17" borderId="13" xfId="19" applyFont="1" applyFill="1" applyBorder="1" applyAlignment="1">
      <alignment vertical="center"/>
    </xf>
    <xf numFmtId="0" fontId="4" fillId="2" borderId="31" xfId="40" applyFont="1" applyFill="1" applyBorder="1"/>
    <xf numFmtId="0" fontId="4" fillId="2" borderId="32" xfId="40" applyFont="1" applyFill="1" applyBorder="1"/>
    <xf numFmtId="0" fontId="4" fillId="2" borderId="33" xfId="40" applyFont="1" applyFill="1" applyBorder="1"/>
    <xf numFmtId="0" fontId="4" fillId="2" borderId="14" xfId="40" applyFont="1" applyFill="1" applyBorder="1" applyAlignment="1">
      <alignment horizontal="right" wrapText="1"/>
    </xf>
    <xf numFmtId="0" fontId="4" fillId="2" borderId="26" xfId="40" applyFont="1" applyFill="1" applyBorder="1" applyAlignment="1">
      <alignment horizontal="right" wrapText="1"/>
    </xf>
    <xf numFmtId="44" fontId="0" fillId="2" borderId="3" xfId="5" applyFont="1" applyFill="1" applyBorder="1" applyAlignment="1">
      <alignment wrapText="1"/>
    </xf>
    <xf numFmtId="44" fontId="0" fillId="2" borderId="24" xfId="5" applyFont="1" applyFill="1" applyBorder="1" applyAlignment="1">
      <alignment wrapText="1"/>
    </xf>
    <xf numFmtId="10" fontId="0" fillId="2" borderId="3" xfId="43" applyNumberFormat="1" applyFont="1" applyFill="1" applyBorder="1" applyAlignment="1">
      <alignment wrapText="1"/>
    </xf>
    <xf numFmtId="10" fontId="0" fillId="2" borderId="24" xfId="43" applyNumberFormat="1" applyFont="1" applyFill="1" applyBorder="1" applyAlignment="1">
      <alignment wrapText="1"/>
    </xf>
    <xf numFmtId="43" fontId="0" fillId="2" borderId="3" xfId="1" applyFont="1" applyFill="1" applyBorder="1" applyAlignment="1">
      <alignment wrapText="1"/>
    </xf>
    <xf numFmtId="43" fontId="0" fillId="2" borderId="24" xfId="1" applyFont="1" applyFill="1" applyBorder="1" applyAlignment="1">
      <alignment wrapText="1"/>
    </xf>
    <xf numFmtId="10" fontId="0" fillId="2" borderId="14" xfId="43" applyNumberFormat="1" applyFont="1" applyFill="1" applyBorder="1" applyAlignment="1">
      <alignment wrapText="1"/>
    </xf>
    <xf numFmtId="10" fontId="0" fillId="2" borderId="26" xfId="43" applyNumberFormat="1" applyFont="1" applyFill="1" applyBorder="1" applyAlignment="1">
      <alignment wrapText="1"/>
    </xf>
    <xf numFmtId="0" fontId="5" fillId="2" borderId="33" xfId="40" applyFill="1" applyBorder="1" applyAlignment="1">
      <alignment wrapText="1"/>
    </xf>
    <xf numFmtId="43" fontId="63" fillId="17" borderId="13" xfId="1" applyFont="1" applyFill="1" applyBorder="1" applyAlignment="1">
      <alignment vertical="center"/>
    </xf>
    <xf numFmtId="165" fontId="63" fillId="17" borderId="13" xfId="44" applyNumberFormat="1" applyFont="1" applyFill="1" applyBorder="1" applyAlignment="1">
      <alignment vertical="center"/>
    </xf>
    <xf numFmtId="165" fontId="113" fillId="3" borderId="2" xfId="1" applyNumberFormat="1" applyFont="1" applyFill="1" applyBorder="1" applyAlignment="1">
      <alignment vertical="center"/>
    </xf>
    <xf numFmtId="168" fontId="17" fillId="7" borderId="32" xfId="0" applyNumberFormat="1" applyFont="1" applyFill="1" applyBorder="1" applyAlignment="1">
      <alignment horizontal="center" wrapText="1"/>
    </xf>
    <xf numFmtId="0" fontId="46" fillId="0" borderId="0" xfId="29" applyFont="1" applyAlignment="1">
      <alignment horizontal="center" vertical="center"/>
    </xf>
    <xf numFmtId="165" fontId="47" fillId="0" borderId="0" xfId="0" applyNumberFormat="1" applyFont="1" applyAlignment="1">
      <alignment horizontal="center" wrapText="1"/>
    </xf>
    <xf numFmtId="0" fontId="17" fillId="0" borderId="0" xfId="0" applyFont="1" applyAlignment="1">
      <alignment horizontal="center" wrapText="1"/>
    </xf>
    <xf numFmtId="43" fontId="51" fillId="0" borderId="0" xfId="12" applyFont="1" applyAlignment="1">
      <alignment horizontal="right" wrapText="1"/>
    </xf>
    <xf numFmtId="0" fontId="50" fillId="0" borderId="22" xfId="0" applyFont="1" applyBorder="1" applyAlignment="1">
      <alignment horizontal="left" wrapText="1"/>
    </xf>
    <xf numFmtId="41" fontId="10" fillId="17" borderId="13" xfId="0" applyNumberFormat="1" applyFont="1" applyFill="1" applyBorder="1" applyAlignment="1">
      <alignment horizontal="right" wrapText="1"/>
    </xf>
    <xf numFmtId="0" fontId="0" fillId="0" borderId="23" xfId="0" applyBorder="1" applyAlignment="1">
      <alignment horizontal="center" wrapText="1"/>
    </xf>
    <xf numFmtId="43" fontId="51" fillId="0" borderId="0" xfId="1" applyFont="1" applyBorder="1" applyAlignment="1">
      <alignment wrapText="1"/>
    </xf>
    <xf numFmtId="43" fontId="51" fillId="0" borderId="22" xfId="1" applyFont="1" applyBorder="1" applyAlignment="1">
      <alignment horizontal="right" wrapText="1"/>
    </xf>
    <xf numFmtId="43" fontId="50" fillId="0" borderId="0" xfId="1" applyFont="1" applyBorder="1" applyAlignment="1">
      <alignment wrapText="1"/>
    </xf>
    <xf numFmtId="165" fontId="11" fillId="0" borderId="0" xfId="1" applyNumberFormat="1" applyFont="1" applyAlignment="1">
      <alignment vertical="center"/>
    </xf>
    <xf numFmtId="166" fontId="11" fillId="0" borderId="0" xfId="11" applyNumberFormat="1" applyFont="1" applyAlignment="1">
      <alignment vertical="center"/>
    </xf>
    <xf numFmtId="166" fontId="11" fillId="0" borderId="27" xfId="11" applyNumberFormat="1" applyFont="1" applyBorder="1" applyAlignment="1">
      <alignment vertical="center"/>
    </xf>
    <xf numFmtId="43" fontId="32" fillId="0" borderId="0" xfId="29" applyNumberFormat="1" applyFont="1" applyFill="1" applyBorder="1" applyAlignment="1">
      <alignment horizontal="center" vertical="center"/>
    </xf>
    <xf numFmtId="43" fontId="50" fillId="0" borderId="27" xfId="1" applyFont="1" applyBorder="1" applyAlignment="1">
      <alignment horizontal="right" wrapText="1"/>
    </xf>
    <xf numFmtId="0" fontId="59" fillId="0" borderId="0" xfId="0" applyFont="1"/>
    <xf numFmtId="0" fontId="123" fillId="0" borderId="0" xfId="0" applyFont="1"/>
    <xf numFmtId="0" fontId="124" fillId="0" borderId="0" xfId="0" applyFont="1"/>
    <xf numFmtId="0" fontId="122" fillId="0" borderId="0" xfId="0" applyFont="1" applyAlignment="1">
      <alignment horizontal="left" wrapText="1"/>
    </xf>
    <xf numFmtId="0" fontId="43" fillId="0" borderId="0" xfId="0" applyFont="1" applyAlignment="1">
      <alignment wrapText="1"/>
    </xf>
    <xf numFmtId="165" fontId="51" fillId="0" borderId="0" xfId="1" applyNumberFormat="1" applyFont="1" applyAlignment="1">
      <alignment wrapText="1"/>
    </xf>
    <xf numFmtId="165" fontId="51" fillId="0" borderId="0" xfId="1" applyNumberFormat="1" applyFont="1" applyAlignment="1">
      <alignment horizontal="right" wrapText="1"/>
    </xf>
    <xf numFmtId="165" fontId="50" fillId="0" borderId="27" xfId="1" applyNumberFormat="1" applyFont="1" applyBorder="1" applyAlignment="1">
      <alignment horizontal="right" wrapText="1"/>
    </xf>
    <xf numFmtId="0" fontId="125" fillId="0" borderId="0" xfId="0" applyFont="1" applyAlignment="1">
      <alignment horizontal="left" wrapText="1"/>
    </xf>
    <xf numFmtId="165" fontId="51" fillId="23" borderId="0" xfId="1" applyNumberFormat="1" applyFont="1" applyFill="1" applyAlignment="1">
      <alignment horizontal="right" wrapText="1"/>
    </xf>
    <xf numFmtId="165" fontId="51" fillId="5" borderId="0" xfId="1" applyNumberFormat="1" applyFont="1" applyFill="1" applyAlignment="1">
      <alignment horizontal="right" wrapText="1"/>
    </xf>
    <xf numFmtId="0" fontId="67" fillId="0" borderId="0" xfId="0" applyFont="1" applyAlignment="1">
      <alignment horizontal="center" wrapText="1"/>
    </xf>
    <xf numFmtId="165" fontId="51" fillId="20" borderId="13" xfId="1" applyNumberFormat="1" applyFont="1" applyFill="1" applyBorder="1" applyAlignment="1">
      <alignment horizontal="right" wrapText="1"/>
    </xf>
    <xf numFmtId="43" fontId="50" fillId="0" borderId="0" xfId="1" applyFont="1" applyBorder="1" applyAlignment="1">
      <alignment horizontal="right" wrapText="1"/>
    </xf>
    <xf numFmtId="0" fontId="126" fillId="0" borderId="0" xfId="0" applyFont="1"/>
    <xf numFmtId="0" fontId="127" fillId="0" borderId="0" xfId="0" applyFont="1" applyAlignment="1">
      <alignment horizontal="left" wrapText="1"/>
    </xf>
    <xf numFmtId="43" fontId="13" fillId="0" borderId="0" xfId="1" applyFont="1" applyAlignment="1">
      <alignment horizontal="right" vertical="center"/>
    </xf>
    <xf numFmtId="165" fontId="11" fillId="0" borderId="22" xfId="1" applyNumberFormat="1" applyFont="1" applyBorder="1" applyAlignment="1">
      <alignment horizontal="left" vertical="center"/>
    </xf>
    <xf numFmtId="165" fontId="9" fillId="0" borderId="22" xfId="1" applyNumberFormat="1" applyFont="1" applyFill="1" applyBorder="1" applyAlignment="1">
      <alignment vertical="center"/>
    </xf>
    <xf numFmtId="43" fontId="13" fillId="0" borderId="0" xfId="1" applyFont="1" applyAlignment="1">
      <alignment horizontal="left" vertical="center"/>
    </xf>
    <xf numFmtId="0" fontId="128" fillId="0" borderId="0" xfId="10" applyFont="1"/>
    <xf numFmtId="0" fontId="129" fillId="0" borderId="22" xfId="10" applyFont="1" applyBorder="1" applyAlignment="1">
      <alignment horizontal="center" wrapText="1"/>
    </xf>
    <xf numFmtId="0" fontId="130" fillId="0" borderId="0" xfId="10" applyFont="1" applyAlignment="1">
      <alignment horizontal="left" wrapText="1"/>
    </xf>
    <xf numFmtId="0" fontId="131" fillId="0" borderId="0" xfId="10" applyFont="1" applyAlignment="1">
      <alignment horizontal="left" wrapText="1"/>
    </xf>
    <xf numFmtId="0" fontId="130" fillId="0" borderId="0" xfId="10" applyFont="1"/>
    <xf numFmtId="43" fontId="130" fillId="0" borderId="0" xfId="1" applyFont="1" applyAlignment="1">
      <alignment horizontal="right" wrapText="1"/>
    </xf>
    <xf numFmtId="43" fontId="131" fillId="0" borderId="27" xfId="1" applyFont="1" applyBorder="1" applyAlignment="1">
      <alignment horizontal="right" wrapText="1"/>
    </xf>
    <xf numFmtId="43" fontId="8" fillId="0" borderId="0" xfId="1" applyFont="1"/>
    <xf numFmtId="0" fontId="73" fillId="0" borderId="0" xfId="0" applyFont="1" applyAlignment="1">
      <alignment horizontal="center" wrapText="1"/>
    </xf>
    <xf numFmtId="0" fontId="51" fillId="0" borderId="0" xfId="0" applyFont="1" applyAlignment="1">
      <alignment horizontal="left" wrapText="1"/>
    </xf>
    <xf numFmtId="0" fontId="72" fillId="0" borderId="22" xfId="0" applyFont="1" applyBorder="1" applyAlignment="1">
      <alignment vertical="center"/>
    </xf>
    <xf numFmtId="43" fontId="72" fillId="0" borderId="22" xfId="1" applyFont="1" applyFill="1" applyBorder="1" applyAlignment="1">
      <alignment horizontal="center" vertical="center" wrapText="1"/>
    </xf>
    <xf numFmtId="0" fontId="51" fillId="0" borderId="22" xfId="0" applyFont="1" applyBorder="1" applyAlignment="1">
      <alignment horizontal="left" wrapText="1"/>
    </xf>
    <xf numFmtId="170" fontId="51" fillId="0" borderId="22" xfId="0" applyNumberFormat="1" applyFont="1" applyBorder="1" applyAlignment="1">
      <alignment horizontal="right" wrapText="1"/>
    </xf>
    <xf numFmtId="0" fontId="50" fillId="0" borderId="0" xfId="0" applyFont="1" applyAlignment="1">
      <alignment horizontal="left"/>
    </xf>
    <xf numFmtId="0" fontId="51" fillId="0" borderId="0" xfId="0" applyFont="1"/>
    <xf numFmtId="43" fontId="51" fillId="0" borderId="0" xfId="1" applyFont="1" applyBorder="1" applyAlignment="1">
      <alignment horizontal="right" wrapText="1"/>
    </xf>
    <xf numFmtId="0" fontId="0" fillId="17" borderId="13" xfId="0" applyFill="1" applyBorder="1"/>
    <xf numFmtId="0" fontId="51" fillId="0" borderId="0" xfId="10" applyFont="1" applyAlignment="1">
      <alignment horizontal="left" wrapText="1"/>
    </xf>
    <xf numFmtId="0" fontId="51" fillId="0" borderId="22" xfId="10" applyFont="1" applyBorder="1" applyAlignment="1">
      <alignment horizontal="left" wrapText="1"/>
    </xf>
    <xf numFmtId="0" fontId="50" fillId="0" borderId="0" xfId="10" applyFont="1" applyAlignment="1">
      <alignment horizontal="left"/>
    </xf>
    <xf numFmtId="0" fontId="51" fillId="0" borderId="0" xfId="10" applyFont="1"/>
    <xf numFmtId="43" fontId="0" fillId="18" borderId="22" xfId="0" applyNumberFormat="1" applyFill="1" applyBorder="1"/>
    <xf numFmtId="0" fontId="43" fillId="0" borderId="3" xfId="0" applyFont="1" applyBorder="1" applyAlignment="1">
      <alignment wrapText="1"/>
    </xf>
    <xf numFmtId="0" fontId="13" fillId="0" borderId="0" xfId="0" applyFont="1" applyAlignment="1">
      <alignment vertical="center"/>
    </xf>
    <xf numFmtId="43" fontId="13" fillId="0" borderId="0" xfId="0" applyNumberFormat="1" applyFont="1" applyAlignment="1">
      <alignment vertical="center"/>
    </xf>
    <xf numFmtId="0" fontId="13" fillId="0" borderId="12" xfId="0" applyFont="1" applyBorder="1" applyAlignment="1">
      <alignment horizontal="right" vertical="center" wrapText="1"/>
    </xf>
    <xf numFmtId="43" fontId="133" fillId="0" borderId="0" xfId="1" applyFont="1" applyAlignment="1">
      <alignment wrapText="1"/>
    </xf>
    <xf numFmtId="43" fontId="133" fillId="0" borderId="0" xfId="1" applyFont="1" applyAlignment="1">
      <alignment horizontal="right" wrapText="1"/>
    </xf>
    <xf numFmtId="43" fontId="51" fillId="0" borderId="22" xfId="1" applyFont="1" applyBorder="1" applyAlignment="1">
      <alignment wrapText="1"/>
    </xf>
    <xf numFmtId="43" fontId="133" fillId="0" borderId="22" xfId="1" applyFont="1" applyBorder="1" applyAlignment="1">
      <alignment wrapText="1"/>
    </xf>
    <xf numFmtId="0" fontId="134" fillId="0" borderId="0" xfId="0" applyFont="1"/>
    <xf numFmtId="0" fontId="135" fillId="0" borderId="0" xfId="0" applyFont="1"/>
    <xf numFmtId="0" fontId="137" fillId="0" borderId="0" xfId="0" applyFont="1" applyAlignment="1">
      <alignment horizontal="left" wrapText="1"/>
    </xf>
    <xf numFmtId="0" fontId="137" fillId="0" borderId="22" xfId="0" applyFont="1" applyBorder="1" applyAlignment="1">
      <alignment horizontal="left" wrapText="1"/>
    </xf>
    <xf numFmtId="0" fontId="136" fillId="0" borderId="0" xfId="0" applyFont="1"/>
    <xf numFmtId="43" fontId="133" fillId="0" borderId="0" xfId="1" applyFont="1" applyBorder="1" applyAlignment="1">
      <alignment wrapText="1"/>
    </xf>
    <xf numFmtId="0" fontId="71" fillId="0" borderId="0" xfId="0" applyFont="1" applyAlignment="1">
      <alignment horizontal="center" wrapText="1"/>
    </xf>
    <xf numFmtId="0" fontId="132" fillId="0" borderId="0" xfId="0" applyFont="1" applyAlignment="1">
      <alignment horizontal="center" wrapText="1"/>
    </xf>
    <xf numFmtId="0" fontId="50" fillId="0" borderId="27" xfId="0" applyFont="1" applyBorder="1" applyAlignment="1">
      <alignment horizontal="left" wrapText="1"/>
    </xf>
    <xf numFmtId="43" fontId="51" fillId="0" borderId="27" xfId="1" applyFont="1" applyBorder="1" applyAlignment="1">
      <alignment horizontal="right" wrapText="1"/>
    </xf>
    <xf numFmtId="43" fontId="133" fillId="0" borderId="27" xfId="1" applyFont="1" applyBorder="1" applyAlignment="1">
      <alignment wrapText="1"/>
    </xf>
    <xf numFmtId="0" fontId="4" fillId="0" borderId="22" xfId="0" applyFont="1" applyBorder="1" applyAlignment="1">
      <alignment horizontal="center" wrapText="1"/>
    </xf>
    <xf numFmtId="43" fontId="133" fillId="17" borderId="13" xfId="1" applyFont="1" applyFill="1" applyBorder="1" applyAlignment="1">
      <alignment wrapText="1"/>
    </xf>
    <xf numFmtId="43" fontId="73" fillId="0" borderId="0" xfId="0" applyNumberFormat="1" applyFont="1"/>
    <xf numFmtId="168" fontId="80" fillId="3" borderId="67" xfId="0" applyNumberFormat="1" applyFont="1" applyFill="1" applyBorder="1" applyAlignment="1">
      <alignment horizontal="right" wrapText="1"/>
    </xf>
    <xf numFmtId="43" fontId="5" fillId="0" borderId="0" xfId="1" applyFont="1"/>
    <xf numFmtId="165" fontId="5" fillId="0" borderId="0" xfId="1" applyNumberFormat="1" applyFont="1"/>
    <xf numFmtId="0" fontId="59" fillId="0" borderId="0" xfId="40" applyFont="1" applyAlignment="1">
      <alignment horizontal="right"/>
    </xf>
    <xf numFmtId="165" fontId="59" fillId="0" borderId="0" xfId="40" applyNumberFormat="1" applyFont="1" applyAlignment="1">
      <alignment horizontal="right"/>
    </xf>
    <xf numFmtId="166" fontId="11" fillId="0" borderId="0" xfId="11" applyNumberFormat="1" applyFont="1" applyBorder="1"/>
    <xf numFmtId="168" fontId="11" fillId="0" borderId="0" xfId="0" applyNumberFormat="1" applyFont="1" applyAlignment="1">
      <alignment horizontal="center"/>
    </xf>
    <xf numFmtId="0" fontId="104" fillId="0" borderId="22" xfId="0" applyFont="1" applyBorder="1"/>
    <xf numFmtId="166" fontId="104" fillId="0" borderId="0" xfId="11" applyNumberFormat="1" applyFont="1" applyFill="1" applyBorder="1" applyAlignment="1">
      <alignment vertical="center" wrapText="1"/>
    </xf>
    <xf numFmtId="166" fontId="26" fillId="0" borderId="0" xfId="1" applyNumberFormat="1" applyFont="1" applyFill="1" applyBorder="1" applyAlignment="1">
      <alignment horizontal="right" vertical="center" wrapText="1"/>
    </xf>
    <xf numFmtId="166" fontId="104" fillId="0" borderId="0" xfId="11" applyNumberFormat="1" applyFont="1" applyFill="1" applyBorder="1" applyAlignment="1">
      <alignment horizontal="right" vertical="center" wrapText="1"/>
    </xf>
    <xf numFmtId="0" fontId="26" fillId="0" borderId="0" xfId="0" applyFont="1" applyAlignment="1">
      <alignment wrapText="1"/>
    </xf>
    <xf numFmtId="165" fontId="51" fillId="17" borderId="13" xfId="1" applyNumberFormat="1" applyFont="1" applyFill="1" applyBorder="1" applyAlignment="1">
      <alignment horizontal="right" wrapText="1"/>
    </xf>
    <xf numFmtId="165" fontId="51" fillId="17" borderId="13" xfId="1" applyNumberFormat="1" applyFont="1" applyFill="1" applyBorder="1" applyAlignment="1">
      <alignment wrapText="1"/>
    </xf>
    <xf numFmtId="43" fontId="51" fillId="20" borderId="22" xfId="1" applyFont="1" applyFill="1" applyBorder="1" applyAlignment="1">
      <alignment horizontal="right" wrapText="1"/>
    </xf>
    <xf numFmtId="0" fontId="62" fillId="0" borderId="0" xfId="0" applyFont="1" applyAlignment="1">
      <alignment horizontal="center" wrapText="1"/>
    </xf>
    <xf numFmtId="0" fontId="83" fillId="0" borderId="0" xfId="0" applyFont="1" applyAlignment="1">
      <alignment horizontal="center" wrapText="1"/>
    </xf>
    <xf numFmtId="43" fontId="138" fillId="0" borderId="27" xfId="1" applyFont="1" applyBorder="1" applyAlignment="1">
      <alignment horizontal="right" wrapText="1"/>
    </xf>
    <xf numFmtId="43" fontId="138" fillId="0" borderId="27" xfId="1" applyFont="1" applyBorder="1" applyAlignment="1">
      <alignment wrapText="1"/>
    </xf>
    <xf numFmtId="43" fontId="138" fillId="0" borderId="0" xfId="1" applyFont="1" applyBorder="1" applyAlignment="1">
      <alignment wrapText="1"/>
    </xf>
    <xf numFmtId="43" fontId="138" fillId="0" borderId="22" xfId="1" applyFont="1" applyBorder="1" applyAlignment="1">
      <alignment wrapText="1"/>
    </xf>
    <xf numFmtId="43" fontId="138" fillId="0" borderId="0" xfId="1" applyFont="1" applyAlignment="1">
      <alignment wrapText="1"/>
    </xf>
    <xf numFmtId="43" fontId="0" fillId="0" borderId="0" xfId="49" applyFont="1" applyAlignment="1"/>
    <xf numFmtId="43" fontId="67" fillId="0" borderId="22" xfId="49" applyFont="1" applyBorder="1" applyAlignment="1">
      <alignment horizontal="center" wrapText="1"/>
    </xf>
    <xf numFmtId="43" fontId="0" fillId="0" borderId="0" xfId="49" applyFont="1"/>
    <xf numFmtId="43" fontId="51" fillId="0" borderId="0" xfId="49" applyFont="1" applyAlignment="1">
      <alignment horizontal="right" wrapText="1"/>
    </xf>
    <xf numFmtId="43" fontId="50" fillId="0" borderId="27" xfId="49" applyFont="1" applyBorder="1" applyAlignment="1">
      <alignment horizontal="right" wrapText="1"/>
    </xf>
    <xf numFmtId="0" fontId="8" fillId="0" borderId="22" xfId="10" applyBorder="1"/>
    <xf numFmtId="43" fontId="51" fillId="0" borderId="22" xfId="49" applyFont="1" applyBorder="1" applyAlignment="1">
      <alignment horizontal="right" wrapText="1"/>
    </xf>
    <xf numFmtId="43" fontId="0" fillId="0" borderId="0" xfId="0" applyNumberFormat="1" applyAlignment="1">
      <alignment horizontal="center" wrapText="1"/>
    </xf>
    <xf numFmtId="14" fontId="62" fillId="17" borderId="13" xfId="1" applyNumberFormat="1" applyFont="1" applyFill="1" applyBorder="1" applyAlignment="1">
      <alignment horizontal="right" wrapText="1"/>
    </xf>
    <xf numFmtId="165" fontId="11" fillId="0" borderId="0" xfId="1" applyNumberFormat="1" applyFont="1" applyBorder="1" applyAlignment="1">
      <alignment vertical="center"/>
    </xf>
    <xf numFmtId="165" fontId="11" fillId="0" borderId="22" xfId="1" applyNumberFormat="1" applyFont="1" applyBorder="1" applyAlignment="1">
      <alignment vertical="center"/>
    </xf>
    <xf numFmtId="0" fontId="74" fillId="0" borderId="0" xfId="0" applyFont="1" applyAlignment="1">
      <alignment vertical="center"/>
    </xf>
    <xf numFmtId="0" fontId="99" fillId="0" borderId="0" xfId="0" applyFont="1" applyAlignment="1">
      <alignment horizontal="center" wrapText="1"/>
    </xf>
    <xf numFmtId="165" fontId="41" fillId="0" borderId="0" xfId="0" applyNumberFormat="1" applyFont="1"/>
    <xf numFmtId="43" fontId="91" fillId="0" borderId="0" xfId="1" applyFont="1" applyAlignment="1">
      <alignment horizontal="right" wrapText="1"/>
    </xf>
    <xf numFmtId="43" fontId="91" fillId="0" borderId="0" xfId="1" applyFont="1" applyAlignment="1">
      <alignment wrapText="1"/>
    </xf>
    <xf numFmtId="43" fontId="92" fillId="0" borderId="27" xfId="1" applyFont="1" applyBorder="1" applyAlignment="1">
      <alignment horizontal="right" wrapText="1"/>
    </xf>
    <xf numFmtId="0" fontId="139" fillId="0" borderId="0" xfId="0" applyFont="1" applyAlignment="1">
      <alignment horizontal="justify" vertical="center" wrapText="1"/>
    </xf>
    <xf numFmtId="43" fontId="43" fillId="0" borderId="0" xfId="0" applyNumberFormat="1" applyFont="1" applyAlignment="1">
      <alignment horizontal="right"/>
    </xf>
    <xf numFmtId="0" fontId="131" fillId="0" borderId="0" xfId="0" applyFont="1" applyAlignment="1">
      <alignment horizontal="left" wrapText="1"/>
    </xf>
    <xf numFmtId="0" fontId="140" fillId="0" borderId="0" xfId="0" applyFont="1" applyAlignment="1">
      <alignment vertical="center"/>
    </xf>
    <xf numFmtId="0" fontId="80" fillId="3" borderId="40" xfId="0" applyFont="1" applyFill="1" applyBorder="1" applyAlignment="1">
      <alignment vertical="center" wrapText="1"/>
    </xf>
    <xf numFmtId="0" fontId="80" fillId="3" borderId="32" xfId="0" applyFont="1" applyFill="1" applyBorder="1" applyAlignment="1">
      <alignment horizontal="right" vertical="center" wrapText="1"/>
    </xf>
    <xf numFmtId="0" fontId="88" fillId="3" borderId="32" xfId="0" applyFont="1" applyFill="1" applyBorder="1" applyAlignment="1">
      <alignment horizontal="right" wrapText="1"/>
    </xf>
    <xf numFmtId="0" fontId="87" fillId="0" borderId="27" xfId="0" applyFont="1" applyBorder="1" applyAlignment="1">
      <alignment vertical="center" wrapText="1"/>
    </xf>
    <xf numFmtId="0" fontId="87" fillId="0" borderId="27" xfId="0" applyFont="1" applyBorder="1" applyAlignment="1">
      <alignment horizontal="right" vertical="center" wrapText="1"/>
    </xf>
    <xf numFmtId="41" fontId="86" fillId="0" borderId="27" xfId="0" applyNumberFormat="1" applyFont="1" applyBorder="1" applyAlignment="1">
      <alignment horizontal="right" vertical="center" wrapText="1"/>
    </xf>
    <xf numFmtId="168" fontId="87" fillId="0" borderId="2" xfId="0" applyNumberFormat="1" applyFont="1" applyBorder="1" applyAlignment="1">
      <alignment horizontal="left" vertical="center" wrapText="1"/>
    </xf>
    <xf numFmtId="168" fontId="87" fillId="0" borderId="2" xfId="0" applyNumberFormat="1" applyFont="1" applyBorder="1" applyAlignment="1">
      <alignment horizontal="right" vertical="center" wrapText="1"/>
    </xf>
    <xf numFmtId="165" fontId="87" fillId="0" borderId="2" xfId="1" applyNumberFormat="1" applyFont="1" applyBorder="1" applyAlignment="1">
      <alignment horizontal="right" vertical="center" wrapText="1"/>
    </xf>
    <xf numFmtId="0" fontId="86" fillId="0" borderId="0" xfId="0" applyFont="1" applyAlignment="1">
      <alignment vertical="center" wrapText="1"/>
    </xf>
    <xf numFmtId="0" fontId="86" fillId="0" borderId="0" xfId="0" applyFont="1" applyAlignment="1">
      <alignment horizontal="right" vertical="center" wrapText="1"/>
    </xf>
    <xf numFmtId="165" fontId="86" fillId="0" borderId="0" xfId="1" applyNumberFormat="1" applyFont="1" applyBorder="1" applyAlignment="1">
      <alignment horizontal="right" vertical="center" wrapText="1"/>
    </xf>
    <xf numFmtId="0" fontId="87" fillId="0" borderId="0" xfId="0" applyFont="1" applyAlignment="1">
      <alignment horizontal="left" vertical="center" wrapText="1"/>
    </xf>
    <xf numFmtId="0" fontId="87" fillId="0" borderId="0" xfId="0" applyFont="1" applyAlignment="1">
      <alignment horizontal="right" vertical="center" wrapText="1"/>
    </xf>
    <xf numFmtId="0" fontId="86" fillId="0" borderId="0" xfId="0" applyFont="1" applyAlignment="1">
      <alignment horizontal="left" vertical="center" wrapText="1"/>
    </xf>
    <xf numFmtId="165" fontId="86" fillId="0" borderId="0" xfId="1" applyNumberFormat="1" applyFont="1" applyAlignment="1">
      <alignment horizontal="right" vertical="center" wrapText="1"/>
    </xf>
    <xf numFmtId="0" fontId="87" fillId="0" borderId="22" xfId="0" applyFont="1" applyBorder="1" applyAlignment="1">
      <alignment horizontal="left" vertical="center" wrapText="1"/>
    </xf>
    <xf numFmtId="0" fontId="87" fillId="0" borderId="22" xfId="0" applyFont="1" applyBorder="1" applyAlignment="1">
      <alignment horizontal="right" vertical="center" wrapText="1"/>
    </xf>
    <xf numFmtId="165" fontId="86" fillId="0" borderId="22" xfId="1" applyNumberFormat="1" applyFont="1" applyBorder="1" applyAlignment="1">
      <alignment horizontal="right" vertical="center" wrapText="1"/>
    </xf>
    <xf numFmtId="168" fontId="86" fillId="0" borderId="0" xfId="0" applyNumberFormat="1" applyFont="1" applyAlignment="1">
      <alignment horizontal="left" vertical="center" wrapText="1"/>
    </xf>
    <xf numFmtId="168" fontId="86" fillId="0" borderId="0" xfId="0" applyNumberFormat="1" applyFont="1" applyAlignment="1">
      <alignment horizontal="right" vertical="center" wrapText="1"/>
    </xf>
    <xf numFmtId="165" fontId="29" fillId="0" borderId="2" xfId="1" applyNumberFormat="1" applyFont="1" applyFill="1" applyBorder="1" applyAlignment="1">
      <alignment horizontal="right" vertical="center" wrapText="1"/>
    </xf>
    <xf numFmtId="0" fontId="80" fillId="3" borderId="2" xfId="0" applyFont="1" applyFill="1" applyBorder="1" applyAlignment="1">
      <alignment vertical="center"/>
    </xf>
    <xf numFmtId="0" fontId="80" fillId="3" borderId="2" xfId="0" applyFont="1" applyFill="1" applyBorder="1" applyAlignment="1">
      <alignment horizontal="right" vertical="center" wrapText="1"/>
    </xf>
    <xf numFmtId="15" fontId="80" fillId="3" borderId="2" xfId="0" applyNumberFormat="1" applyFont="1" applyFill="1" applyBorder="1" applyAlignment="1">
      <alignment horizontal="right" vertical="center" wrapText="1"/>
    </xf>
    <xf numFmtId="173" fontId="86" fillId="0" borderId="0" xfId="1" applyNumberFormat="1" applyFont="1" applyFill="1" applyAlignment="1">
      <alignment horizontal="right" vertical="center" wrapText="1"/>
    </xf>
    <xf numFmtId="173" fontId="87" fillId="0" borderId="2" xfId="1" applyNumberFormat="1" applyFont="1" applyFill="1" applyBorder="1" applyAlignment="1">
      <alignment horizontal="right" vertical="center" wrapText="1"/>
    </xf>
    <xf numFmtId="0" fontId="84" fillId="0" borderId="0" xfId="0" applyFont="1" applyAlignment="1">
      <alignment vertical="center" wrapText="1"/>
    </xf>
    <xf numFmtId="0" fontId="84" fillId="0" borderId="0" xfId="0" applyFont="1" applyAlignment="1">
      <alignment horizontal="right" vertical="center" wrapText="1"/>
    </xf>
    <xf numFmtId="0" fontId="29" fillId="0" borderId="2" xfId="0" applyFont="1" applyBorder="1" applyAlignment="1">
      <alignment vertical="center"/>
    </xf>
    <xf numFmtId="0" fontId="29" fillId="0" borderId="2" xfId="0" applyFont="1" applyBorder="1" applyAlignment="1">
      <alignment horizontal="right" vertical="center" wrapText="1"/>
    </xf>
    <xf numFmtId="0" fontId="132" fillId="0" borderId="22" xfId="0" applyFont="1" applyBorder="1" applyAlignment="1">
      <alignment horizontal="center" wrapText="1"/>
    </xf>
    <xf numFmtId="0" fontId="141" fillId="0" borderId="0" xfId="0" applyFont="1"/>
    <xf numFmtId="0" fontId="141" fillId="0" borderId="0" xfId="0" applyFont="1" applyAlignment="1">
      <alignment vertical="center"/>
    </xf>
    <xf numFmtId="0" fontId="142" fillId="0" borderId="0" xfId="0" applyFont="1"/>
    <xf numFmtId="0" fontId="141" fillId="0" borderId="22" xfId="0" applyFont="1" applyBorder="1"/>
    <xf numFmtId="0" fontId="86" fillId="0" borderId="22" xfId="0" applyFont="1" applyBorder="1"/>
    <xf numFmtId="0" fontId="99" fillId="0" borderId="0" xfId="0" applyFont="1" applyAlignment="1">
      <alignment horizontal="right"/>
    </xf>
    <xf numFmtId="0" fontId="99" fillId="0" borderId="0" xfId="0" applyFont="1"/>
    <xf numFmtId="173" fontId="99" fillId="0" borderId="0" xfId="0" applyNumberFormat="1" applyFont="1"/>
    <xf numFmtId="43" fontId="99" fillId="0" borderId="0" xfId="1" applyFont="1" applyAlignment="1">
      <alignment horizontal="right"/>
    </xf>
    <xf numFmtId="15" fontId="80" fillId="3" borderId="63" xfId="0" applyNumberFormat="1" applyFont="1" applyFill="1" applyBorder="1" applyAlignment="1">
      <alignment horizontal="right" wrapText="1"/>
    </xf>
    <xf numFmtId="168" fontId="87" fillId="0" borderId="0" xfId="0" applyNumberFormat="1" applyFont="1" applyAlignment="1">
      <alignment horizontal="left" vertical="center" wrapText="1"/>
    </xf>
    <xf numFmtId="168" fontId="87" fillId="0" borderId="0" xfId="0" applyNumberFormat="1" applyFont="1" applyAlignment="1">
      <alignment horizontal="right" vertical="center" wrapText="1"/>
    </xf>
    <xf numFmtId="165" fontId="87" fillId="0" borderId="0" xfId="1" applyNumberFormat="1" applyFont="1" applyBorder="1" applyAlignment="1">
      <alignment horizontal="right" vertical="center" wrapText="1"/>
    </xf>
    <xf numFmtId="0" fontId="80" fillId="3" borderId="0" xfId="0" applyFont="1" applyFill="1" applyAlignment="1">
      <alignment horizontal="right" wrapText="1"/>
    </xf>
    <xf numFmtId="0" fontId="29" fillId="0" borderId="2" xfId="0" applyFont="1" applyBorder="1"/>
    <xf numFmtId="173" fontId="82" fillId="0" borderId="2" xfId="0" applyNumberFormat="1" applyFont="1" applyBorder="1" applyAlignment="1">
      <alignment horizontal="right" wrapText="1"/>
    </xf>
    <xf numFmtId="43" fontId="4" fillId="0" borderId="0" xfId="0" applyNumberFormat="1" applyFont="1" applyAlignment="1">
      <alignment horizontal="right"/>
    </xf>
    <xf numFmtId="43" fontId="0" fillId="0" borderId="0" xfId="0" applyNumberFormat="1" applyAlignment="1">
      <alignment horizontal="right"/>
    </xf>
    <xf numFmtId="168" fontId="99" fillId="0" borderId="0" xfId="0" applyNumberFormat="1" applyFont="1" applyAlignment="1">
      <alignment horizontal="right" vertical="center" wrapText="1"/>
    </xf>
    <xf numFmtId="165" fontId="99" fillId="0" borderId="0" xfId="1" applyNumberFormat="1" applyFont="1" applyBorder="1" applyAlignment="1">
      <alignment horizontal="right" vertical="center" wrapText="1"/>
    </xf>
    <xf numFmtId="0" fontId="81" fillId="0" borderId="32" xfId="0" applyFont="1" applyBorder="1" applyAlignment="1">
      <alignment horizontal="center" vertical="center"/>
    </xf>
    <xf numFmtId="0" fontId="86" fillId="0" borderId="0" xfId="0" applyFont="1" applyAlignment="1">
      <alignment horizontal="center" vertical="center"/>
    </xf>
    <xf numFmtId="0" fontId="86" fillId="0" borderId="22" xfId="0" applyFont="1" applyBorder="1" applyAlignment="1">
      <alignment horizontal="center" vertical="center"/>
    </xf>
    <xf numFmtId="0" fontId="100" fillId="0" borderId="0" xfId="0" applyFont="1" applyAlignment="1">
      <alignment horizontal="justify" vertical="center" wrapText="1"/>
    </xf>
    <xf numFmtId="0" fontId="0" fillId="0" borderId="0" xfId="0" applyAlignment="1">
      <alignment vertical="center" wrapText="1"/>
    </xf>
    <xf numFmtId="3" fontId="144" fillId="0" borderId="59" xfId="0" applyNumberFormat="1" applyFont="1" applyBorder="1" applyAlignment="1">
      <alignment horizontal="right" vertical="center" wrapText="1"/>
    </xf>
    <xf numFmtId="3" fontId="144" fillId="0" borderId="63" xfId="0" applyNumberFormat="1" applyFont="1" applyBorder="1" applyAlignment="1">
      <alignment horizontal="right" vertical="center" wrapText="1"/>
    </xf>
    <xf numFmtId="3" fontId="100" fillId="0" borderId="0" xfId="0" applyNumberFormat="1" applyFont="1" applyAlignment="1">
      <alignment horizontal="right" vertical="center" wrapText="1"/>
    </xf>
    <xf numFmtId="0" fontId="143" fillId="3" borderId="74" xfId="0" applyFont="1" applyFill="1" applyBorder="1" applyAlignment="1">
      <alignment horizontal="justify" vertical="center" wrapText="1"/>
    </xf>
    <xf numFmtId="165" fontId="100" fillId="0" borderId="0" xfId="0" applyNumberFormat="1" applyFont="1" applyAlignment="1">
      <alignment horizontal="right" vertical="center" wrapText="1"/>
    </xf>
    <xf numFmtId="0" fontId="100" fillId="0" borderId="0" xfId="0" applyFont="1" applyAlignment="1">
      <alignment horizontal="right" wrapText="1"/>
    </xf>
    <xf numFmtId="0" fontId="0" fillId="0" borderId="0" xfId="0" applyAlignment="1">
      <alignment horizontal="right" wrapText="1"/>
    </xf>
    <xf numFmtId="0" fontId="144" fillId="0" borderId="59" xfId="0" applyFont="1" applyBorder="1" applyAlignment="1">
      <alignment horizontal="right" wrapText="1"/>
    </xf>
    <xf numFmtId="0" fontId="100" fillId="0" borderId="22" xfId="0" applyFont="1" applyBorder="1" applyAlignment="1">
      <alignment horizontal="right" wrapText="1"/>
    </xf>
    <xf numFmtId="0" fontId="144" fillId="0" borderId="63" xfId="0" applyFont="1" applyBorder="1" applyAlignment="1">
      <alignment horizontal="right" wrapText="1"/>
    </xf>
    <xf numFmtId="0" fontId="100" fillId="0" borderId="0" xfId="0" applyFont="1" applyAlignment="1">
      <alignment horizontal="left" wrapText="1"/>
    </xf>
    <xf numFmtId="0" fontId="100" fillId="0" borderId="22" xfId="0" applyFont="1" applyBorder="1" applyAlignment="1">
      <alignment horizontal="left" wrapText="1"/>
    </xf>
    <xf numFmtId="0" fontId="144" fillId="0" borderId="59" xfId="0" applyFont="1" applyBorder="1" applyAlignment="1">
      <alignment horizontal="left" wrapText="1"/>
    </xf>
    <xf numFmtId="0" fontId="139" fillId="0" borderId="0" xfId="0" applyFont="1" applyAlignment="1">
      <alignment horizontal="left" wrapText="1"/>
    </xf>
    <xf numFmtId="0" fontId="144" fillId="0" borderId="63" xfId="0" applyFont="1" applyBorder="1" applyAlignment="1">
      <alignment horizontal="left" wrapText="1"/>
    </xf>
    <xf numFmtId="0" fontId="80" fillId="25" borderId="75" xfId="0" applyFont="1" applyFill="1" applyBorder="1" applyAlignment="1">
      <alignment horizontal="right" wrapText="1"/>
    </xf>
    <xf numFmtId="0" fontId="145" fillId="25" borderId="75" xfId="0" applyFont="1" applyFill="1" applyBorder="1" applyAlignment="1">
      <alignment wrapText="1"/>
    </xf>
    <xf numFmtId="0" fontId="80" fillId="25" borderId="75" xfId="0" applyFont="1" applyFill="1" applyBorder="1"/>
    <xf numFmtId="3" fontId="82" fillId="0" borderId="63" xfId="0" applyNumberFormat="1" applyFont="1" applyBorder="1" applyAlignment="1">
      <alignment horizontal="right" vertical="center" wrapText="1"/>
    </xf>
    <xf numFmtId="3" fontId="82" fillId="0" borderId="63" xfId="0" applyNumberFormat="1" applyFont="1" applyBorder="1" applyAlignment="1">
      <alignment horizontal="right" vertical="center"/>
    </xf>
    <xf numFmtId="0" fontId="29" fillId="0" borderId="59" xfId="0" applyFont="1" applyBorder="1" applyAlignment="1">
      <alignment vertical="center"/>
    </xf>
    <xf numFmtId="3" fontId="82" fillId="0" borderId="59" xfId="0" applyNumberFormat="1" applyFont="1" applyBorder="1" applyAlignment="1">
      <alignment horizontal="right" vertical="center"/>
    </xf>
    <xf numFmtId="44" fontId="0" fillId="0" borderId="0" xfId="11" applyFont="1"/>
    <xf numFmtId="44" fontId="4" fillId="0" borderId="22" xfId="11" applyFont="1" applyBorder="1"/>
    <xf numFmtId="43" fontId="4" fillId="0" borderId="0" xfId="1" applyFont="1"/>
    <xf numFmtId="0" fontId="0" fillId="0" borderId="0" xfId="0" applyAlignment="1">
      <alignment horizontal="left" indent="1"/>
    </xf>
    <xf numFmtId="14" fontId="4" fillId="0" borderId="0" xfId="1" applyNumberFormat="1" applyFont="1" applyAlignment="1">
      <alignment horizontal="center"/>
    </xf>
    <xf numFmtId="39" fontId="0" fillId="0" borderId="0" xfId="1" applyNumberFormat="1" applyFont="1" applyAlignment="1">
      <alignment horizontal="center"/>
    </xf>
    <xf numFmtId="0" fontId="0" fillId="3" borderId="31" xfId="0" applyFill="1" applyBorder="1"/>
    <xf numFmtId="0" fontId="113" fillId="3" borderId="33" xfId="0" applyFont="1" applyFill="1" applyBorder="1" applyAlignment="1">
      <alignment horizontal="right" wrapText="1"/>
    </xf>
    <xf numFmtId="0" fontId="0" fillId="0" borderId="27" xfId="0" applyBorder="1"/>
    <xf numFmtId="44" fontId="0" fillId="0" borderId="0" xfId="0" applyNumberFormat="1" applyAlignment="1">
      <alignment horizontal="right"/>
    </xf>
    <xf numFmtId="9" fontId="0" fillId="0" borderId="0" xfId="19" applyFont="1" applyAlignment="1">
      <alignment horizontal="right"/>
    </xf>
    <xf numFmtId="10" fontId="0" fillId="0" borderId="22" xfId="0" applyNumberFormat="1" applyBorder="1" applyAlignment="1">
      <alignment horizontal="right"/>
    </xf>
    <xf numFmtId="9" fontId="0" fillId="0" borderId="0" xfId="0" applyNumberFormat="1" applyAlignment="1">
      <alignment horizontal="right"/>
    </xf>
    <xf numFmtId="10" fontId="0" fillId="0" borderId="0" xfId="19" applyNumberFormat="1" applyFont="1" applyAlignment="1">
      <alignment horizontal="center"/>
    </xf>
    <xf numFmtId="172" fontId="0" fillId="0" borderId="0" xfId="0" applyNumberFormat="1" applyAlignment="1">
      <alignment horizontal="center"/>
    </xf>
    <xf numFmtId="43" fontId="4" fillId="0" borderId="22" xfId="1" applyFont="1" applyBorder="1"/>
    <xf numFmtId="43" fontId="4" fillId="0" borderId="22" xfId="1" applyFont="1" applyBorder="1" applyAlignment="1">
      <alignment horizontal="center" wrapText="1"/>
    </xf>
    <xf numFmtId="172" fontId="0" fillId="0" borderId="22" xfId="0" applyNumberFormat="1" applyBorder="1" applyAlignment="1">
      <alignment horizontal="center"/>
    </xf>
    <xf numFmtId="39" fontId="0" fillId="0" borderId="22" xfId="1" applyNumberFormat="1" applyFont="1" applyBorder="1" applyAlignment="1">
      <alignment horizontal="center"/>
    </xf>
    <xf numFmtId="43" fontId="0" fillId="0" borderId="22" xfId="1" applyFont="1" applyBorder="1"/>
    <xf numFmtId="10" fontId="93" fillId="17" borderId="13" xfId="19" applyNumberFormat="1" applyFont="1" applyFill="1" applyBorder="1"/>
    <xf numFmtId="0" fontId="146" fillId="0" borderId="0" xfId="0" applyFont="1"/>
    <xf numFmtId="0" fontId="4" fillId="2" borderId="76" xfId="0" applyFont="1" applyFill="1" applyBorder="1"/>
    <xf numFmtId="43" fontId="0" fillId="2" borderId="19" xfId="1" applyFont="1" applyFill="1" applyBorder="1"/>
    <xf numFmtId="0" fontId="0" fillId="2" borderId="19" xfId="0" applyFill="1" applyBorder="1"/>
    <xf numFmtId="0" fontId="93" fillId="2" borderId="77" xfId="0" applyFont="1" applyFill="1" applyBorder="1"/>
    <xf numFmtId="0" fontId="147" fillId="2" borderId="78" xfId="0" applyFont="1" applyFill="1" applyBorder="1"/>
    <xf numFmtId="0" fontId="0" fillId="2" borderId="0" xfId="0" applyFill="1"/>
    <xf numFmtId="0" fontId="93" fillId="2" borderId="79" xfId="0" applyFont="1" applyFill="1" applyBorder="1"/>
    <xf numFmtId="0" fontId="0" fillId="2" borderId="78" xfId="0" applyFill="1" applyBorder="1"/>
    <xf numFmtId="43" fontId="0" fillId="2" borderId="0" xfId="0" applyNumberFormat="1" applyFill="1"/>
    <xf numFmtId="0" fontId="43" fillId="2" borderId="80" xfId="0" applyFont="1" applyFill="1" applyBorder="1" applyAlignment="1">
      <alignment horizontal="right"/>
    </xf>
    <xf numFmtId="43" fontId="43" fillId="2" borderId="63" xfId="1" applyFont="1" applyFill="1" applyBorder="1" applyAlignment="1">
      <alignment horizontal="right"/>
    </xf>
    <xf numFmtId="0" fontId="0" fillId="2" borderId="63" xfId="0" applyFill="1" applyBorder="1"/>
    <xf numFmtId="0" fontId="93" fillId="2" borderId="81" xfId="0" applyFont="1" applyFill="1" applyBorder="1"/>
    <xf numFmtId="0" fontId="93" fillId="2" borderId="19" xfId="0" applyFont="1" applyFill="1" applyBorder="1"/>
    <xf numFmtId="0" fontId="93" fillId="2" borderId="0" xfId="0" applyFont="1" applyFill="1"/>
    <xf numFmtId="0" fontId="93" fillId="2" borderId="63" xfId="0" applyFont="1" applyFill="1" applyBorder="1"/>
    <xf numFmtId="168" fontId="87" fillId="0" borderId="2" xfId="0" applyNumberFormat="1" applyFont="1" applyBorder="1" applyAlignment="1">
      <alignment wrapText="1"/>
    </xf>
    <xf numFmtId="43" fontId="0" fillId="26" borderId="0" xfId="0" applyNumberFormat="1" applyFill="1"/>
    <xf numFmtId="43" fontId="51" fillId="26" borderId="0" xfId="1" applyFont="1" applyFill="1" applyAlignment="1">
      <alignment horizontal="right" wrapText="1"/>
    </xf>
    <xf numFmtId="43" fontId="51" fillId="0" borderId="0" xfId="1" applyFont="1" applyFill="1" applyAlignment="1">
      <alignment horizontal="right" wrapText="1"/>
    </xf>
    <xf numFmtId="0" fontId="80" fillId="3" borderId="32" xfId="0" applyFont="1" applyFill="1" applyBorder="1" applyAlignment="1">
      <alignment horizontal="right" wrapText="1"/>
    </xf>
    <xf numFmtId="44" fontId="4" fillId="0" borderId="0" xfId="0" applyNumberFormat="1" applyFont="1"/>
    <xf numFmtId="44" fontId="0" fillId="0" borderId="0" xfId="0" applyNumberFormat="1"/>
    <xf numFmtId="44" fontId="3" fillId="0" borderId="0" xfId="11" applyFont="1"/>
    <xf numFmtId="165" fontId="3" fillId="0" borderId="0" xfId="1" applyNumberFormat="1" applyFont="1"/>
    <xf numFmtId="166" fontId="3" fillId="0" borderId="0" xfId="11" applyNumberFormat="1" applyFont="1"/>
    <xf numFmtId="49" fontId="8" fillId="0" borderId="0" xfId="10" applyNumberFormat="1" applyAlignment="1">
      <alignment horizontal="center"/>
    </xf>
    <xf numFmtId="49" fontId="148" fillId="0" borderId="1" xfId="10" applyNumberFormat="1" applyFont="1" applyBorder="1" applyAlignment="1">
      <alignment horizontal="center"/>
    </xf>
    <xf numFmtId="0" fontId="8" fillId="0" borderId="0" xfId="10" applyAlignment="1">
      <alignment horizontal="center"/>
    </xf>
    <xf numFmtId="49" fontId="148" fillId="0" borderId="0" xfId="10" applyNumberFormat="1" applyFont="1"/>
    <xf numFmtId="14" fontId="148" fillId="0" borderId="0" xfId="10" applyNumberFormat="1" applyFont="1" applyAlignment="1">
      <alignment horizontal="center"/>
    </xf>
    <xf numFmtId="49" fontId="149" fillId="0" borderId="0" xfId="10" applyNumberFormat="1" applyFont="1"/>
    <xf numFmtId="39" fontId="148" fillId="0" borderId="0" xfId="10" applyNumberFormat="1" applyFont="1"/>
    <xf numFmtId="49" fontId="150" fillId="0" borderId="0" xfId="10" applyNumberFormat="1" applyFont="1"/>
    <xf numFmtId="14" fontId="150" fillId="0" borderId="0" xfId="10" applyNumberFormat="1" applyFont="1" applyAlignment="1">
      <alignment horizontal="center"/>
    </xf>
    <xf numFmtId="49" fontId="151" fillId="0" borderId="0" xfId="10" applyNumberFormat="1" applyFont="1" applyAlignment="1">
      <alignment horizontal="centerContinuous"/>
    </xf>
    <xf numFmtId="49" fontId="150" fillId="0" borderId="0" xfId="10" applyNumberFormat="1" applyFont="1" applyAlignment="1">
      <alignment horizontal="centerContinuous"/>
    </xf>
    <xf numFmtId="39" fontId="150" fillId="0" borderId="0" xfId="10" applyNumberFormat="1" applyFont="1"/>
    <xf numFmtId="49" fontId="151" fillId="0" borderId="0" xfId="10" applyNumberFormat="1" applyFont="1"/>
    <xf numFmtId="49" fontId="150" fillId="0" borderId="63" xfId="10" applyNumberFormat="1" applyFont="1" applyBorder="1"/>
    <xf numFmtId="14" fontId="150" fillId="0" borderId="63" xfId="10" applyNumberFormat="1" applyFont="1" applyBorder="1" applyAlignment="1">
      <alignment horizontal="center"/>
    </xf>
    <xf numFmtId="49" fontId="151" fillId="0" borderId="63" xfId="10" applyNumberFormat="1" applyFont="1" applyBorder="1"/>
    <xf numFmtId="49" fontId="150" fillId="0" borderId="63" xfId="10" applyNumberFormat="1" applyFont="1" applyBorder="1" applyAlignment="1">
      <alignment horizontal="centerContinuous"/>
    </xf>
    <xf numFmtId="39" fontId="150" fillId="0" borderId="63" xfId="10" applyNumberFormat="1" applyFont="1" applyBorder="1"/>
    <xf numFmtId="39" fontId="150" fillId="0" borderId="59" xfId="10" applyNumberFormat="1" applyFont="1" applyBorder="1"/>
    <xf numFmtId="49" fontId="8" fillId="0" borderId="0" xfId="10" applyNumberFormat="1"/>
    <xf numFmtId="49" fontId="150" fillId="27" borderId="0" xfId="10" applyNumberFormat="1" applyFont="1" applyFill="1"/>
    <xf numFmtId="14" fontId="150" fillId="27" borderId="0" xfId="10" applyNumberFormat="1" applyFont="1" applyFill="1" applyAlignment="1">
      <alignment horizontal="center"/>
    </xf>
    <xf numFmtId="49" fontId="151" fillId="27" borderId="0" xfId="10" applyNumberFormat="1" applyFont="1" applyFill="1"/>
    <xf numFmtId="49" fontId="150" fillId="27" borderId="0" xfId="10" applyNumberFormat="1" applyFont="1" applyFill="1" applyAlignment="1">
      <alignment horizontal="centerContinuous"/>
    </xf>
    <xf numFmtId="39" fontId="150" fillId="27" borderId="0" xfId="10" applyNumberFormat="1" applyFont="1" applyFill="1"/>
    <xf numFmtId="49" fontId="150" fillId="5" borderId="0" xfId="10" applyNumberFormat="1" applyFont="1" applyFill="1"/>
    <xf numFmtId="14" fontId="150" fillId="5" borderId="0" xfId="10" applyNumberFormat="1" applyFont="1" applyFill="1" applyAlignment="1">
      <alignment horizontal="center"/>
    </xf>
    <xf numFmtId="49" fontId="151" fillId="5" borderId="0" xfId="10" applyNumberFormat="1" applyFont="1" applyFill="1"/>
    <xf numFmtId="49" fontId="150" fillId="5" borderId="0" xfId="10" applyNumberFormat="1" applyFont="1" applyFill="1" applyAlignment="1">
      <alignment horizontal="centerContinuous"/>
    </xf>
    <xf numFmtId="39" fontId="150" fillId="5" borderId="0" xfId="10" applyNumberFormat="1" applyFont="1" applyFill="1"/>
    <xf numFmtId="49" fontId="150" fillId="0" borderId="22" xfId="10" applyNumberFormat="1" applyFont="1" applyBorder="1"/>
    <xf numFmtId="14" fontId="150" fillId="0" borderId="22" xfId="10" applyNumberFormat="1" applyFont="1" applyBorder="1" applyAlignment="1">
      <alignment horizontal="center"/>
    </xf>
    <xf numFmtId="49" fontId="151" fillId="0" borderId="22" xfId="10" applyNumberFormat="1" applyFont="1" applyBorder="1"/>
    <xf numFmtId="49" fontId="150" fillId="0" borderId="22" xfId="10" applyNumberFormat="1" applyFont="1" applyBorder="1" applyAlignment="1">
      <alignment horizontal="centerContinuous"/>
    </xf>
    <xf numFmtId="39" fontId="150" fillId="0" borderId="22" xfId="10" applyNumberFormat="1" applyFont="1" applyBorder="1"/>
    <xf numFmtId="49" fontId="150" fillId="27" borderId="22" xfId="10" applyNumberFormat="1" applyFont="1" applyFill="1" applyBorder="1"/>
    <xf numFmtId="14" fontId="150" fillId="27" borderId="22" xfId="10" applyNumberFormat="1" applyFont="1" applyFill="1" applyBorder="1" applyAlignment="1">
      <alignment horizontal="center"/>
    </xf>
    <xf numFmtId="49" fontId="151" fillId="27" borderId="22" xfId="10" applyNumberFormat="1" applyFont="1" applyFill="1" applyBorder="1"/>
    <xf numFmtId="49" fontId="150" fillId="27" borderId="22" xfId="10" applyNumberFormat="1" applyFont="1" applyFill="1" applyBorder="1" applyAlignment="1">
      <alignment horizontal="centerContinuous"/>
    </xf>
    <xf numFmtId="39" fontId="150" fillId="27" borderId="22" xfId="10" applyNumberFormat="1" applyFont="1" applyFill="1" applyBorder="1"/>
    <xf numFmtId="49" fontId="150" fillId="27" borderId="27" xfId="10" applyNumberFormat="1" applyFont="1" applyFill="1" applyBorder="1"/>
    <xf numFmtId="14" fontId="150" fillId="27" borderId="27" xfId="10" applyNumberFormat="1" applyFont="1" applyFill="1" applyBorder="1" applyAlignment="1">
      <alignment horizontal="center"/>
    </xf>
    <xf numFmtId="49" fontId="151" fillId="27" borderId="27" xfId="10" applyNumberFormat="1" applyFont="1" applyFill="1" applyBorder="1"/>
    <xf numFmtId="49" fontId="150" fillId="27" borderId="27" xfId="10" applyNumberFormat="1" applyFont="1" applyFill="1" applyBorder="1" applyAlignment="1">
      <alignment horizontal="centerContinuous"/>
    </xf>
    <xf numFmtId="39" fontId="150" fillId="27" borderId="27" xfId="10" applyNumberFormat="1" applyFont="1" applyFill="1" applyBorder="1"/>
    <xf numFmtId="39" fontId="150" fillId="0" borderId="19" xfId="10" applyNumberFormat="1" applyFont="1" applyBorder="1"/>
    <xf numFmtId="39" fontId="148" fillId="0" borderId="82" xfId="10" applyNumberFormat="1" applyFont="1" applyBorder="1"/>
    <xf numFmtId="0" fontId="148" fillId="0" borderId="0" xfId="10" applyFont="1"/>
    <xf numFmtId="0" fontId="8" fillId="0" borderId="0" xfId="10" applyAlignment="1">
      <alignment horizontal="left"/>
    </xf>
    <xf numFmtId="0" fontId="67" fillId="0" borderId="22" xfId="10" applyFont="1" applyBorder="1" applyAlignment="1">
      <alignment horizontal="left" wrapText="1"/>
    </xf>
    <xf numFmtId="0" fontId="78" fillId="0" borderId="0" xfId="10" applyFont="1" applyAlignment="1">
      <alignment horizontal="left"/>
    </xf>
    <xf numFmtId="0" fontId="78" fillId="0" borderId="0" xfId="10" applyFont="1"/>
    <xf numFmtId="170" fontId="50" fillId="0" borderId="0" xfId="10" applyNumberFormat="1" applyFont="1" applyAlignment="1">
      <alignment horizontal="right" wrapText="1"/>
    </xf>
    <xf numFmtId="0" fontId="51" fillId="0" borderId="0" xfId="10" applyFont="1" applyAlignment="1">
      <alignment horizontal="right" wrapText="1"/>
    </xf>
    <xf numFmtId="170" fontId="51" fillId="0" borderId="0" xfId="10" applyNumberFormat="1" applyFont="1" applyAlignment="1">
      <alignment horizontal="right" wrapText="1"/>
    </xf>
    <xf numFmtId="177" fontId="50" fillId="0" borderId="27" xfId="10" applyNumberFormat="1" applyFont="1" applyBorder="1" applyAlignment="1">
      <alignment horizontal="right" wrapText="1"/>
    </xf>
    <xf numFmtId="170" fontId="51" fillId="5" borderId="0" xfId="10" applyNumberFormat="1" applyFont="1" applyFill="1" applyAlignment="1">
      <alignment horizontal="right" wrapText="1"/>
    </xf>
    <xf numFmtId="43" fontId="0" fillId="0" borderId="0" xfId="12" applyFont="1" applyFill="1" applyAlignment="1">
      <alignment horizontal="right"/>
    </xf>
    <xf numFmtId="0" fontId="94" fillId="0" borderId="22" xfId="35"/>
    <xf numFmtId="43" fontId="94" fillId="0" borderId="22" xfId="12" applyFont="1" applyFill="1" applyBorder="1" applyAlignment="1">
      <alignment horizontal="center"/>
    </xf>
    <xf numFmtId="0" fontId="8" fillId="27" borderId="0" xfId="10" applyFill="1"/>
    <xf numFmtId="43" fontId="0" fillId="27" borderId="0" xfId="12" applyFont="1" applyFill="1" applyAlignment="1">
      <alignment horizontal="right"/>
    </xf>
    <xf numFmtId="0" fontId="8" fillId="0" borderId="27" xfId="10" applyBorder="1"/>
    <xf numFmtId="0" fontId="78" fillId="0" borderId="22" xfId="10" applyFont="1" applyBorder="1" applyAlignment="1">
      <alignment horizontal="right"/>
    </xf>
    <xf numFmtId="165" fontId="51" fillId="0" borderId="0" xfId="1" applyNumberFormat="1" applyFont="1" applyFill="1" applyAlignment="1">
      <alignment horizontal="right" wrapText="1"/>
    </xf>
    <xf numFmtId="165" fontId="51" fillId="0" borderId="0" xfId="1" applyNumberFormat="1" applyFont="1" applyFill="1" applyAlignment="1">
      <alignment wrapText="1"/>
    </xf>
    <xf numFmtId="165" fontId="50" fillId="0" borderId="27" xfId="1" applyNumberFormat="1" applyFont="1" applyFill="1" applyBorder="1" applyAlignment="1">
      <alignment horizontal="right" wrapText="1"/>
    </xf>
    <xf numFmtId="49" fontId="78" fillId="0" borderId="0" xfId="10" applyNumberFormat="1" applyFont="1" applyAlignment="1">
      <alignment horizontal="left"/>
    </xf>
    <xf numFmtId="0" fontId="88" fillId="3" borderId="0" xfId="0" applyFont="1" applyFill="1"/>
    <xf numFmtId="0" fontId="88" fillId="3" borderId="0" xfId="0" applyFont="1" applyFill="1" applyAlignment="1">
      <alignment horizontal="right" wrapText="1"/>
    </xf>
    <xf numFmtId="0" fontId="88" fillId="3" borderId="22" xfId="0" applyFont="1" applyFill="1" applyBorder="1"/>
    <xf numFmtId="0" fontId="88" fillId="3" borderId="22" xfId="0" applyFont="1" applyFill="1" applyBorder="1" applyAlignment="1">
      <alignment horizontal="right" wrapText="1"/>
    </xf>
    <xf numFmtId="0" fontId="88" fillId="3" borderId="2" xfId="0" applyFont="1" applyFill="1" applyBorder="1" applyAlignment="1">
      <alignment horizontal="right" wrapText="1"/>
    </xf>
    <xf numFmtId="168" fontId="88" fillId="3" borderId="0" xfId="0" applyNumberFormat="1" applyFont="1" applyFill="1" applyAlignment="1">
      <alignment horizontal="right" wrapText="1"/>
    </xf>
    <xf numFmtId="0" fontId="29" fillId="0" borderId="0" xfId="0" applyFont="1" applyAlignment="1">
      <alignment horizontal="right" vertical="center" wrapText="1"/>
    </xf>
    <xf numFmtId="173" fontId="29" fillId="0" borderId="2" xfId="0" applyNumberFormat="1" applyFont="1" applyBorder="1" applyAlignment="1">
      <alignment horizontal="right"/>
    </xf>
    <xf numFmtId="175" fontId="86" fillId="0" borderId="63" xfId="0" applyNumberFormat="1" applyFont="1" applyBorder="1"/>
    <xf numFmtId="0" fontId="30" fillId="0" borderId="0" xfId="0" applyFont="1" applyAlignment="1">
      <alignment vertical="center"/>
    </xf>
    <xf numFmtId="0" fontId="84" fillId="0" borderId="63" xfId="0" applyFont="1" applyBorder="1" applyAlignment="1">
      <alignment vertical="center"/>
    </xf>
    <xf numFmtId="0" fontId="86" fillId="0" borderId="22" xfId="0" applyFont="1" applyBorder="1" applyAlignment="1">
      <alignment horizontal="left"/>
    </xf>
    <xf numFmtId="173" fontId="84" fillId="0" borderId="22" xfId="0" applyNumberFormat="1" applyFont="1" applyBorder="1" applyAlignment="1">
      <alignment horizontal="right"/>
    </xf>
    <xf numFmtId="173" fontId="84" fillId="0" borderId="22" xfId="0" applyNumberFormat="1" applyFont="1" applyBorder="1" applyAlignment="1">
      <alignment horizontal="center"/>
    </xf>
    <xf numFmtId="9" fontId="84" fillId="0" borderId="22" xfId="0" applyNumberFormat="1" applyFont="1" applyBorder="1" applyAlignment="1">
      <alignment horizontal="center" wrapText="1"/>
    </xf>
    <xf numFmtId="0" fontId="152" fillId="3" borderId="68" xfId="0" applyFont="1" applyFill="1" applyBorder="1"/>
    <xf numFmtId="0" fontId="152" fillId="3" borderId="68" xfId="0" applyFont="1" applyFill="1" applyBorder="1" applyAlignment="1">
      <alignment horizontal="right" wrapText="1"/>
    </xf>
    <xf numFmtId="0" fontId="153" fillId="0" borderId="0" xfId="0" applyFont="1" applyAlignment="1">
      <alignment horizontal="right" vertical="center" wrapText="1"/>
    </xf>
    <xf numFmtId="173" fontId="153" fillId="0" borderId="0" xfId="0" applyNumberFormat="1" applyFont="1" applyAlignment="1">
      <alignment horizontal="right" vertical="center"/>
    </xf>
    <xf numFmtId="0" fontId="154" fillId="0" borderId="2" xfId="0" applyFont="1" applyBorder="1" applyAlignment="1">
      <alignment vertical="center"/>
    </xf>
    <xf numFmtId="0" fontId="154" fillId="0" borderId="2" xfId="0" applyFont="1" applyBorder="1" applyAlignment="1">
      <alignment horizontal="right" vertical="center" wrapText="1"/>
    </xf>
    <xf numFmtId="173" fontId="154" fillId="0" borderId="2" xfId="0" applyNumberFormat="1" applyFont="1" applyBorder="1" applyAlignment="1">
      <alignment horizontal="right" vertical="center"/>
    </xf>
    <xf numFmtId="0" fontId="114" fillId="3" borderId="0" xfId="0" applyFont="1" applyFill="1"/>
    <xf numFmtId="0" fontId="29" fillId="0" borderId="2" xfId="0" applyFont="1" applyBorder="1" applyAlignment="1">
      <alignment horizontal="right" wrapText="1"/>
    </xf>
    <xf numFmtId="3" fontId="29" fillId="0" borderId="2" xfId="0" applyNumberFormat="1" applyFont="1" applyBorder="1" applyAlignment="1">
      <alignment horizontal="right"/>
    </xf>
    <xf numFmtId="0" fontId="156" fillId="3" borderId="0" xfId="0" applyFont="1" applyFill="1"/>
    <xf numFmtId="0" fontId="87" fillId="3" borderId="2" xfId="0" applyFont="1" applyFill="1" applyBorder="1"/>
    <xf numFmtId="0" fontId="157" fillId="3" borderId="59" xfId="0" applyFont="1" applyFill="1" applyBorder="1" applyAlignment="1">
      <alignment wrapText="1"/>
    </xf>
    <xf numFmtId="0" fontId="88" fillId="3" borderId="59" xfId="0" applyFont="1" applyFill="1" applyBorder="1" applyAlignment="1">
      <alignment horizontal="right" wrapText="1"/>
    </xf>
    <xf numFmtId="0" fontId="86" fillId="0" borderId="22" xfId="0" applyFont="1" applyBorder="1" applyAlignment="1">
      <alignment horizontal="center"/>
    </xf>
    <xf numFmtId="0" fontId="141" fillId="0" borderId="0" xfId="0" applyFont="1" applyAlignment="1">
      <alignment horizontal="center"/>
    </xf>
    <xf numFmtId="0" fontId="136" fillId="0" borderId="22" xfId="0" applyFont="1" applyBorder="1" applyAlignment="1">
      <alignment wrapText="1"/>
    </xf>
    <xf numFmtId="166" fontId="0" fillId="0" borderId="0" xfId="11" applyNumberFormat="1" applyFont="1"/>
    <xf numFmtId="166" fontId="101" fillId="0" borderId="0" xfId="11" applyNumberFormat="1" applyFont="1" applyAlignment="1">
      <alignment horizontal="right"/>
    </xf>
    <xf numFmtId="0" fontId="102" fillId="0" borderId="0" xfId="0" applyFont="1" applyAlignment="1">
      <alignment wrapText="1"/>
    </xf>
    <xf numFmtId="166" fontId="102" fillId="0" borderId="0" xfId="11" applyNumberFormat="1" applyFont="1" applyAlignment="1">
      <alignment horizontal="right"/>
    </xf>
    <xf numFmtId="166" fontId="101" fillId="0" borderId="22" xfId="11" applyNumberFormat="1" applyFont="1" applyBorder="1" applyAlignment="1">
      <alignment horizontal="right"/>
    </xf>
    <xf numFmtId="165" fontId="101" fillId="0" borderId="0" xfId="1" applyNumberFormat="1" applyFont="1" applyAlignment="1">
      <alignment horizontal="right"/>
    </xf>
    <xf numFmtId="165" fontId="103" fillId="0" borderId="0" xfId="1" applyNumberFormat="1" applyFont="1" applyAlignment="1">
      <alignment horizontal="right"/>
    </xf>
    <xf numFmtId="166" fontId="4" fillId="0" borderId="22" xfId="11" applyNumberFormat="1" applyFont="1" applyBorder="1" applyAlignment="1">
      <alignment horizontal="right"/>
    </xf>
    <xf numFmtId="0" fontId="4" fillId="0" borderId="22" xfId="0" applyFont="1" applyBorder="1"/>
    <xf numFmtId="0" fontId="86" fillId="0" borderId="22" xfId="0" applyFont="1" applyBorder="1" applyAlignment="1">
      <alignment horizontal="right" wrapText="1"/>
    </xf>
    <xf numFmtId="0" fontId="0" fillId="0" borderId="2" xfId="0" applyBorder="1"/>
    <xf numFmtId="0" fontId="29" fillId="0" borderId="2" xfId="0" applyFont="1" applyBorder="1" applyAlignment="1">
      <alignment horizontal="center" wrapText="1"/>
    </xf>
    <xf numFmtId="168" fontId="4" fillId="17" borderId="13" xfId="0" applyNumberFormat="1" applyFont="1" applyFill="1" applyBorder="1" applyAlignment="1">
      <alignment horizontal="center"/>
    </xf>
    <xf numFmtId="0" fontId="0" fillId="17" borderId="13" xfId="0" applyFill="1" applyBorder="1" applyAlignment="1">
      <alignment horizontal="center"/>
    </xf>
    <xf numFmtId="43" fontId="0" fillId="17" borderId="13" xfId="1" applyFont="1" applyFill="1" applyBorder="1"/>
    <xf numFmtId="0" fontId="0" fillId="17" borderId="15" xfId="0" applyFill="1" applyBorder="1"/>
    <xf numFmtId="43" fontId="0" fillId="0" borderId="63" xfId="1" applyFont="1" applyBorder="1"/>
    <xf numFmtId="0" fontId="0" fillId="0" borderId="63" xfId="0" applyBorder="1"/>
    <xf numFmtId="43" fontId="0" fillId="0" borderId="59" xfId="1" applyFont="1" applyBorder="1"/>
    <xf numFmtId="14" fontId="0" fillId="17" borderId="13" xfId="0" applyNumberFormat="1" applyFill="1" applyBorder="1" applyAlignment="1">
      <alignment horizontal="center"/>
    </xf>
    <xf numFmtId="0" fontId="0" fillId="17" borderId="15" xfId="0" applyFill="1" applyBorder="1" applyAlignment="1">
      <alignment horizontal="center"/>
    </xf>
    <xf numFmtId="168" fontId="4" fillId="17" borderId="13" xfId="0" applyNumberFormat="1" applyFont="1" applyFill="1" applyBorder="1" applyAlignment="1">
      <alignment horizontal="left"/>
    </xf>
    <xf numFmtId="0" fontId="0" fillId="17" borderId="13" xfId="0" applyFill="1" applyBorder="1" applyAlignment="1">
      <alignment wrapText="1"/>
    </xf>
    <xf numFmtId="0" fontId="0" fillId="17" borderId="15" xfId="0" applyFill="1" applyBorder="1" applyAlignment="1">
      <alignment wrapText="1"/>
    </xf>
    <xf numFmtId="0" fontId="0" fillId="17" borderId="13" xfId="0" applyFill="1" applyBorder="1" applyAlignment="1">
      <alignment horizontal="right"/>
    </xf>
    <xf numFmtId="0" fontId="0" fillId="17" borderId="15" xfId="0" applyFill="1" applyBorder="1" applyAlignment="1">
      <alignment horizontal="right"/>
    </xf>
    <xf numFmtId="14" fontId="0" fillId="0" borderId="0" xfId="0" applyNumberFormat="1" applyAlignment="1">
      <alignment horizontal="center"/>
    </xf>
    <xf numFmtId="14" fontId="0" fillId="28" borderId="0" xfId="0" applyNumberFormat="1" applyFill="1" applyAlignment="1">
      <alignment horizontal="center"/>
    </xf>
    <xf numFmtId="43" fontId="0" fillId="28" borderId="0" xfId="1" applyFont="1" applyFill="1"/>
    <xf numFmtId="0" fontId="4" fillId="17" borderId="13" xfId="0" applyFont="1" applyFill="1" applyBorder="1" applyAlignment="1">
      <alignment horizontal="center" wrapText="1"/>
    </xf>
    <xf numFmtId="9" fontId="9" fillId="0" borderId="0" xfId="19" applyFont="1" applyAlignment="1">
      <alignment horizontal="center" vertical="center"/>
    </xf>
    <xf numFmtId="0" fontId="26" fillId="0" borderId="0" xfId="0" applyFont="1" applyAlignment="1">
      <alignment vertical="center" wrapText="1"/>
    </xf>
    <xf numFmtId="43" fontId="41" fillId="0" borderId="0" xfId="1" applyFont="1"/>
    <xf numFmtId="0" fontId="88" fillId="3" borderId="2" xfId="0" applyFont="1" applyFill="1" applyBorder="1" applyAlignment="1">
      <alignment wrapText="1"/>
    </xf>
    <xf numFmtId="0" fontId="29" fillId="0" borderId="0" xfId="0" applyFont="1" applyAlignment="1">
      <alignment wrapText="1"/>
    </xf>
    <xf numFmtId="0" fontId="86" fillId="0" borderId="0" xfId="0" applyFont="1" applyAlignment="1">
      <alignment wrapText="1"/>
    </xf>
    <xf numFmtId="0" fontId="29" fillId="0" borderId="2" xfId="0" applyFont="1" applyBorder="1" applyAlignment="1">
      <alignment wrapText="1"/>
    </xf>
    <xf numFmtId="0" fontId="84" fillId="0" borderId="0" xfId="0" applyFont="1" applyAlignment="1">
      <alignment wrapText="1"/>
    </xf>
    <xf numFmtId="43" fontId="43" fillId="0" borderId="0" xfId="1" applyFont="1" applyAlignment="1"/>
    <xf numFmtId="0" fontId="88" fillId="3" borderId="2" xfId="0" applyFont="1" applyFill="1" applyBorder="1" applyAlignment="1">
      <alignment horizontal="center" wrapText="1"/>
    </xf>
    <xf numFmtId="165" fontId="102" fillId="0" borderId="0" xfId="1" applyNumberFormat="1" applyFont="1"/>
    <xf numFmtId="0" fontId="66" fillId="17" borderId="13" xfId="0" applyFont="1" applyFill="1" applyBorder="1"/>
    <xf numFmtId="0" fontId="4" fillId="17" borderId="13" xfId="0" applyFont="1" applyFill="1" applyBorder="1"/>
    <xf numFmtId="0" fontId="158" fillId="0" borderId="0" xfId="0" applyFont="1"/>
    <xf numFmtId="0" fontId="110" fillId="24" borderId="13" xfId="0" applyFont="1" applyFill="1" applyBorder="1" applyAlignment="1">
      <alignment horizontal="justify" vertical="center" wrapText="1"/>
    </xf>
    <xf numFmtId="0" fontId="110" fillId="24" borderId="13" xfId="0" applyFont="1" applyFill="1" applyBorder="1" applyAlignment="1">
      <alignment horizontal="center" vertical="center" wrapText="1"/>
    </xf>
    <xf numFmtId="0" fontId="111" fillId="0" borderId="13" xfId="0" applyFont="1" applyBorder="1" applyAlignment="1">
      <alignment horizontal="justify" vertical="center" wrapText="1"/>
    </xf>
    <xf numFmtId="166" fontId="111" fillId="0" borderId="13" xfId="11" applyNumberFormat="1" applyFont="1" applyBorder="1" applyAlignment="1">
      <alignment horizontal="center" vertical="center" wrapText="1"/>
    </xf>
    <xf numFmtId="0" fontId="111" fillId="0" borderId="15" xfId="0" applyFont="1" applyBorder="1" applyAlignment="1">
      <alignment horizontal="justify" vertical="center" wrapText="1"/>
    </xf>
    <xf numFmtId="166" fontId="111" fillId="0" borderId="15" xfId="11" applyNumberFormat="1" applyFont="1" applyBorder="1" applyAlignment="1">
      <alignment horizontal="center" vertical="center" wrapText="1"/>
    </xf>
    <xf numFmtId="169" fontId="93" fillId="0" borderId="0" xfId="0" applyNumberFormat="1" applyFont="1"/>
    <xf numFmtId="0" fontId="112" fillId="0" borderId="84" xfId="0" applyFont="1" applyBorder="1" applyAlignment="1">
      <alignment horizontal="justify" vertical="center" wrapText="1"/>
    </xf>
    <xf numFmtId="166" fontId="111" fillId="0" borderId="84" xfId="11" applyNumberFormat="1" applyFont="1" applyBorder="1" applyAlignment="1">
      <alignment horizontal="center" vertical="center" wrapText="1"/>
    </xf>
    <xf numFmtId="0" fontId="146" fillId="0" borderId="0" xfId="0" applyFont="1" applyAlignment="1">
      <alignment horizontal="center"/>
    </xf>
    <xf numFmtId="0" fontId="43" fillId="0" borderId="0" xfId="0" applyFont="1" applyAlignment="1">
      <alignment horizontal="center" wrapText="1"/>
    </xf>
    <xf numFmtId="0" fontId="32" fillId="0" borderId="22" xfId="11" applyNumberFormat="1" applyFont="1" applyBorder="1" applyAlignment="1">
      <alignment horizontal="center" wrapText="1"/>
    </xf>
    <xf numFmtId="0" fontId="32" fillId="0" borderId="22" xfId="0" applyFont="1" applyBorder="1" applyAlignment="1">
      <alignment horizontal="center" wrapText="1"/>
    </xf>
    <xf numFmtId="0" fontId="32" fillId="0" borderId="0" xfId="0" applyFont="1" applyAlignment="1">
      <alignment horizontal="center" wrapText="1"/>
    </xf>
    <xf numFmtId="166" fontId="32" fillId="0" borderId="0" xfId="11" applyNumberFormat="1" applyFont="1"/>
    <xf numFmtId="165" fontId="32" fillId="28" borderId="13" xfId="0" applyNumberFormat="1" applyFont="1" applyFill="1" applyBorder="1"/>
    <xf numFmtId="165" fontId="93" fillId="28" borderId="13" xfId="1" applyNumberFormat="1" applyFont="1" applyFill="1" applyBorder="1"/>
    <xf numFmtId="165" fontId="93" fillId="0" borderId="13" xfId="1" applyNumberFormat="1" applyFont="1" applyBorder="1"/>
    <xf numFmtId="0" fontId="32" fillId="0" borderId="0" xfId="11" applyNumberFormat="1" applyFont="1" applyAlignment="1">
      <alignment horizontal="right"/>
    </xf>
    <xf numFmtId="165" fontId="32" fillId="2" borderId="13" xfId="0" applyNumberFormat="1" applyFont="1" applyFill="1" applyBorder="1"/>
    <xf numFmtId="165" fontId="93" fillId="2" borderId="13" xfId="1" applyNumberFormat="1" applyFont="1" applyFill="1" applyBorder="1"/>
    <xf numFmtId="165" fontId="32" fillId="29" borderId="13" xfId="0" applyNumberFormat="1" applyFont="1" applyFill="1" applyBorder="1"/>
    <xf numFmtId="165" fontId="93" fillId="29" borderId="13" xfId="1" applyNumberFormat="1" applyFont="1" applyFill="1" applyBorder="1"/>
    <xf numFmtId="0" fontId="32" fillId="0" borderId="0" xfId="11" applyNumberFormat="1" applyFont="1" applyAlignment="1">
      <alignment wrapText="1"/>
    </xf>
    <xf numFmtId="165" fontId="93" fillId="0" borderId="0" xfId="0" applyNumberFormat="1" applyFont="1"/>
    <xf numFmtId="0" fontId="94" fillId="0" borderId="0" xfId="0" applyFont="1"/>
    <xf numFmtId="166" fontId="94" fillId="0" borderId="22" xfId="11" applyNumberFormat="1" applyFont="1" applyBorder="1"/>
    <xf numFmtId="166" fontId="94" fillId="0" borderId="0" xfId="11" applyNumberFormat="1" applyFont="1"/>
    <xf numFmtId="17" fontId="32" fillId="0" borderId="0" xfId="0" quotePrefix="1" applyNumberFormat="1" applyFont="1" applyAlignment="1">
      <alignment horizontal="right"/>
    </xf>
    <xf numFmtId="166" fontId="32" fillId="0" borderId="22" xfId="11" applyNumberFormat="1" applyFont="1" applyBorder="1"/>
    <xf numFmtId="0" fontId="104" fillId="0" borderId="22" xfId="0" applyFont="1" applyBorder="1" applyAlignment="1">
      <alignment vertical="center"/>
    </xf>
    <xf numFmtId="43" fontId="159" fillId="0" borderId="0" xfId="12" applyFont="1" applyAlignment="1">
      <alignment horizontal="right" wrapText="1"/>
    </xf>
    <xf numFmtId="43" fontId="90" fillId="0" borderId="22" xfId="1" applyFont="1" applyBorder="1" applyAlignment="1">
      <alignment horizontal="center" wrapText="1"/>
    </xf>
    <xf numFmtId="43" fontId="67" fillId="0" borderId="22" xfId="1" applyFont="1" applyBorder="1" applyAlignment="1">
      <alignment horizontal="center" wrapText="1"/>
    </xf>
    <xf numFmtId="43" fontId="43" fillId="0" borderId="0" xfId="1" applyFont="1"/>
    <xf numFmtId="165" fontId="9" fillId="4" borderId="32" xfId="1" applyNumberFormat="1" applyFont="1" applyFill="1" applyBorder="1" applyAlignment="1">
      <alignment vertical="center"/>
    </xf>
    <xf numFmtId="0" fontId="9" fillId="2" borderId="32" xfId="0" applyFont="1" applyFill="1" applyBorder="1" applyAlignment="1">
      <alignment horizontal="left" vertical="center"/>
    </xf>
    <xf numFmtId="14" fontId="130" fillId="0" borderId="0" xfId="10" applyNumberFormat="1" applyFont="1" applyAlignment="1">
      <alignment horizontal="left" wrapText="1"/>
    </xf>
    <xf numFmtId="0" fontId="51" fillId="0" borderId="0" xfId="10" applyFont="1" applyAlignment="1">
      <alignment horizontal="center" wrapText="1"/>
    </xf>
    <xf numFmtId="170" fontId="51" fillId="0" borderId="32" xfId="0" applyNumberFormat="1" applyFont="1" applyBorder="1" applyAlignment="1">
      <alignment horizontal="right" wrapText="1"/>
    </xf>
    <xf numFmtId="43" fontId="51" fillId="0" borderId="32" xfId="1" applyFont="1" applyBorder="1" applyAlignment="1">
      <alignment horizontal="right" wrapText="1"/>
    </xf>
    <xf numFmtId="0" fontId="0" fillId="0" borderId="32" xfId="0" applyBorder="1"/>
    <xf numFmtId="0" fontId="51" fillId="0" borderId="32" xfId="0" applyFont="1" applyBorder="1" applyAlignment="1">
      <alignment horizontal="left" wrapText="1"/>
    </xf>
    <xf numFmtId="0" fontId="8" fillId="0" borderId="32" xfId="10" applyBorder="1"/>
    <xf numFmtId="0" fontId="51" fillId="0" borderId="32" xfId="10" applyFont="1" applyBorder="1" applyAlignment="1">
      <alignment horizontal="left" wrapText="1"/>
    </xf>
    <xf numFmtId="43" fontId="51" fillId="0" borderId="32" xfId="49" applyFont="1" applyBorder="1" applyAlignment="1">
      <alignment horizontal="right" wrapText="1"/>
    </xf>
    <xf numFmtId="14" fontId="4" fillId="17" borderId="13" xfId="1" applyNumberFormat="1" applyFont="1" applyFill="1" applyBorder="1" applyAlignment="1">
      <alignment horizontal="center"/>
    </xf>
    <xf numFmtId="9" fontId="0" fillId="17" borderId="13" xfId="19" applyFont="1" applyFill="1" applyBorder="1" applyAlignment="1">
      <alignment horizontal="center"/>
    </xf>
    <xf numFmtId="10" fontId="0" fillId="17" borderId="13" xfId="19" applyNumberFormat="1" applyFont="1" applyFill="1" applyBorder="1" applyAlignment="1">
      <alignment horizontal="center"/>
    </xf>
    <xf numFmtId="39" fontId="0" fillId="17" borderId="13" xfId="1" applyNumberFormat="1" applyFont="1" applyFill="1" applyBorder="1" applyAlignment="1">
      <alignment horizontal="center"/>
    </xf>
    <xf numFmtId="14" fontId="0" fillId="17" borderId="13" xfId="1" applyNumberFormat="1" applyFont="1" applyFill="1" applyBorder="1" applyAlignment="1">
      <alignment horizontal="center"/>
    </xf>
    <xf numFmtId="0" fontId="130" fillId="0" borderId="32" xfId="10" applyFont="1" applyBorder="1" applyAlignment="1">
      <alignment horizontal="left" wrapText="1"/>
    </xf>
    <xf numFmtId="0" fontId="130" fillId="0" borderId="32" xfId="10" applyFont="1" applyBorder="1" applyAlignment="1">
      <alignment horizontal="center" wrapText="1"/>
    </xf>
    <xf numFmtId="43" fontId="130" fillId="0" borderId="32" xfId="1" applyFont="1" applyBorder="1" applyAlignment="1">
      <alignment horizontal="right" wrapText="1"/>
    </xf>
    <xf numFmtId="43" fontId="50" fillId="0" borderId="0" xfId="1" applyFont="1" applyAlignment="1">
      <alignment horizontal="right" wrapText="1"/>
    </xf>
    <xf numFmtId="0" fontId="43" fillId="0" borderId="22" xfId="0" applyFont="1" applyBorder="1" applyAlignment="1">
      <alignment wrapText="1"/>
    </xf>
    <xf numFmtId="0" fontId="11" fillId="5" borderId="13" xfId="1" applyNumberFormat="1" applyFont="1" applyFill="1" applyBorder="1" applyAlignment="1">
      <alignment horizontal="left" vertical="center"/>
    </xf>
    <xf numFmtId="9" fontId="9" fillId="0" borderId="0" xfId="19" applyFont="1" applyFill="1" applyBorder="1" applyAlignment="1">
      <alignment horizontal="center" vertical="center" wrapText="1"/>
    </xf>
    <xf numFmtId="9" fontId="10" fillId="0" borderId="0" xfId="19" applyFont="1" applyBorder="1" applyAlignment="1">
      <alignment horizontal="center"/>
    </xf>
    <xf numFmtId="9" fontId="9" fillId="0" borderId="0" xfId="19" applyFont="1" applyBorder="1" applyAlignment="1">
      <alignment horizontal="center"/>
    </xf>
    <xf numFmtId="43" fontId="13" fillId="0" borderId="12" xfId="1" applyFont="1" applyBorder="1" applyAlignment="1">
      <alignment horizontal="right" vertical="center" wrapText="1"/>
    </xf>
    <xf numFmtId="165" fontId="11" fillId="0" borderId="0" xfId="1" applyNumberFormat="1" applyFont="1" applyAlignment="1">
      <alignment horizontal="right" vertical="center" wrapText="1"/>
    </xf>
    <xf numFmtId="165" fontId="9" fillId="0" borderId="0" xfId="1" applyNumberFormat="1" applyFont="1"/>
    <xf numFmtId="165" fontId="10" fillId="0" borderId="32" xfId="1" applyNumberFormat="1" applyFont="1" applyBorder="1" applyAlignment="1">
      <alignment horizontal="right" vertical="center" wrapText="1"/>
    </xf>
    <xf numFmtId="165" fontId="15" fillId="0" borderId="0" xfId="1" applyNumberFormat="1" applyFont="1" applyAlignment="1">
      <alignment horizontal="right" vertical="center" wrapText="1"/>
    </xf>
    <xf numFmtId="165" fontId="10" fillId="0" borderId="0" xfId="1" applyNumberFormat="1" applyFont="1" applyFill="1" applyBorder="1" applyAlignment="1">
      <alignment horizontal="right" vertical="center" wrapText="1"/>
    </xf>
    <xf numFmtId="0" fontId="17" fillId="3" borderId="22" xfId="0" applyFont="1" applyFill="1" applyBorder="1" applyAlignment="1">
      <alignment horizontal="right"/>
    </xf>
    <xf numFmtId="0" fontId="17" fillId="3" borderId="0" xfId="0" applyFont="1" applyFill="1" applyAlignment="1">
      <alignment horizontal="right"/>
    </xf>
    <xf numFmtId="168" fontId="11" fillId="0" borderId="0" xfId="0" applyNumberFormat="1" applyFont="1" applyAlignment="1">
      <alignment horizontal="right"/>
    </xf>
    <xf numFmtId="0" fontId="160" fillId="0" borderId="0" xfId="0" applyFont="1"/>
    <xf numFmtId="165" fontId="0" fillId="0" borderId="0" xfId="1" applyNumberFormat="1" applyFont="1" applyFill="1" applyAlignment="1">
      <alignment horizontal="right"/>
    </xf>
    <xf numFmtId="0" fontId="161" fillId="0" borderId="0" xfId="0" applyFont="1" applyAlignment="1">
      <alignment horizontal="left" wrapText="1"/>
    </xf>
    <xf numFmtId="170" fontId="162" fillId="0" borderId="0" xfId="0" applyNumberFormat="1" applyFont="1" applyAlignment="1">
      <alignment wrapText="1"/>
    </xf>
    <xf numFmtId="43" fontId="161" fillId="0" borderId="27" xfId="1" applyFont="1" applyBorder="1" applyAlignment="1">
      <alignment horizontal="right" wrapText="1"/>
    </xf>
    <xf numFmtId="43" fontId="162" fillId="0" borderId="0" xfId="1" applyFont="1" applyAlignment="1">
      <alignment horizontal="right" wrapText="1"/>
    </xf>
    <xf numFmtId="43" fontId="162" fillId="0" borderId="0" xfId="1" applyFont="1" applyAlignment="1">
      <alignment wrapText="1"/>
    </xf>
    <xf numFmtId="43" fontId="125" fillId="0" borderId="27" xfId="1" applyFont="1" applyBorder="1" applyAlignment="1">
      <alignment horizontal="right" wrapText="1"/>
    </xf>
    <xf numFmtId="43" fontId="159" fillId="0" borderId="0" xfId="1" applyFont="1" applyAlignment="1">
      <alignment horizontal="right" wrapText="1"/>
    </xf>
    <xf numFmtId="43" fontId="159" fillId="0" borderId="0" xfId="1" applyFont="1" applyAlignment="1">
      <alignment wrapText="1"/>
    </xf>
    <xf numFmtId="43" fontId="163" fillId="0" borderId="27" xfId="1" applyFont="1" applyBorder="1" applyAlignment="1">
      <alignment horizontal="right" wrapText="1"/>
    </xf>
    <xf numFmtId="49" fontId="9" fillId="17" borderId="0" xfId="0" applyNumberFormat="1" applyFont="1" applyFill="1"/>
    <xf numFmtId="165" fontId="9" fillId="17" borderId="3" xfId="1" applyNumberFormat="1" applyFont="1" applyFill="1" applyBorder="1" applyAlignment="1">
      <alignment vertical="center"/>
    </xf>
    <xf numFmtId="49" fontId="9" fillId="17" borderId="26" xfId="0" applyNumberFormat="1" applyFont="1" applyFill="1" applyBorder="1"/>
    <xf numFmtId="165" fontId="9" fillId="17" borderId="14" xfId="1" applyNumberFormat="1" applyFont="1" applyFill="1" applyBorder="1" applyAlignment="1">
      <alignment vertical="center"/>
    </xf>
    <xf numFmtId="0" fontId="9" fillId="17" borderId="0" xfId="0" applyFont="1" applyFill="1"/>
    <xf numFmtId="165" fontId="9" fillId="17" borderId="23" xfId="1" applyNumberFormat="1" applyFont="1" applyFill="1" applyBorder="1" applyAlignment="1">
      <alignment vertical="center"/>
    </xf>
    <xf numFmtId="0" fontId="9" fillId="17" borderId="32" xfId="0" applyFont="1" applyFill="1" applyBorder="1"/>
    <xf numFmtId="165" fontId="9" fillId="17" borderId="31" xfId="1" applyNumberFormat="1" applyFont="1" applyFill="1" applyBorder="1" applyAlignment="1">
      <alignment vertical="center"/>
    </xf>
    <xf numFmtId="165" fontId="9" fillId="17" borderId="13" xfId="1" applyNumberFormat="1" applyFont="1" applyFill="1" applyBorder="1" applyAlignment="1">
      <alignment vertical="center"/>
    </xf>
    <xf numFmtId="0" fontId="9" fillId="17" borderId="0" xfId="0" applyFont="1" applyFill="1" applyAlignment="1">
      <alignment vertical="center"/>
    </xf>
    <xf numFmtId="0" fontId="9" fillId="17" borderId="32" xfId="0" applyFont="1" applyFill="1" applyBorder="1" applyAlignment="1">
      <alignment vertical="center"/>
    </xf>
    <xf numFmtId="49" fontId="9" fillId="17" borderId="22" xfId="0" applyNumberFormat="1" applyFont="1" applyFill="1" applyBorder="1"/>
    <xf numFmtId="14" fontId="0" fillId="28" borderId="22" xfId="0" applyNumberFormat="1" applyFill="1" applyBorder="1" applyAlignment="1">
      <alignment horizontal="center"/>
    </xf>
    <xf numFmtId="43" fontId="0" fillId="28" borderId="22" xfId="1" applyFont="1" applyFill="1" applyBorder="1"/>
    <xf numFmtId="165" fontId="4" fillId="0" borderId="0" xfId="0" applyNumberFormat="1" applyFont="1"/>
    <xf numFmtId="14" fontId="0" fillId="0" borderId="22" xfId="0" applyNumberFormat="1" applyBorder="1" applyAlignment="1">
      <alignment horizontal="center"/>
    </xf>
    <xf numFmtId="0" fontId="104" fillId="0" borderId="0" xfId="0" applyFont="1" applyAlignment="1">
      <alignment horizontal="right" vertical="center"/>
    </xf>
    <xf numFmtId="166" fontId="104" fillId="0" borderId="0" xfId="11" applyNumberFormat="1" applyFont="1" applyFill="1" applyBorder="1" applyAlignment="1">
      <alignment vertical="center"/>
    </xf>
    <xf numFmtId="43" fontId="32" fillId="0" borderId="0" xfId="1" applyFont="1"/>
    <xf numFmtId="14" fontId="4" fillId="17" borderId="13" xfId="0" applyNumberFormat="1" applyFont="1" applyFill="1" applyBorder="1" applyAlignment="1">
      <alignment horizontal="left"/>
    </xf>
    <xf numFmtId="49" fontId="4" fillId="0" borderId="22" xfId="0" applyNumberFormat="1" applyFont="1" applyBorder="1"/>
    <xf numFmtId="49" fontId="0" fillId="0" borderId="0" xfId="0" applyNumberFormat="1"/>
    <xf numFmtId="0" fontId="4" fillId="0" borderId="5" xfId="0" applyFont="1" applyBorder="1"/>
    <xf numFmtId="43" fontId="4" fillId="0" borderId="5" xfId="0" applyNumberFormat="1" applyFont="1" applyBorder="1"/>
    <xf numFmtId="0" fontId="164" fillId="0" borderId="0" xfId="0" applyFont="1" applyAlignment="1">
      <alignment vertical="center"/>
    </xf>
    <xf numFmtId="0" fontId="165" fillId="0" borderId="0" xfId="0" applyFont="1"/>
    <xf numFmtId="49" fontId="165" fillId="0" borderId="0" xfId="0" applyNumberFormat="1" applyFont="1"/>
    <xf numFmtId="49" fontId="164" fillId="0" borderId="1" xfId="0" applyNumberFormat="1" applyFont="1" applyBorder="1"/>
    <xf numFmtId="49" fontId="164" fillId="0" borderId="0" xfId="0" applyNumberFormat="1" applyFont="1"/>
    <xf numFmtId="49" fontId="164" fillId="30" borderId="0" xfId="0" applyNumberFormat="1" applyFont="1" applyFill="1"/>
    <xf numFmtId="185" fontId="165" fillId="0" borderId="0" xfId="0" applyNumberFormat="1" applyFont="1"/>
    <xf numFmtId="185" fontId="165" fillId="30" borderId="0" xfId="0" applyNumberFormat="1" applyFont="1" applyFill="1"/>
    <xf numFmtId="49" fontId="164" fillId="0" borderId="82" xfId="0" applyNumberFormat="1" applyFont="1" applyBorder="1"/>
    <xf numFmtId="49" fontId="4" fillId="0" borderId="22" xfId="0" applyNumberFormat="1" applyFont="1" applyBorder="1" applyAlignment="1">
      <alignment horizontal="center" wrapText="1"/>
    </xf>
    <xf numFmtId="49" fontId="4" fillId="0" borderId="0" xfId="0" applyNumberFormat="1" applyFont="1" applyAlignment="1">
      <alignment horizontal="left"/>
    </xf>
    <xf numFmtId="43" fontId="165" fillId="0" borderId="0" xfId="1" applyFont="1"/>
    <xf numFmtId="43" fontId="164" fillId="0" borderId="1" xfId="1" applyFont="1" applyBorder="1"/>
    <xf numFmtId="43" fontId="164" fillId="30" borderId="1" xfId="1" applyFont="1" applyFill="1" applyBorder="1"/>
    <xf numFmtId="43" fontId="164" fillId="0" borderId="0" xfId="1" applyFont="1"/>
    <xf numFmtId="43" fontId="164" fillId="30" borderId="0" xfId="1" applyFont="1" applyFill="1"/>
    <xf numFmtId="43" fontId="165" fillId="30" borderId="0" xfId="1" applyFont="1" applyFill="1"/>
    <xf numFmtId="43" fontId="165" fillId="0" borderId="19" xfId="1" applyFont="1" applyBorder="1"/>
    <xf numFmtId="43" fontId="165" fillId="30" borderId="19" xfId="1" applyFont="1" applyFill="1" applyBorder="1"/>
    <xf numFmtId="43" fontId="164" fillId="0" borderId="82" xfId="1" applyFont="1" applyBorder="1"/>
    <xf numFmtId="43" fontId="164" fillId="30" borderId="82" xfId="1" applyFont="1" applyFill="1" applyBorder="1"/>
    <xf numFmtId="44" fontId="0" fillId="17" borderId="13" xfId="11" applyFont="1" applyFill="1" applyBorder="1" applyAlignment="1">
      <alignment horizontal="right"/>
    </xf>
    <xf numFmtId="14" fontId="4" fillId="0" borderId="86" xfId="0" applyNumberFormat="1" applyFont="1" applyBorder="1" applyAlignment="1">
      <alignment horizontal="center" wrapText="1"/>
    </xf>
    <xf numFmtId="14" fontId="4" fillId="0" borderId="74" xfId="0" applyNumberFormat="1" applyFont="1" applyBorder="1" applyAlignment="1">
      <alignment horizontal="center" wrapText="1"/>
    </xf>
    <xf numFmtId="14" fontId="4" fillId="0" borderId="87" xfId="0" applyNumberFormat="1" applyFont="1" applyBorder="1" applyAlignment="1">
      <alignment horizontal="center" wrapText="1"/>
    </xf>
    <xf numFmtId="43" fontId="0" fillId="0" borderId="78" xfId="1" applyFont="1" applyBorder="1"/>
    <xf numFmtId="43" fontId="0" fillId="0" borderId="79" xfId="0" applyNumberFormat="1" applyBorder="1"/>
    <xf numFmtId="0" fontId="0" fillId="0" borderId="78" xfId="0" applyBorder="1"/>
    <xf numFmtId="0" fontId="0" fillId="0" borderId="79" xfId="0" applyBorder="1"/>
    <xf numFmtId="0" fontId="0" fillId="0" borderId="80" xfId="0" applyBorder="1"/>
    <xf numFmtId="0" fontId="0" fillId="0" borderId="81" xfId="0" applyBorder="1"/>
    <xf numFmtId="43" fontId="0" fillId="0" borderId="58" xfId="1" applyFont="1" applyBorder="1"/>
    <xf numFmtId="43" fontId="0" fillId="0" borderId="60" xfId="1" applyFont="1" applyBorder="1"/>
    <xf numFmtId="43" fontId="0" fillId="0" borderId="78" xfId="0" applyNumberFormat="1" applyBorder="1"/>
    <xf numFmtId="14" fontId="4" fillId="0" borderId="88" xfId="0" applyNumberFormat="1" applyFont="1" applyBorder="1" applyAlignment="1">
      <alignment horizontal="center" wrapText="1"/>
    </xf>
    <xf numFmtId="43" fontId="0" fillId="0" borderId="89" xfId="0" applyNumberFormat="1" applyBorder="1"/>
    <xf numFmtId="0" fontId="0" fillId="0" borderId="89" xfId="0" applyBorder="1"/>
    <xf numFmtId="0" fontId="0" fillId="0" borderId="90" xfId="0" applyBorder="1"/>
    <xf numFmtId="43" fontId="0" fillId="0" borderId="4" xfId="1" applyFont="1" applyBorder="1"/>
    <xf numFmtId="0" fontId="4" fillId="0" borderId="5" xfId="0" applyFont="1" applyBorder="1" applyAlignment="1">
      <alignment horizontal="right"/>
    </xf>
    <xf numFmtId="44" fontId="4" fillId="0" borderId="5" xfId="11" applyFont="1" applyBorder="1" applyAlignment="1">
      <alignment horizontal="right"/>
    </xf>
    <xf numFmtId="0" fontId="46" fillId="0" borderId="0" xfId="29" applyFont="1" applyAlignment="1">
      <alignment horizontal="center"/>
    </xf>
    <xf numFmtId="14" fontId="66" fillId="17" borderId="13" xfId="0" applyNumberFormat="1" applyFont="1" applyFill="1" applyBorder="1" applyAlignment="1">
      <alignment horizontal="left"/>
    </xf>
    <xf numFmtId="43" fontId="32" fillId="0" borderId="0" xfId="1" applyFont="1" applyAlignment="1">
      <alignment horizontal="right"/>
    </xf>
    <xf numFmtId="43" fontId="4" fillId="0" borderId="22" xfId="0" applyNumberFormat="1" applyFont="1" applyBorder="1"/>
    <xf numFmtId="43" fontId="32" fillId="0" borderId="0" xfId="1" applyFont="1" applyAlignment="1">
      <alignment horizontal="left"/>
    </xf>
    <xf numFmtId="49" fontId="32" fillId="0" borderId="0" xfId="1" applyNumberFormat="1" applyFont="1" applyAlignment="1">
      <alignment horizontal="left"/>
    </xf>
    <xf numFmtId="0" fontId="46" fillId="0" borderId="0" xfId="29" quotePrefix="1" applyFont="1" applyAlignment="1">
      <alignment horizontal="center"/>
    </xf>
    <xf numFmtId="0" fontId="4" fillId="0" borderId="14" xfId="0" applyFont="1" applyBorder="1" applyAlignment="1">
      <alignment horizontal="center"/>
    </xf>
    <xf numFmtId="43" fontId="43" fillId="0" borderId="3" xfId="0" applyNumberFormat="1" applyFont="1" applyBorder="1" applyAlignment="1">
      <alignment horizontal="center" wrapText="1"/>
    </xf>
    <xf numFmtId="0" fontId="4" fillId="0" borderId="14" xfId="0" applyFont="1" applyBorder="1" applyAlignment="1">
      <alignment horizontal="center" wrapText="1"/>
    </xf>
    <xf numFmtId="0" fontId="9" fillId="17" borderId="3" xfId="0" applyFont="1" applyFill="1" applyBorder="1"/>
    <xf numFmtId="0" fontId="9" fillId="17" borderId="14" xfId="0" applyFont="1" applyFill="1" applyBorder="1"/>
    <xf numFmtId="0" fontId="11" fillId="0" borderId="32" xfId="0" applyFont="1" applyBorder="1"/>
    <xf numFmtId="41" fontId="74" fillId="0" borderId="0" xfId="0" applyNumberFormat="1" applyFont="1" applyAlignment="1">
      <alignment horizontal="right" wrapText="1"/>
    </xf>
    <xf numFmtId="0" fontId="74" fillId="0" borderId="0" xfId="0" applyFont="1" applyAlignment="1">
      <alignment horizontal="right" wrapText="1"/>
    </xf>
    <xf numFmtId="0" fontId="13" fillId="0" borderId="0" xfId="0" applyFont="1" applyAlignment="1">
      <alignment horizontal="right" wrapText="1"/>
    </xf>
    <xf numFmtId="0" fontId="9" fillId="17" borderId="13" xfId="0" applyFont="1" applyFill="1" applyBorder="1" applyAlignment="1">
      <alignment vertical="center"/>
    </xf>
    <xf numFmtId="0" fontId="9" fillId="17" borderId="29" xfId="0" applyFont="1" applyFill="1" applyBorder="1" applyAlignment="1">
      <alignment vertical="center"/>
    </xf>
    <xf numFmtId="0" fontId="9" fillId="17" borderId="14" xfId="0" applyFont="1" applyFill="1" applyBorder="1" applyAlignment="1">
      <alignment vertical="center"/>
    </xf>
    <xf numFmtId="0" fontId="11" fillId="17" borderId="15" xfId="0" applyFont="1" applyFill="1" applyBorder="1" applyAlignment="1">
      <alignment vertical="center"/>
    </xf>
    <xf numFmtId="0" fontId="11" fillId="17" borderId="13" xfId="0" applyFont="1" applyFill="1" applyBorder="1" applyAlignment="1">
      <alignment vertical="center"/>
    </xf>
    <xf numFmtId="0" fontId="14" fillId="17" borderId="13" xfId="0" applyFont="1" applyFill="1" applyBorder="1" applyAlignment="1">
      <alignment vertical="center"/>
    </xf>
    <xf numFmtId="43" fontId="74" fillId="0" borderId="0" xfId="1" applyFont="1" applyAlignment="1">
      <alignment vertical="center"/>
    </xf>
    <xf numFmtId="165" fontId="9" fillId="20" borderId="13" xfId="1" applyNumberFormat="1" applyFont="1" applyFill="1" applyBorder="1" applyAlignment="1">
      <alignment vertical="center"/>
    </xf>
    <xf numFmtId="0" fontId="131" fillId="0" borderId="22" xfId="0" applyFont="1" applyBorder="1" applyAlignment="1">
      <alignment horizontal="left" wrapText="1"/>
    </xf>
    <xf numFmtId="43" fontId="130" fillId="0" borderId="22" xfId="1" applyFont="1" applyBorder="1" applyAlignment="1">
      <alignment horizontal="right" wrapText="1"/>
    </xf>
    <xf numFmtId="0" fontId="18" fillId="17" borderId="13" xfId="0" applyFont="1" applyFill="1" applyBorder="1" applyAlignment="1">
      <alignment vertical="center"/>
    </xf>
    <xf numFmtId="41" fontId="141" fillId="0" borderId="0" xfId="0" applyNumberFormat="1" applyFont="1"/>
    <xf numFmtId="0" fontId="141" fillId="0" borderId="0" xfId="0" applyFont="1" applyAlignment="1">
      <alignment horizontal="right"/>
    </xf>
    <xf numFmtId="0" fontId="86" fillId="0" borderId="22" xfId="0" applyFont="1" applyBorder="1" applyAlignment="1">
      <alignment horizontal="right"/>
    </xf>
    <xf numFmtId="0" fontId="86" fillId="0" borderId="0" xfId="0" applyFont="1" applyAlignment="1">
      <alignment horizontal="right"/>
    </xf>
    <xf numFmtId="2" fontId="0" fillId="0" borderId="0" xfId="1" applyNumberFormat="1" applyFont="1"/>
    <xf numFmtId="185" fontId="164" fillId="0" borderId="82" xfId="0" applyNumberFormat="1" applyFont="1" applyBorder="1"/>
    <xf numFmtId="49" fontId="164" fillId="30" borderId="1" xfId="0" applyNumberFormat="1" applyFont="1" applyFill="1" applyBorder="1"/>
    <xf numFmtId="185" fontId="164" fillId="30" borderId="82" xfId="0" applyNumberFormat="1" applyFont="1" applyFill="1" applyBorder="1"/>
    <xf numFmtId="2" fontId="165" fillId="0" borderId="0" xfId="0" applyNumberFormat="1" applyFont="1"/>
    <xf numFmtId="185" fontId="165" fillId="0" borderId="19" xfId="0" applyNumberFormat="1" applyFont="1" applyBorder="1"/>
    <xf numFmtId="2" fontId="165" fillId="0" borderId="19" xfId="0" applyNumberFormat="1" applyFont="1" applyBorder="1"/>
    <xf numFmtId="2" fontId="164" fillId="0" borderId="82" xfId="0" applyNumberFormat="1" applyFont="1" applyBorder="1"/>
    <xf numFmtId="185" fontId="165" fillId="30" borderId="19" xfId="0" applyNumberFormat="1" applyFont="1" applyFill="1" applyBorder="1"/>
    <xf numFmtId="49" fontId="0" fillId="0" borderId="0" xfId="0" applyNumberFormat="1" applyAlignment="1">
      <alignment horizontal="center"/>
    </xf>
    <xf numFmtId="0" fontId="86" fillId="0" borderId="0" xfId="0" applyFont="1" applyAlignment="1">
      <alignment vertical="center"/>
    </xf>
    <xf numFmtId="173" fontId="86" fillId="0" borderId="0" xfId="0" applyNumberFormat="1" applyFont="1" applyAlignment="1">
      <alignment horizontal="right" vertical="center"/>
    </xf>
    <xf numFmtId="0" fontId="87" fillId="0" borderId="2" xfId="0" applyFont="1" applyBorder="1" applyAlignment="1">
      <alignment vertical="center"/>
    </xf>
    <xf numFmtId="0" fontId="87" fillId="0" borderId="2" xfId="0" applyFont="1" applyBorder="1" applyAlignment="1">
      <alignment horizontal="right" vertical="center" wrapText="1"/>
    </xf>
    <xf numFmtId="173" fontId="87" fillId="0" borderId="2" xfId="0" applyNumberFormat="1" applyFont="1" applyBorder="1" applyAlignment="1">
      <alignment horizontal="right" vertical="center"/>
    </xf>
    <xf numFmtId="0" fontId="87" fillId="0" borderId="0" xfId="0" applyFont="1" applyAlignment="1">
      <alignment vertical="center"/>
    </xf>
    <xf numFmtId="173" fontId="87" fillId="0" borderId="0" xfId="0" applyNumberFormat="1" applyFont="1" applyAlignment="1">
      <alignment horizontal="right" vertical="center"/>
    </xf>
    <xf numFmtId="0" fontId="87" fillId="0" borderId="32" xfId="0" applyFont="1" applyBorder="1" applyAlignment="1">
      <alignment vertical="center"/>
    </xf>
    <xf numFmtId="0" fontId="87" fillId="0" borderId="32" xfId="0" applyFont="1" applyBorder="1" applyAlignment="1">
      <alignment horizontal="center" vertical="center"/>
    </xf>
    <xf numFmtId="0" fontId="87" fillId="0" borderId="32" xfId="0" applyFont="1" applyBorder="1" applyAlignment="1">
      <alignment horizontal="right" vertical="center" wrapText="1"/>
    </xf>
    <xf numFmtId="173" fontId="87" fillId="0" borderId="32" xfId="0" applyNumberFormat="1" applyFont="1" applyBorder="1" applyAlignment="1">
      <alignment horizontal="right" vertical="center"/>
    </xf>
    <xf numFmtId="0" fontId="86" fillId="0" borderId="0" xfId="0" applyFont="1" applyAlignment="1">
      <alignment horizontal="right" vertical="center"/>
    </xf>
    <xf numFmtId="0" fontId="86" fillId="0" borderId="32" xfId="0" applyFont="1" applyBorder="1" applyAlignment="1">
      <alignment horizontal="center" vertical="center"/>
    </xf>
    <xf numFmtId="173" fontId="86" fillId="0" borderId="22" xfId="0" applyNumberFormat="1" applyFont="1" applyBorder="1" applyAlignment="1">
      <alignment horizontal="right" vertical="center"/>
    </xf>
    <xf numFmtId="0" fontId="87" fillId="0" borderId="63" xfId="0" applyFont="1" applyBorder="1" applyAlignment="1">
      <alignment vertical="center"/>
    </xf>
    <xf numFmtId="0" fontId="86" fillId="0" borderId="63" xfId="0" applyFont="1" applyBorder="1" applyAlignment="1">
      <alignment horizontal="center" vertical="center"/>
    </xf>
    <xf numFmtId="0" fontId="87" fillId="0" borderId="63" xfId="0" applyFont="1" applyBorder="1" applyAlignment="1">
      <alignment horizontal="right" vertical="center" wrapText="1"/>
    </xf>
    <xf numFmtId="173" fontId="87" fillId="0" borderId="63" xfId="0" applyNumberFormat="1" applyFont="1" applyBorder="1" applyAlignment="1">
      <alignment horizontal="right" vertical="center"/>
    </xf>
    <xf numFmtId="0" fontId="86" fillId="0" borderId="22" xfId="0" applyFont="1" applyBorder="1" applyAlignment="1">
      <alignment vertical="center"/>
    </xf>
    <xf numFmtId="0" fontId="86" fillId="0" borderId="22" xfId="0" applyFont="1" applyBorder="1" applyAlignment="1">
      <alignment horizontal="right" vertical="center" wrapText="1"/>
    </xf>
    <xf numFmtId="0" fontId="87" fillId="0" borderId="59" xfId="0" applyFont="1" applyBorder="1" applyAlignment="1">
      <alignment vertical="center"/>
    </xf>
    <xf numFmtId="0" fontId="86" fillId="0" borderId="59" xfId="0" applyFont="1" applyBorder="1" applyAlignment="1">
      <alignment horizontal="center" vertical="center"/>
    </xf>
    <xf numFmtId="0" fontId="87" fillId="0" borderId="59" xfId="0" applyFont="1" applyBorder="1" applyAlignment="1">
      <alignment horizontal="right" vertical="center" wrapText="1"/>
    </xf>
    <xf numFmtId="0" fontId="86" fillId="0" borderId="2" xfId="0" applyFont="1" applyBorder="1" applyAlignment="1">
      <alignment horizontal="center" vertical="center"/>
    </xf>
    <xf numFmtId="0" fontId="81" fillId="0" borderId="2" xfId="0" applyFont="1" applyBorder="1" applyAlignment="1">
      <alignment horizontal="center" vertical="center"/>
    </xf>
    <xf numFmtId="0" fontId="142" fillId="0" borderId="22" xfId="0" applyFont="1" applyBorder="1" applyAlignment="1">
      <alignment horizontal="right"/>
    </xf>
    <xf numFmtId="43" fontId="166" fillId="0" borderId="27" xfId="1" applyFont="1" applyBorder="1"/>
    <xf numFmtId="0" fontId="167" fillId="0" borderId="0" xfId="0" applyFont="1" applyAlignment="1">
      <alignment vertical="center"/>
    </xf>
    <xf numFmtId="0" fontId="168" fillId="0" borderId="0" xfId="0" applyFont="1"/>
    <xf numFmtId="49" fontId="168" fillId="0" borderId="0" xfId="0" applyNumberFormat="1" applyFont="1"/>
    <xf numFmtId="49" fontId="167" fillId="0" borderId="0" xfId="0" applyNumberFormat="1" applyFont="1"/>
    <xf numFmtId="185" fontId="168" fillId="0" borderId="0" xfId="0" applyNumberFormat="1" applyFont="1"/>
    <xf numFmtId="49" fontId="167" fillId="0" borderId="1" xfId="0" applyNumberFormat="1" applyFont="1" applyBorder="1"/>
    <xf numFmtId="49" fontId="167" fillId="0" borderId="82" xfId="0" applyNumberFormat="1" applyFont="1" applyBorder="1"/>
    <xf numFmtId="185" fontId="167" fillId="0" borderId="82" xfId="0" applyNumberFormat="1" applyFont="1" applyBorder="1"/>
    <xf numFmtId="49" fontId="167" fillId="30" borderId="1" xfId="0" applyNumberFormat="1" applyFont="1" applyFill="1" applyBorder="1"/>
    <xf numFmtId="49" fontId="167" fillId="30" borderId="0" xfId="0" applyNumberFormat="1" applyFont="1" applyFill="1"/>
    <xf numFmtId="185" fontId="168" fillId="30" borderId="0" xfId="0" applyNumberFormat="1" applyFont="1" applyFill="1"/>
    <xf numFmtId="185" fontId="167" fillId="30" borderId="82" xfId="0" applyNumberFormat="1" applyFont="1" applyFill="1" applyBorder="1"/>
    <xf numFmtId="2" fontId="168" fillId="0" borderId="0" xfId="0" applyNumberFormat="1" applyFont="1"/>
    <xf numFmtId="185" fontId="168" fillId="0" borderId="19" xfId="0" applyNumberFormat="1" applyFont="1" applyBorder="1"/>
    <xf numFmtId="2" fontId="168" fillId="0" borderId="19" xfId="0" applyNumberFormat="1" applyFont="1" applyBorder="1"/>
    <xf numFmtId="2" fontId="167" fillId="0" borderId="82" xfId="0" applyNumberFormat="1" applyFont="1" applyBorder="1"/>
    <xf numFmtId="185" fontId="168" fillId="30" borderId="19" xfId="0" applyNumberFormat="1" applyFont="1" applyFill="1" applyBorder="1"/>
    <xf numFmtId="0" fontId="80" fillId="3" borderId="32" xfId="0" applyFont="1" applyFill="1" applyBorder="1"/>
    <xf numFmtId="0" fontId="80" fillId="3" borderId="32" xfId="0" applyFont="1" applyFill="1" applyBorder="1" applyAlignment="1">
      <alignment horizontal="center"/>
    </xf>
    <xf numFmtId="15" fontId="80" fillId="3" borderId="32" xfId="0" applyNumberFormat="1" applyFont="1" applyFill="1" applyBorder="1" applyAlignment="1">
      <alignment horizontal="right" wrapText="1"/>
    </xf>
    <xf numFmtId="0" fontId="169" fillId="0" borderId="0" xfId="0" applyFont="1" applyAlignment="1">
      <alignment horizontal="right"/>
    </xf>
    <xf numFmtId="43" fontId="169" fillId="0" borderId="0" xfId="0" applyNumberFormat="1" applyFont="1" applyAlignment="1">
      <alignment horizontal="right"/>
    </xf>
    <xf numFmtId="165" fontId="141" fillId="0" borderId="0" xfId="1" applyNumberFormat="1" applyFont="1"/>
    <xf numFmtId="165" fontId="141" fillId="0" borderId="0" xfId="0" applyNumberFormat="1" applyFont="1"/>
    <xf numFmtId="165" fontId="166" fillId="0" borderId="27" xfId="1" applyNumberFormat="1" applyFont="1" applyBorder="1"/>
    <xf numFmtId="0" fontId="170" fillId="0" borderId="0" xfId="0" applyFont="1"/>
    <xf numFmtId="0" fontId="80" fillId="3" borderId="2" xfId="0" applyFont="1" applyFill="1" applyBorder="1"/>
    <xf numFmtId="0" fontId="80" fillId="3" borderId="2" xfId="0" applyFont="1" applyFill="1" applyBorder="1" applyAlignment="1">
      <alignment horizontal="right" wrapText="1"/>
    </xf>
    <xf numFmtId="15" fontId="80" fillId="3" borderId="2" xfId="0" applyNumberFormat="1" applyFont="1" applyFill="1" applyBorder="1" applyAlignment="1">
      <alignment horizontal="right" wrapText="1"/>
    </xf>
    <xf numFmtId="0" fontId="104" fillId="0" borderId="0" xfId="0" applyFont="1" applyAlignment="1">
      <alignment horizontal="right"/>
    </xf>
    <xf numFmtId="0" fontId="17" fillId="0" borderId="0" xfId="0" applyFont="1" applyAlignment="1">
      <alignment horizontal="right" wrapText="1"/>
    </xf>
    <xf numFmtId="41" fontId="11" fillId="0" borderId="31" xfId="0" applyNumberFormat="1" applyFont="1" applyBorder="1" applyAlignment="1">
      <alignment horizontal="right" vertical="center"/>
    </xf>
    <xf numFmtId="0" fontId="12" fillId="0" borderId="0" xfId="0" applyFont="1" applyAlignment="1">
      <alignment horizontal="left" vertical="center" wrapText="1" indent="1"/>
    </xf>
    <xf numFmtId="43" fontId="13" fillId="0" borderId="0" xfId="1" applyFont="1" applyFill="1" applyBorder="1" applyAlignment="1">
      <alignment horizontal="right" vertical="center" wrapText="1"/>
    </xf>
    <xf numFmtId="43" fontId="9" fillId="0" borderId="0" xfId="1" applyFont="1" applyFill="1" applyBorder="1" applyAlignment="1">
      <alignment horizontal="right" vertical="center" wrapText="1"/>
    </xf>
    <xf numFmtId="49" fontId="9" fillId="17" borderId="91" xfId="0" applyNumberFormat="1" applyFont="1" applyFill="1" applyBorder="1"/>
    <xf numFmtId="165" fontId="9" fillId="17" borderId="92" xfId="1" applyNumberFormat="1" applyFont="1" applyFill="1" applyBorder="1" applyAlignment="1">
      <alignment vertical="center"/>
    </xf>
    <xf numFmtId="165" fontId="9" fillId="2" borderId="92" xfId="1" applyNumberFormat="1" applyFont="1" applyFill="1" applyBorder="1" applyAlignment="1">
      <alignment vertical="center"/>
    </xf>
    <xf numFmtId="165" fontId="9" fillId="2" borderId="93" xfId="1" applyNumberFormat="1" applyFont="1" applyFill="1" applyBorder="1" applyAlignment="1">
      <alignment vertical="center"/>
    </xf>
    <xf numFmtId="0" fontId="9" fillId="2" borderId="63" xfId="0" applyFont="1" applyFill="1" applyBorder="1" applyAlignment="1">
      <alignment horizontal="left" vertical="center"/>
    </xf>
    <xf numFmtId="0" fontId="0" fillId="0" borderId="93" xfId="0" applyBorder="1"/>
    <xf numFmtId="14" fontId="0" fillId="0" borderId="0" xfId="0" applyNumberFormat="1"/>
    <xf numFmtId="0" fontId="4" fillId="0" borderId="2" xfId="0" applyFont="1" applyBorder="1"/>
    <xf numFmtId="0" fontId="4" fillId="0" borderId="2" xfId="0" applyFont="1" applyBorder="1" applyAlignment="1">
      <alignment horizontal="right"/>
    </xf>
    <xf numFmtId="2" fontId="0" fillId="0" borderId="0" xfId="0" applyNumberFormat="1"/>
    <xf numFmtId="14" fontId="4" fillId="0" borderId="0" xfId="0" applyNumberFormat="1" applyFont="1"/>
    <xf numFmtId="0" fontId="8" fillId="0" borderId="0" xfId="0" quotePrefix="1" applyFont="1" applyAlignment="1">
      <alignment horizontal="center" wrapText="1"/>
    </xf>
    <xf numFmtId="0" fontId="9" fillId="17" borderId="91" xfId="0" applyFont="1" applyFill="1" applyBorder="1"/>
    <xf numFmtId="0" fontId="13" fillId="0" borderId="0" xfId="0" applyFont="1" applyAlignment="1">
      <alignment horizontal="right" vertical="center"/>
    </xf>
    <xf numFmtId="43" fontId="13" fillId="0" borderId="0" xfId="1" applyFont="1" applyAlignment="1">
      <alignment vertical="center"/>
    </xf>
    <xf numFmtId="0" fontId="17" fillId="7" borderId="32" xfId="0" applyFont="1" applyFill="1" applyBorder="1" applyAlignment="1">
      <alignment horizontal="left" vertical="center" wrapText="1"/>
    </xf>
    <xf numFmtId="168" fontId="17" fillId="7" borderId="32" xfId="0" applyNumberFormat="1" applyFont="1" applyFill="1" applyBorder="1" applyAlignment="1">
      <alignment horizontal="left" vertical="center" wrapText="1"/>
    </xf>
    <xf numFmtId="0" fontId="17" fillId="7" borderId="13" xfId="0" applyFont="1" applyFill="1" applyBorder="1" applyAlignment="1">
      <alignment horizontal="left" vertical="center" wrapText="1"/>
    </xf>
    <xf numFmtId="0" fontId="17" fillId="7" borderId="13" xfId="0" applyFont="1" applyFill="1" applyBorder="1" applyAlignment="1">
      <alignment horizontal="center" vertical="center" wrapText="1"/>
    </xf>
    <xf numFmtId="0" fontId="17" fillId="7" borderId="27" xfId="0" applyFont="1" applyFill="1" applyBorder="1" applyAlignment="1">
      <alignment horizontal="left" vertical="center" wrapText="1"/>
    </xf>
    <xf numFmtId="168" fontId="17" fillId="7" borderId="32" xfId="0" applyNumberFormat="1" applyFont="1" applyFill="1" applyBorder="1" applyAlignment="1">
      <alignment horizontal="center" vertical="center" wrapText="1"/>
    </xf>
    <xf numFmtId="0" fontId="13" fillId="0" borderId="0" xfId="0" applyFont="1" applyAlignment="1">
      <alignment horizontal="left" vertical="center"/>
    </xf>
    <xf numFmtId="0" fontId="13" fillId="10" borderId="0" xfId="0" applyFont="1" applyFill="1" applyAlignment="1">
      <alignment vertical="center"/>
    </xf>
    <xf numFmtId="165" fontId="13" fillId="0" borderId="0" xfId="1" applyNumberFormat="1" applyFont="1" applyAlignment="1">
      <alignment vertical="center"/>
    </xf>
    <xf numFmtId="165" fontId="9" fillId="20" borderId="3" xfId="1" applyNumberFormat="1" applyFont="1" applyFill="1" applyBorder="1" applyAlignment="1">
      <alignment vertical="center"/>
    </xf>
    <xf numFmtId="41" fontId="13" fillId="0" borderId="0" xfId="0" applyNumberFormat="1" applyFont="1" applyAlignment="1">
      <alignment horizontal="right" wrapText="1"/>
    </xf>
    <xf numFmtId="173" fontId="87" fillId="0" borderId="59" xfId="0" applyNumberFormat="1" applyFont="1" applyBorder="1" applyAlignment="1">
      <alignment horizontal="right" vertical="center"/>
    </xf>
    <xf numFmtId="9" fontId="171" fillId="0" borderId="0" xfId="19" applyFont="1"/>
    <xf numFmtId="0" fontId="56" fillId="0" borderId="0" xfId="0" applyFont="1" applyAlignment="1">
      <alignment horizontal="center"/>
    </xf>
    <xf numFmtId="0" fontId="0" fillId="0" borderId="0" xfId="0"/>
    <xf numFmtId="171" fontId="57" fillId="17" borderId="13" xfId="0" applyNumberFormat="1" applyFont="1" applyFill="1" applyBorder="1" applyAlignment="1">
      <alignment horizontal="center"/>
    </xf>
    <xf numFmtId="0" fontId="57" fillId="0" borderId="0" xfId="0" applyFont="1" applyAlignment="1">
      <alignment horizontal="center"/>
    </xf>
    <xf numFmtId="0" fontId="80" fillId="3" borderId="63" xfId="0" applyFont="1" applyFill="1" applyBorder="1" applyAlignment="1">
      <alignment horizontal="center"/>
    </xf>
    <xf numFmtId="0" fontId="80" fillId="3" borderId="27" xfId="0" applyFont="1" applyFill="1" applyBorder="1"/>
    <xf numFmtId="0" fontId="80" fillId="3" borderId="0" xfId="0" applyFont="1" applyFill="1"/>
    <xf numFmtId="0" fontId="155" fillId="3" borderId="83" xfId="0" applyFont="1" applyFill="1" applyBorder="1" applyAlignment="1">
      <alignment horizontal="center"/>
    </xf>
    <xf numFmtId="0" fontId="155" fillId="3" borderId="83" xfId="0" applyFont="1" applyFill="1" applyBorder="1" applyAlignment="1">
      <alignment horizontal="center" wrapText="1"/>
    </xf>
    <xf numFmtId="0" fontId="88" fillId="3" borderId="63" xfId="0" applyFont="1" applyFill="1" applyBorder="1" applyAlignment="1">
      <alignment horizontal="center"/>
    </xf>
    <xf numFmtId="0" fontId="88" fillId="3" borderId="32" xfId="0" applyFont="1" applyFill="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23" xfId="0" applyBorder="1" applyAlignment="1">
      <alignment horizontal="center" wrapText="1"/>
    </xf>
    <xf numFmtId="0" fontId="0" fillId="0" borderId="3" xfId="0" applyBorder="1" applyAlignment="1">
      <alignment horizontal="center" wrapText="1"/>
    </xf>
    <xf numFmtId="0" fontId="4" fillId="2" borderId="31" xfId="40" applyFont="1" applyFill="1" applyBorder="1" applyAlignment="1">
      <alignment horizontal="center"/>
    </xf>
    <xf numFmtId="0" fontId="4" fillId="2" borderId="32" xfId="40" applyFont="1" applyFill="1" applyBorder="1" applyAlignment="1">
      <alignment horizontal="center"/>
    </xf>
    <xf numFmtId="0" fontId="4" fillId="2" borderId="33" xfId="40" applyFont="1" applyFill="1" applyBorder="1" applyAlignment="1">
      <alignment horizontal="center"/>
    </xf>
    <xf numFmtId="0" fontId="5" fillId="0" borderId="0" xfId="40" applyAlignment="1">
      <alignment horizontal="left" vertical="top" wrapText="1"/>
    </xf>
    <xf numFmtId="0" fontId="0" fillId="0" borderId="0" xfId="0" applyAlignment="1">
      <alignment horizontal="left" vertical="top" wrapText="1"/>
    </xf>
    <xf numFmtId="49" fontId="164" fillId="0" borderId="1" xfId="0" applyNumberFormat="1" applyFont="1" applyBorder="1" applyAlignment="1">
      <alignment horizontal="center"/>
    </xf>
    <xf numFmtId="49" fontId="164" fillId="30" borderId="1" xfId="0" applyNumberFormat="1" applyFont="1" applyFill="1" applyBorder="1" applyAlignment="1">
      <alignment horizontal="center"/>
    </xf>
    <xf numFmtId="49" fontId="164" fillId="0" borderId="85" xfId="0" applyNumberFormat="1" applyFont="1" applyBorder="1" applyAlignment="1">
      <alignment horizontal="center"/>
    </xf>
    <xf numFmtId="49" fontId="164" fillId="30" borderId="85" xfId="0" applyNumberFormat="1" applyFont="1" applyFill="1" applyBorder="1" applyAlignment="1">
      <alignment horizontal="center"/>
    </xf>
    <xf numFmtId="49" fontId="167" fillId="0" borderId="1" xfId="0" applyNumberFormat="1" applyFont="1" applyBorder="1" applyAlignment="1">
      <alignment horizontal="center"/>
    </xf>
    <xf numFmtId="49" fontId="167" fillId="30" borderId="1" xfId="0" applyNumberFormat="1" applyFont="1" applyFill="1" applyBorder="1" applyAlignment="1">
      <alignment horizontal="center"/>
    </xf>
    <xf numFmtId="49" fontId="167" fillId="0" borderId="85" xfId="0" applyNumberFormat="1" applyFont="1" applyBorder="1" applyAlignment="1">
      <alignment horizontal="center"/>
    </xf>
    <xf numFmtId="49" fontId="167" fillId="30" borderId="85" xfId="0" applyNumberFormat="1" applyFont="1" applyFill="1" applyBorder="1" applyAlignment="1">
      <alignment horizontal="center"/>
    </xf>
    <xf numFmtId="0" fontId="9" fillId="0" borderId="0" xfId="0" applyFont="1" applyBorder="1" applyAlignment="1">
      <alignment vertical="center" wrapText="1"/>
    </xf>
    <xf numFmtId="0" fontId="9" fillId="0" borderId="0" xfId="0" applyFont="1" applyBorder="1" applyAlignment="1">
      <alignment horizontal="right" vertical="center" wrapText="1"/>
    </xf>
    <xf numFmtId="41" fontId="9" fillId="0" borderId="0" xfId="0" applyNumberFormat="1" applyFont="1" applyBorder="1" applyAlignment="1">
      <alignment horizontal="right" vertical="center" wrapText="1"/>
    </xf>
    <xf numFmtId="14" fontId="9" fillId="0" borderId="0" xfId="0" applyNumberFormat="1" applyFont="1" applyAlignment="1">
      <alignment vertical="center"/>
    </xf>
    <xf numFmtId="44" fontId="9" fillId="0" borderId="0" xfId="0" applyNumberFormat="1" applyFont="1" applyAlignment="1">
      <alignment vertical="center"/>
    </xf>
    <xf numFmtId="0" fontId="11" fillId="0" borderId="22" xfId="0" applyFont="1" applyBorder="1" applyAlignment="1">
      <alignment horizontal="center" vertical="center"/>
    </xf>
    <xf numFmtId="165" fontId="9" fillId="26" borderId="13" xfId="1" applyNumberFormat="1" applyFont="1" applyFill="1" applyBorder="1" applyAlignment="1">
      <alignment vertical="center"/>
    </xf>
    <xf numFmtId="44" fontId="9" fillId="0" borderId="0" xfId="0" applyNumberFormat="1" applyFont="1" applyFill="1" applyAlignment="1">
      <alignment vertical="center"/>
    </xf>
    <xf numFmtId="165" fontId="9" fillId="31" borderId="13" xfId="1" applyNumberFormat="1" applyFont="1" applyFill="1" applyBorder="1" applyAlignment="1">
      <alignment vertical="center"/>
    </xf>
    <xf numFmtId="44" fontId="11" fillId="0" borderId="13" xfId="11" applyFont="1" applyBorder="1" applyAlignment="1">
      <alignment vertical="center"/>
    </xf>
    <xf numFmtId="44" fontId="11" fillId="26" borderId="13" xfId="11" applyFont="1" applyFill="1" applyBorder="1" applyAlignment="1">
      <alignment vertical="center"/>
    </xf>
    <xf numFmtId="9" fontId="11" fillId="17" borderId="13" xfId="19" applyFont="1" applyFill="1" applyBorder="1" applyAlignment="1">
      <alignment horizontal="center" vertical="center"/>
    </xf>
    <xf numFmtId="0" fontId="12" fillId="0" borderId="0" xfId="0" applyFont="1" applyBorder="1" applyAlignment="1">
      <alignment horizontal="left" vertical="center" wrapText="1" indent="1"/>
    </xf>
    <xf numFmtId="165" fontId="174" fillId="32" borderId="3" xfId="1" applyNumberFormat="1" applyFont="1" applyFill="1" applyBorder="1" applyAlignment="1">
      <alignment vertical="center"/>
    </xf>
    <xf numFmtId="0" fontId="86" fillId="0" borderId="74" xfId="0" applyFont="1" applyBorder="1" applyAlignment="1">
      <alignment vertical="center"/>
    </xf>
    <xf numFmtId="173" fontId="86" fillId="0" borderId="74" xfId="0" applyNumberFormat="1" applyFont="1" applyBorder="1" applyAlignment="1">
      <alignment horizontal="right" vertical="center"/>
    </xf>
    <xf numFmtId="0" fontId="9" fillId="17" borderId="0" xfId="0" applyFont="1" applyFill="1" applyBorder="1"/>
    <xf numFmtId="0" fontId="9" fillId="2" borderId="0" xfId="0" applyFont="1" applyFill="1" applyBorder="1" applyAlignment="1">
      <alignment horizontal="left" vertical="center"/>
    </xf>
    <xf numFmtId="0" fontId="80" fillId="3" borderId="93" xfId="0" applyFont="1" applyFill="1" applyBorder="1"/>
    <xf numFmtId="0" fontId="80" fillId="3" borderId="94" xfId="0" applyFont="1" applyFill="1" applyBorder="1"/>
    <xf numFmtId="0" fontId="80" fillId="3" borderId="31" xfId="0" applyFont="1" applyFill="1" applyBorder="1" applyAlignment="1">
      <alignment vertical="center" wrapText="1"/>
    </xf>
    <xf numFmtId="0" fontId="80" fillId="3" borderId="30" xfId="0" applyFont="1" applyFill="1" applyBorder="1" applyAlignment="1">
      <alignment horizontal="right" wrapText="1"/>
    </xf>
    <xf numFmtId="0" fontId="87" fillId="0" borderId="32" xfId="0" applyFont="1" applyBorder="1" applyAlignment="1">
      <alignment horizontal="right" vertical="center"/>
    </xf>
    <xf numFmtId="41" fontId="87" fillId="0" borderId="32" xfId="0" applyNumberFormat="1" applyFont="1" applyBorder="1" applyAlignment="1">
      <alignment horizontal="right" vertical="center"/>
    </xf>
    <xf numFmtId="41" fontId="29" fillId="0" borderId="32" xfId="0" applyNumberFormat="1" applyFont="1" applyBorder="1" applyAlignment="1">
      <alignment horizontal="right" vertical="center"/>
    </xf>
    <xf numFmtId="41" fontId="86" fillId="0" borderId="0" xfId="0" applyNumberFormat="1" applyFont="1" applyAlignment="1">
      <alignment horizontal="right" vertical="center" wrapText="1"/>
    </xf>
    <xf numFmtId="41" fontId="84" fillId="0" borderId="0" xfId="0" applyNumberFormat="1" applyFont="1" applyAlignment="1">
      <alignment horizontal="right" vertical="center" wrapText="1"/>
    </xf>
    <xf numFmtId="0" fontId="86" fillId="0" borderId="22" xfId="0" applyFont="1" applyBorder="1" applyAlignment="1">
      <alignment vertical="center" wrapText="1"/>
    </xf>
    <xf numFmtId="41" fontId="86" fillId="0" borderId="22" xfId="0" applyNumberFormat="1" applyFont="1" applyBorder="1" applyAlignment="1">
      <alignment horizontal="right" vertical="center" wrapText="1"/>
    </xf>
    <xf numFmtId="0" fontId="29" fillId="0" borderId="32" xfId="0" applyFont="1" applyBorder="1" applyAlignment="1">
      <alignment vertical="center"/>
    </xf>
    <xf numFmtId="0" fontId="29" fillId="0" borderId="32" xfId="0" applyFont="1" applyBorder="1" applyAlignment="1">
      <alignment horizontal="right" vertical="center"/>
    </xf>
    <xf numFmtId="43" fontId="166" fillId="0" borderId="0" xfId="1" applyFont="1"/>
    <xf numFmtId="0" fontId="141" fillId="0" borderId="74" xfId="0" applyFont="1" applyBorder="1"/>
    <xf numFmtId="0" fontId="169" fillId="0" borderId="0" xfId="0" applyFont="1"/>
    <xf numFmtId="173" fontId="169" fillId="0" borderId="0" xfId="0" applyNumberFormat="1" applyFont="1"/>
    <xf numFmtId="0" fontId="87" fillId="0" borderId="2" xfId="0" applyFont="1" applyBorder="1" applyAlignment="1">
      <alignment horizontal="left"/>
    </xf>
    <xf numFmtId="41" fontId="169" fillId="0" borderId="0" xfId="0" applyNumberFormat="1" applyFont="1"/>
    <xf numFmtId="9" fontId="104" fillId="0" borderId="0" xfId="19" applyFont="1" applyAlignment="1">
      <alignment horizontal="center"/>
    </xf>
    <xf numFmtId="9" fontId="104" fillId="0" borderId="0" xfId="19" applyFont="1" applyAlignment="1">
      <alignment horizontal="center" wrapText="1"/>
    </xf>
  </cellXfs>
  <cellStyles count="50">
    <cellStyle name="Comma" xfId="1" builtinId="3"/>
    <cellStyle name="Comma 128" xfId="4" xr:uid="{2CF4865D-03A0-47D9-98B0-AB195753368C}"/>
    <cellStyle name="Comma 2" xfId="6" xr:uid="{1A591682-1CD0-49C7-9121-F59184241DEE}"/>
    <cellStyle name="Comma 2 3" xfId="30" xr:uid="{F4B41262-9AD5-40D5-B30F-8743CDBD84F0}"/>
    <cellStyle name="Comma 2 3 2" xfId="33" xr:uid="{805BED00-C2F7-4849-AA1B-85B9E866303B}"/>
    <cellStyle name="Comma 3" xfId="9" xr:uid="{CAEF801B-61C7-4C29-A276-185E901CAB99}"/>
    <cellStyle name="Comma 3 2" xfId="41" xr:uid="{7BC99273-1456-450F-BD92-35D3DD2E2C7E}"/>
    <cellStyle name="Comma 3 2 8" xfId="44" xr:uid="{DF640FDE-6246-4D0F-9A3F-5A30F183163B}"/>
    <cellStyle name="Comma 4" xfId="12" xr:uid="{A30944F5-1795-400F-8C87-7CDA46AF2C6A}"/>
    <cellStyle name="Comma 5" xfId="17" xr:uid="{4DABCD1E-C4B0-4198-B80F-FEB71A130B57}"/>
    <cellStyle name="Comma 6" xfId="28" xr:uid="{75D7204E-CBF8-43D8-B70A-4998F60DA608}"/>
    <cellStyle name="Comma 7" xfId="39" xr:uid="{A5A3661B-95C6-43C4-A20C-9DBDFF0F7674}"/>
    <cellStyle name="Comma 8" xfId="49" xr:uid="{93EAC0E6-49AB-4EF1-8CA4-60DC9B39D6EB}"/>
    <cellStyle name="Currency" xfId="11" builtinId="4"/>
    <cellStyle name="Currency 2" xfId="5" xr:uid="{73DC52BB-BF01-4886-8CDA-EDF8D17C5558}"/>
    <cellStyle name="Currency 2 2" xfId="34" xr:uid="{8706E60E-F99F-4417-8F46-0C220A1AFADF}"/>
    <cellStyle name="Currency 2 2 2" xfId="47" xr:uid="{52B2AB1F-C40E-411E-8B41-A8B1AE9009F4}"/>
    <cellStyle name="Currency 3" xfId="20" xr:uid="{DDB711E3-A432-4120-8C5E-DA30E25E4FB7}"/>
    <cellStyle name="Currency 3 2" xfId="31" xr:uid="{55C937EB-03DF-4A4C-A6C5-06725B9F334E}"/>
    <cellStyle name="Currency 4" xfId="36" xr:uid="{67E888D0-B4EE-465A-91BA-DD7320F9A888}"/>
    <cellStyle name="Currency 4 2" xfId="38" xr:uid="{C9EF6986-B0DA-4863-8729-3BD75091A143}"/>
    <cellStyle name="HeaderCellStyle" xfId="35" xr:uid="{DE505931-034E-4AAD-A0D5-F7D89D78A559}"/>
    <cellStyle name="Hyperlink" xfId="29" builtinId="8"/>
    <cellStyle name="Hyperlink 2" xfId="48" xr:uid="{ADE251CC-7A14-4D08-BA87-32447FD9F19B}"/>
    <cellStyle name="Normal" xfId="0" builtinId="0"/>
    <cellStyle name="Normal 2" xfId="2" xr:uid="{E8F1DA7E-F494-4D77-AAA5-F587326C0CD1}"/>
    <cellStyle name="Normal 2 2 2" xfId="3" xr:uid="{3085913B-1D20-405A-8AF7-8C831A772303}"/>
    <cellStyle name="Normal 2 2 2 2" xfId="32" xr:uid="{C4F97D77-9AE0-4940-88BC-E84B8BA11FEF}"/>
    <cellStyle name="Normal 2 3 2" xfId="46" xr:uid="{DFD30C66-9861-4101-9145-D21A69719128}"/>
    <cellStyle name="Normal 23 2" xfId="40" xr:uid="{8CBCF770-8F95-473F-AE84-7D8874C9C59C}"/>
    <cellStyle name="Normal 3" xfId="8" xr:uid="{8910A8DA-BA32-49D4-9216-7A4AE18A90D9}"/>
    <cellStyle name="Normal 4" xfId="10" xr:uid="{60736E36-30EA-4463-9B7B-7658503DC272}"/>
    <cellStyle name="Normal 5" xfId="13" xr:uid="{EAB72349-9B69-4C4B-A89D-8339B3C921A0}"/>
    <cellStyle name="Normal 6" xfId="14" xr:uid="{3111C554-2159-447A-B8AE-B567DF3DBF3C}"/>
    <cellStyle name="Normal 7" xfId="27" xr:uid="{DD7A569A-A834-4122-83F1-2CC6CC940BAD}"/>
    <cellStyle name="Normal 8" xfId="37" xr:uid="{63C9AA83-9083-45A2-B33D-F35170474451}"/>
    <cellStyle name="Percent" xfId="19" builtinId="5"/>
    <cellStyle name="Percent 2" xfId="7" xr:uid="{A90AF02E-1362-46FE-A6D2-EFCE67F7CEF1}"/>
    <cellStyle name="Percent 2 2" xfId="43" xr:uid="{7807AC4E-97E0-4730-8755-887A15ED0BBF}"/>
    <cellStyle name="Percent 2 2 2" xfId="45" xr:uid="{AF25D888-2993-4870-B3F5-A0636E905C1B}"/>
    <cellStyle name="Percent 4" xfId="42" xr:uid="{9CC5B11C-0D4C-4960-949E-BC7C1470E466}"/>
    <cellStyle name="rf1" xfId="21" xr:uid="{095E1FCB-D2E7-42CA-9E1A-2BCD20EDA580}"/>
    <cellStyle name="rf17" xfId="23" xr:uid="{A0FA6AFF-88A6-4FB0-ADC2-27FAB9EBE1F8}"/>
    <cellStyle name="rf19" xfId="24" xr:uid="{377D68D5-CFCD-40B7-B82D-80BAF0CC6F07}"/>
    <cellStyle name="rf2" xfId="22" xr:uid="{1F834C0D-41C1-405C-8E37-185C9AE31D6F}"/>
    <cellStyle name="rf3" xfId="15" xr:uid="{569E21F9-3D6D-4093-B572-9C3C36D3922F}"/>
    <cellStyle name="rf4" xfId="26" xr:uid="{6931AE29-DAAB-4BEC-89A7-3A6F6F70784A}"/>
    <cellStyle name="rf5" xfId="16" xr:uid="{EC93EFB5-4306-4FB4-A110-E393D235905F}"/>
    <cellStyle name="rf6" xfId="25" xr:uid="{43469AA6-F519-4746-BDE6-69DF3162802F}"/>
    <cellStyle name="rf8" xfId="18" xr:uid="{4BDDBA42-345B-459C-A7D5-9A6B3529399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00FF99"/>
      <color rgb="FFFFFFCC"/>
      <color rgb="FFFF33CC"/>
      <color rgb="FF00FFFF"/>
      <color rgb="FF00FFCC"/>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eetMetadata" Target="metadata.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15</xdr:col>
      <xdr:colOff>0</xdr:colOff>
      <xdr:row>72</xdr:row>
      <xdr:rowOff>0</xdr:rowOff>
    </xdr:from>
    <xdr:ext cx="184731" cy="436786"/>
    <xdr:sp macro="" textlink="">
      <xdr:nvSpPr>
        <xdr:cNvPr id="2" name="TextBox 1">
          <a:extLst>
            <a:ext uri="{FF2B5EF4-FFF2-40B4-BE49-F238E27FC236}">
              <a16:creationId xmlns:a16="http://schemas.microsoft.com/office/drawing/2014/main" id="{5E32E2CC-CFEE-423E-858F-057ED66F3C07}"/>
            </a:ext>
          </a:extLst>
        </xdr:cNvPr>
        <xdr:cNvSpPr txBox="1"/>
      </xdr:nvSpPr>
      <xdr:spPr>
        <a:xfrm>
          <a:off x="7524750" y="11306175"/>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b="1">
            <a:solidFill>
              <a:srgbClr val="00B050"/>
            </a:solidFill>
          </a:endParaRPr>
        </a:p>
        <a:p>
          <a:endParaRPr lang="en-US" sz="1100" b="1">
            <a:solidFill>
              <a:srgbClr val="00B05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152400</xdr:colOff>
      <xdr:row>1</xdr:row>
      <xdr:rowOff>28575</xdr:rowOff>
    </xdr:from>
    <xdr:to>
      <xdr:col>18</xdr:col>
      <xdr:colOff>456400</xdr:colOff>
      <xdr:row>28</xdr:row>
      <xdr:rowOff>46980</xdr:rowOff>
    </xdr:to>
    <xdr:pic>
      <xdr:nvPicPr>
        <xdr:cNvPr id="4" name="Picture 3">
          <a:extLst>
            <a:ext uri="{FF2B5EF4-FFF2-40B4-BE49-F238E27FC236}">
              <a16:creationId xmlns:a16="http://schemas.microsoft.com/office/drawing/2014/main" id="{E8F8CAAE-B6E4-99FE-0C3E-EBC266DB8069}"/>
            </a:ext>
          </a:extLst>
        </xdr:cNvPr>
        <xdr:cNvPicPr>
          <a:picLocks noChangeAspect="1"/>
        </xdr:cNvPicPr>
      </xdr:nvPicPr>
      <xdr:blipFill>
        <a:blip xmlns:r="http://schemas.openxmlformats.org/officeDocument/2006/relationships" r:embed="rId1"/>
        <a:stretch>
          <a:fillRect/>
        </a:stretch>
      </xdr:blipFill>
      <xdr:spPr>
        <a:xfrm>
          <a:off x="7934325" y="219075"/>
          <a:ext cx="6400000" cy="5161905"/>
        </a:xfrm>
        <a:prstGeom prst="rect">
          <a:avLst/>
        </a:prstGeom>
      </xdr:spPr>
    </xdr:pic>
    <xdr:clientData/>
  </xdr:twoCellAnchor>
  <xdr:twoCellAnchor editAs="oneCell">
    <xdr:from>
      <xdr:col>18</xdr:col>
      <xdr:colOff>333375</xdr:colOff>
      <xdr:row>1</xdr:row>
      <xdr:rowOff>123825</xdr:rowOff>
    </xdr:from>
    <xdr:to>
      <xdr:col>29</xdr:col>
      <xdr:colOff>75394</xdr:colOff>
      <xdr:row>21</xdr:row>
      <xdr:rowOff>170968</xdr:rowOff>
    </xdr:to>
    <xdr:pic>
      <xdr:nvPicPr>
        <xdr:cNvPr id="5" name="Picture 4">
          <a:extLst>
            <a:ext uri="{FF2B5EF4-FFF2-40B4-BE49-F238E27FC236}">
              <a16:creationId xmlns:a16="http://schemas.microsoft.com/office/drawing/2014/main" id="{00142877-3091-B0BC-DC9D-F5B713B8F697}"/>
            </a:ext>
          </a:extLst>
        </xdr:cNvPr>
        <xdr:cNvPicPr>
          <a:picLocks noChangeAspect="1"/>
        </xdr:cNvPicPr>
      </xdr:nvPicPr>
      <xdr:blipFill>
        <a:blip xmlns:r="http://schemas.openxmlformats.org/officeDocument/2006/relationships" r:embed="rId2"/>
        <a:stretch>
          <a:fillRect/>
        </a:stretch>
      </xdr:blipFill>
      <xdr:spPr>
        <a:xfrm>
          <a:off x="14211300" y="314325"/>
          <a:ext cx="6447619" cy="38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32833</xdr:colOff>
      <xdr:row>17</xdr:row>
      <xdr:rowOff>67236</xdr:rowOff>
    </xdr:from>
    <xdr:to>
      <xdr:col>13</xdr:col>
      <xdr:colOff>212505</xdr:colOff>
      <xdr:row>30</xdr:row>
      <xdr:rowOff>123265</xdr:rowOff>
    </xdr:to>
    <xdr:pic>
      <xdr:nvPicPr>
        <xdr:cNvPr id="4" name="Picture 3">
          <a:extLst>
            <a:ext uri="{FF2B5EF4-FFF2-40B4-BE49-F238E27FC236}">
              <a16:creationId xmlns:a16="http://schemas.microsoft.com/office/drawing/2014/main" id="{ED6B28AA-699E-4675-69BF-D9C87D3C3023}"/>
            </a:ext>
          </a:extLst>
        </xdr:cNvPr>
        <xdr:cNvPicPr>
          <a:picLocks noChangeAspect="1"/>
        </xdr:cNvPicPr>
      </xdr:nvPicPr>
      <xdr:blipFill>
        <a:blip xmlns:r="http://schemas.openxmlformats.org/officeDocument/2006/relationships" r:embed="rId1"/>
        <a:stretch>
          <a:fillRect/>
        </a:stretch>
      </xdr:blipFill>
      <xdr:spPr>
        <a:xfrm>
          <a:off x="6431392" y="3384177"/>
          <a:ext cx="5816231" cy="2532529"/>
        </a:xfrm>
        <a:prstGeom prst="rect">
          <a:avLst/>
        </a:prstGeom>
      </xdr:spPr>
    </xdr:pic>
    <xdr:clientData/>
  </xdr:twoCellAnchor>
  <xdr:twoCellAnchor editAs="oneCell">
    <xdr:from>
      <xdr:col>6</xdr:col>
      <xdr:colOff>78441</xdr:colOff>
      <xdr:row>30</xdr:row>
      <xdr:rowOff>134471</xdr:rowOff>
    </xdr:from>
    <xdr:to>
      <xdr:col>13</xdr:col>
      <xdr:colOff>100853</xdr:colOff>
      <xdr:row>32</xdr:row>
      <xdr:rowOff>124909</xdr:rowOff>
    </xdr:to>
    <xdr:pic>
      <xdr:nvPicPr>
        <xdr:cNvPr id="5" name="Picture 4">
          <a:extLst>
            <a:ext uri="{FF2B5EF4-FFF2-40B4-BE49-F238E27FC236}">
              <a16:creationId xmlns:a16="http://schemas.microsoft.com/office/drawing/2014/main" id="{3EB3B35A-75F4-4442-A433-6011A6DE87C9}"/>
            </a:ext>
          </a:extLst>
        </xdr:cNvPr>
        <xdr:cNvPicPr>
          <a:picLocks noChangeAspect="1"/>
        </xdr:cNvPicPr>
      </xdr:nvPicPr>
      <xdr:blipFill>
        <a:blip xmlns:r="http://schemas.openxmlformats.org/officeDocument/2006/relationships" r:embed="rId2"/>
        <a:stretch>
          <a:fillRect/>
        </a:stretch>
      </xdr:blipFill>
      <xdr:spPr>
        <a:xfrm>
          <a:off x="6477000" y="5927912"/>
          <a:ext cx="5658971" cy="371438"/>
        </a:xfrm>
        <a:prstGeom prst="rect">
          <a:avLst/>
        </a:prstGeom>
      </xdr:spPr>
    </xdr:pic>
    <xdr:clientData/>
  </xdr:twoCellAnchor>
  <xdr:twoCellAnchor editAs="oneCell">
    <xdr:from>
      <xdr:col>5</xdr:col>
      <xdr:colOff>201705</xdr:colOff>
      <xdr:row>44</xdr:row>
      <xdr:rowOff>123265</xdr:rowOff>
    </xdr:from>
    <xdr:to>
      <xdr:col>11</xdr:col>
      <xdr:colOff>349245</xdr:colOff>
      <xdr:row>54</xdr:row>
      <xdr:rowOff>123265</xdr:rowOff>
    </xdr:to>
    <xdr:pic>
      <xdr:nvPicPr>
        <xdr:cNvPr id="7" name="Picture 6">
          <a:extLst>
            <a:ext uri="{FF2B5EF4-FFF2-40B4-BE49-F238E27FC236}">
              <a16:creationId xmlns:a16="http://schemas.microsoft.com/office/drawing/2014/main" id="{50AC336C-9316-55C5-1A79-B6BDAA29A5AA}"/>
            </a:ext>
          </a:extLst>
        </xdr:cNvPr>
        <xdr:cNvPicPr>
          <a:picLocks noChangeAspect="1"/>
        </xdr:cNvPicPr>
      </xdr:nvPicPr>
      <xdr:blipFill>
        <a:blip xmlns:r="http://schemas.openxmlformats.org/officeDocument/2006/relationships" r:embed="rId3"/>
        <a:stretch>
          <a:fillRect/>
        </a:stretch>
      </xdr:blipFill>
      <xdr:spPr>
        <a:xfrm>
          <a:off x="6376146" y="8774206"/>
          <a:ext cx="4797981" cy="34402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38100</xdr:colOff>
      <xdr:row>8</xdr:row>
      <xdr:rowOff>104775</xdr:rowOff>
    </xdr:from>
    <xdr:to>
      <xdr:col>10</xdr:col>
      <xdr:colOff>37540</xdr:colOff>
      <xdr:row>30</xdr:row>
      <xdr:rowOff>180078</xdr:rowOff>
    </xdr:to>
    <xdr:pic>
      <xdr:nvPicPr>
        <xdr:cNvPr id="2" name="Picture 1">
          <a:extLst>
            <a:ext uri="{FF2B5EF4-FFF2-40B4-BE49-F238E27FC236}">
              <a16:creationId xmlns:a16="http://schemas.microsoft.com/office/drawing/2014/main" id="{86260F2B-E0D1-0C69-2E7C-E80102B9164E}"/>
            </a:ext>
          </a:extLst>
        </xdr:cNvPr>
        <xdr:cNvPicPr>
          <a:picLocks noChangeAspect="1"/>
        </xdr:cNvPicPr>
      </xdr:nvPicPr>
      <xdr:blipFill>
        <a:blip xmlns:r="http://schemas.openxmlformats.org/officeDocument/2006/relationships" r:embed="rId1"/>
        <a:stretch>
          <a:fillRect/>
        </a:stretch>
      </xdr:blipFill>
      <xdr:spPr>
        <a:xfrm>
          <a:off x="7505700" y="1714500"/>
          <a:ext cx="4495800" cy="4266303"/>
        </a:xfrm>
        <a:prstGeom prst="rect">
          <a:avLst/>
        </a:prstGeom>
      </xdr:spPr>
    </xdr:pic>
    <xdr:clientData/>
  </xdr:twoCellAnchor>
  <xdr:twoCellAnchor editAs="oneCell">
    <xdr:from>
      <xdr:col>5</xdr:col>
      <xdr:colOff>0</xdr:colOff>
      <xdr:row>31</xdr:row>
      <xdr:rowOff>0</xdr:rowOff>
    </xdr:from>
    <xdr:to>
      <xdr:col>10</xdr:col>
      <xdr:colOff>37540</xdr:colOff>
      <xdr:row>50</xdr:row>
      <xdr:rowOff>181318</xdr:rowOff>
    </xdr:to>
    <xdr:pic>
      <xdr:nvPicPr>
        <xdr:cNvPr id="3" name="Picture 2">
          <a:extLst>
            <a:ext uri="{FF2B5EF4-FFF2-40B4-BE49-F238E27FC236}">
              <a16:creationId xmlns:a16="http://schemas.microsoft.com/office/drawing/2014/main" id="{63C02911-9551-6480-0953-D619ECBE7183}"/>
            </a:ext>
          </a:extLst>
        </xdr:cNvPr>
        <xdr:cNvPicPr>
          <a:picLocks noChangeAspect="1"/>
        </xdr:cNvPicPr>
      </xdr:nvPicPr>
      <xdr:blipFill>
        <a:blip xmlns:r="http://schemas.openxmlformats.org/officeDocument/2006/relationships" r:embed="rId2"/>
        <a:stretch>
          <a:fillRect/>
        </a:stretch>
      </xdr:blipFill>
      <xdr:spPr>
        <a:xfrm>
          <a:off x="6553200" y="5991225"/>
          <a:ext cx="4533900" cy="38103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190500</xdr:colOff>
      <xdr:row>4</xdr:row>
      <xdr:rowOff>57150</xdr:rowOff>
    </xdr:from>
    <xdr:to>
      <xdr:col>33</xdr:col>
      <xdr:colOff>294271</xdr:colOff>
      <xdr:row>18</xdr:row>
      <xdr:rowOff>75864</xdr:rowOff>
    </xdr:to>
    <xdr:pic>
      <xdr:nvPicPr>
        <xdr:cNvPr id="2" name="Picture 1">
          <a:extLst>
            <a:ext uri="{FF2B5EF4-FFF2-40B4-BE49-F238E27FC236}">
              <a16:creationId xmlns:a16="http://schemas.microsoft.com/office/drawing/2014/main" id="{AF27F961-B26D-3BB0-E2F4-A48D9737BFEA}"/>
            </a:ext>
          </a:extLst>
        </xdr:cNvPr>
        <xdr:cNvPicPr>
          <a:picLocks noChangeAspect="1"/>
        </xdr:cNvPicPr>
      </xdr:nvPicPr>
      <xdr:blipFill>
        <a:blip xmlns:r="http://schemas.openxmlformats.org/officeDocument/2006/relationships" r:embed="rId1"/>
        <a:stretch>
          <a:fillRect/>
        </a:stretch>
      </xdr:blipFill>
      <xdr:spPr>
        <a:xfrm>
          <a:off x="15287625" y="819150"/>
          <a:ext cx="8028571" cy="26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mpconsultingllp.sharepoint.com/sites/Clients/Shared%20Documents/1.%20Consulting/Hallor%20Group%20Inc/2.%20Accounting/Loans%20and%20Borrowing/Convertible%20debt/Hallor%20-%20Convertible%20Debt%20-%202025-10-01.xlsx" TargetMode="External"/><Relationship Id="rId1" Type="http://schemas.openxmlformats.org/officeDocument/2006/relationships/externalLinkPath" Target="/sites/Clients/Shared%20Documents/1.%20Consulting/Hallor%20Group%20Inc/2.%20Accounting/Loans%20and%20Borrowing/Convertible%20debt/Hallor%20-%20Convertible%20Debt%20-%202025-10-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mpconsultingllp.sharepoint.com/sites/Clients/Shared%20Documents/1.%20Consulting/Hallor%20Group%20Inc/7.%20CFO%20Admin/CPC%20Shell%20RTO/Hallor%20-%20Forecast%20-%20v2025-12-31.xlsx" TargetMode="External"/><Relationship Id="rId1" Type="http://schemas.openxmlformats.org/officeDocument/2006/relationships/externalLinkPath" Target="Hallor%20-%20Forecast%20-%20v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DEBT - ORG"/>
      <sheetName val="COV.DEBT - AMEND"/>
    </sheetNames>
    <sheetDataSet>
      <sheetData sheetId="0" refreshError="1"/>
      <sheetData sheetId="1">
        <row r="29">
          <cell r="D29">
            <v>2111.9631784998378</v>
          </cell>
          <cell r="E29">
            <v>-1335.234304974816</v>
          </cell>
        </row>
        <row r="30">
          <cell r="D30">
            <v>2141.699101615432</v>
          </cell>
          <cell r="E30">
            <v>-2229.7897117508983</v>
          </cell>
        </row>
        <row r="31">
          <cell r="D31">
            <v>2171.8536992290183</v>
          </cell>
          <cell r="E31">
            <v>-2304.4953960397397</v>
          </cell>
        </row>
        <row r="32">
          <cell r="D32">
            <v>2202.4328661747541</v>
          </cell>
          <cell r="E32">
            <v>-2229.7897117508983</v>
          </cell>
        </row>
        <row r="33">
          <cell r="D33">
            <v>2233.4425802846135</v>
          </cell>
          <cell r="E33">
            <v>-2304.4953960397397</v>
          </cell>
        </row>
        <row r="34">
          <cell r="D34">
            <v>2264.8889035569787</v>
          </cell>
          <cell r="E34">
            <v>-2304.4953960397397</v>
          </cell>
        </row>
        <row r="35">
          <cell r="D35">
            <v>2296.7779833416798</v>
          </cell>
          <cell r="E35">
            <v>0</v>
          </cell>
        </row>
        <row r="36">
          <cell r="D36">
            <v>2329.1160535417253</v>
          </cell>
          <cell r="E36">
            <v>-8319.7904970808413</v>
          </cell>
        </row>
        <row r="37">
          <cell r="D37">
            <v>2361.9094358319448</v>
          </cell>
          <cell r="E37">
            <v>0</v>
          </cell>
        </row>
        <row r="38">
          <cell r="D38">
            <v>2395.1645408948007</v>
          </cell>
          <cell r="E38">
            <v>0</v>
          </cell>
        </row>
        <row r="39">
          <cell r="D39">
            <v>2428.8878696735892</v>
          </cell>
          <cell r="E39">
            <v>-8610.9831644786791</v>
          </cell>
        </row>
        <row r="40">
          <cell r="D40">
            <v>2463.0860146432924</v>
          </cell>
          <cell r="E40">
            <v>0</v>
          </cell>
        </row>
        <row r="41">
          <cell r="D41">
            <v>2497.7656610993226</v>
          </cell>
          <cell r="E41">
            <v>0</v>
          </cell>
        </row>
        <row r="42">
          <cell r="D42">
            <v>2532.9335884644097</v>
          </cell>
          <cell r="E42">
            <v>-8912.3675752354357</v>
          </cell>
        </row>
        <row r="43">
          <cell r="D43">
            <v>2568.5966716138914</v>
          </cell>
          <cell r="E43">
            <v>0</v>
          </cell>
        </row>
        <row r="44">
          <cell r="D44">
            <v>2604.7618822196632</v>
          </cell>
          <cell r="E44">
            <v>0</v>
          </cell>
        </row>
        <row r="45">
          <cell r="D45">
            <v>2641.4362901130494</v>
          </cell>
          <cell r="E45">
            <v>-9224.3004403686682</v>
          </cell>
        </row>
        <row r="46">
          <cell r="D46">
            <v>2678.6270646668622</v>
          </cell>
          <cell r="E46">
            <v>0</v>
          </cell>
        </row>
        <row r="47">
          <cell r="D47">
            <v>2716.3414761969257</v>
          </cell>
          <cell r="E47">
            <v>0</v>
          </cell>
        </row>
        <row r="48">
          <cell r="D48">
            <v>2754.5868973833244</v>
          </cell>
          <cell r="E48">
            <v>-9547.1509557815698</v>
          </cell>
        </row>
        <row r="49">
          <cell r="D49">
            <v>2793.3708047116688</v>
          </cell>
          <cell r="E49">
            <v>0</v>
          </cell>
        </row>
        <row r="50">
          <cell r="D50">
            <v>2832.7007799346525</v>
          </cell>
          <cell r="E50">
            <v>0</v>
          </cell>
        </row>
        <row r="51">
          <cell r="D51">
            <v>2872.5845115541842</v>
          </cell>
          <cell r="E51">
            <v>-9881.3012392339115</v>
          </cell>
        </row>
        <row r="52">
          <cell r="D52">
            <v>2913.0297963243934</v>
          </cell>
          <cell r="E52">
            <v>0</v>
          </cell>
        </row>
        <row r="53">
          <cell r="D53">
            <v>2954.0445407757934</v>
          </cell>
          <cell r="E53">
            <v>0</v>
          </cell>
        </row>
        <row r="54">
          <cell r="D54">
            <v>2995.6367627609061</v>
          </cell>
          <cell r="E54">
            <v>-10227.146782607109</v>
          </cell>
        </row>
        <row r="55">
          <cell r="D55">
            <v>3037.8145930216492</v>
          </cell>
          <cell r="E55">
            <v>0</v>
          </cell>
        </row>
        <row r="56">
          <cell r="D56">
            <v>3080.5862767787903</v>
          </cell>
          <cell r="E56">
            <v>0</v>
          </cell>
        </row>
        <row r="57">
          <cell r="D57">
            <v>3123.9601753437819</v>
          </cell>
          <cell r="E57">
            <v>-10585.096919998352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quidity &gt;&gt;"/>
      <sheetName val="A - Cash Flow - SUM"/>
      <sheetName val="A2 - Cash Flow - DETAILS"/>
      <sheetName val="DNU Prod Schedule"/>
      <sheetName val="B - Prod Schedule"/>
      <sheetName val="B2 - Cashflow - from Tycrop"/>
      <sheetName val="Assumptions"/>
      <sheetName val="Sum - Fiscal"/>
      <sheetName val="Sum - DNU"/>
      <sheetName val="2. Opex DNU"/>
      <sheetName val="FIN"/>
      <sheetName val="Projections &gt;&gt;"/>
      <sheetName val="1. - Sales"/>
      <sheetName val="1 - SALES"/>
      <sheetName val="1 - SALES."/>
      <sheetName val="3 - SALES - $10M"/>
      <sheetName val="2. OPEX"/>
      <sheetName val="COA"/>
      <sheetName val="1B. Salaries &amp; Wages"/>
      <sheetName val="3. P&amp;L"/>
      <sheetName val="2. Sales Forecast"/>
      <sheetName val="DNU"/>
    </sheetNames>
    <sheetDataSet>
      <sheetData sheetId="0"/>
      <sheetData sheetId="1"/>
      <sheetData sheetId="2"/>
      <sheetData sheetId="3"/>
      <sheetData sheetId="4"/>
      <sheetData sheetId="5"/>
      <sheetData sheetId="6"/>
      <sheetData sheetId="7">
        <row r="10">
          <cell r="E10" t="str">
            <v>$5M initial financing</v>
          </cell>
        </row>
        <row r="13">
          <cell r="E13">
            <v>1</v>
          </cell>
          <cell r="F13">
            <v>13.60639606396064</v>
          </cell>
          <cell r="G13">
            <v>3.4736842105263159</v>
          </cell>
          <cell r="H13">
            <v>1.3529411764705883</v>
          </cell>
          <cell r="I13">
            <v>0.75</v>
          </cell>
        </row>
        <row r="14">
          <cell r="E14" t="str">
            <v>Forecasted</v>
          </cell>
          <cell r="F14" t="str">
            <v>Forecasted</v>
          </cell>
          <cell r="G14" t="str">
            <v>Forecasted</v>
          </cell>
          <cell r="H14" t="str">
            <v>Forecasted</v>
          </cell>
          <cell r="I14" t="str">
            <v>Forecasted</v>
          </cell>
        </row>
        <row r="15">
          <cell r="E15" t="str">
            <v>Fiscal</v>
          </cell>
          <cell r="F15" t="str">
            <v>Fiscal</v>
          </cell>
          <cell r="G15" t="str">
            <v>Fiscal</v>
          </cell>
          <cell r="H15" t="str">
            <v>Fiscal</v>
          </cell>
          <cell r="I15" t="str">
            <v>Fiscal</v>
          </cell>
        </row>
        <row r="16">
          <cell r="E16">
            <v>46203</v>
          </cell>
          <cell r="F16">
            <v>46568</v>
          </cell>
          <cell r="G16">
            <v>46934</v>
          </cell>
          <cell r="H16">
            <v>47299</v>
          </cell>
          <cell r="I16">
            <v>47664</v>
          </cell>
        </row>
        <row r="17">
          <cell r="E17">
            <v>487800</v>
          </cell>
          <cell r="F17">
            <v>7125000</v>
          </cell>
          <cell r="G17">
            <v>31875000</v>
          </cell>
          <cell r="H17">
            <v>75000000</v>
          </cell>
          <cell r="I17">
            <v>131250000</v>
          </cell>
          <cell r="P17" t="str">
            <v>5000 Utility Vehicle Sales</v>
          </cell>
        </row>
        <row r="18">
          <cell r="E18">
            <v>-379800</v>
          </cell>
          <cell r="F18">
            <v>-5320000</v>
          </cell>
          <cell r="G18">
            <v>-23800000</v>
          </cell>
          <cell r="H18">
            <v>-56000000</v>
          </cell>
          <cell r="I18">
            <v>-98000000</v>
          </cell>
          <cell r="P18" t="str">
            <v>5500 Cost of Goods Sold</v>
          </cell>
        </row>
        <row r="19">
          <cell r="E19">
            <v>108000</v>
          </cell>
          <cell r="F19">
            <v>1805000</v>
          </cell>
          <cell r="G19">
            <v>8075000</v>
          </cell>
          <cell r="H19">
            <v>19000000</v>
          </cell>
          <cell r="I19">
            <v>33250000</v>
          </cell>
        </row>
        <row r="20">
          <cell r="E20">
            <v>0.22140221402214022</v>
          </cell>
          <cell r="F20">
            <v>0.25333333333333335</v>
          </cell>
          <cell r="G20">
            <v>0.25333333333333335</v>
          </cell>
          <cell r="H20">
            <v>0.25333333333333335</v>
          </cell>
          <cell r="I20">
            <v>0.25333333333333335</v>
          </cell>
        </row>
        <row r="23">
          <cell r="E23">
            <v>2395.0500000000002</v>
          </cell>
          <cell r="F23">
            <v>2514.8025000000002</v>
          </cell>
          <cell r="G23">
            <v>2640.5426250000005</v>
          </cell>
          <cell r="H23">
            <v>2772.5697562500009</v>
          </cell>
          <cell r="I23">
            <v>2911.1982440625011</v>
          </cell>
          <cell r="P23" t="str">
            <v>6011 Bank charges</v>
          </cell>
        </row>
        <row r="24">
          <cell r="E24">
            <v>110000</v>
          </cell>
          <cell r="F24">
            <v>90000</v>
          </cell>
          <cell r="G24">
            <v>90000</v>
          </cell>
          <cell r="H24">
            <v>108000</v>
          </cell>
          <cell r="I24">
            <v>129600</v>
          </cell>
          <cell r="P24" t="str">
            <v>6016 Legal and professional fees</v>
          </cell>
        </row>
        <row r="25">
          <cell r="E25">
            <v>216000</v>
          </cell>
          <cell r="F25">
            <v>276000</v>
          </cell>
          <cell r="G25">
            <v>276000</v>
          </cell>
          <cell r="H25">
            <v>276000</v>
          </cell>
          <cell r="I25">
            <v>276000</v>
          </cell>
          <cell r="P25" t="str">
            <v>6016 Consulting Expense</v>
          </cell>
        </row>
        <row r="26">
          <cell r="E26">
            <v>1776.84</v>
          </cell>
          <cell r="F26">
            <v>1812.3768</v>
          </cell>
          <cell r="G26">
            <v>1848.6243360000001</v>
          </cell>
          <cell r="H26">
            <v>1885.5968227200001</v>
          </cell>
          <cell r="I26">
            <v>1923.3087591744002</v>
          </cell>
          <cell r="P26" t="str">
            <v>6018 Dues and Subscription</v>
          </cell>
        </row>
        <row r="27">
          <cell r="E27">
            <v>0</v>
          </cell>
          <cell r="F27">
            <v>0</v>
          </cell>
          <cell r="G27">
            <v>0</v>
          </cell>
          <cell r="H27">
            <v>0</v>
          </cell>
          <cell r="I27">
            <v>0</v>
          </cell>
          <cell r="P27" t="str">
            <v>6350 Other labor costs</v>
          </cell>
        </row>
        <row r="28">
          <cell r="E28">
            <v>24000</v>
          </cell>
          <cell r="F28">
            <v>26400.000000000004</v>
          </cell>
          <cell r="G28">
            <v>29040.000000000007</v>
          </cell>
          <cell r="H28">
            <v>31944.000000000011</v>
          </cell>
          <cell r="I28">
            <v>35138.400000000016</v>
          </cell>
          <cell r="P28" t="str">
            <v>6060 Office expenses</v>
          </cell>
        </row>
        <row r="29">
          <cell r="E29">
            <v>3000</v>
          </cell>
          <cell r="F29">
            <v>3300.0000000000005</v>
          </cell>
          <cell r="G29">
            <v>3630.0000000000009</v>
          </cell>
          <cell r="H29">
            <v>3993.0000000000014</v>
          </cell>
          <cell r="I29">
            <v>4392.300000000002</v>
          </cell>
          <cell r="P29" t="str">
            <v>6040 Meals and entertainment</v>
          </cell>
        </row>
        <row r="30">
          <cell r="E30">
            <v>6000</v>
          </cell>
          <cell r="F30">
            <v>6600.0000000000009</v>
          </cell>
          <cell r="G30">
            <v>7260.0000000000018</v>
          </cell>
          <cell r="H30">
            <v>7986.0000000000027</v>
          </cell>
          <cell r="I30">
            <v>8784.600000000004</v>
          </cell>
          <cell r="P30" t="str">
            <v>6042 Travel</v>
          </cell>
        </row>
        <row r="31">
          <cell r="E31">
            <v>9000</v>
          </cell>
          <cell r="F31">
            <v>9450</v>
          </cell>
          <cell r="G31">
            <v>9922.5</v>
          </cell>
          <cell r="H31">
            <v>10418.625</v>
          </cell>
          <cell r="I31">
            <v>10939.55625</v>
          </cell>
          <cell r="P31" t="str">
            <v>6043 Transfer agent and regulatory expenses</v>
          </cell>
        </row>
        <row r="32">
          <cell r="E32">
            <v>30000</v>
          </cell>
          <cell r="F32">
            <v>31500</v>
          </cell>
          <cell r="G32">
            <v>33075</v>
          </cell>
          <cell r="H32">
            <v>34728.75</v>
          </cell>
          <cell r="I32">
            <v>36465.1875</v>
          </cell>
          <cell r="P32" t="str">
            <v>6050 Insurance</v>
          </cell>
        </row>
        <row r="33">
          <cell r="E33">
            <v>12000</v>
          </cell>
          <cell r="F33">
            <v>63000</v>
          </cell>
          <cell r="G33">
            <v>228000</v>
          </cell>
          <cell r="H33">
            <v>228000</v>
          </cell>
          <cell r="I33">
            <v>228000</v>
          </cell>
          <cell r="P33" t="str">
            <v>6065 Rent</v>
          </cell>
        </row>
        <row r="34">
          <cell r="E34">
            <v>6000</v>
          </cell>
          <cell r="F34">
            <v>142500</v>
          </cell>
          <cell r="G34">
            <v>637500</v>
          </cell>
          <cell r="H34">
            <v>1500000</v>
          </cell>
          <cell r="I34">
            <v>2625000</v>
          </cell>
          <cell r="P34" t="str">
            <v>6068 Shipping, Freight, and Delivery</v>
          </cell>
        </row>
        <row r="35">
          <cell r="E35">
            <v>3633.3333333333335</v>
          </cell>
          <cell r="F35">
            <v>86291.666666666672</v>
          </cell>
          <cell r="G35">
            <v>386041.66666666669</v>
          </cell>
          <cell r="H35">
            <v>908333.33333333337</v>
          </cell>
          <cell r="I35">
            <v>1589583.3333333335</v>
          </cell>
          <cell r="P35" t="str">
            <v>6080 Shop and other supplies</v>
          </cell>
        </row>
        <row r="36">
          <cell r="E36">
            <v>1256364</v>
          </cell>
          <cell r="F36">
            <v>1256364</v>
          </cell>
          <cell r="G36">
            <v>1256364</v>
          </cell>
          <cell r="H36">
            <v>188259</v>
          </cell>
          <cell r="I36">
            <v>0</v>
          </cell>
          <cell r="P36" t="str">
            <v>6086 Amortization</v>
          </cell>
        </row>
        <row r="37">
          <cell r="E37">
            <v>0</v>
          </cell>
          <cell r="F37">
            <v>0</v>
          </cell>
          <cell r="G37">
            <v>0</v>
          </cell>
          <cell r="H37">
            <v>0</v>
          </cell>
          <cell r="I37">
            <v>0</v>
          </cell>
        </row>
        <row r="38">
          <cell r="E38">
            <v>9756</v>
          </cell>
          <cell r="F38">
            <v>142500</v>
          </cell>
          <cell r="G38">
            <v>637500</v>
          </cell>
          <cell r="H38">
            <v>1500000</v>
          </cell>
          <cell r="I38">
            <v>2625000</v>
          </cell>
          <cell r="P38" t="str">
            <v>IMP1 - Warranty expense</v>
          </cell>
        </row>
        <row r="39">
          <cell r="E39">
            <v>0</v>
          </cell>
          <cell r="F39">
            <v>60000</v>
          </cell>
          <cell r="G39">
            <v>1275000</v>
          </cell>
          <cell r="H39">
            <v>3000000</v>
          </cell>
          <cell r="I39">
            <v>5250000</v>
          </cell>
          <cell r="P39" t="str">
            <v>IMP3 - Commission expense</v>
          </cell>
        </row>
        <row r="40">
          <cell r="E40">
            <v>0</v>
          </cell>
          <cell r="F40">
            <v>310000</v>
          </cell>
          <cell r="G40">
            <v>310000</v>
          </cell>
          <cell r="H40">
            <v>310000</v>
          </cell>
          <cell r="I40">
            <v>310000</v>
          </cell>
          <cell r="P40" t="str">
            <v>IMP5 - R&amp;D</v>
          </cell>
        </row>
        <row r="41">
          <cell r="E41">
            <v>78000</v>
          </cell>
          <cell r="F41">
            <v>434250</v>
          </cell>
          <cell r="G41">
            <v>1671750</v>
          </cell>
          <cell r="H41">
            <v>3828000</v>
          </cell>
          <cell r="I41">
            <v>6640500</v>
          </cell>
          <cell r="P41" t="str">
            <v>6020 Advertising &amp; Promotion</v>
          </cell>
        </row>
        <row r="42">
          <cell r="E42">
            <v>-1767925.2233333334</v>
          </cell>
          <cell r="F42">
            <v>-2942482.8459666665</v>
          </cell>
          <cell r="G42">
            <v>-6855572.3336276673</v>
          </cell>
          <cell r="H42">
            <v>-11940320.874912303</v>
          </cell>
          <cell r="I42">
            <v>-19774237.884086572</v>
          </cell>
        </row>
        <row r="44">
          <cell r="E44">
            <v>0</v>
          </cell>
          <cell r="F44">
            <v>0</v>
          </cell>
          <cell r="G44">
            <v>0</v>
          </cell>
          <cell r="H44">
            <v>0</v>
          </cell>
          <cell r="I44">
            <v>0</v>
          </cell>
          <cell r="P44" t="str">
            <v>5499 Other Income</v>
          </cell>
        </row>
        <row r="45">
          <cell r="E45">
            <v>0</v>
          </cell>
          <cell r="F45">
            <v>0</v>
          </cell>
          <cell r="G45">
            <v>0</v>
          </cell>
          <cell r="H45">
            <v>0</v>
          </cell>
          <cell r="I45">
            <v>0</v>
          </cell>
          <cell r="P45" t="str">
            <v>5498 Interest income</v>
          </cell>
        </row>
        <row r="46">
          <cell r="E46">
            <v>-18105</v>
          </cell>
          <cell r="F46">
            <v>0</v>
          </cell>
          <cell r="G46">
            <v>0</v>
          </cell>
          <cell r="H46">
            <v>0</v>
          </cell>
          <cell r="I46">
            <v>0</v>
          </cell>
          <cell r="P46" t="str">
            <v>6200 Accretion expense</v>
          </cell>
        </row>
        <row r="47">
          <cell r="E47">
            <v>0</v>
          </cell>
          <cell r="F47">
            <v>0</v>
          </cell>
          <cell r="G47">
            <v>0</v>
          </cell>
          <cell r="H47">
            <v>0</v>
          </cell>
          <cell r="I47">
            <v>0</v>
          </cell>
          <cell r="P47" t="str">
            <v>6013 Interest expense</v>
          </cell>
        </row>
        <row r="48">
          <cell r="E48">
            <v>-1678030.2233333334</v>
          </cell>
          <cell r="F48">
            <v>-1137482.8459666665</v>
          </cell>
          <cell r="G48">
            <v>1219427.6663723327</v>
          </cell>
          <cell r="H48">
            <v>7059679.1250876971</v>
          </cell>
          <cell r="I48">
            <v>13475762.115913428</v>
          </cell>
        </row>
        <row r="51">
          <cell r="E51">
            <v>0</v>
          </cell>
          <cell r="F51">
            <v>0</v>
          </cell>
          <cell r="G51">
            <v>0</v>
          </cell>
          <cell r="H51">
            <v>0</v>
          </cell>
          <cell r="I51">
            <v>0</v>
          </cell>
        </row>
        <row r="52">
          <cell r="E52">
            <v>0</v>
          </cell>
          <cell r="F52">
            <v>0</v>
          </cell>
          <cell r="G52">
            <v>0</v>
          </cell>
          <cell r="H52">
            <v>0</v>
          </cell>
          <cell r="I52">
            <v>0</v>
          </cell>
        </row>
        <row r="53">
          <cell r="E53">
            <v>18105</v>
          </cell>
          <cell r="F53">
            <v>0</v>
          </cell>
          <cell r="G53">
            <v>0</v>
          </cell>
          <cell r="H53">
            <v>0</v>
          </cell>
          <cell r="I53">
            <v>0</v>
          </cell>
        </row>
        <row r="54">
          <cell r="E54">
            <v>1256364</v>
          </cell>
          <cell r="F54">
            <v>1256364</v>
          </cell>
          <cell r="G54">
            <v>1256364</v>
          </cell>
          <cell r="H54">
            <v>188259</v>
          </cell>
          <cell r="I54">
            <v>0</v>
          </cell>
        </row>
        <row r="55">
          <cell r="E55">
            <v>-403561.22333333339</v>
          </cell>
          <cell r="F55">
            <v>118881.15403333353</v>
          </cell>
          <cell r="G55">
            <v>2475791.6663723327</v>
          </cell>
          <cell r="H55">
            <v>7247938.1250876971</v>
          </cell>
          <cell r="I55">
            <v>13475762.115913428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Inar Kamaletdinov" id="{175FAD8E-A7E2-4838-9487-D420B0E9C9E5}" userId="Inar Kamaletdinov" providerId="None"/>
  <person displayName="Terence Lee" id="{0477EFA6-0E87-47E5-BC2D-071C857D7691}" userId="S::tlee@impconsultingllp.com::54c86ff6-cea1-481f-b165-2d03d3ea72a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22" dT="2023-02-04T01:47:57.17" personId="{0477EFA6-0E87-47E5-BC2D-071C857D7691}" id="{511B0863-CE54-4682-80BE-E79FD33342B6}">
    <text>Relink to tab BS.2 for annual or SCF.1 for quarters</text>
  </threadedComment>
</ThreadedComments>
</file>

<file path=xl/threadedComments/threadedComment2.xml><?xml version="1.0" encoding="utf-8"?>
<ThreadedComments xmlns="http://schemas.microsoft.com/office/spreadsheetml/2018/threadedcomments" xmlns:x="http://schemas.openxmlformats.org/spreadsheetml/2006/main">
  <threadedComment ref="E102" dT="2023-02-04T01:47:57.17" personId="{0477EFA6-0E87-47E5-BC2D-071C857D7691}" id="{A6D66BC5-A237-4846-BCF8-88E7CF4A1B88}">
    <text>Relink to tab BS.2 for annual or SCF.1 for quarters</text>
  </threadedComment>
</ThreadedComments>
</file>

<file path=xl/threadedComments/threadedComment3.xml><?xml version="1.0" encoding="utf-8"?>
<ThreadedComments xmlns="http://schemas.microsoft.com/office/spreadsheetml/2018/threadedcomments" xmlns:x="http://schemas.openxmlformats.org/spreadsheetml/2006/main">
  <threadedComment ref="E245" dT="2023-02-04T01:47:57.17" personId="{0477EFA6-0E87-47E5-BC2D-071C857D7691}" id="{DE6DEC97-3860-4FCC-BE8D-D3F7D16BF5B4}">
    <text>Relink to tab BS.1 for annual and IS.1 for quarters</text>
  </threadedComment>
  <threadedComment ref="F245" dT="2023-02-04T01:47:57.17" personId="{0477EFA6-0E87-47E5-BC2D-071C857D7691}" id="{CD9E3E1A-B4A5-41CA-96EC-29411152FA6D}">
    <text>Relink to tab BS.2 for annual and IS.2 for quarters</text>
  </threadedComment>
</ThreadedComments>
</file>

<file path=xl/threadedComments/threadedComment4.xml><?xml version="1.0" encoding="utf-8"?>
<ThreadedComments xmlns="http://schemas.microsoft.com/office/spreadsheetml/2018/threadedcomments" xmlns:x="http://schemas.openxmlformats.org/spreadsheetml/2006/main">
  <threadedComment ref="D4" dT="2021-09-16T23:45:12.80" personId="{175FAD8E-A7E2-4838-9487-D420B0E9C9E5}" id="{25417932-4A78-4B16-BF16-7236C85BBCB1}">
    <text>this column is to be updated after the balance sheets and income statements are fully audited</text>
  </threadedComment>
  <threadedComment ref="D10" dT="2021-09-06T00:55:44.39" personId="{175FAD8E-A7E2-4838-9487-D420B0E9C9E5}" id="{768EB57F-0A1D-42AE-BE29-E6F0D25AFE0D}">
    <text>related to elimination of intangibles entry on 2021 consolidation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B11" dT="2023-11-30T20:17:42.08" personId="{0477EFA6-0E87-47E5-BC2D-071C857D7691}" id="{71CDF9B1-4787-4DBC-854D-42898CDE255D}">
    <text>1) Estimated remaining costs to CanEV
2) Tycrop $2.8M production costs estimated</text>
  </threadedComment>
  <threadedComment ref="B14" dT="2023-11-30T20:18:29.41" personId="{0477EFA6-0E87-47E5-BC2D-071C857D7691}" id="{26C25614-8A47-452D-8903-BD08DFE0F7B8}">
    <text>FS balances already include $550 to Jesse for drawings in period</text>
  </threadedComment>
  <threadedComment ref="B16" dT="2023-09-09T00:06:18.15" personId="{0477EFA6-0E87-47E5-BC2D-071C857D7691}" id="{360D62ED-DD7F-43CA-AC95-B2A282478E25}">
    <text>$100k as of last estimate communicated to Habib - less $55k in legal already accrued and reflected in TB at Nov 30, 2023 within Hallor Group</text>
  </threadedComment>
  <threadedComment ref="B31" dT="2023-11-30T20:17:42.08" personId="{0477EFA6-0E87-47E5-BC2D-071C857D7691}" id="{CD0C1367-9BC5-4D80-A437-F73AB8832128}">
    <text>1) Estimated remaining costs to CanEV</text>
  </threadedComment>
  <threadedComment ref="B34" dT="2023-11-30T20:18:29.41" personId="{0477EFA6-0E87-47E5-BC2D-071C857D7691}" id="{1A0CD5B6-FD17-446E-B3D1-B2AE252D3750}">
    <text>FS balances already include $5500 to Jesse for drawings in period</text>
  </threadedComment>
  <threadedComment ref="B36" dT="2023-09-09T00:06:18.15" personId="{0477EFA6-0E87-47E5-BC2D-071C857D7691}" id="{A3E14181-07B2-497C-A4DE-F46727F3D808}">
    <text>$100k as of last estimate communicated to Habib - less $55k in legal already accrued and reflected in TB at Nov 30, 2023 within Hallor Group
Plus Q1 review cost</text>
  </threadedComment>
</ThreadedComments>
</file>

<file path=xl/threadedComments/threadedComment6.xml><?xml version="1.0" encoding="utf-8"?>
<ThreadedComments xmlns="http://schemas.microsoft.com/office/spreadsheetml/2018/threadedcomments" xmlns:x="http://schemas.openxmlformats.org/spreadsheetml/2006/main">
  <threadedComment ref="C12" dT="2023-03-24T01:48:02.83" personId="{0477EFA6-0E87-47E5-BC2D-071C857D7691}" id="{1B8A6E20-B19A-48F1-94EF-037790EF8A08}">
    <text>As agreed to with Gary</text>
  </threadedComment>
  <threadedComment ref="D19" dT="2023-03-24T01:25:45.41" personId="{0477EFA6-0E87-47E5-BC2D-071C857D7691}" id="{7CFA0AF2-1978-4F20-B442-A24D99935954}">
    <text>Cap at $1M commissions</text>
  </threadedComment>
  <threadedComment ref="E19" dT="2023-03-24T01:25:45.41" personId="{0477EFA6-0E87-47E5-BC2D-071C857D7691}" id="{A1A0C8E8-5A6B-4AC3-9DFE-B123667437D4}">
    <text>Cap at $1M commissions</text>
  </threadedComment>
  <threadedComment ref="F19" dT="2023-03-24T01:26:11.42" personId="{0477EFA6-0E87-47E5-BC2D-071C857D7691}" id="{EF44F3B3-D952-46FD-B9AD-255A42B8F2D7}">
    <text>Switch to internal sales teams year 4</text>
  </threadedComment>
  <threadedComment ref="I19" dT="2023-03-24T01:25:45.41" personId="{0477EFA6-0E87-47E5-BC2D-071C857D7691}" id="{FE460E64-4202-44FD-B1B0-77AC0D0B1653}">
    <text>Cap at $1M commissions</text>
  </threadedComment>
  <threadedComment ref="J19" dT="2023-03-24T01:25:45.41" personId="{0477EFA6-0E87-47E5-BC2D-071C857D7691}" id="{3EFD6B9E-690B-4C0F-81C9-05CA29D8F60A}">
    <text>Cap at $1M commissions</text>
  </threadedComment>
  <threadedComment ref="K19" dT="2023-03-24T01:26:11.42" personId="{0477EFA6-0E87-47E5-BC2D-071C857D7691}" id="{350D042D-5AE0-4AB7-98B4-CF3BD5C61118}">
    <text>Switch to internal sales teams year 4</text>
  </threadedComment>
  <threadedComment ref="C21" dT="2023-03-24T01:18:38.11" personId="{0477EFA6-0E87-47E5-BC2D-071C857D7691}" id="{783C472F-3A9F-4AD0-A39B-DD3602B2B3C2}">
    <text>Gary is sole sales agent in 2023; non payroll</text>
  </threadedComment>
  <threadedComment ref="H21" dT="2023-03-24T01:18:38.11" personId="{0477EFA6-0E87-47E5-BC2D-071C857D7691}" id="{972A0DE8-D6F0-4227-8AD6-CB53BB1E8139}">
    <text>Gary is sole sales agent in 2023; non payroll</text>
  </threadedComment>
</ThreadedComments>
</file>

<file path=xl/threadedComments/threadedComment7.xml><?xml version="1.0" encoding="utf-8"?>
<ThreadedComments xmlns="http://schemas.microsoft.com/office/spreadsheetml/2018/threadedcomments" xmlns:x="http://schemas.openxmlformats.org/spreadsheetml/2006/main">
  <threadedComment ref="AG2" dT="2025-10-02T20:58:19.58" personId="{0477EFA6-0E87-47E5-BC2D-071C857D7691}" id="{0A2EB342-5CDC-4287-98E4-B3167136B976}">
    <text>Summit Air inv H1003</text>
  </threadedComment>
  <threadedComment ref="AH2" dT="2025-10-02T03:52:06.61" personId="{0477EFA6-0E87-47E5-BC2D-071C857D7691}" id="{B337C4FE-BB2F-476B-81D8-A5C118B57C86}">
    <text>To pay for COS materials for build 
+ 
Allocation of labour time to COS</text>
  </threadedComment>
  <threadedComment ref="AI2" dT="2025-10-02T03:51:52.62" personId="{0477EFA6-0E87-47E5-BC2D-071C857D7691}" id="{E685E1AB-D5E0-4CF1-B795-D453A328A632}">
    <text>Estimated some repayment of AP</text>
  </threadedComment>
  <threadedComment ref="AJ2" dT="2025-10-02T20:58:30.13" personId="{0477EFA6-0E87-47E5-BC2D-071C857D7691}" id="{AB038BA2-C3BE-4D01-B69E-755C92CF9671}">
    <text>Other operating costs forecasted</text>
  </threadedComment>
  <threadedComment ref="AK2" dT="2025-10-02T22:47:04.38" personId="{0477EFA6-0E87-47E5-BC2D-071C857D7691}" id="{0FA0E896-39D8-4984-B7DD-351B3661A842}">
    <text>Impairment of inventory + amort of intangibles</text>
  </threadedComment>
  <threadedComment ref="AL2" dT="2025-10-02T22:39:52.20" personId="{0477EFA6-0E87-47E5-BC2D-071C857D7691}" id="{973C2588-A4FD-4C79-974E-501C950B5E0D}">
    <text>Other misc shop supplies + engineering</text>
  </threadedComment>
  <threadedComment ref="AG45" dT="2025-10-02T20:58:19.58" personId="{0477EFA6-0E87-47E5-BC2D-071C857D7691}" id="{B4DD7155-E1FC-4BF5-8BD0-F906C719F813}">
    <text>Summit Air inv H1003</text>
  </threadedComment>
  <threadedComment ref="AH45" dT="2025-10-02T03:52:06.61" personId="{0477EFA6-0E87-47E5-BC2D-071C857D7691}" id="{FBD0B05B-B077-42BC-9A32-59B9BE1C4F13}">
    <text>To pay for COS materials for build 
+ 
Allocation of labour time to COS</text>
  </threadedComment>
  <threadedComment ref="AI45" dT="2025-10-02T03:51:52.62" personId="{0477EFA6-0E87-47E5-BC2D-071C857D7691}" id="{B7000E9B-4DC8-4D29-A689-9FE72541D18F}">
    <text>Estimated some repayment of AP</text>
  </threadedComment>
  <threadedComment ref="AJ45" dT="2025-10-02T20:58:30.13" personId="{0477EFA6-0E87-47E5-BC2D-071C857D7691}" id="{2B9AF380-DE50-4655-8F79-7F15681BE491}">
    <text>Other operating costs forecasted</text>
  </threadedComment>
  <threadedComment ref="AK45" dT="2025-10-02T22:47:04.38" personId="{0477EFA6-0E87-47E5-BC2D-071C857D7691}" id="{4F1B000E-7FE3-40EF-89A8-D1F5783082D6}">
    <text>Impairment of inventory</text>
  </threadedComment>
  <threadedComment ref="AL45" dT="2025-10-02T22:39:52.20" personId="{0477EFA6-0E87-47E5-BC2D-071C857D7691}" id="{49029922-9913-44EF-85B4-1F3B6590C24F}">
    <text>Other misc shop supplies + engineering</text>
  </threadedComment>
  <threadedComment ref="AG50" dT="2025-10-02T21:00:32.93" personId="{0477EFA6-0E87-47E5-BC2D-071C857D7691}" id="{F57BFB0B-ADBE-46F4-B96B-E4D4210BEF6B}">
    <text>Consulting fees - Dean, Keith, CFO half year + secondary builder help</text>
  </threadedComment>
  <threadedComment ref="AJ50" dT="2025-10-02T22:20:53.28" personId="{0477EFA6-0E87-47E5-BC2D-071C857D7691}" id="{436C4FE4-ED7D-4E4E-A04C-3F199CEB0117}">
    <text>1) Bank fees group based on historical
2) Google suite
3) other subscriptions</text>
  </threadedComment>
  <threadedComment ref="AL50" dT="2025-10-02T22:41:47.11" personId="{0477EFA6-0E87-47E5-BC2D-071C857D7691}" id="{36B2D481-87EE-4163-8F2A-572E57EAF515}">
    <text>$5k engineering -est
$1k shop supplies and other</text>
  </threadedComment>
  <threadedComment ref="AG51" dT="2025-10-02T22:17:25.96" personId="{0477EFA6-0E87-47E5-BC2D-071C857D7691}" id="{F7D6CA94-EEB6-4A9F-B803-4750F8660B5E}">
    <text>CVAN</text>
  </threadedComment>
  <threadedComment ref="AJ58" dT="2025-10-02T20:59:11.17" personId="{0477EFA6-0E87-47E5-BC2D-071C857D7691}" id="{24AE938E-A6BB-492D-A2A1-285E8DC7287F}">
    <text>Credit card</text>
  </threadedComment>
</ThreadedComments>
</file>

<file path=xl/threadedComments/threadedComment8.xml><?xml version="1.0" encoding="utf-8"?>
<ThreadedComments xmlns="http://schemas.microsoft.com/office/spreadsheetml/2018/threadedcomments" xmlns:x="http://schemas.openxmlformats.org/spreadsheetml/2006/main">
  <threadedComment ref="G10" dT="2023-11-27T05:48:11.79" personId="{0477EFA6-0E87-47E5-BC2D-071C857D7691}" id="{A442E900-1C5E-409F-A258-003E54DC848F}">
    <text>Includes $20,000 accrued for Dean - May and June 2023</text>
  </threadedComment>
</ThreadedComments>
</file>

<file path=xl/threadedComments/threadedComment9.xml><?xml version="1.0" encoding="utf-8"?>
<ThreadedComments xmlns="http://schemas.microsoft.com/office/spreadsheetml/2018/threadedcomments" xmlns:x="http://schemas.openxmlformats.org/spreadsheetml/2006/main">
  <threadedComment ref="I7" dT="2026-01-07T16:43:41.85" personId="{0477EFA6-0E87-47E5-BC2D-071C857D7691}" id="{96063E20-59E9-406F-A287-13C90E94D0E3}">
    <text>These forecasted revenue and OPEX balances are from separate forecast workbook. Put into Hallor Group column but it contains industries balances mainly - no issue for consolidation proforma purposes.</text>
  </threadedComment>
  <threadedComment ref="O7" dT="2026-01-07T16:43:41.85" personId="{0477EFA6-0E87-47E5-BC2D-071C857D7691}" id="{614D536C-6F84-480D-AAB8-7FA797BFD2B6}">
    <text>These forecasted revenue and OPEX balances are from separate forecast workbook. Put into Hallor Group column but it contains industries balances mainly - no issue for consolidation proforma purposes.</text>
  </threadedComment>
  <threadedComment ref="U7" dT="2026-01-07T16:43:41.85" personId="{0477EFA6-0E87-47E5-BC2D-071C857D7691}" id="{57EC1801-DE76-4685-A090-87021DC24E57}">
    <text>These forecasted revenue and OPEX balances are from separate forecast workbook. Put into Hallor Group column but it contains industries balances mainly - no issue for consolidation proforma purposes.</text>
  </threadedComment>
  <threadedComment ref="AA7" dT="2026-01-07T16:43:41.85" personId="{0477EFA6-0E87-47E5-BC2D-071C857D7691}" id="{B56F95D6-C633-4DAD-A258-C070E4513A41}">
    <text>These forecasted revenue and OPEX balances are from separate forecast workbook. Put into Hallor Group column but it contains industries balances mainly - no issue for consolidation proforma purposes.</text>
  </threadedComment>
  <threadedComment ref="AG7" dT="2026-01-07T16:43:41.85" personId="{0477EFA6-0E87-47E5-BC2D-071C857D7691}" id="{8ACE90A4-DC32-46E9-A107-204918283B7B}">
    <text>These forecasted revenue and OPEX balances are from separate forecast workbook. Put into Hallor Group column but it contains industries balances mainly - no issue for consolidation proforma purposes.</text>
  </threadedComment>
  <threadedComment ref="J9" dT="2026-01-07T16:53:53.13" personId="{0477EFA6-0E87-47E5-BC2D-071C857D7691}" id="{666D4BF8-6BCF-4449-9ECB-B29411902DCF}">
    <text>Reflects cash costs of acquiring components to fulfil Summit Air order;
Also includes $3M bridge financing and assume payment of cash interest at YE.</text>
  </threadedComment>
  <threadedComment ref="K9" dT="2026-01-07T16:20:17.56" personId="{0477EFA6-0E87-47E5-BC2D-071C857D7691}" id="{0F322A51-8E4F-48E5-92B1-11BE476766E6}">
    <text>Includes a $2M shell financing</text>
  </threadedComment>
  <threadedComment ref="P9" dT="2026-01-07T17:00:28.69" personId="{0477EFA6-0E87-47E5-BC2D-071C857D7691}" id="{B9600BE1-B4FC-4344-AC50-9C06FA6C40F1}">
    <text>CFWD balance from F26 + cash interest payment on bridge loan</text>
  </threadedComment>
  <threadedComment ref="Q9" dT="2026-01-07T17:25:32.58" personId="{0477EFA6-0E87-47E5-BC2D-071C857D7691}" id="{13706E69-BE12-4CC2-80E0-085323D787D8}">
    <text>CFWD F26 + warranty liability payout (assume 10% of CY</text>
  </threadedComment>
  <threadedComment ref="V9" dT="2026-01-07T16:57:11.42" personId="{0477EFA6-0E87-47E5-BC2D-071C857D7691}" id="{18A1B605-233B-486E-916E-FAC86E307764}">
    <text>Full repayment of bridge loan by end of June 2028</text>
  </threadedComment>
  <threadedComment ref="Q41" dT="2026-01-07T17:25:56.83" personId="{0477EFA6-0E87-47E5-BC2D-071C857D7691}" id="{66299258-2FAB-400E-9CCA-37D4764417F4}">
    <text>Assume 10% of estimated warranty liab paid out in current year</text>
  </threadedComment>
  <threadedComment ref="W41" dT="2026-01-07T17:25:56.83" personId="{0477EFA6-0E87-47E5-BC2D-071C857D7691}" id="{5274C2A3-2914-4A25-AD88-5B14E0BE1416}">
    <text>Assume 10% of estimated warranty liab paid out in current year; 10% of each prior years</text>
  </threadedComment>
  <threadedComment ref="AC41" dT="2026-01-07T17:25:56.83" personId="{0477EFA6-0E87-47E5-BC2D-071C857D7691}" id="{66EAEA02-A023-4CBB-8515-4A615776AE8D}">
    <text>Assume 10% of estimated warranty liab paid out in current year; 10% of each prior years</text>
  </threadedComment>
  <threadedComment ref="AI41" dT="2026-01-07T17:25:56.83" personId="{0477EFA6-0E87-47E5-BC2D-071C857D7691}" id="{ACA21FCD-F096-44E1-8DC3-8B61B9DE140F}">
    <text>Assume 10% of estimated warranty liab paid out in current year</text>
  </threadedComment>
  <threadedComment ref="J84" dT="2026-01-07T16:46:30.45" personId="{0477EFA6-0E87-47E5-BC2D-071C857D7691}" id="{46FC52C9-12DC-4FFC-AE9A-A6D6063A585B}">
    <text>1) settlement of interest on convertible debt into shares; assumed settlement price of $0.50 per share (last financing)</text>
  </threadedComment>
  <threadedComment ref="P84" dT="2026-01-07T16:46:01.94" personId="{0477EFA6-0E87-47E5-BC2D-071C857D7691}" id="{A4D8AFD9-289D-4EBF-A282-F51FFC4B1FBC}">
    <text>1) 2026 topside CFWD + interest on bridge loan for F27</text>
  </threadedComment>
  <threadedComment ref="J88" dT="2026-01-07T16:50:00.07" personId="{0477EFA6-0E87-47E5-BC2D-071C857D7691}" id="{8624F345-97D9-43F5-B119-4635650668F7}">
    <text>1) Conversion of convertible debt to shares;
2) settlement of interest on convertible debt into shares; assumed settlement price of $0.50 per share (last financing)</text>
  </threadedComment>
  <threadedComment ref="E99" dT="2025-10-02T00:45:49.46" personId="{0477EFA6-0E87-47E5-BC2D-071C857D7691}" id="{309B83AA-B337-4A1C-8C94-BA2735AA4AFE}">
    <text>CFWD from F24</text>
  </threadedComment>
  <threadedComment ref="P101" dT="2026-01-07T17:19:33.74" personId="{0477EFA6-0E87-47E5-BC2D-071C857D7691}" id="{BFF1A594-0204-49C7-80F6-66E745553B87}">
    <text>One months of production assumed deferred revenue</text>
  </threadedComment>
  <threadedComment ref="V101" dT="2026-01-07T17:19:33.74" personId="{0477EFA6-0E87-47E5-BC2D-071C857D7691}" id="{BEB75E6A-ABE9-46D9-A20C-279ED370B5B7}">
    <text>One months of production assumed deferred revenue</text>
  </threadedComment>
  <threadedComment ref="AB101" dT="2026-01-07T17:19:33.74" personId="{0477EFA6-0E87-47E5-BC2D-071C857D7691}" id="{A89314D0-D1A0-4154-BAE9-5C6542B4FB1E}">
    <text>One months of production assumed deferred revenue</text>
  </threadedComment>
  <threadedComment ref="P110" dT="2026-01-07T17:19:33.74" personId="{0477EFA6-0E87-47E5-BC2D-071C857D7691}" id="{6DDAEDC9-1693-4046-8FF1-B23417092087}">
    <text>One months of production assumed deferred revenue</text>
  </threadedComment>
  <threadedComment ref="V110" dT="2026-01-07T17:19:33.74" personId="{0477EFA6-0E87-47E5-BC2D-071C857D7691}" id="{B09EDB2D-C7DA-4B74-BC47-6CCAC4046CB5}">
    <text>One months of production assumed deferred revenue</text>
  </threadedComment>
  <threadedComment ref="AB110" dT="2026-01-07T17:19:33.74" personId="{0477EFA6-0E87-47E5-BC2D-071C857D7691}" id="{19B2AB92-A43B-4416-9CB4-3D0A63A3C1E3}">
    <text>One months of production assumed deferred revenue</text>
  </threadedComment>
  <threadedComment ref="I189" dT="2026-01-08T03:26:02.07" personId="{0477EFA6-0E87-47E5-BC2D-071C857D7691}" id="{2D6D62A2-433F-4388-8C6A-9EEE63240C56}">
    <text>Manual reduction of half-year actuals already recorded</text>
  </threadedComment>
</ThreadedComments>
</file>

<file path=xl/threadedComments/threadedComment10.xml><?xml version="1.0" encoding="utf-8"?>
<ThreadedComments xmlns="http://schemas.microsoft.com/office/spreadsheetml/2018/threadedcomments" xmlns:x="http://schemas.openxmlformats.org/spreadsheetml/2006/main">
  <threadedComment ref="E7" dT="2022-02-24T18:45:48.31" personId="{0477EFA6-0E87-47E5-BC2D-071C857D7691}" id="{B1B66FC8-7102-4611-A375-645A1228B02D}">
    <text>to balance ending balances due to rounding</text>
  </threadedComment>
  <threadedComment ref="E95" dT="2025-10-02T00:45:49.46" personId="{0477EFA6-0E87-47E5-BC2D-071C857D7691}" id="{65240856-FE7D-484A-8D6D-CBB7313E6226}">
    <text>CFWD from F24</text>
  </threadedComment>
</ThreadedComments>
</file>

<file path=xl/threadedComments/threadedComment11.xml><?xml version="1.0" encoding="utf-8"?>
<ThreadedComments xmlns="http://schemas.microsoft.com/office/spreadsheetml/2018/threadedcomments" xmlns:x="http://schemas.openxmlformats.org/spreadsheetml/2006/main">
  <threadedComment ref="C2" dT="2022-08-06T19:08:25.08" personId="{0477EFA6-0E87-47E5-BC2D-071C857D7691}" id="{1A55D021-4499-4CFF-8ABC-D9F4C84E5A22}">
    <text>Update formula in this column each period</text>
  </threadedComment>
  <threadedComment ref="D2" dT="2022-08-06T19:08:25.08" personId="{0477EFA6-0E87-47E5-BC2D-071C857D7691}" id="{99199835-FCBE-4598-BBA0-15DDB358F4F9}">
    <text>Update formula in this column each period</text>
  </threadedComment>
  <threadedComment ref="I2" dT="2022-08-06T19:08:25.08" personId="{0477EFA6-0E87-47E5-BC2D-071C857D7691}" id="{0528F355-568C-4274-A4A5-799000BDD9B5}">
    <text>Update formula in this column each period</text>
  </threadedComment>
  <threadedComment ref="J2" dT="2022-08-06T19:08:25.08" personId="{0477EFA6-0E87-47E5-BC2D-071C857D7691}" id="{BED34A71-A355-4B36-960E-89BCB2C5501D}">
    <text>Update formula in this column each period</text>
  </threadedComment>
</ThreadedComments>
</file>

<file path=xl/threadedComments/threadedComment12.xml><?xml version="1.0" encoding="utf-8"?>
<ThreadedComments xmlns="http://schemas.microsoft.com/office/spreadsheetml/2018/threadedcomments" xmlns:x="http://schemas.openxmlformats.org/spreadsheetml/2006/main">
  <threadedComment ref="E7" dT="2022-02-24T18:45:48.31" personId="{0477EFA6-0E87-47E5-BC2D-071C857D7691}" id="{B005D727-6CAD-4DEC-9B40-0A3F5078F85E}">
    <text>to balance ending balances due to rounding</text>
  </threadedComment>
</ThreadedComments>
</file>

<file path=xl/threadedComments/threadedComment13.xml><?xml version="1.0" encoding="utf-8"?>
<ThreadedComments xmlns="http://schemas.microsoft.com/office/spreadsheetml/2018/threadedcomments" xmlns:x="http://schemas.openxmlformats.org/spreadsheetml/2006/main">
  <threadedComment ref="C2" dT="2022-08-06T19:08:25.08" personId="{0477EFA6-0E87-47E5-BC2D-071C857D7691}" id="{59747655-ADB9-445B-AFC9-85D6E0CA1EB5}">
    <text>Update formula in this column each period</text>
  </threadedComment>
  <threadedComment ref="H2" dT="2022-08-06T19:08:25.08" personId="{0477EFA6-0E87-47E5-BC2D-071C857D7691}" id="{66967922-62B7-42DE-ABDA-6D5F0F097FBF}">
    <text>Update formula in this column each period</text>
  </threadedComment>
</ThreadedComments>
</file>

<file path=xl/threadedComments/threadedComment14.xml><?xml version="1.0" encoding="utf-8"?>
<ThreadedComments xmlns="http://schemas.microsoft.com/office/spreadsheetml/2018/threadedcomments" xmlns:x="http://schemas.openxmlformats.org/spreadsheetml/2006/main">
  <threadedComment ref="D4" dT="2022-02-15T01:47:35.08" personId="{0477EFA6-0E87-47E5-BC2D-071C857D7691}" id="{E0FC4687-8880-4E85-A5A2-47E8ACC9B1FB}">
    <text>This column carries over adjusting entries from prior years - needed as these adjustments have not been pushed into the accounting system yet.</text>
  </threadedComment>
  <threadedComment ref="F4" dT="2022-02-10T02:25:29.99" personId="{0477EFA6-0E87-47E5-BC2D-071C857D7691}" id="{343C7655-B324-469F-B6E2-0124B813D906}">
    <text>Due to rounding in column G we need plug to balance final TB balances</text>
  </threadedComment>
</ThreadedComments>
</file>

<file path=xl/threadedComments/threadedComment15.xml><?xml version="1.0" encoding="utf-8"?>
<ThreadedComments xmlns="http://schemas.microsoft.com/office/spreadsheetml/2018/threadedcomments" xmlns:x="http://schemas.openxmlformats.org/spreadsheetml/2006/main">
  <threadedComment ref="E4" dT="2022-02-24T18:45:48.31" personId="{0477EFA6-0E87-47E5-BC2D-071C857D7691}" id="{68C80784-118D-43F6-BCE7-B28A887C176F}">
    <text>to balance ending balances due to rounding</text>
  </threadedComment>
</ThreadedComments>
</file>

<file path=xl/threadedComments/threadedComment16.xml><?xml version="1.0" encoding="utf-8"?>
<ThreadedComments xmlns="http://schemas.microsoft.com/office/spreadsheetml/2018/threadedcomments" xmlns:x="http://schemas.openxmlformats.org/spreadsheetml/2006/main">
  <threadedComment ref="I30" dT="2023-11-30T01:47:57.82" personId="{0477EFA6-0E87-47E5-BC2D-071C857D7691}" id="{7D31A87E-A07B-4C12-ACEF-19F27E6CF44C}">
    <text>SAK3 paid Upcapital this amount Sept 6, 2023; this entry was therefore to reflect payment and clear out Office supplies</text>
  </threadedComment>
</ThreadedComments>
</file>

<file path=xl/threadedComments/threadedComment17.xml><?xml version="1.0" encoding="utf-8"?>
<ThreadedComments xmlns="http://schemas.microsoft.com/office/spreadsheetml/2018/threadedcomments" xmlns:x="http://schemas.openxmlformats.org/spreadsheetml/2006/main">
  <threadedComment ref="L29" dT="2025-10-01T22:43:03.69" personId="{0477EFA6-0E87-47E5-BC2D-071C857D7691}" id="{D3C640E2-B907-485B-8708-B39904AC9782}">
    <text>Must carry this forward indefinitely as cannot push into books the amortization on standalone basis - because there is no standalone intangible balance in the books of respective entities.</text>
  </threadedComment>
  <threadedComment ref="L32" dT="2025-10-01T22:43:03.69" personId="{0477EFA6-0E87-47E5-BC2D-071C857D7691}" id="{1FDD1247-8FEA-4AEC-AB80-4053C8E14723}">
    <text>Must carry this forward indefinitely as cannot push into books the amortization on standalone basis - because there is no standalone intangible balance in the books of respective entities.</text>
  </threadedComment>
  <threadedComment ref="L35" dT="2025-10-01T22:43:03.69" personId="{0477EFA6-0E87-47E5-BC2D-071C857D7691}" id="{0E7D309E-DE78-451C-A7D9-116D8284EC5D}">
    <text>Must carry this forward indefinitely as cannot push into books the amortization on standalone basis - because there is no standalone intangible balance in the books of respective entities.</text>
  </threadedComment>
</ThreadedComments>
</file>

<file path=xl/threadedComments/threadedComment18.xml><?xml version="1.0" encoding="utf-8"?>
<ThreadedComments xmlns="http://schemas.microsoft.com/office/spreadsheetml/2018/threadedcomments" xmlns:x="http://schemas.openxmlformats.org/spreadsheetml/2006/main">
  <threadedComment ref="T6" dT="2022-08-06T18:26:27.32" personId="{0477EFA6-0E87-47E5-BC2D-071C857D7691}" id="{3EDF5789-C79A-4605-8BC1-D8143F6EBA1E}">
    <text>3 months, 6 months, 9 months etc</text>
  </threadedComment>
  <threadedComment ref="R8" dT="2025-10-01T22:43:03.69" personId="{0477EFA6-0E87-47E5-BC2D-071C857D7691}" id="{BAB93468-185D-42BE-98E8-8A8E2E4C1060}">
    <text>Must carry this forward indefinitely as cannot push into books the amortization on standalone basis - because there is no standalone intangible balance in the books of respective entities.</text>
  </threadedComment>
</ThreadedComments>
</file>

<file path=xl/threadedComments/threadedComment19.xml><?xml version="1.0" encoding="utf-8"?>
<ThreadedComments xmlns="http://schemas.microsoft.com/office/spreadsheetml/2018/threadedcomments" xmlns:x="http://schemas.openxmlformats.org/spreadsheetml/2006/main">
  <threadedComment ref="L18" dT="2025-10-01T22:43:03.69" personId="{0477EFA6-0E87-47E5-BC2D-071C857D7691}" id="{3ECD74F1-5994-4C67-8BFC-457721531694}">
    <text>Must carry this forward indefinitely as cannot push into books the amortization on standalone basis - because there is no standalone intangible balance in the books of respective entities.</text>
  </threadedComment>
</ThreadedComments>
</file>

<file path=xl/threadedComments/threadedComment20.xml><?xml version="1.0" encoding="utf-8"?>
<ThreadedComments xmlns="http://schemas.microsoft.com/office/spreadsheetml/2018/threadedcomments" xmlns:x="http://schemas.openxmlformats.org/spreadsheetml/2006/main">
  <threadedComment ref="T6" dT="2022-08-06T18:26:27.32" personId="{0477EFA6-0E87-47E5-BC2D-071C857D7691}" id="{F5C7755F-D9D5-4BFB-A207-37D9BAB17B50}">
    <text>3 months, 6 months, 9 months etc</text>
  </threadedComment>
  <threadedComment ref="R155" dT="2025-10-01T22:43:03.69" personId="{0477EFA6-0E87-47E5-BC2D-071C857D7691}" id="{962D229F-39CE-4DD4-B1FB-188D93D7FB48}">
    <text>Must carry this forward indefinitely as cannot push into books the amortization on standalone basis - because there is no standalone intangible balance in the books of respective entities.</text>
  </threadedComment>
</ThreadedComments>
</file>

<file path=xl/threadedComments/threadedComment21.xml><?xml version="1.0" encoding="utf-8"?>
<ThreadedComments xmlns="http://schemas.microsoft.com/office/spreadsheetml/2018/threadedcomments" xmlns:x="http://schemas.openxmlformats.org/spreadsheetml/2006/main">
  <threadedComment ref="F43" dT="2024-02-27T23:26:06.34" personId="{0477EFA6-0E87-47E5-BC2D-071C857D7691}" id="{DE1FBCD0-B212-465C-9682-C41AF14BE041}">
    <text>Opening RE has to be manually recalculated as QBO will not generated automatically. Due to year-end adjustment in Hallor Industries which were recorded on July 31, 2023 but which related to period prior to acquisition date on July 12, 2023
See column D in Tab PL.1
Includes $117.83 balancing plug</text>
  </threadedComment>
  <threadedComment ref="H44" dT="2023-11-19T23:16:49.07" personId="{0477EFA6-0E87-47E5-BC2D-071C857D7691}" id="{478FE63E-6FC6-4661-9EF2-A88D3E4A7F40}">
    <text>As extracted from Tab PL.1 - represents YTD Q2 P&amp;L balances from July 12, 2023 - June 30, 2024</text>
  </threadedComment>
</ThreadedComments>
</file>

<file path=xl/threadedComments/threadedComment22.xml><?xml version="1.0" encoding="utf-8"?>
<ThreadedComments xmlns="http://schemas.microsoft.com/office/spreadsheetml/2018/threadedcomments" xmlns:x="http://schemas.openxmlformats.org/spreadsheetml/2006/main">
  <threadedComment ref="H5" dT="2025-10-02T00:41:07.89" personId="{0477EFA6-0E87-47E5-BC2D-071C857D7691}" id="{E84BDA8B-B32E-4F7E-A3DB-1587CC3EE2AF}">
    <text xml:space="preserve">To adjust pre-acquisition P&amp;L balances </text>
  </threadedComment>
  <threadedComment ref="I5" dT="2025-10-02T00:41:07.89" personId="{0477EFA6-0E87-47E5-BC2D-071C857D7691}" id="{A6BB3974-6F6E-457E-8008-957276602830}">
    <text xml:space="preserve">To adjust pre-acquisition P&amp;L balances </text>
  </threadedComment>
</ThreadedComments>
</file>

<file path=xl/threadedComments/threadedComment23.xml><?xml version="1.0" encoding="utf-8"?>
<ThreadedComments xmlns="http://schemas.microsoft.com/office/spreadsheetml/2018/threadedcomments" xmlns:x="http://schemas.openxmlformats.org/spreadsheetml/2006/main">
  <threadedComment ref="F2" dT="2024-01-12T20:04:17.66" personId="{0477EFA6-0E87-47E5-BC2D-071C857D7691}" id="{7B81CE71-2013-4C7C-AC5F-85197F21FF08}">
    <text>Unreconciled bank transactions; added to get WC figure for prospectus - s/b no adjustments when preparing actual Q2'24</text>
  </threadedComment>
  <threadedComment ref="D13" dT="2023-11-20T00:11:19.55" personId="{0477EFA6-0E87-47E5-BC2D-071C857D7691}" id="{8FB4C872-9C2C-4C28-9039-962B279E580E}">
    <text>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ext>
  </threadedComment>
  <threadedComment ref="I13" dT="2024-07-31T13:55:46.66" personId="{0477EFA6-0E87-47E5-BC2D-071C857D7691}" id="{FB1937C6-1E9F-4FC2-856E-D189F4259A8F}">
    <text>To capitalize to WIP inventory</text>
  </threadedComment>
  <threadedComment ref="D14" dT="2023-11-20T00:11:19.55" personId="{0477EFA6-0E87-47E5-BC2D-071C857D7691}" id="{4AAB9436-E6C8-42DF-B8A3-B9D54761680B}">
    <text>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ext>
  </threadedComment>
  <threadedComment ref="I14" dT="2024-07-31T13:55:46.66" personId="{0477EFA6-0E87-47E5-BC2D-071C857D7691}" id="{BCBEBD55-1A92-4948-A8E0-9A93CE44C451}">
    <text>To capitalize to WIP inventory</text>
  </threadedComment>
  <threadedComment ref="D15" dT="2023-11-20T00:11:19.55" personId="{0477EFA6-0E87-47E5-BC2D-071C857D7691}" id="{88EDB67D-9C1A-4BB8-B4CE-964A81CD0AF8}">
    <text>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ext>
  </threadedComment>
  <threadedComment ref="I15" dT="2024-07-31T13:55:46.66" personId="{0477EFA6-0E87-47E5-BC2D-071C857D7691}" id="{2C295346-BD32-49E3-908D-FC7E167CC7FE}">
    <text>To capitalize to WIP inventory</text>
  </threadedComment>
  <threadedComment ref="D17" dT="2023-11-20T00:11:19.55" personId="{0477EFA6-0E87-47E5-BC2D-071C857D7691}" id="{2DE0E4A1-2B54-4827-BDF8-1721B461026B}">
    <text>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ext>
  </threadedComment>
  <threadedComment ref="D22" dT="2023-11-20T00:11:19.55" personId="{0477EFA6-0E87-47E5-BC2D-071C857D7691}" id="{25DCDC72-DE38-409A-B0B1-5C1F2C329E47}">
    <text>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ext>
  </threadedComment>
  <threadedComment ref="D24" dT="2023-11-20T00:11:19.55" personId="{0477EFA6-0E87-47E5-BC2D-071C857D7691}" id="{D3113E10-9356-42B8-8BBB-0D4A8A0D23B7}">
    <text>Credit because of July 31, 2023 audit adjustment. Hallor Industries had audited FS with year-end July 31, 2023; various audit adjustments relating to FY23 were recorded as at July 31, 2023
Hallor Industries was acquired on July 12, 2023 by Hallor Group. Therefore consolidated Q1'24 P&amp;L of Hallor Group would need to include P&amp;L of Hallor Industries from July 12 - Sept 30, 2023. 
Since July 31 YE adjustments include pre-acquisition P&amp;L balances at were recorded AT July 31, 2023, must reverse adjustments to arrive back at correct P&amp;L balances post-acquisition</text>
  </threadedComment>
</ThreadedComments>
</file>

<file path=xl/threadedComments/threadedComment24.xml><?xml version="1.0" encoding="utf-8"?>
<ThreadedComments xmlns="http://schemas.microsoft.com/office/spreadsheetml/2018/threadedcomments" xmlns:x="http://schemas.openxmlformats.org/spreadsheetml/2006/main">
  <threadedComment ref="D8" dT="2023-08-31T18:01:12.71" personId="{0477EFA6-0E87-47E5-BC2D-071C857D7691}" id="{249C4FBF-7FE4-4588-A782-91F2293D799C}">
    <text>These July balances related to June 30 per QBO comments; no adjustment</text>
  </threadedComment>
  <threadedComment ref="D9" dT="2023-08-31T18:01:12.71" personId="{0477EFA6-0E87-47E5-BC2D-071C857D7691}" id="{B5294455-BF43-4564-A0BB-40E520990019}">
    <text>These July balances related to June 30 per QBO comments; no adjustment</text>
  </threadedComment>
  <threadedComment ref="D10" dT="2023-08-31T18:01:12.71" personId="{0477EFA6-0E87-47E5-BC2D-071C857D7691}" id="{A467F5DF-2FB1-4313-9DC1-21B24E594E0C}">
    <text>These July balances related to June 30 per QBO comments; no adjustment</text>
  </threadedComment>
  <threadedComment ref="D12" dT="2023-08-31T18:01:12.71" personId="{0477EFA6-0E87-47E5-BC2D-071C857D7691}" id="{0FE4A6D7-D2F9-424A-AFFA-A390071EFC4D}">
    <text>These July balances related to June 30 per QBO comments; no adjustment</text>
  </threadedComment>
  <threadedComment ref="D17" dT="2023-08-31T18:03:05.37" personId="{0477EFA6-0E87-47E5-BC2D-071C857D7691}" id="{FD00B6AA-2B1B-45C0-A05C-586AF2F57AAE}">
    <text>This was correcting adjustment pushed into July 31; TB balance already reflects correct balance at June 30, 2023 so no further adjustment here</text>
  </threadedComment>
  <threadedComment ref="D18" dT="2023-08-31T18:06:22.78" personId="{0477EFA6-0E87-47E5-BC2D-071C857D7691}" id="{D4D3D003-7107-4B98-BA3F-465E8A9541FC}">
    <text xml:space="preserve">1,845 INK July invoice
4,500 imperium july invoice 
Reverse to adjust back to June 30, 2023 </text>
  </threadedComment>
  <threadedComment ref="D19" dT="2023-08-31T18:01:12.71" personId="{0477EFA6-0E87-47E5-BC2D-071C857D7691}" id="{BBC1E9D9-A629-4698-AD2D-96746B862CF7}">
    <text>Allocating to inventory - TB already reflects as at June 30 for this account; no further adjustment needed</text>
  </threadedComment>
  <threadedComment ref="D20" dT="2023-08-31T18:07:53.59" personId="{0477EFA6-0E87-47E5-BC2D-071C857D7691}" id="{495FBF09-859C-4276-AC31-68FD6DD34ED5}">
    <text>Reverse to arrive back to June 30 balance</text>
  </threadedComment>
  <threadedComment ref="D21" dT="2023-08-31T18:07:53.59" personId="{0477EFA6-0E87-47E5-BC2D-071C857D7691}" id="{0EA6145E-2ACA-47DB-AF79-2D086DA1A380}">
    <text>Reverse to arrive back to June 30 balance</text>
  </threadedComment>
  <threadedComment ref="D22" dT="2023-08-31T18:07:53.59" personId="{0477EFA6-0E87-47E5-BC2D-071C857D7691}" id="{06FF2E9C-4D4E-4D34-A534-4F6335045925}">
    <text>Reverse to arrive back to June 30 balance</text>
  </threadedComment>
  <threadedComment ref="D23" dT="2023-08-31T18:07:53.59" personId="{0477EFA6-0E87-47E5-BC2D-071C857D7691}" id="{5943CBB8-40DD-4CDD-8DEB-C6DD7B422478}">
    <text>Reverse to arrive back to June 30 balance</text>
  </threadedComment>
  <threadedComment ref="D26" dT="2023-08-31T18:07:53.59" personId="{0477EFA6-0E87-47E5-BC2D-071C857D7691}" id="{58AA45CD-C2F2-4AAF-A496-6D7E29B27D98}">
    <text>Trivial no adjustment</text>
  </threadedComment>
  <threadedComment ref="D29" dT="2023-08-31T18:08:42.35" personId="{0477EFA6-0E87-47E5-BC2D-071C857D7691}" id="{7A25C5D7-8AA7-46BA-8BDD-814A9D40F5DC}">
    <text>This is FY depreciation; trivial amount relates to July, so no adjustment reflected here.</text>
  </threadedComment>
</ThreadedComments>
</file>

<file path=xl/threadedComments/threadedComment25.xml><?xml version="1.0" encoding="utf-8"?>
<ThreadedComments xmlns="http://schemas.microsoft.com/office/spreadsheetml/2018/threadedcomments" xmlns:x="http://schemas.openxmlformats.org/spreadsheetml/2006/main">
  <threadedComment ref="I5" dT="2023-11-22T00:39:00.27" personId="{0477EFA6-0E87-47E5-BC2D-071C857D7691}" id="{BA2B6482-B093-49D7-B372-0E05681F8647}">
    <text>Aditi recorded entries in QBO as at Dec 31, 2022 because Hallor Group was initially contemplated with a YE of Dec 31 - when Aditi did catchup accounting for purposes of audit with DMCL, she closed the records using manual journal entries recorded on Dec 31, 2022. 
However, some of these adjustments would have related to transactions for 3 months ended Sept 30, 2022, the historical period in question. 
This is attempt to rebuild the P&amp;L for Q1'23 as otherwise the P&amp;L reports from QBO will not show any balances</text>
  </threadedComment>
  <threadedComment ref="H7" dT="2023-11-20T03:24:01.61" personId="{0477EFA6-0E87-47E5-BC2D-071C857D7691}" id="{559FD825-7FB0-4651-9E36-CEC309183D45}">
    <text>Company gets account rebates each month so reasonable to be zero</text>
  </threadedComment>
  <threadedComment ref="H8" dT="2023-11-19T01:01:29.73" personId="{0477EFA6-0E87-47E5-BC2D-071C857D7691}" id="{EE160E3A-98FF-4FEF-B3F4-5B2E09067840}">
    <text>There were accrual reversals recorded in Q1 but no offsetting expense in the same period. So QBO shows credit balance, which doesn't make sense. The reversals are moved into Q2
$600 relates to invoices from 16 bit advisors, old bookkeeper before Aditi. $100 per month x 6 invoices (3 for Hallor, 3 for SAK6 charged back to Hallor) from July - Sept 2022</text>
  </threadedComment>
  <threadedComment ref="I8" dT="2023-11-19T01:03:46.39" personId="{0477EFA6-0E87-47E5-BC2D-071C857D7691}" id="{017D5903-DA7A-48A6-9C4D-197DC2E667E9}">
    <text>Applied accrual reversals showing up in QBO as impact to Q1'23 and reflecting in Q2'23
Otherwise there would be credit expense balance in P&amp;L which doesn't make sense.</text>
  </threadedComment>
  <threadedComment ref="H9" dT="2023-11-22T00:51:20.70" personId="{0477EFA6-0E87-47E5-BC2D-071C857D7691}" id="{95CCC13A-1037-4110-B23C-079FF1FC54FA}">
    <text>1) AJE3 from Aditi's Dec 31, 2022 AJE - relates to McMillian inv 1285339 and inv 1286664 - bot were related to legal services in FY22. So no need to include
2) GPL $5k july inv + $300 of fees for Eric bookkeeping July - Sept</text>
  </threadedComment>
  <threadedComment ref="I9" dT="2023-11-19T01:03:49.25" personId="{0477EFA6-0E87-47E5-BC2D-071C857D7691}" id="{1C55BEA6-D12E-4433-B246-D6E01CF50BDF}">
    <text xml:space="preserve">Applied accrual reversals showing up in QBO as impact to Q1'23 and reflecting in Q2'23
Otherwise there would be credit expense balance in P&amp;L which doesn't make sense.
</text>
  </threadedComment>
  <threadedComment ref="H10" dT="2023-11-22T00:40:31.41" personId="{0477EFA6-0E87-47E5-BC2D-071C857D7691}" id="{EE0389C2-BDE9-456D-AD61-367E9C3E20DC}">
    <text>1) Dream even bigger - July and Aug 2022 - no Sept invoice was billed. $2500 per month
2) $5,000 - invoice 310720221006 from GPL consulting for July services</text>
  </threadedComment>
  <threadedComment ref="H11" dT="2023-11-20T03:24:41.02" personId="{0477EFA6-0E87-47E5-BC2D-071C857D7691}" id="{8FFEC78B-8198-4253-904E-C33D9DA7E487}">
    <text>Company was shell until closer to striking LOI to acquire Hallor Industries in November 2022 - so reasonable to be zero</text>
  </threadedComment>
  <threadedComment ref="H12" dT="2023-11-20T03:24:41.02" personId="{0477EFA6-0E87-47E5-BC2D-071C857D7691}" id="{90D038DC-E646-42D9-8C81-A060A019774E}">
    <text>Company was shell until closer to striking LOI to acquire Hallor Industries in November 2022 - so reasonable to be zero</text>
  </threadedComment>
  <threadedComment ref="H13" dT="2023-11-20T03:24:41.02" personId="{0477EFA6-0E87-47E5-BC2D-071C857D7691}" id="{2F81F1AD-30D4-4E27-84CC-371DC68BC2A0}">
    <text>Company was shell until closer to striking LOI to acquire Hallor Industries in November 2022 - so reasonable to be zero</text>
  </threadedComment>
  <threadedComment ref="H14" dT="2023-11-22T00:46:38.26" personId="{0477EFA6-0E87-47E5-BC2D-071C857D7691}" id="{251D4162-C8D0-4A2D-8E6F-8C31FE413158}">
    <text xml:space="preserve">Dealmaker charges from SAK6 back to Hallor (Inv SAK6-01). For Aug and Sept 2022 charges </text>
  </threadedComment>
  <threadedComment ref="H15" dT="2023-11-20T03:24:41.02" personId="{0477EFA6-0E87-47E5-BC2D-071C857D7691}" id="{19894A38-51A4-4807-B9AC-F134F4111D6D}">
    <text>Company was shell until closer to striking LOI to acquire Hallor Industries in November 2022 - so reasonable to be zero</text>
  </threadedComment>
</ThreadedComments>
</file>

<file path=xl/threadedComments/threadedComment26.xml><?xml version="1.0" encoding="utf-8"?>
<ThreadedComments xmlns="http://schemas.microsoft.com/office/spreadsheetml/2018/threadedcomments" xmlns:x="http://schemas.openxmlformats.org/spreadsheetml/2006/main">
  <threadedComment ref="L2" dT="2023-11-20T02:09:39.59" personId="{0477EFA6-0E87-47E5-BC2D-071C857D7691}" id="{D2804E14-4ECB-41CB-955D-0A009874C538}">
    <text>Per QBO ledger details; to determine the carrying value of inventory on acquisition date</text>
  </threadedComment>
  <threadedComment ref="M4" dT="2023-11-27T04:32:30.45" personId="{0477EFA6-0E87-47E5-BC2D-071C857D7691}" id="{E9F75B0D-D09A-4E8B-95FD-CD1D0D3BD5FF}">
    <text>Based on raw material carrying value as audited at July 31, 2023 - would not have been materially different to parts and components as at July 12, 2023</text>
  </threadedComment>
  <threadedComment ref="F7" dT="2023-11-20T02:07:52.05" personId="{0477EFA6-0E87-47E5-BC2D-071C857D7691}" id="{A0D3BE2E-34D8-493E-AE23-D5201E77A0C5}">
    <text>To adjust WIP inventory</text>
  </threadedComment>
  <threadedComment ref="G7" dT="2023-11-20T02:07:58.50" personId="{0477EFA6-0E87-47E5-BC2D-071C857D7691}" id="{602FF2D5-7072-44D6-B8B5-BF419E8B6B42}">
    <text>To adjust cash balances</text>
  </threadedComment>
  <threadedComment ref="M43" dT="2023-11-20T04:18:51.20" personId="{0477EFA6-0E87-47E5-BC2D-071C857D7691}" id="{6CF651F2-66CE-40E3-BA24-035F5841B6A0}">
    <text>This is actually accumulated deficit as of June 30, 2023 - the YE of Hallor Industries was changed from July 31 to June 30 in QBO - once you do that, when you generate a TB, QBO uses opening RE figure. So even though TB was run as at July 31, 2023, this is actually the accum deficit figure as of the LAST FISCAL YEAR - which is now June 30</text>
  </threadedComment>
  <threadedComment ref="C44" dT="2023-11-20T03:40:01.56" personId="{0477EFA6-0E87-47E5-BC2D-071C857D7691}" id="{45A9A93C-9949-42D4-9E9A-6513FCD32D1C}">
    <text>This is actually accumulated deficit as of June 30, 2023 - the YE of Hallor Industries was changed from July 31 to June 30 in QBO - once you do that, when you generate a TB, QBO uses opening RE figure. So even though TB was run as at July 31, 2023, this is actually the accum deficit figure as of the LAST FISCAL YEAR - which is now June 30</text>
  </threadedComment>
  <threadedComment ref="E44" dT="2023-11-20T04:18:58.86" personId="{0477EFA6-0E87-47E5-BC2D-071C857D7691}" id="{33506681-8139-427D-900D-2BCC60A55229}">
    <text>This is actually accumulated deficit as of June 30, 2023 - the YE of Hallor Industries was changed from July 31 to June 30 in QBO - once you do that, when you generate a TB, QBO uses opening RE figure. So even though TB was run as at July 31, 2023, this is actually the accum deficit figure as of the LAST FISCAL YEAR - which is now June 30</text>
  </threadedComment>
  <threadedComment ref="D45" dT="2023-11-20T03:41:54.58" personId="{0477EFA6-0E87-47E5-BC2D-071C857D7691}" id="{11B04CCB-201B-4C8B-88F9-FC83EE7A5E21}">
    <text>Reflects all the YE adjusting entries which were booked as at July 31, 2023 as the year-end for Hallor was still July 31, 2023.</text>
  </threadedComment>
</ThreadedComments>
</file>

<file path=xl/threadedComments/threadedComment27.xml><?xml version="1.0" encoding="utf-8"?>
<ThreadedComments xmlns="http://schemas.microsoft.com/office/spreadsheetml/2018/threadedcomments" xmlns:x="http://schemas.openxmlformats.org/spreadsheetml/2006/main">
  <threadedComment ref="E3" dT="2023-08-31T03:09:18.49" personId="{0477EFA6-0E87-47E5-BC2D-071C857D7691}" id="{D252E69A-3278-458A-94CF-A0AE6C1C0A71}">
    <text>Based on most recent financing round</text>
  </threadedComment>
</ThreadedComments>
</file>

<file path=xl/threadedComments/threadedComment28.xml><?xml version="1.0" encoding="utf-8"?>
<ThreadedComments xmlns="http://schemas.microsoft.com/office/spreadsheetml/2018/threadedcomments" xmlns:x="http://schemas.openxmlformats.org/spreadsheetml/2006/main">
  <threadedComment ref="C5" dT="2023-09-15T03:50:03.33" personId="{0477EFA6-0E87-47E5-BC2D-071C857D7691}" id="{00CE85D9-A895-46B1-97D6-2AC7C3C7D8C7}">
    <text>Per terms of subscription agreement; 25% discount from the go public share price anticipated at $0.50.</text>
  </threadedComment>
  <threadedComment ref="C17" dT="2023-11-21T20:08:13.72" personId="{0477EFA6-0E87-47E5-BC2D-071C857D7691}" id="{73D5D9CB-CE59-4634-BCA8-EA4C423E754A}">
    <text>Closing date of the notes (based on Christina's note agreement); Ashik's agreement was Aug 14, 2023</text>
  </threadedComment>
  <threadedComment ref="C19" dT="2023-11-21T20:06:12.50" personId="{0477EFA6-0E87-47E5-BC2D-071C857D7691}" id="{A929501A-F8C2-48A5-8E58-1D840B51FD09}">
    <text>Most recent financing</text>
  </threadedComment>
  <threadedComment ref="C21" dT="2023-09-15T02:40:36.90" personId="{0477EFA6-0E87-47E5-BC2D-071C857D7691}" id="{543CE225-F239-4767-ACD2-E6BC4A7ABCAD}">
    <text xml:space="preserve">Valuation date at August 18, 2023 - conversion expected to happen in Dec (estimated acceptance of final prospectus). So 4 months out </text>
  </threadedComment>
  <threadedComment ref="D41" dT="2023-09-15T03:24:40.33" personId="{0477EFA6-0E87-47E5-BC2D-071C857D7691}" id="{9C1B1F3B-C421-4026-8CDA-B10844F61B90}">
    <text>Per Geske valuation model - compound options</text>
  </threadedComment>
  <threadedComment ref="C49" dT="2023-09-15T03:25:09.99" personId="{0477EFA6-0E87-47E5-BC2D-071C857D7691}" id="{9DC2738F-E782-4F9C-A2A1-160573C60268}">
    <text>This represents the conversion option on the convertible note</text>
  </threadedComment>
  <threadedComment ref="D49" dT="2023-09-15T03:25:42.79" personId="{0477EFA6-0E87-47E5-BC2D-071C857D7691}" id="{EB4E3DC6-A35B-48B9-B831-228E8AF2C68C}">
    <text>This represents the additional warrant that is issued on conversion of the debenture</text>
  </threadedComment>
  <threadedComment ref="D50" dT="2023-09-15T03:30:07.61" personId="{0477EFA6-0E87-47E5-BC2D-071C857D7691}" id="{138A2B9E-6385-4E47-BA4F-2F14954B7BF4}">
    <text>Used for compound options</text>
  </threadedComment>
  <threadedComment ref="D51" dT="2023-09-15T03:21:54.44" personId="{0477EFA6-0E87-47E5-BC2D-071C857D7691}" id="{B1C3D554-B103-473F-8699-9305D13AA8C4}">
    <text>4 months to conversion + 5 years life of warrant</text>
  </threadedComment>
  <threadedComment ref="D52" dT="2023-09-15T02:55:55.05" personId="{0477EFA6-0E87-47E5-BC2D-071C857D7691}" id="{59FC04F3-1219-4ED9-9F83-2CEE480D641D}">
    <text>Comparing the strike price of $0.375 and the share price at issuance of $0.50, the initial conversion feature is in the money. Therefore, the conversion option strike price of $0.375 is allocated completely to the common share component and no value is allocated to the warrant component. 
A nominal amount of $0.0001 is allocated to the conversion option component to be conservative and to apply a value for the Geske model calculator (as an amount needs to be provided for a value to be calculated.)
In applying the Geske model, we used both $0.0001 and $0.001 in the valuation of the warrant on warrant and it made no difference in the resulting valuation.</text>
  </threadedComment>
</ThreadedComments>
</file>

<file path=xl/threadedComments/threadedComment29.xml><?xml version="1.0" encoding="utf-8"?>
<ThreadedComments xmlns="http://schemas.microsoft.com/office/spreadsheetml/2018/threadedcomments" xmlns:x="http://schemas.openxmlformats.org/spreadsheetml/2006/main">
  <threadedComment ref="B4" dT="2023-11-27T07:27:25.85" personId="{0477EFA6-0E87-47E5-BC2D-071C857D7691}" id="{56215B36-1398-4575-A51A-1CC7ED17E326}">
    <text>Date notes closed</text>
  </threadedComment>
  <threadedComment ref="D25" dT="2023-11-27T08:12:15.01" personId="{0477EFA6-0E87-47E5-BC2D-071C857D7691}" id="{4DABEB15-B889-4E4A-8185-5C4D1986FD47}">
    <text>Goal seek</text>
  </threadedComment>
</ThreadedComments>
</file>

<file path=xl/threadedComments/threadedComment30.xml><?xml version="1.0" encoding="utf-8"?>
<ThreadedComments xmlns="http://schemas.microsoft.com/office/spreadsheetml/2018/threadedcomments" xmlns:x="http://schemas.openxmlformats.org/spreadsheetml/2006/main">
  <threadedComment ref="D7" dT="2023-12-05T02:03:50.05" personId="{0477EFA6-0E87-47E5-BC2D-071C857D7691}" id="{A04766BF-0273-497E-8CC2-437F8DA8DA63}">
    <text>Seven years as estimated.</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474"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98A082D-84E4-4DA6-8AE5-1E569B03A49F}">
  <we:reference id="wa104380955" version="3.6.4.1" store="en-US" storeType="OMEX"/>
  <we:alternateReferences>
    <we:reference id="wa104380955" version="3.6.4.1" store="WA104380955" storeType="OMEX"/>
  </we:alternateReferences>
  <we:properties>
    <we:property name="AnalysisPlace_ItemPrefix" value="&quot;fs_&quot;"/>
  </we:properties>
  <we:bindings/>
  <we:snapshot xmlns:r="http://schemas.openxmlformats.org/officeDocument/2006/relationships"/>
</we:webextension>
</file>

<file path=xl/webextensions/webextension2.xml><?xml version="1.0" encoding="utf-8"?>
<we:webextension xmlns:we="http://schemas.microsoft.com/office/webextensions/webextension/2010/11" id="{5D540A67-F238-44A1-9FA4-6B58D7CAF93D}">
  <we:reference id="wa200003784" version="1.2.0.2" store="en-US" storeType="OMEX"/>
  <we:alternateReferences>
    <we:reference id="WA200003784" version="1.2.0.2" store="WA20000378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xml"/><Relationship Id="rId4" Type="http://schemas.microsoft.com/office/2017/10/relationships/threadedComment" Target="../threadedComments/threadedComment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 Id="rId4" Type="http://schemas.microsoft.com/office/2017/10/relationships/threadedComment" Target="../threadedComments/threadedComment11.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1.bin"/><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3.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4.bin"/><Relationship Id="rId4" Type="http://schemas.microsoft.com/office/2017/10/relationships/threadedComment" Target="../threadedComments/threadedComment18.xml"/></Relationships>
</file>

<file path=xl/worksheets/_rels/sheet35.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6.xml.rels><?xml version="1.0" encoding="UTF-8" standalone="yes"?>
<Relationships xmlns="http://schemas.openxmlformats.org/package/2006/relationships"><Relationship Id="rId3" Type="http://schemas.microsoft.com/office/2017/10/relationships/threadedComment" Target="../threadedComments/threadedComment20.xml"/><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21.xml"/><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0.xml.rels><?xml version="1.0" encoding="UTF-8" standalone="yes"?>
<Relationships xmlns="http://schemas.openxmlformats.org/package/2006/relationships"><Relationship Id="rId3" Type="http://schemas.microsoft.com/office/2017/10/relationships/threadedComment" Target="../threadedComments/threadedComment22.xml"/><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41.xml.rels><?xml version="1.0" encoding="UTF-8" standalone="yes"?>
<Relationships xmlns="http://schemas.openxmlformats.org/package/2006/relationships"><Relationship Id="rId3" Type="http://schemas.microsoft.com/office/2017/10/relationships/threadedComment" Target="../threadedComments/threadedComment23.xml"/><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45.xml.rels><?xml version="1.0" encoding="UTF-8" standalone="yes"?>
<Relationships xmlns="http://schemas.openxmlformats.org/package/2006/relationships"><Relationship Id="rId3" Type="http://schemas.microsoft.com/office/2017/10/relationships/threadedComment" Target="../threadedComments/threadedComment24.xml"/><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46.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5.bin"/><Relationship Id="rId4" Type="http://schemas.microsoft.com/office/2017/10/relationships/threadedComment" Target="../threadedComments/threadedComment25.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26.xml"/><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7.bin"/><Relationship Id="rId4" Type="http://schemas.microsoft.com/office/2017/10/relationships/threadedComment" Target="../threadedComments/threadedComment27.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xml"/><Relationship Id="rId1" Type="http://schemas.openxmlformats.org/officeDocument/2006/relationships/printerSettings" Target="../printerSettings/printerSettings18.bin"/><Relationship Id="rId5" Type="http://schemas.microsoft.com/office/2017/10/relationships/threadedComment" Target="../threadedComments/threadedComment28.xml"/><Relationship Id="rId4" Type="http://schemas.openxmlformats.org/officeDocument/2006/relationships/comments" Target="../comments2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5.xml"/><Relationship Id="rId4" Type="http://schemas.microsoft.com/office/2017/10/relationships/threadedComment" Target="../threadedComments/threadedComment29.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30.xml"/><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69.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customProperty" Target="../customProperty3.bin"/></Relationships>
</file>

<file path=xl/worksheets/_rels/sheet70.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customProperty" Target="../customProperty5.bin"/></Relationships>
</file>

<file path=xl/worksheets/_rels/sheet71.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customProperty" Target="../customProperty7.bin"/></Relationships>
</file>

<file path=xl/worksheets/_rels/sheet72.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customProperty" Target="../customProperty9.bin"/></Relationships>
</file>

<file path=xl/worksheets/_rels/sheet73.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customProperty" Target="../customProperty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381C-DF99-4959-B5C9-21E122749497}">
  <sheetPr>
    <tabColor theme="7" tint="0.79998168889431442"/>
  </sheetPr>
  <dimension ref="A1:E9"/>
  <sheetViews>
    <sheetView workbookViewId="0"/>
  </sheetViews>
  <sheetFormatPr defaultColWidth="9.109375" defaultRowHeight="12" x14ac:dyDescent="0.25"/>
  <cols>
    <col min="1" max="1" width="57.44140625" style="3" customWidth="1"/>
    <col min="2" max="2" width="3.44140625" style="3" customWidth="1"/>
    <col min="3" max="3" width="18" style="3" customWidth="1"/>
    <col min="4" max="4" width="2.5546875" style="3" customWidth="1"/>
    <col min="5" max="5" width="19.33203125" style="3" customWidth="1"/>
    <col min="6" max="16384" width="9.109375" style="3"/>
  </cols>
  <sheetData>
    <row r="1" spans="1:5" x14ac:dyDescent="0.25">
      <c r="C1" s="123" t="s">
        <v>86</v>
      </c>
      <c r="D1" s="123"/>
      <c r="E1" s="123" t="s">
        <v>87</v>
      </c>
    </row>
    <row r="3" spans="1:5" x14ac:dyDescent="0.25">
      <c r="A3" s="124" t="s">
        <v>176</v>
      </c>
      <c r="C3" s="125" t="e">
        <f>#REF!</f>
        <v>#REF!</v>
      </c>
      <c r="D3" s="115"/>
      <c r="E3" s="125" t="e">
        <f>#REF!</f>
        <v>#REF!</v>
      </c>
    </row>
    <row r="4" spans="1:5" x14ac:dyDescent="0.25">
      <c r="A4" s="124" t="s">
        <v>177</v>
      </c>
      <c r="C4" s="125" t="e">
        <f>#REF!</f>
        <v>#REF!</v>
      </c>
      <c r="D4" s="115"/>
      <c r="E4" s="125" t="e">
        <f>#REF!</f>
        <v>#REF!</v>
      </c>
    </row>
    <row r="5" spans="1:5" x14ac:dyDescent="0.25">
      <c r="A5" s="124" t="s">
        <v>178</v>
      </c>
      <c r="C5" s="125" t="e">
        <f>#REF!</f>
        <v>#REF!</v>
      </c>
      <c r="D5" s="115"/>
      <c r="E5" s="125" t="e">
        <f>#REF!</f>
        <v>#REF!</v>
      </c>
    </row>
    <row r="6" spans="1:5" x14ac:dyDescent="0.25">
      <c r="A6" s="124" t="s">
        <v>179</v>
      </c>
      <c r="C6" s="125" t="e">
        <f>#REF!</f>
        <v>#REF!</v>
      </c>
      <c r="D6" s="115"/>
      <c r="E6" s="125" t="e">
        <f>#REF!</f>
        <v>#REF!</v>
      </c>
    </row>
    <row r="7" spans="1:5" x14ac:dyDescent="0.25">
      <c r="A7" s="124" t="s">
        <v>180</v>
      </c>
      <c r="C7" s="125" t="e">
        <f>#REF!</f>
        <v>#REF!</v>
      </c>
      <c r="D7" s="115"/>
      <c r="E7" s="125" t="e">
        <f>#REF!</f>
        <v>#REF!</v>
      </c>
    </row>
    <row r="8" spans="1:5" x14ac:dyDescent="0.25">
      <c r="A8" s="124" t="s">
        <v>181</v>
      </c>
      <c r="C8" s="125" t="e">
        <f>#REF!</f>
        <v>#REF!</v>
      </c>
      <c r="D8" s="115"/>
      <c r="E8" s="125" t="e">
        <f>#REF!</f>
        <v>#REF!</v>
      </c>
    </row>
    <row r="9" spans="1:5" x14ac:dyDescent="0.25">
      <c r="A9" s="124" t="s">
        <v>182</v>
      </c>
      <c r="C9" s="125" t="e">
        <f>#REF!</f>
        <v>#REF!</v>
      </c>
      <c r="D9" s="115"/>
      <c r="E9" s="125" t="e">
        <f>#REF!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67C1-31B9-4A81-AE17-B1F81D04A1CD}">
  <sheetPr>
    <tabColor rgb="FFFF33CC"/>
  </sheetPr>
  <dimension ref="A1:P199"/>
  <sheetViews>
    <sheetView tabSelected="1" zoomScale="115" zoomScaleNormal="115" workbookViewId="0">
      <pane xSplit="2" ySplit="8" topLeftCell="C55" activePane="bottomRight" state="frozen"/>
      <selection pane="topRight" activeCell="C1" sqref="C1"/>
      <selection pane="bottomLeft" activeCell="A9" sqref="A9"/>
      <selection pane="bottomRight" activeCell="C62" sqref="C62"/>
    </sheetView>
  </sheetViews>
  <sheetFormatPr defaultColWidth="9.109375" defaultRowHeight="12" outlineLevelRow="1" x14ac:dyDescent="0.25"/>
  <cols>
    <col min="1" max="1" width="41.44140625" style="3" customWidth="1"/>
    <col min="2" max="2" width="2.109375" style="3" customWidth="1"/>
    <col min="3" max="3" width="13.33203125" style="3" bestFit="1" customWidth="1"/>
    <col min="4" max="4" width="2.33203125" style="3" customWidth="1"/>
    <col min="5" max="5" width="11.88671875" style="3" bestFit="1" customWidth="1"/>
    <col min="6" max="6" width="3" style="3" bestFit="1" customWidth="1"/>
    <col min="7" max="7" width="12.33203125" style="3" customWidth="1"/>
    <col min="8" max="8" width="3" style="3" bestFit="1" customWidth="1"/>
    <col min="9" max="9" width="13" style="3" bestFit="1" customWidth="1"/>
    <col min="10" max="10" width="3" style="3" bestFit="1" customWidth="1"/>
    <col min="11" max="11" width="13" style="3" bestFit="1" customWidth="1"/>
    <col min="12" max="12" width="8.33203125" style="3" bestFit="1" customWidth="1"/>
    <col min="13" max="14" width="9.21875" style="3" bestFit="1" customWidth="1"/>
    <col min="15" max="15" width="8.77734375" style="16" customWidth="1"/>
    <col min="16" max="16" width="6.88671875" style="3" customWidth="1"/>
    <col min="17" max="17" width="2.88671875" style="3" bestFit="1" customWidth="1"/>
    <col min="18" max="18" width="5.109375" style="3" customWidth="1"/>
    <col min="19" max="16384" width="9.109375" style="3"/>
  </cols>
  <sheetData>
    <row r="1" spans="1:16" ht="18" x14ac:dyDescent="0.25">
      <c r="A1" s="546" t="str">
        <f>company_name</f>
        <v>Consolidated Hallor Group Inc.</v>
      </c>
    </row>
    <row r="2" spans="1:16" ht="18" x14ac:dyDescent="0.35">
      <c r="A2" s="650" t="s">
        <v>2262</v>
      </c>
      <c r="I2" s="1000"/>
      <c r="J2" s="6"/>
    </row>
    <row r="3" spans="1:16" x14ac:dyDescent="0.25">
      <c r="I3" s="808"/>
      <c r="J3" s="6"/>
    </row>
    <row r="4" spans="1:16" x14ac:dyDescent="0.25">
      <c r="I4" s="1000"/>
      <c r="J4" s="6"/>
      <c r="K4" s="1001"/>
      <c r="L4" s="1001"/>
    </row>
    <row r="5" spans="1:16" x14ac:dyDescent="0.25">
      <c r="A5" s="554" t="s">
        <v>1959</v>
      </c>
      <c r="C5" s="806">
        <f>C20-C37</f>
        <v>2036560</v>
      </c>
      <c r="D5" s="272"/>
      <c r="E5" s="807">
        <f>E20-E37</f>
        <v>1645025</v>
      </c>
      <c r="F5" s="272"/>
      <c r="G5" s="807">
        <f>G20-G37</f>
        <v>238317</v>
      </c>
      <c r="H5" s="272"/>
      <c r="I5" s="807">
        <f>I20-I37</f>
        <v>6425422</v>
      </c>
      <c r="J5" s="272"/>
      <c r="K5" s="807">
        <f>K20-K37</f>
        <v>18191186</v>
      </c>
      <c r="L5" s="1001"/>
    </row>
    <row r="6" spans="1:16" x14ac:dyDescent="0.25">
      <c r="D6" s="272"/>
      <c r="F6" s="272"/>
      <c r="H6" s="272"/>
      <c r="J6" s="272"/>
      <c r="L6" s="1001"/>
    </row>
    <row r="7" spans="1:16" x14ac:dyDescent="0.25">
      <c r="A7" s="805"/>
      <c r="C7" s="797" t="s">
        <v>646</v>
      </c>
      <c r="D7" s="1551"/>
      <c r="E7" s="797" t="s">
        <v>646</v>
      </c>
      <c r="F7" s="1551"/>
      <c r="G7" s="797" t="s">
        <v>646</v>
      </c>
      <c r="H7" s="1551"/>
      <c r="I7" s="797" t="s">
        <v>646</v>
      </c>
      <c r="J7" s="1551"/>
      <c r="K7" s="797" t="s">
        <v>638</v>
      </c>
      <c r="L7" s="130"/>
      <c r="M7" s="272"/>
      <c r="N7" s="272"/>
      <c r="O7" s="267"/>
      <c r="P7" s="272"/>
    </row>
    <row r="8" spans="1:16" ht="12.6" thickBot="1" x14ac:dyDescent="0.3">
      <c r="A8" s="651"/>
      <c r="B8" s="917"/>
      <c r="C8" s="652">
        <v>46203</v>
      </c>
      <c r="D8" s="1552"/>
      <c r="E8" s="652">
        <f>EOMONTH(C8,12)</f>
        <v>46568</v>
      </c>
      <c r="F8" s="1552"/>
      <c r="G8" s="652">
        <f>EOMONTH(E8,12)</f>
        <v>46934</v>
      </c>
      <c r="H8" s="1552"/>
      <c r="I8" s="652">
        <f>EOMONTH(G8,12)</f>
        <v>47299</v>
      </c>
      <c r="J8" s="1552"/>
      <c r="K8" s="652">
        <f>EOMONTH(I8,12)</f>
        <v>47664</v>
      </c>
      <c r="O8" s="268"/>
      <c r="P8" s="130"/>
    </row>
    <row r="9" spans="1:16" ht="14.4" x14ac:dyDescent="0.3">
      <c r="A9" s="674" t="str">
        <f>BS_descr</f>
        <v>Statement of Financial Position</v>
      </c>
      <c r="B9" s="3" t="s">
        <v>643</v>
      </c>
      <c r="D9" s="272"/>
      <c r="E9" s="472"/>
      <c r="F9" s="272"/>
      <c r="G9" s="472"/>
      <c r="H9" s="272"/>
      <c r="I9" s="472"/>
      <c r="J9" s="272"/>
      <c r="K9" s="472"/>
    </row>
    <row r="10" spans="1:16" x14ac:dyDescent="0.25">
      <c r="A10" s="653"/>
      <c r="B10" s="654"/>
      <c r="C10" s="655">
        <f>C8</f>
        <v>46203</v>
      </c>
      <c r="D10" s="656"/>
      <c r="E10" s="655">
        <f>E8</f>
        <v>46568</v>
      </c>
      <c r="F10" s="656"/>
      <c r="G10" s="655">
        <f>G8</f>
        <v>46934</v>
      </c>
      <c r="H10" s="656"/>
      <c r="I10" s="655">
        <f>I8</f>
        <v>47299</v>
      </c>
      <c r="J10" s="656"/>
      <c r="K10" s="655">
        <f>K8</f>
        <v>47664</v>
      </c>
    </row>
    <row r="11" spans="1:16" ht="13.2" x14ac:dyDescent="0.25">
      <c r="A11" s="568" t="s">
        <v>8</v>
      </c>
      <c r="B11" s="9"/>
      <c r="C11" s="9"/>
      <c r="D11" s="9"/>
      <c r="E11" s="9"/>
      <c r="F11" s="9"/>
      <c r="G11" s="9"/>
      <c r="H11" s="9"/>
      <c r="I11" s="9"/>
      <c r="J11" s="9"/>
      <c r="K11" s="9"/>
      <c r="O11" s="73"/>
    </row>
    <row r="12" spans="1:16" x14ac:dyDescent="0.25">
      <c r="A12" s="7" t="s">
        <v>89</v>
      </c>
      <c r="B12" s="9"/>
      <c r="C12" s="9"/>
      <c r="D12" s="9"/>
      <c r="E12" s="9"/>
      <c r="F12" s="9"/>
      <c r="G12" s="9"/>
      <c r="H12" s="9"/>
      <c r="I12" s="9"/>
      <c r="J12" s="9"/>
      <c r="K12" s="9"/>
      <c r="O12" s="73"/>
    </row>
    <row r="13" spans="1:16" x14ac:dyDescent="0.25">
      <c r="A13" s="16" t="s">
        <v>451</v>
      </c>
      <c r="B13" s="197" t="s">
        <v>90</v>
      </c>
      <c r="C13" s="565">
        <f>SUMIF(BS.PRO!$AK:$AK,$A13,BS.PRO!L:L)</f>
        <v>1942431</v>
      </c>
      <c r="D13" s="197" t="s">
        <v>90</v>
      </c>
      <c r="E13" s="565">
        <f>SUMIF(BS.PRO!$AK:$AK,$A13,BS.PRO!R:R)</f>
        <v>1813362</v>
      </c>
      <c r="F13" s="197" t="s">
        <v>90</v>
      </c>
      <c r="G13" s="565">
        <f>SUMIF(BS.PRO!$AK:$AK,$A13,BS.PRO!X:X)</f>
        <v>1408703</v>
      </c>
      <c r="H13" s="197" t="s">
        <v>90</v>
      </c>
      <c r="I13" s="565">
        <f>SUMIF(BS.PRO!$AK:$AK,$A13,BS.PRO!AD:AD)</f>
        <v>9856641</v>
      </c>
      <c r="J13" s="197" t="s">
        <v>90</v>
      </c>
      <c r="K13" s="565">
        <f>SUMIF(BS.PRO!$AK:$AK,$A13,BS.PRO!AJ:AJ)</f>
        <v>25432405</v>
      </c>
      <c r="M13" s="265"/>
      <c r="N13" s="265"/>
      <c r="O13" s="73"/>
      <c r="P13" s="265"/>
    </row>
    <row r="14" spans="1:16" x14ac:dyDescent="0.25">
      <c r="A14" s="16" t="s">
        <v>22</v>
      </c>
      <c r="B14" s="197"/>
      <c r="C14" s="565">
        <f>SUMIF(BS.PRO!$AK:$AK,$A14,BS.PRO!L:L)</f>
        <v>18</v>
      </c>
      <c r="D14" s="197"/>
      <c r="E14" s="565">
        <f>SUMIF(BS.PRO!$AK:$AK,$A14,BS.PRO!R:R)</f>
        <v>18</v>
      </c>
      <c r="F14" s="197"/>
      <c r="G14" s="565">
        <f>SUMIF(BS.PRO!$AK:$AK,$A14,BS.PRO!X:X)</f>
        <v>18</v>
      </c>
      <c r="H14" s="197"/>
      <c r="I14" s="565">
        <f>SUMIF(BS.PRO!$AK:$AK,$A14,BS.PRO!AD:AD)</f>
        <v>18</v>
      </c>
      <c r="J14" s="197"/>
      <c r="K14" s="565">
        <f>SUMIF(BS.PRO!$AK:$AK,$A14,BS.PRO!AJ:AJ)</f>
        <v>18</v>
      </c>
      <c r="M14" s="265"/>
      <c r="N14" s="265"/>
      <c r="O14" s="73"/>
      <c r="P14" s="265"/>
    </row>
    <row r="15" spans="1:16" x14ac:dyDescent="0.25">
      <c r="A15" s="16" t="s">
        <v>3</v>
      </c>
      <c r="B15" s="197"/>
      <c r="C15" s="565">
        <f>SUMIF(BS.PRO!$AK:$AK,$A15,BS.PRO!L:L)</f>
        <v>0</v>
      </c>
      <c r="D15" s="197"/>
      <c r="E15" s="565">
        <f>SUMIF(BS.PRO!$AK:$AK,$A15,BS.PRO!R:R)</f>
        <v>0</v>
      </c>
      <c r="F15" s="197"/>
      <c r="G15" s="565">
        <f>SUMIF(BS.PRO!$AK:$AK,$A15,BS.PRO!X:X)</f>
        <v>0</v>
      </c>
      <c r="H15" s="197"/>
      <c r="I15" s="565">
        <f>SUMIF(BS.PRO!$AK:$AK,$A15,BS.PRO!AD:AD)</f>
        <v>0</v>
      </c>
      <c r="J15" s="197"/>
      <c r="K15" s="565">
        <f>SUMIF(BS.PRO!$AK:$AK,$A15,BS.PRO!AJ:AJ)</f>
        <v>0</v>
      </c>
      <c r="M15" s="265"/>
      <c r="N15" s="265"/>
      <c r="O15" s="73"/>
      <c r="P15" s="265"/>
    </row>
    <row r="16" spans="1:16" x14ac:dyDescent="0.25">
      <c r="A16" s="16" t="s">
        <v>618</v>
      </c>
      <c r="B16" s="197"/>
      <c r="C16" s="565">
        <f>SUMIF(BS.PRO!$AK:$AK,$A16,BS.PRO!L:L)</f>
        <v>0</v>
      </c>
      <c r="D16" s="197"/>
      <c r="E16" s="565">
        <f>SUMIF(BS.PRO!$AK:$AK,$A16,BS.PRO!R:R)</f>
        <v>0</v>
      </c>
      <c r="F16" s="197"/>
      <c r="G16" s="565">
        <f>SUMIF(BS.PRO!$AK:$AK,$A16,BS.PRO!X:X)</f>
        <v>0</v>
      </c>
      <c r="H16" s="197"/>
      <c r="I16" s="565">
        <f>SUMIF(BS.PRO!$AK:$AK,$A16,BS.PRO!AD:AD)</f>
        <v>0</v>
      </c>
      <c r="J16" s="197"/>
      <c r="K16" s="565">
        <f>SUMIF(BS.PRO!$AK:$AK,$A16,BS.PRO!AJ:AJ)</f>
        <v>0</v>
      </c>
      <c r="M16" s="265"/>
      <c r="N16" s="265"/>
      <c r="O16" s="73"/>
      <c r="P16" s="265"/>
    </row>
    <row r="17" spans="1:16" x14ac:dyDescent="0.25">
      <c r="A17" s="16" t="s">
        <v>29</v>
      </c>
      <c r="B17" s="197"/>
      <c r="C17" s="565">
        <f>SUMIF(BS.PRO!$AK:$AK,$A17,BS.PRO!L:L)</f>
        <v>159517</v>
      </c>
      <c r="D17" s="197"/>
      <c r="E17" s="565">
        <f>SUMIF(BS.PRO!$AK:$AK,$A17,BS.PRO!R:R)</f>
        <v>602850</v>
      </c>
      <c r="F17" s="197"/>
      <c r="G17" s="565">
        <f>SUMIF(BS.PRO!$AK:$AK,$A17,BS.PRO!X:X)</f>
        <v>2142850</v>
      </c>
      <c r="H17" s="197"/>
      <c r="I17" s="565">
        <f>SUMIF(BS.PRO!$AK:$AK,$A17,BS.PRO!AD:AD)</f>
        <v>5269517</v>
      </c>
      <c r="J17" s="197"/>
      <c r="K17" s="565">
        <f>SUMIF(BS.PRO!$AK:$AK,$A17,BS.PRO!AJ:AJ)</f>
        <v>10309517</v>
      </c>
      <c r="M17" s="265"/>
      <c r="N17" s="265"/>
      <c r="O17" s="73"/>
      <c r="P17" s="265"/>
    </row>
    <row r="18" spans="1:16" x14ac:dyDescent="0.25">
      <c r="A18" s="16" t="s">
        <v>185</v>
      </c>
      <c r="B18" s="197"/>
      <c r="C18" s="565">
        <f>SUMIF(BS.PRO!$AK:$AK,$A18,BS.PRO!L:L)</f>
        <v>0</v>
      </c>
      <c r="D18" s="197"/>
      <c r="E18" s="565">
        <f>SUMIF(BS.PRO!$AK:$AK,$A18,BS.PRO!R:R)</f>
        <v>0</v>
      </c>
      <c r="F18" s="197"/>
      <c r="G18" s="565">
        <f>SUMIF(BS.PRO!$AK:$AK,$A18,BS.PRO!X:X)</f>
        <v>0</v>
      </c>
      <c r="H18" s="197"/>
      <c r="I18" s="565">
        <f>SUMIF(BS.PRO!$AK:$AK,$A18,BS.PRO!AD:AD)</f>
        <v>0</v>
      </c>
      <c r="J18" s="197"/>
      <c r="K18" s="565">
        <f>SUMIF(BS.PRO!$AK:$AK,$A18,BS.PRO!AJ:AJ)</f>
        <v>0</v>
      </c>
      <c r="M18" s="265"/>
      <c r="N18" s="265"/>
      <c r="O18" s="73"/>
      <c r="P18" s="265"/>
    </row>
    <row r="19" spans="1:16" x14ac:dyDescent="0.25">
      <c r="A19" s="3" t="s">
        <v>502</v>
      </c>
      <c r="C19" s="565">
        <f>SUMIF(BS.PRO!$AK:$AK,$A19,BS.PRO!L:L)</f>
        <v>0</v>
      </c>
      <c r="D19" s="272"/>
      <c r="E19" s="565">
        <f>SUMIF(BS.PRO!$AK:$AK,$A19,BS.PRO!R:R)</f>
        <v>0</v>
      </c>
      <c r="F19" s="272"/>
      <c r="G19" s="565">
        <f>SUMIF(BS.PRO!$AK:$AK,$A19,BS.PRO!X:X)</f>
        <v>0</v>
      </c>
      <c r="H19" s="272"/>
      <c r="I19" s="565">
        <f>SUMIF(BS.PRO!$AK:$AK,$A19,BS.PRO!AD:AD)</f>
        <v>0</v>
      </c>
      <c r="J19" s="272"/>
      <c r="K19" s="565">
        <f>SUMIF(BS.PRO!$AK:$AK,$A19,BS.PRO!AJ:AJ)</f>
        <v>0</v>
      </c>
      <c r="M19" s="265"/>
      <c r="N19" s="265"/>
      <c r="O19" s="73"/>
      <c r="P19" s="265"/>
    </row>
    <row r="20" spans="1:16" ht="13.2" x14ac:dyDescent="0.25">
      <c r="A20" s="657" t="s">
        <v>92</v>
      </c>
      <c r="B20" s="658" t="s">
        <v>90</v>
      </c>
      <c r="C20" s="659">
        <f>SUM(C13:C19)</f>
        <v>2101966</v>
      </c>
      <c r="D20" s="658" t="s">
        <v>90</v>
      </c>
      <c r="E20" s="659">
        <f>SUM(E13:E19)</f>
        <v>2416230</v>
      </c>
      <c r="F20" s="658" t="s">
        <v>90</v>
      </c>
      <c r="G20" s="659">
        <f>SUM(G13:G19)</f>
        <v>3551571</v>
      </c>
      <c r="H20" s="658" t="s">
        <v>90</v>
      </c>
      <c r="I20" s="659">
        <f>SUM(I13:I19)</f>
        <v>15126176</v>
      </c>
      <c r="J20" s="658" t="s">
        <v>90</v>
      </c>
      <c r="K20" s="659">
        <f>SUM(K13:K19)</f>
        <v>35741940</v>
      </c>
      <c r="O20" s="73"/>
    </row>
    <row r="21" spans="1:16" x14ac:dyDescent="0.25">
      <c r="A21" s="7" t="s">
        <v>93</v>
      </c>
      <c r="B21" s="9"/>
      <c r="C21" s="566"/>
      <c r="D21" s="9"/>
      <c r="E21" s="566"/>
      <c r="F21" s="9"/>
      <c r="G21" s="566"/>
      <c r="H21" s="9"/>
      <c r="I21" s="566"/>
      <c r="J21" s="9"/>
      <c r="K21" s="566"/>
      <c r="O21" s="73"/>
    </row>
    <row r="22" spans="1:16" x14ac:dyDescent="0.25">
      <c r="A22" s="16"/>
      <c r="B22" s="9"/>
      <c r="C22" s="262"/>
      <c r="D22" s="9"/>
      <c r="E22" s="262"/>
      <c r="F22" s="9"/>
      <c r="G22" s="262"/>
      <c r="H22" s="9"/>
      <c r="I22" s="262"/>
      <c r="J22" s="9"/>
      <c r="K22" s="262"/>
      <c r="M22" s="265"/>
      <c r="N22" s="265"/>
      <c r="O22" s="73"/>
      <c r="P22" s="265"/>
    </row>
    <row r="23" spans="1:16" x14ac:dyDescent="0.25">
      <c r="A23" s="16" t="s">
        <v>616</v>
      </c>
      <c r="B23" s="9"/>
      <c r="C23" s="565">
        <f>SUMIF(BS.PRO!$AK:$AK,$A23,BS.PRO!L:L)</f>
        <v>3442</v>
      </c>
      <c r="D23" s="9"/>
      <c r="E23" s="565">
        <f>SUMIF(BS.PRO!$AK:$AK,$A23,BS.PRO!R:R)</f>
        <v>3442</v>
      </c>
      <c r="F23" s="197"/>
      <c r="G23" s="565">
        <f>SUMIF(BS.PRO!$AK:$AK,$A23,BS.PRO!X:X)</f>
        <v>3442</v>
      </c>
      <c r="H23" s="197"/>
      <c r="I23" s="565">
        <f>SUMIF(BS.PRO!$AK:$AK,$A23,BS.PRO!AD:AD)</f>
        <v>3442</v>
      </c>
      <c r="J23" s="197"/>
      <c r="K23" s="565">
        <f>SUMIF(BS.PRO!$AK:$AK,$A23,BS.PRO!AJ:AJ)</f>
        <v>3442</v>
      </c>
      <c r="M23" s="265"/>
      <c r="N23" s="265"/>
      <c r="O23" s="73"/>
      <c r="P23" s="265"/>
    </row>
    <row r="24" spans="1:16" x14ac:dyDescent="0.25">
      <c r="A24" s="16" t="s">
        <v>732</v>
      </c>
      <c r="B24" s="9"/>
      <c r="C24" s="565">
        <f>SUMIF(BS.PRO!$AK:$AK,$A24,BS.PRO!L:L)</f>
        <v>3015078</v>
      </c>
      <c r="D24" s="9"/>
      <c r="E24" s="565">
        <f>SUMIF(BS.PRO!$AK:$AK,$A24,BS.PRO!R:R)</f>
        <v>1758714</v>
      </c>
      <c r="F24" s="197"/>
      <c r="G24" s="565">
        <f>SUMIF(BS.PRO!$AK:$AK,$A24,BS.PRO!X:X)</f>
        <v>502350</v>
      </c>
      <c r="H24" s="197"/>
      <c r="I24" s="565">
        <f>SUMIF(BS.PRO!$AK:$AK,$A24,BS.PRO!AD:AD)</f>
        <v>314091</v>
      </c>
      <c r="J24" s="197"/>
      <c r="K24" s="565">
        <f>SUMIF(BS.PRO!$AK:$AK,$A24,BS.PRO!AJ:AJ)</f>
        <v>314091</v>
      </c>
      <c r="M24" s="265"/>
      <c r="N24" s="265"/>
      <c r="O24" s="73"/>
      <c r="P24" s="265"/>
    </row>
    <row r="25" spans="1:16" x14ac:dyDescent="0.25">
      <c r="A25" s="16" t="s">
        <v>645</v>
      </c>
      <c r="B25" s="9"/>
      <c r="C25" s="565">
        <f>SUMIF(BS.PRO!$AK:$AK,$A25,BS.PRO!L:L)</f>
        <v>0</v>
      </c>
      <c r="D25" s="9"/>
      <c r="E25" s="565">
        <f>SUMIF(BS.PRO!$AK:$AK,$A25,BS.PRO!R:R)</f>
        <v>0</v>
      </c>
      <c r="F25" s="197"/>
      <c r="G25" s="565">
        <f>SUMIF(BS.PRO!$AK:$AK,$A25,BS.PRO!X:X)</f>
        <v>0</v>
      </c>
      <c r="H25" s="197"/>
      <c r="I25" s="565">
        <f>SUMIF(BS.PRO!$AK:$AK,$A25,BS.PRO!AD:AD)</f>
        <v>0</v>
      </c>
      <c r="J25" s="197"/>
      <c r="K25" s="565">
        <f>SUMIF(BS.PRO!$AK:$AK,$A25,BS.PRO!AJ:AJ)</f>
        <v>0</v>
      </c>
      <c r="M25" s="265"/>
      <c r="N25" s="265"/>
      <c r="O25" s="73"/>
      <c r="P25" s="265"/>
    </row>
    <row r="26" spans="1:16" x14ac:dyDescent="0.25">
      <c r="A26" s="660" t="s">
        <v>95</v>
      </c>
      <c r="B26" s="658" t="s">
        <v>90</v>
      </c>
      <c r="C26" s="659">
        <f>SUM(C23:C25)</f>
        <v>3018520</v>
      </c>
      <c r="D26" s="658" t="s">
        <v>90</v>
      </c>
      <c r="E26" s="659">
        <f>SUM(E23:E25)</f>
        <v>1762156</v>
      </c>
      <c r="F26" s="658" t="s">
        <v>90</v>
      </c>
      <c r="G26" s="659">
        <f>SUM(G23:G25)</f>
        <v>505792</v>
      </c>
      <c r="H26" s="658" t="s">
        <v>90</v>
      </c>
      <c r="I26" s="659">
        <f>SUM(I23:I25)</f>
        <v>317533</v>
      </c>
      <c r="J26" s="658" t="s">
        <v>90</v>
      </c>
      <c r="K26" s="659">
        <f>SUM(K23:K25)</f>
        <v>317533</v>
      </c>
      <c r="O26" s="73"/>
    </row>
    <row r="27" spans="1:16" ht="13.2" x14ac:dyDescent="0.25">
      <c r="A27" s="657" t="s">
        <v>314</v>
      </c>
      <c r="B27" s="658" t="s">
        <v>90</v>
      </c>
      <c r="C27" s="659">
        <f>SUM(C20,C26)</f>
        <v>5120486</v>
      </c>
      <c r="D27" s="658" t="s">
        <v>90</v>
      </c>
      <c r="E27" s="659">
        <f>SUM(E20,E26)</f>
        <v>4178386</v>
      </c>
      <c r="F27" s="658" t="s">
        <v>90</v>
      </c>
      <c r="G27" s="659">
        <f>SUM(G20,G26)</f>
        <v>4057363</v>
      </c>
      <c r="H27" s="658" t="s">
        <v>90</v>
      </c>
      <c r="I27" s="659">
        <f>SUM(I20,I26)</f>
        <v>15443709</v>
      </c>
      <c r="J27" s="658" t="s">
        <v>90</v>
      </c>
      <c r="K27" s="659">
        <f>SUM(K20,K26)</f>
        <v>36059473</v>
      </c>
      <c r="O27" s="73"/>
    </row>
    <row r="28" spans="1:16" ht="13.2" x14ac:dyDescent="0.25">
      <c r="A28" s="568" t="s">
        <v>96</v>
      </c>
      <c r="B28" s="8"/>
      <c r="C28" s="567"/>
      <c r="D28" s="8"/>
      <c r="E28" s="567"/>
      <c r="F28" s="8"/>
      <c r="G28" s="567"/>
      <c r="H28" s="8"/>
      <c r="I28" s="567"/>
      <c r="J28" s="8"/>
      <c r="K28" s="567"/>
      <c r="O28" s="73"/>
    </row>
    <row r="29" spans="1:16" x14ac:dyDescent="0.25">
      <c r="A29" s="7" t="s">
        <v>97</v>
      </c>
      <c r="B29" s="9"/>
      <c r="C29" s="566"/>
      <c r="D29" s="9"/>
      <c r="E29" s="566"/>
      <c r="F29" s="9"/>
      <c r="G29" s="566"/>
      <c r="H29" s="9"/>
      <c r="I29" s="566"/>
      <c r="J29" s="9"/>
      <c r="K29" s="566"/>
      <c r="O29" s="73"/>
    </row>
    <row r="30" spans="1:16" x14ac:dyDescent="0.25">
      <c r="A30" s="16" t="s">
        <v>308</v>
      </c>
      <c r="B30" s="197"/>
      <c r="C30" s="565">
        <f>-SUMIF(BS.PRO!$AK:$AK,$A30,BS.PRO!L:L)</f>
        <v>0</v>
      </c>
      <c r="D30" s="197"/>
      <c r="E30" s="565">
        <f>-SUMIF(BS.PRO!$AK:$AK,$A30,BS.PRO!R:R)</f>
        <v>0</v>
      </c>
      <c r="F30" s="197"/>
      <c r="G30" s="565">
        <f>-SUMIF(BS.PRO!$AK:$AK,$A30,BS.PRO!X:X)</f>
        <v>0</v>
      </c>
      <c r="H30" s="197"/>
      <c r="I30" s="565">
        <f>-SUMIF(BS.PRO!$AK:$AK,$A30,BS.PRO!AD:AD)</f>
        <v>0</v>
      </c>
      <c r="J30" s="197"/>
      <c r="K30" s="565">
        <f>-SUMIF(BS.PRO!$AK:$AK,$A30,BS.PRO!AJ:AJ)</f>
        <v>0</v>
      </c>
      <c r="M30" s="265"/>
      <c r="N30" s="265"/>
      <c r="O30" s="73"/>
      <c r="P30" s="265"/>
    </row>
    <row r="31" spans="1:16" x14ac:dyDescent="0.25">
      <c r="A31" s="16" t="s">
        <v>2288</v>
      </c>
      <c r="B31" s="197"/>
      <c r="C31" s="565">
        <f>-SUMIF(BS.PRO!$AK:$AK,$A31,BS.PRO!L:L)</f>
        <v>64506</v>
      </c>
      <c r="D31" s="197"/>
      <c r="E31" s="565">
        <f>-SUMIF(BS.PRO!$AK:$AK,$A31,BS.PRO!R:R)</f>
        <v>176555</v>
      </c>
      <c r="F31" s="197"/>
      <c r="G31" s="565">
        <f>-SUMIF(BS.PRO!$AK:$AK,$A31,BS.PRO!X:X)</f>
        <v>656104</v>
      </c>
      <c r="H31" s="197"/>
      <c r="I31" s="565">
        <f>-SUMIF(BS.PRO!$AK:$AK,$A31,BS.PRO!AD:AD)</f>
        <v>1856104</v>
      </c>
      <c r="J31" s="197"/>
      <c r="K31" s="565">
        <f>-SUMIF(BS.PRO!$AK:$AK,$A31,BS.PRO!AJ:AJ)</f>
        <v>3956104</v>
      </c>
      <c r="M31" s="265"/>
      <c r="N31" s="265"/>
      <c r="O31" s="73"/>
      <c r="P31" s="265"/>
    </row>
    <row r="32" spans="1:16" x14ac:dyDescent="0.25">
      <c r="A32" s="16" t="s">
        <v>677</v>
      </c>
      <c r="B32" s="197"/>
      <c r="C32" s="565">
        <f>-SUMIF(BS.PRO!$AK:$AK,$A32,BS.PRO!L:L)</f>
        <v>0</v>
      </c>
      <c r="D32" s="197"/>
      <c r="E32" s="565">
        <f>-SUMIF(BS.PRO!$AK:$AK,$A32,BS.PRO!R:R)</f>
        <v>0</v>
      </c>
      <c r="F32" s="197"/>
      <c r="G32" s="565">
        <f>-SUMIF(BS.PRO!$AK:$AK,$A32,BS.PRO!X:X)</f>
        <v>0</v>
      </c>
      <c r="H32" s="197"/>
      <c r="I32" s="565">
        <f>-SUMIF(BS.PRO!$AK:$AK,$A32,BS.PRO!AD:AD)</f>
        <v>0</v>
      </c>
      <c r="J32" s="197"/>
      <c r="K32" s="565">
        <f>-SUMIF(BS.PRO!$AK:$AK,$A32,BS.PRO!AJ:AJ)</f>
        <v>0</v>
      </c>
      <c r="M32" s="265"/>
      <c r="N32" s="265"/>
      <c r="O32" s="73"/>
      <c r="P32" s="265"/>
    </row>
    <row r="33" spans="1:16" x14ac:dyDescent="0.25">
      <c r="A33" s="16" t="s">
        <v>99</v>
      </c>
      <c r="B33" s="197"/>
      <c r="C33" s="565">
        <f>-SUMIF(BS.PRO!$AK:$AK,$A33,BS.PRO!L:L)</f>
        <v>0</v>
      </c>
      <c r="D33" s="197"/>
      <c r="E33" s="565">
        <f>-SUMIF(BS.PRO!$AK:$AK,$A33,BS.PRO!R:R)</f>
        <v>593750</v>
      </c>
      <c r="F33" s="197"/>
      <c r="G33" s="565">
        <f>-SUMIF(BS.PRO!$AK:$AK,$A33,BS.PRO!X:X)</f>
        <v>2656250</v>
      </c>
      <c r="H33" s="197"/>
      <c r="I33" s="565">
        <f>-SUMIF(BS.PRO!$AK:$AK,$A33,BS.PRO!AD:AD)</f>
        <v>6843750</v>
      </c>
      <c r="J33" s="197"/>
      <c r="K33" s="565">
        <f>-SUMIF(BS.PRO!$AK:$AK,$A33,BS.PRO!AJ:AJ)</f>
        <v>13593750</v>
      </c>
      <c r="M33" s="265"/>
      <c r="N33" s="265"/>
      <c r="O33" s="73"/>
      <c r="P33" s="265"/>
    </row>
    <row r="34" spans="1:16" x14ac:dyDescent="0.25">
      <c r="A34" s="16" t="s">
        <v>100</v>
      </c>
      <c r="B34" s="197"/>
      <c r="C34" s="565">
        <f>-SUMIF(BS.PRO!$AK:$AK,$A34,BS.PRO!L:L)</f>
        <v>900</v>
      </c>
      <c r="D34" s="197"/>
      <c r="E34" s="565">
        <f>-SUMIF(BS.PRO!$AK:$AK,$A34,BS.PRO!R:R)</f>
        <v>900</v>
      </c>
      <c r="F34" s="197"/>
      <c r="G34" s="565">
        <f>-SUMIF(BS.PRO!$AK:$AK,$A34,BS.PRO!X:X)</f>
        <v>900</v>
      </c>
      <c r="H34" s="197"/>
      <c r="I34" s="565">
        <f>-SUMIF(BS.PRO!$AK:$AK,$A34,BS.PRO!AD:AD)</f>
        <v>900</v>
      </c>
      <c r="J34" s="197"/>
      <c r="K34" s="565">
        <f>-SUMIF(BS.PRO!$AK:$AK,$A34,BS.PRO!AJ:AJ)</f>
        <v>900</v>
      </c>
      <c r="M34" s="265"/>
      <c r="N34" s="265"/>
      <c r="O34" s="73"/>
      <c r="P34" s="265"/>
    </row>
    <row r="35" spans="1:16" x14ac:dyDescent="0.25">
      <c r="A35" s="16" t="s">
        <v>192</v>
      </c>
      <c r="B35" s="197"/>
      <c r="C35" s="565">
        <f>-SUMIF(BS.PRO!$AK:$AK,$A35,BS.PRO!L:L)</f>
        <v>0</v>
      </c>
      <c r="D35" s="197"/>
      <c r="E35" s="565">
        <f>-SUMIF(BS.PRO!$AK:$AK,$A35,BS.PRO!R:R)</f>
        <v>0</v>
      </c>
      <c r="F35" s="197"/>
      <c r="G35" s="565">
        <f>-SUMIF(BS.PRO!$AK:$AK,$A35,BS.PRO!X:X)</f>
        <v>0</v>
      </c>
      <c r="H35" s="197"/>
      <c r="I35" s="565">
        <f>-SUMIF(BS.PRO!$AK:$AK,$A35,BS.PRO!AD:AD)</f>
        <v>0</v>
      </c>
      <c r="J35" s="197"/>
      <c r="K35" s="565">
        <f>-SUMIF(BS.PRO!$AK:$AK,$A35,BS.PRO!AJ:AJ)</f>
        <v>0</v>
      </c>
      <c r="M35" s="265"/>
      <c r="N35" s="265"/>
      <c r="O35" s="73"/>
      <c r="P35" s="265"/>
    </row>
    <row r="36" spans="1:16" x14ac:dyDescent="0.25">
      <c r="A36" s="569" t="s">
        <v>239</v>
      </c>
      <c r="B36" s="571"/>
      <c r="C36" s="724">
        <f>-SUMIF(BS.PRO!$AK:$AK,$A36,BS.PRO!L:L)</f>
        <v>0</v>
      </c>
      <c r="D36" s="571"/>
      <c r="E36" s="724">
        <f>-SUMIF(BS.PRO!$AK:$AK,$A36,BS.PRO!R:R)</f>
        <v>0</v>
      </c>
      <c r="F36" s="571"/>
      <c r="G36" s="724">
        <f>-SUMIF(BS.PRO!$AK:$AK,$A36,BS.PRO!X:X)</f>
        <v>0</v>
      </c>
      <c r="H36" s="571"/>
      <c r="I36" s="724">
        <f>-SUMIF(BS.PRO!$AK:$AK,$A36,BS.PRO!AD:AD)</f>
        <v>0</v>
      </c>
      <c r="J36" s="571"/>
      <c r="K36" s="724">
        <f>-SUMIF(BS.PRO!$AK:$AK,$A36,BS.PRO!AJ:AJ)</f>
        <v>0</v>
      </c>
      <c r="M36" s="265"/>
      <c r="N36" s="265"/>
      <c r="O36" s="73"/>
      <c r="P36" s="265"/>
    </row>
    <row r="37" spans="1:16" ht="13.2" x14ac:dyDescent="0.25">
      <c r="A37" s="661" t="s">
        <v>101</v>
      </c>
      <c r="B37" s="662" t="s">
        <v>90</v>
      </c>
      <c r="C37" s="663">
        <f>SUM(C30:C36)</f>
        <v>65406</v>
      </c>
      <c r="D37" s="662" t="s">
        <v>90</v>
      </c>
      <c r="E37" s="663">
        <f>SUM(E30:E36)</f>
        <v>771205</v>
      </c>
      <c r="F37" s="662" t="s">
        <v>90</v>
      </c>
      <c r="G37" s="663">
        <f>SUM(G30:G36)</f>
        <v>3313254</v>
      </c>
      <c r="H37" s="662" t="s">
        <v>90</v>
      </c>
      <c r="I37" s="663">
        <f>SUM(I30:I36)</f>
        <v>8700754</v>
      </c>
      <c r="J37" s="662" t="s">
        <v>90</v>
      </c>
      <c r="K37" s="663">
        <f>SUM(K30:K36)</f>
        <v>17550754</v>
      </c>
      <c r="O37" s="73"/>
    </row>
    <row r="38" spans="1:16" x14ac:dyDescent="0.25">
      <c r="A38" s="7" t="s">
        <v>102</v>
      </c>
      <c r="B38" s="9"/>
      <c r="C38" s="566"/>
      <c r="D38" s="9"/>
      <c r="E38" s="566"/>
      <c r="F38" s="9"/>
      <c r="G38" s="566"/>
      <c r="H38" s="9"/>
      <c r="I38" s="566"/>
      <c r="J38" s="9"/>
      <c r="K38" s="566"/>
      <c r="O38" s="73"/>
    </row>
    <row r="39" spans="1:16" x14ac:dyDescent="0.25">
      <c r="A39" s="16" t="s">
        <v>30</v>
      </c>
      <c r="B39" s="197"/>
      <c r="C39" s="565">
        <f>-SUMIF(BS.PRO!$AK:$AK,$A39,BS.PRO!L:L)</f>
        <v>3000000</v>
      </c>
      <c r="D39" s="197"/>
      <c r="E39" s="724">
        <f>-SUMIF(BS.PRO!$AK:$AK,$A39,BS.PRO!R:R)</f>
        <v>3000000</v>
      </c>
      <c r="F39" s="197"/>
      <c r="G39" s="724">
        <f>-SUMIF(BS.PRO!$AK:$AK,$A39,BS.PRO!X:X)</f>
        <v>0</v>
      </c>
      <c r="H39" s="197"/>
      <c r="I39" s="724">
        <f>-SUMIF(BS.PRO!$AK:$AK,$A39,BS.PRO!AD:AD)</f>
        <v>0</v>
      </c>
      <c r="J39" s="197"/>
      <c r="K39" s="724">
        <f>-SUMIF(BS.PRO!$AK:$AK,$A39,BS.PRO!AJ:AJ)</f>
        <v>0</v>
      </c>
      <c r="O39" s="73"/>
    </row>
    <row r="40" spans="1:16" ht="13.2" x14ac:dyDescent="0.25">
      <c r="A40" s="657" t="s">
        <v>313</v>
      </c>
      <c r="B40" s="658" t="s">
        <v>90</v>
      </c>
      <c r="C40" s="659">
        <f>SUM(C37:C39)</f>
        <v>3065406</v>
      </c>
      <c r="D40" s="658" t="s">
        <v>90</v>
      </c>
      <c r="E40" s="659">
        <f>SUM(E37:E39)</f>
        <v>3771205</v>
      </c>
      <c r="F40" s="658" t="s">
        <v>90</v>
      </c>
      <c r="G40" s="659">
        <f>SUM(G37:G39)</f>
        <v>3313254</v>
      </c>
      <c r="H40" s="658" t="s">
        <v>90</v>
      </c>
      <c r="I40" s="659">
        <f>SUM(I37:I39)</f>
        <v>8700754</v>
      </c>
      <c r="J40" s="658" t="s">
        <v>90</v>
      </c>
      <c r="K40" s="659">
        <f>SUM(K37:K39)</f>
        <v>17550754</v>
      </c>
      <c r="O40" s="73"/>
    </row>
    <row r="41" spans="1:16" ht="13.2" x14ac:dyDescent="0.25">
      <c r="A41" s="568" t="s">
        <v>103</v>
      </c>
      <c r="B41" s="9"/>
      <c r="C41" s="566"/>
      <c r="D41" s="9"/>
      <c r="E41" s="566"/>
      <c r="F41" s="9"/>
      <c r="G41" s="566"/>
      <c r="H41" s="9"/>
      <c r="I41" s="566"/>
      <c r="J41" s="9"/>
      <c r="K41" s="566"/>
      <c r="O41" s="73"/>
    </row>
    <row r="42" spans="1:16" x14ac:dyDescent="0.25">
      <c r="A42" s="4" t="s">
        <v>5</v>
      </c>
      <c r="B42" s="197" t="s">
        <v>90</v>
      </c>
      <c r="C42" s="565">
        <f>-SUMIF(BS.PRO!$AK:$AK,$A42,BS.PRO!L:L)</f>
        <v>8555220</v>
      </c>
      <c r="D42" s="197" t="s">
        <v>90</v>
      </c>
      <c r="E42" s="565">
        <f>-SUMIF(BS.PRO!$AK:$AK,$A42,BS.PRO!R:R)</f>
        <v>8555220</v>
      </c>
      <c r="F42" s="197" t="s">
        <v>90</v>
      </c>
      <c r="G42" s="565">
        <f>-SUMIF(BS.PRO!$AK:$AK,$A42,BS.PRO!X:X)</f>
        <v>8555220</v>
      </c>
      <c r="H42" s="197" t="s">
        <v>90</v>
      </c>
      <c r="I42" s="565">
        <f>-SUMIF(BS.PRO!$AK:$AK,$A42,BS.PRO!AD:AD)</f>
        <v>8555220</v>
      </c>
      <c r="J42" s="197" t="s">
        <v>90</v>
      </c>
      <c r="K42" s="565">
        <f>-SUMIF(BS.PRO!$AK:$AK,$A42,BS.PRO!AJ:AJ)</f>
        <v>8555220</v>
      </c>
      <c r="M42" s="265"/>
      <c r="N42" s="265"/>
      <c r="O42" s="73"/>
      <c r="P42" s="265"/>
    </row>
    <row r="43" spans="1:16" x14ac:dyDescent="0.25">
      <c r="A43" s="4" t="s">
        <v>6</v>
      </c>
      <c r="B43" s="197"/>
      <c r="C43" s="565">
        <f>-SUMIF(BS.PRO!$AK:$AK,$A43,BS.PRO!L:L)</f>
        <v>308750</v>
      </c>
      <c r="D43" s="197"/>
      <c r="E43" s="565">
        <f>-SUMIF(BS.PRO!$AK:$AK,$A43,BS.PRO!R:R)</f>
        <v>308750</v>
      </c>
      <c r="F43" s="197"/>
      <c r="G43" s="565">
        <f>-SUMIF(BS.PRO!$AK:$AK,$A43,BS.PRO!X:X)</f>
        <v>308750</v>
      </c>
      <c r="H43" s="197"/>
      <c r="I43" s="565">
        <f>-SUMIF(BS.PRO!$AK:$AK,$A43,BS.PRO!AD:AD)</f>
        <v>308750</v>
      </c>
      <c r="J43" s="197"/>
      <c r="K43" s="565">
        <f>-SUMIF(BS.PRO!$AK:$AK,$A43,BS.PRO!AJ:AJ)</f>
        <v>308750</v>
      </c>
      <c r="M43" s="265"/>
      <c r="N43" s="265"/>
      <c r="O43" s="73"/>
      <c r="P43" s="265"/>
    </row>
    <row r="44" spans="1:16" x14ac:dyDescent="0.25">
      <c r="A44" s="4" t="s">
        <v>403</v>
      </c>
      <c r="B44" s="9"/>
      <c r="C44" s="565">
        <f>-SUMIF(BS.PRO!$AM:$AM,$A44,BS.PRO!L:L)</f>
        <v>-6808890</v>
      </c>
      <c r="D44" s="9"/>
      <c r="E44" s="565">
        <f>-SUMIF(BS.PRO!$AM:$AM,$A44,BS.PRO!R:R)</f>
        <v>-8456789</v>
      </c>
      <c r="F44" s="9"/>
      <c r="G44" s="565">
        <f>-SUMIF(BS.PRO!$AM:$AM,$A44,BS.PRO!X:X)</f>
        <v>-8119861</v>
      </c>
      <c r="H44" s="9"/>
      <c r="I44" s="565">
        <f>-SUMIF(BS.PRO!$AM:$AM,$A44,BS.PRO!AD:AD)</f>
        <v>-2121015</v>
      </c>
      <c r="J44" s="9"/>
      <c r="K44" s="565">
        <f>-SUMIF(BS.PRO!$AM:$AM,$A44,BS.PRO!AJ:AJ)</f>
        <v>9644749</v>
      </c>
      <c r="M44" s="265"/>
      <c r="N44" s="265"/>
      <c r="O44" s="73"/>
      <c r="P44" s="265"/>
    </row>
    <row r="45" spans="1:16" ht="13.2" x14ac:dyDescent="0.25">
      <c r="A45" s="657" t="s">
        <v>311</v>
      </c>
      <c r="B45" s="658" t="s">
        <v>90</v>
      </c>
      <c r="C45" s="659">
        <f>SUM(C42:C44)</f>
        <v>2055080</v>
      </c>
      <c r="D45" s="658" t="s">
        <v>90</v>
      </c>
      <c r="E45" s="659">
        <f>SUM(E42:E44)</f>
        <v>407181</v>
      </c>
      <c r="F45" s="658" t="s">
        <v>90</v>
      </c>
      <c r="G45" s="659">
        <f>SUM(G42:G44)</f>
        <v>744109</v>
      </c>
      <c r="H45" s="658" t="s">
        <v>90</v>
      </c>
      <c r="I45" s="659">
        <f>SUM(I42:I44)</f>
        <v>6742955</v>
      </c>
      <c r="J45" s="658" t="s">
        <v>90</v>
      </c>
      <c r="K45" s="659">
        <f>SUM(K42:K44)</f>
        <v>18508719</v>
      </c>
    </row>
    <row r="46" spans="1:16" ht="13.2" x14ac:dyDescent="0.25">
      <c r="A46" s="657" t="s">
        <v>310</v>
      </c>
      <c r="B46" s="658" t="s">
        <v>90</v>
      </c>
      <c r="C46" s="659">
        <f>SUM(C45:C45)</f>
        <v>2055080</v>
      </c>
      <c r="D46" s="658" t="s">
        <v>90</v>
      </c>
      <c r="E46" s="659">
        <f>SUM(E45:E45)</f>
        <v>407181</v>
      </c>
      <c r="F46" s="658" t="s">
        <v>90</v>
      </c>
      <c r="G46" s="659">
        <f>SUM(G45:G45)</f>
        <v>744109</v>
      </c>
      <c r="H46" s="658" t="s">
        <v>90</v>
      </c>
      <c r="I46" s="659">
        <f>SUM(I45:I45)</f>
        <v>6742955</v>
      </c>
      <c r="J46" s="658" t="s">
        <v>90</v>
      </c>
      <c r="K46" s="659">
        <f>SUM(K45:K45)</f>
        <v>18508719</v>
      </c>
    </row>
    <row r="47" spans="1:16" ht="13.2" x14ac:dyDescent="0.25">
      <c r="A47" s="657" t="s">
        <v>312</v>
      </c>
      <c r="B47" s="658" t="s">
        <v>90</v>
      </c>
      <c r="C47" s="659">
        <f>SUM(C40,C46)</f>
        <v>5120486</v>
      </c>
      <c r="D47" s="658" t="s">
        <v>90</v>
      </c>
      <c r="E47" s="659">
        <f>SUM(E40,E46)</f>
        <v>4178386</v>
      </c>
      <c r="F47" s="658" t="s">
        <v>90</v>
      </c>
      <c r="G47" s="659">
        <f>SUM(G40,G46)</f>
        <v>4057363</v>
      </c>
      <c r="H47" s="658" t="s">
        <v>90</v>
      </c>
      <c r="I47" s="659">
        <f>SUM(I40,I46)</f>
        <v>15443709</v>
      </c>
      <c r="J47" s="658" t="s">
        <v>90</v>
      </c>
      <c r="K47" s="659">
        <f>SUM(K40,K46)</f>
        <v>36059473</v>
      </c>
    </row>
    <row r="48" spans="1:16" x14ac:dyDescent="0.25">
      <c r="A48" s="4"/>
      <c r="B48" s="432"/>
      <c r="C48" s="263"/>
      <c r="D48" s="12"/>
      <c r="E48" s="263"/>
      <c r="F48" s="12"/>
      <c r="G48" s="263"/>
      <c r="H48" s="12"/>
      <c r="I48" s="263"/>
      <c r="J48" s="12"/>
      <c r="K48" s="263"/>
    </row>
    <row r="49" spans="1:16" ht="12.6" thickBot="1" x14ac:dyDescent="0.3">
      <c r="A49" s="976" t="s">
        <v>1198</v>
      </c>
      <c r="B49" s="564"/>
      <c r="C49" s="40">
        <f>C27-C47</f>
        <v>0</v>
      </c>
      <c r="D49" s="564"/>
      <c r="E49" s="40">
        <f>E27-E47</f>
        <v>0</v>
      </c>
      <c r="F49" s="564"/>
      <c r="G49" s="40">
        <f>G27-G47</f>
        <v>0</v>
      </c>
      <c r="H49" s="564"/>
      <c r="I49" s="40">
        <f>I27-I47</f>
        <v>0</v>
      </c>
      <c r="J49" s="564"/>
      <c r="K49" s="40">
        <f>K27-K47</f>
        <v>0</v>
      </c>
    </row>
    <row r="50" spans="1:16" ht="12.6" thickTop="1" x14ac:dyDescent="0.25">
      <c r="D50" s="272"/>
      <c r="F50" s="11"/>
      <c r="G50" s="158"/>
      <c r="J50" s="1006"/>
    </row>
    <row r="51" spans="1:16" ht="18" x14ac:dyDescent="0.25">
      <c r="A51" s="546" t="str">
        <f>company_name</f>
        <v>Consolidated Hallor Group Inc.</v>
      </c>
      <c r="D51" s="272"/>
      <c r="F51" s="16"/>
      <c r="J51" s="1006"/>
      <c r="P51" s="472"/>
    </row>
    <row r="52" spans="1:16" x14ac:dyDescent="0.25">
      <c r="C52" s="1650">
        <f>C57/C55</f>
        <v>0.25206774320598663</v>
      </c>
      <c r="D52" s="1650"/>
      <c r="E52" s="1650">
        <f>E57/E55</f>
        <v>0.2533332822966507</v>
      </c>
      <c r="F52" s="1650"/>
      <c r="G52" s="1650">
        <f>G57/G55</f>
        <v>0.25333333333333335</v>
      </c>
      <c r="H52" s="1650"/>
      <c r="I52" s="1650">
        <f>I57/I55</f>
        <v>0.25333333804060015</v>
      </c>
      <c r="J52" s="1651"/>
      <c r="K52" s="1650">
        <f>K57/K55</f>
        <v>0.25333333333333335</v>
      </c>
    </row>
    <row r="53" spans="1:16" ht="14.4" x14ac:dyDescent="0.3">
      <c r="A53" s="674" t="str">
        <f>IS_Descr</f>
        <v>Statement of Loss and Comprehensive Loss</v>
      </c>
      <c r="B53" s="16"/>
      <c r="C53" s="725" t="str">
        <f>_xlfn.XLOOKUP(INPUTS!$B$3,INPUTS!$A$16:$A$19,INPUTS!$B$16:$B$19,"n/a",0,1)</f>
        <v>year ended</v>
      </c>
      <c r="D53" s="268"/>
      <c r="E53" s="725" t="str">
        <f>C53</f>
        <v>year ended</v>
      </c>
      <c r="F53" s="268"/>
      <c r="G53" s="725" t="str">
        <f>E53</f>
        <v>year ended</v>
      </c>
      <c r="H53" s="268"/>
      <c r="I53" s="725" t="str">
        <f>G53</f>
        <v>year ended</v>
      </c>
      <c r="J53" s="268"/>
      <c r="K53" s="725" t="str">
        <f>I53</f>
        <v>year ended</v>
      </c>
      <c r="P53" s="1006"/>
    </row>
    <row r="54" spans="1:16" x14ac:dyDescent="0.25">
      <c r="A54" s="726"/>
      <c r="B54" s="727"/>
      <c r="C54" s="728">
        <f>C8</f>
        <v>46203</v>
      </c>
      <c r="D54" s="729"/>
      <c r="E54" s="728">
        <f>E8</f>
        <v>46568</v>
      </c>
      <c r="F54" s="729"/>
      <c r="G54" s="728">
        <f>G8</f>
        <v>46934</v>
      </c>
      <c r="H54" s="729"/>
      <c r="I54" s="728">
        <f>I8</f>
        <v>47299</v>
      </c>
      <c r="J54" s="729"/>
      <c r="K54" s="728">
        <f>K8</f>
        <v>47664</v>
      </c>
    </row>
    <row r="55" spans="1:16" x14ac:dyDescent="0.25">
      <c r="A55" s="3" t="s">
        <v>620</v>
      </c>
      <c r="B55" s="552" t="s">
        <v>90</v>
      </c>
      <c r="C55" s="565">
        <f>-SUMIF(BS.PRO!$AL:$AL,$A55,BS.PRO!L:L)</f>
        <v>507800</v>
      </c>
      <c r="D55" s="552" t="s">
        <v>90</v>
      </c>
      <c r="E55" s="565">
        <f>-SUMIF(BS.PRO!$AL:$AL,$A55,BS.PRO!R:R)</f>
        <v>6531250</v>
      </c>
      <c r="F55" s="552" t="s">
        <v>90</v>
      </c>
      <c r="G55" s="565">
        <f>-SUMIF(BS.PRO!$AL:$AL,$A55,BS.PRO!X:X)</f>
        <v>29812500</v>
      </c>
      <c r="H55" s="552" t="s">
        <v>90</v>
      </c>
      <c r="I55" s="565">
        <f>-SUMIF(BS.PRO!$AL:$AL,$A55,BS.PRO!AD:AD)</f>
        <v>70812500</v>
      </c>
      <c r="J55" s="552" t="s">
        <v>90</v>
      </c>
      <c r="K55" s="565">
        <f>-SUMIF(BS.PRO!$AL:$AL,$A55,BS.PRO!AJ:AJ)</f>
        <v>124500000</v>
      </c>
    </row>
    <row r="56" spans="1:16" x14ac:dyDescent="0.25">
      <c r="A56" s="3" t="s">
        <v>244</v>
      </c>
      <c r="B56" s="149"/>
      <c r="C56" s="565">
        <f>-SUMIF(BS.PRO!AL:AL,A56,BS.PRO!L:L)</f>
        <v>-379800</v>
      </c>
      <c r="D56" s="549"/>
      <c r="E56" s="565">
        <f>-SUMIF(BS.PRO!$AL:$AL,$A56,BS.PRO!R:R)</f>
        <v>-4876667</v>
      </c>
      <c r="F56" s="549"/>
      <c r="G56" s="565">
        <f>-SUMIF(BS.PRO!$AL:$AL,$A56,BS.PRO!X:X)</f>
        <v>-22260000</v>
      </c>
      <c r="H56" s="549"/>
      <c r="I56" s="565">
        <f>-SUMIF(BS.PRO!$AL:$AL,$A56,BS.PRO!AD:AD)</f>
        <v>-52873333</v>
      </c>
      <c r="J56" s="549"/>
      <c r="K56" s="565">
        <f>-SUMIF(BS.PRO!$AL:$AL,$A56,BS.PRO!AJ:AJ)</f>
        <v>-92960000</v>
      </c>
    </row>
    <row r="57" spans="1:16" x14ac:dyDescent="0.25">
      <c r="A57" s="1466" t="s">
        <v>678</v>
      </c>
      <c r="B57" s="669" t="s">
        <v>90</v>
      </c>
      <c r="C57" s="670">
        <f>SUM(C55:C56)</f>
        <v>128000</v>
      </c>
      <c r="D57" s="669" t="s">
        <v>90</v>
      </c>
      <c r="E57" s="670">
        <f>SUM(E55:E56)</f>
        <v>1654583</v>
      </c>
      <c r="F57" s="669" t="s">
        <v>90</v>
      </c>
      <c r="G57" s="670">
        <f>SUM(G55:G56)</f>
        <v>7552500</v>
      </c>
      <c r="H57" s="669" t="s">
        <v>90</v>
      </c>
      <c r="I57" s="670">
        <f>SUM(I55:I56)</f>
        <v>17939167</v>
      </c>
      <c r="J57" s="669" t="s">
        <v>90</v>
      </c>
      <c r="K57" s="670">
        <f>SUM(K55:K56)</f>
        <v>31540000</v>
      </c>
    </row>
    <row r="58" spans="1:16" x14ac:dyDescent="0.25">
      <c r="A58" s="6"/>
      <c r="B58" s="149"/>
      <c r="C58" s="548"/>
      <c r="D58" s="549"/>
      <c r="E58" s="548"/>
      <c r="F58" s="549"/>
      <c r="G58" s="548"/>
      <c r="H58" s="549"/>
      <c r="I58" s="548"/>
      <c r="J58" s="549"/>
      <c r="K58" s="548"/>
      <c r="O58" s="73"/>
    </row>
    <row r="59" spans="1:16" x14ac:dyDescent="0.25">
      <c r="A59" s="558" t="s">
        <v>296</v>
      </c>
      <c r="B59" s="551"/>
      <c r="C59" s="550"/>
      <c r="D59" s="550"/>
      <c r="E59" s="550"/>
      <c r="F59" s="550"/>
      <c r="G59" s="550"/>
      <c r="H59" s="550"/>
      <c r="I59" s="550"/>
      <c r="J59" s="550"/>
      <c r="K59" s="550"/>
      <c r="O59" s="73"/>
    </row>
    <row r="60" spans="1:16" x14ac:dyDescent="0.25">
      <c r="A60" s="559" t="s">
        <v>240</v>
      </c>
      <c r="B60" s="552" t="s">
        <v>90</v>
      </c>
      <c r="C60" s="565">
        <f>SUMIF(BS.PRO!$AL:$AL,$A60,BS.PRO!L:L)</f>
        <v>2074</v>
      </c>
      <c r="D60" s="148" t="s">
        <v>90</v>
      </c>
      <c r="E60" s="565">
        <f>SUMIF(BS.PRO!$AL:$AL,$A60,BS.PRO!R:R)</f>
        <v>2514</v>
      </c>
      <c r="F60" s="148" t="s">
        <v>90</v>
      </c>
      <c r="G60" s="565">
        <f>SUMIF(BS.PRO!$AL:$AL,$A60,BS.PRO!X:X)</f>
        <v>2639</v>
      </c>
      <c r="H60" s="148" t="s">
        <v>90</v>
      </c>
      <c r="I60" s="565">
        <f>SUMIF(BS.PRO!$AL:$AL,$A60,BS.PRO!AD:AD)</f>
        <v>2772</v>
      </c>
      <c r="J60" s="148" t="s">
        <v>90</v>
      </c>
      <c r="K60" s="565">
        <f>SUMIF(BS.PRO!$AL:$AL,$A60,BS.PRO!AJ:AJ)</f>
        <v>2910</v>
      </c>
      <c r="O60" s="73"/>
    </row>
    <row r="61" spans="1:16" x14ac:dyDescent="0.25">
      <c r="A61" s="560" t="s">
        <v>236</v>
      </c>
      <c r="B61" s="551"/>
      <c r="C61" s="565">
        <f>SUMIF(BS.PRO!$AL:$AL,$A61,BS.PRO!L:L)</f>
        <v>111500</v>
      </c>
      <c r="D61" s="550"/>
      <c r="E61" s="565">
        <f>SUMIF(BS.PRO!$AL:$AL,$A61,BS.PRO!R:R)</f>
        <v>90000</v>
      </c>
      <c r="F61" s="550"/>
      <c r="G61" s="565">
        <f>SUMIF(BS.PRO!$AL:$AL,$A61,BS.PRO!X:X)</f>
        <v>90000</v>
      </c>
      <c r="H61" s="550"/>
      <c r="I61" s="565">
        <f>SUMIF(BS.PRO!$AL:$AL,$A61,BS.PRO!AD:AD)</f>
        <v>108000</v>
      </c>
      <c r="J61" s="550"/>
      <c r="K61" s="565">
        <f>SUMIF(BS.PRO!$AL:$AL,$A61,BS.PRO!AJ:AJ)</f>
        <v>129600</v>
      </c>
      <c r="O61" s="73"/>
    </row>
    <row r="62" spans="1:16" x14ac:dyDescent="0.25">
      <c r="A62" s="560" t="s">
        <v>514</v>
      </c>
      <c r="B62" s="551"/>
      <c r="C62" s="565">
        <f>SUMIF(BS.PRO!$AL:$AL,$A62,BS.PRO!L:L)</f>
        <v>273417</v>
      </c>
      <c r="D62" s="550"/>
      <c r="E62" s="565">
        <f>SUMIF(BS.PRO!$AL:$AL,$A62,BS.PRO!R:R)</f>
        <v>276000</v>
      </c>
      <c r="F62" s="550"/>
      <c r="G62" s="565">
        <f>SUMIF(BS.PRO!$AL:$AL,$A62,BS.PRO!X:X)</f>
        <v>276000</v>
      </c>
      <c r="H62" s="550"/>
      <c r="I62" s="565">
        <f>SUMIF(BS.PRO!$AL:$AL,$A62,BS.PRO!AD:AD)</f>
        <v>276000</v>
      </c>
      <c r="J62" s="550"/>
      <c r="K62" s="565">
        <f>SUMIF(BS.PRO!$AL:$AL,$A62,BS.PRO!AJ:AJ)</f>
        <v>276000</v>
      </c>
      <c r="O62" s="73"/>
    </row>
    <row r="63" spans="1:16" x14ac:dyDescent="0.25">
      <c r="A63" s="560" t="s">
        <v>243</v>
      </c>
      <c r="B63" s="551"/>
      <c r="C63" s="565">
        <f>SUMIF(BS.PRO!$AL:$AL,$A63,BS.PRO!L:L)</f>
        <v>2194</v>
      </c>
      <c r="D63" s="550"/>
      <c r="E63" s="565">
        <f>SUMIF(BS.PRO!$AL:$AL,$A63,BS.PRO!R:R)</f>
        <v>1812</v>
      </c>
      <c r="F63" s="550"/>
      <c r="G63" s="565">
        <f>SUMIF(BS.PRO!$AL:$AL,$A63,BS.PRO!X:X)</f>
        <v>1849</v>
      </c>
      <c r="H63" s="550"/>
      <c r="I63" s="565">
        <f>SUMIF(BS.PRO!$AL:$AL,$A63,BS.PRO!AD:AD)</f>
        <v>1886</v>
      </c>
      <c r="J63" s="550"/>
      <c r="K63" s="565">
        <f>SUMIF(BS.PRO!$AL:$AL,$A63,BS.PRO!AJ:AJ)</f>
        <v>1923</v>
      </c>
      <c r="O63" s="73"/>
    </row>
    <row r="64" spans="1:16" x14ac:dyDescent="0.25">
      <c r="A64" s="560" t="s">
        <v>238</v>
      </c>
      <c r="B64" s="551"/>
      <c r="C64" s="565">
        <f>SUMIF(BS.PRO!$AL:$AL,$A64,BS.PRO!L:L)</f>
        <v>78640</v>
      </c>
      <c r="D64" s="550"/>
      <c r="E64" s="565">
        <f>SUMIF(BS.PRO!$AL:$AL,$A64,BS.PRO!R:R)</f>
        <v>434250</v>
      </c>
      <c r="F64" s="550"/>
      <c r="G64" s="565">
        <f>SUMIF(BS.PRO!$AL:$AL,$A64,BS.PRO!X:X)</f>
        <v>1671750</v>
      </c>
      <c r="H64" s="550"/>
      <c r="I64" s="565">
        <f>SUMIF(BS.PRO!$AL:$AL,$A64,BS.PRO!AD:AD)</f>
        <v>3828000</v>
      </c>
      <c r="J64" s="550"/>
      <c r="K64" s="565">
        <f>SUMIF(BS.PRO!$AL:$AL,$A64,BS.PRO!AJ:AJ)</f>
        <v>6640500</v>
      </c>
      <c r="O64" s="73"/>
    </row>
    <row r="65" spans="1:15" x14ac:dyDescent="0.25">
      <c r="A65" s="560" t="s">
        <v>27</v>
      </c>
      <c r="B65" s="551"/>
      <c r="C65" s="565">
        <f>SUMIF(BS.PRO!$AL:$AL,$A65,BS.PRO!L:L)</f>
        <v>3000</v>
      </c>
      <c r="D65" s="550"/>
      <c r="E65" s="565">
        <f>SUMIF(BS.PRO!$AL:$AL,$A65,BS.PRO!R:R)</f>
        <v>3300</v>
      </c>
      <c r="F65" s="550"/>
      <c r="G65" s="565">
        <f>SUMIF(BS.PRO!$AL:$AL,$A65,BS.PRO!X:X)</f>
        <v>3630</v>
      </c>
      <c r="H65" s="550"/>
      <c r="I65" s="565">
        <f>SUMIF(BS.PRO!$AL:$AL,$A65,BS.PRO!AD:AD)</f>
        <v>3993</v>
      </c>
      <c r="J65" s="550"/>
      <c r="K65" s="565">
        <f>SUMIF(BS.PRO!$AL:$AL,$A65,BS.PRO!AJ:AJ)</f>
        <v>4392</v>
      </c>
      <c r="O65" s="73"/>
    </row>
    <row r="66" spans="1:15" x14ac:dyDescent="0.25">
      <c r="A66" s="560" t="s">
        <v>242</v>
      </c>
      <c r="B66" s="551"/>
      <c r="C66" s="565">
        <f>SUMIF(BS.PRO!$AL:$AL,$A66,BS.PRO!L:L)</f>
        <v>6000</v>
      </c>
      <c r="D66" s="550"/>
      <c r="E66" s="565">
        <f>SUMIF(BS.PRO!$AL:$AL,$A66,BS.PRO!R:R)</f>
        <v>6600</v>
      </c>
      <c r="F66" s="550"/>
      <c r="G66" s="565">
        <f>SUMIF(BS.PRO!$AL:$AL,$A66,BS.PRO!X:X)</f>
        <v>7260</v>
      </c>
      <c r="H66" s="550"/>
      <c r="I66" s="565">
        <f>SUMIF(BS.PRO!$AL:$AL,$A66,BS.PRO!AD:AD)</f>
        <v>7986</v>
      </c>
      <c r="J66" s="550"/>
      <c r="K66" s="565">
        <f>SUMIF(BS.PRO!$AL:$AL,$A66,BS.PRO!AJ:AJ)</f>
        <v>8785</v>
      </c>
      <c r="O66" s="73"/>
    </row>
    <row r="67" spans="1:15" x14ac:dyDescent="0.25">
      <c r="A67" s="560" t="s">
        <v>813</v>
      </c>
      <c r="B67" s="551"/>
      <c r="C67" s="565">
        <f>SUMIF(BS.PRO!$AL:$AL,$A67,BS.PRO!L:L)</f>
        <v>9000</v>
      </c>
      <c r="D67" s="550"/>
      <c r="E67" s="565">
        <f>SUMIF(BS.PRO!$AL:$AL,$A67,BS.PRO!R:R)</f>
        <v>9450</v>
      </c>
      <c r="F67" s="550"/>
      <c r="G67" s="565">
        <f>SUMIF(BS.PRO!$AL:$AL,$A67,BS.PRO!X:X)</f>
        <v>9923</v>
      </c>
      <c r="H67" s="550"/>
      <c r="I67" s="565">
        <f>SUMIF(BS.PRO!$AL:$AL,$A67,BS.PRO!AD:AD)</f>
        <v>10419</v>
      </c>
      <c r="J67" s="550"/>
      <c r="K67" s="565">
        <f>SUMIF(BS.PRO!$AL:$AL,$A67,BS.PRO!AJ:AJ)</f>
        <v>10940</v>
      </c>
      <c r="O67" s="73"/>
    </row>
    <row r="68" spans="1:15" x14ac:dyDescent="0.25">
      <c r="A68" s="560" t="s">
        <v>494</v>
      </c>
      <c r="B68" s="551"/>
      <c r="C68" s="565">
        <f>SUMIF(BS.PRO!$AL:$AL,$A68,BS.PRO!L:L)</f>
        <v>30204</v>
      </c>
      <c r="D68" s="550"/>
      <c r="E68" s="565">
        <f>SUMIF(BS.PRO!$AL:$AL,$A68,BS.PRO!R:R)</f>
        <v>31500</v>
      </c>
      <c r="F68" s="550"/>
      <c r="G68" s="565">
        <f>SUMIF(BS.PRO!$AL:$AL,$A68,BS.PRO!X:X)</f>
        <v>33075</v>
      </c>
      <c r="H68" s="550"/>
      <c r="I68" s="565">
        <f>SUMIF(BS.PRO!$AL:$AL,$A68,BS.PRO!AD:AD)</f>
        <v>34729</v>
      </c>
      <c r="J68" s="550"/>
      <c r="K68" s="565">
        <f>SUMIF(BS.PRO!$AL:$AL,$A68,BS.PRO!AJ:AJ)</f>
        <v>36465</v>
      </c>
      <c r="O68" s="73"/>
    </row>
    <row r="69" spans="1:15" x14ac:dyDescent="0.25">
      <c r="A69" s="560" t="s">
        <v>200</v>
      </c>
      <c r="B69" s="551"/>
      <c r="C69" s="565">
        <f>SUMIF(BS.PRO!$AL:$AL,$A69,BS.PRO!L:L)</f>
        <v>24589</v>
      </c>
      <c r="D69" s="550"/>
      <c r="E69" s="565">
        <f>SUMIF(BS.PRO!$AL:$AL,$A69,BS.PRO!R:R)</f>
        <v>26400</v>
      </c>
      <c r="F69" s="550"/>
      <c r="G69" s="565">
        <f>SUMIF(BS.PRO!$AL:$AL,$A69,BS.PRO!X:X)</f>
        <v>29040</v>
      </c>
      <c r="H69" s="550"/>
      <c r="I69" s="565">
        <f>SUMIF(BS.PRO!$AL:$AL,$A69,BS.PRO!AD:AD)</f>
        <v>31944</v>
      </c>
      <c r="J69" s="550"/>
      <c r="K69" s="565">
        <f>SUMIF(BS.PRO!$AL:$AL,$A69,BS.PRO!AJ:AJ)</f>
        <v>35138</v>
      </c>
      <c r="O69" s="73"/>
    </row>
    <row r="70" spans="1:15" x14ac:dyDescent="0.25">
      <c r="A70" s="560" t="s">
        <v>2291</v>
      </c>
      <c r="B70" s="551"/>
      <c r="C70" s="565">
        <f>SUMIF(BS.PRO!$AL:$AL,$A70,BS.PRO!L:L)</f>
        <v>0</v>
      </c>
      <c r="D70" s="550"/>
      <c r="E70" s="565">
        <f>SUMIF(BS.PRO!$AL:$AL,$A70,BS.PRO!R:R)</f>
        <v>60000</v>
      </c>
      <c r="F70" s="550"/>
      <c r="G70" s="565">
        <f>SUMIF(BS.PRO!$AL:$AL,$A70,BS.PRO!X:X)</f>
        <v>1275000</v>
      </c>
      <c r="H70" s="550"/>
      <c r="I70" s="565">
        <f>SUMIF(BS.PRO!$AL:$AL,$A70,BS.PRO!AD:AD)</f>
        <v>3000000</v>
      </c>
      <c r="J70" s="550"/>
      <c r="K70" s="565">
        <f>SUMIF(BS.PRO!$AL:$AL,$A70,BS.PRO!AJ:AJ)</f>
        <v>5250000</v>
      </c>
      <c r="O70" s="73"/>
    </row>
    <row r="71" spans="1:15" x14ac:dyDescent="0.25">
      <c r="A71" s="560" t="s">
        <v>627</v>
      </c>
      <c r="B71" s="551"/>
      <c r="C71" s="565">
        <f>SUMIF(BS.PRO!$AL:$AL,$A71,BS.PRO!L:L)</f>
        <v>6000</v>
      </c>
      <c r="D71" s="550"/>
      <c r="E71" s="565">
        <f>SUMIF(BS.PRO!$AL:$AL,$A71,BS.PRO!R:R)</f>
        <v>142500</v>
      </c>
      <c r="F71" s="550"/>
      <c r="G71" s="565">
        <f>SUMIF(BS.PRO!$AL:$AL,$A71,BS.PRO!X:X)</f>
        <v>637500</v>
      </c>
      <c r="H71" s="550"/>
      <c r="I71" s="565">
        <f>SUMIF(BS.PRO!$AL:$AL,$A71,BS.PRO!AD:AD)</f>
        <v>1500000</v>
      </c>
      <c r="J71" s="550"/>
      <c r="K71" s="565">
        <f>SUMIF(BS.PRO!$AL:$AL,$A71,BS.PRO!AJ:AJ)</f>
        <v>2625000</v>
      </c>
      <c r="O71" s="73"/>
    </row>
    <row r="72" spans="1:15" x14ac:dyDescent="0.25">
      <c r="A72" s="560" t="s">
        <v>628</v>
      </c>
      <c r="B72" s="551"/>
      <c r="C72" s="565">
        <f>SUMIF(BS.PRO!$AL:$AL,$A72,BS.PRO!L:L)</f>
        <v>3633</v>
      </c>
      <c r="D72" s="550"/>
      <c r="E72" s="565">
        <f>SUMIF(BS.PRO!$AL:$AL,$A72,BS.PRO!R:R)</f>
        <v>86292</v>
      </c>
      <c r="F72" s="550"/>
      <c r="G72" s="565">
        <f>SUMIF(BS.PRO!$AL:$AL,$A72,BS.PRO!X:X)</f>
        <v>386042</v>
      </c>
      <c r="H72" s="550"/>
      <c r="I72" s="565">
        <f>SUMIF(BS.PRO!$AL:$AL,$A72,BS.PRO!AD:AD)</f>
        <v>908333</v>
      </c>
      <c r="J72" s="550"/>
      <c r="K72" s="565">
        <f>SUMIF(BS.PRO!$AL:$AL,$A72,BS.PRO!AJ:AJ)</f>
        <v>1589583</v>
      </c>
      <c r="O72" s="73"/>
    </row>
    <row r="73" spans="1:15" x14ac:dyDescent="0.25">
      <c r="A73" s="560" t="s">
        <v>630</v>
      </c>
      <c r="B73" s="551"/>
      <c r="C73" s="565">
        <f>SUMIF(BS.PRO!$AL:$AL,$A73,BS.PRO!L:L)</f>
        <v>9756</v>
      </c>
      <c r="D73" s="550"/>
      <c r="E73" s="565">
        <f>SUMIF(BS.PRO!$AL:$AL,$A73,BS.PRO!R:R)</f>
        <v>142500</v>
      </c>
      <c r="F73" s="550"/>
      <c r="G73" s="565">
        <f>SUMIF(BS.PRO!$AL:$AL,$A73,BS.PRO!X:X)</f>
        <v>637500</v>
      </c>
      <c r="H73" s="550"/>
      <c r="I73" s="565">
        <f>SUMIF(BS.PRO!$AL:$AL,$A73,BS.PRO!AD:AD)</f>
        <v>1500000</v>
      </c>
      <c r="J73" s="550"/>
      <c r="K73" s="565">
        <f>SUMIF(BS.PRO!$AL:$AL,$A73,BS.PRO!AJ:AJ)</f>
        <v>2625000</v>
      </c>
      <c r="O73" s="73"/>
    </row>
    <row r="74" spans="1:15" x14ac:dyDescent="0.25">
      <c r="A74" s="560" t="s">
        <v>2284</v>
      </c>
      <c r="B74" s="551"/>
      <c r="C74" s="565">
        <f>SUMIF(BS.PRO!$AL:$AL,$A74,BS.PRO!L:L)</f>
        <v>1256364</v>
      </c>
      <c r="D74" s="550"/>
      <c r="E74" s="565">
        <f>SUMIF(BS.PRO!$AL:$AL,$A74,BS.PRO!R:R)</f>
        <v>1256364</v>
      </c>
      <c r="F74" s="550"/>
      <c r="G74" s="565">
        <f>SUMIF(BS.PRO!$AL:$AL,$A74,BS.PRO!X:X)</f>
        <v>1256364</v>
      </c>
      <c r="H74" s="550"/>
      <c r="I74" s="565">
        <f>SUMIF(BS.PRO!$AL:$AL,$A74,BS.PRO!AD:AD)</f>
        <v>188259</v>
      </c>
      <c r="J74" s="550"/>
      <c r="K74" s="565">
        <f>SUMIF(BS.PRO!$AL:$AL,$A74,BS.PRO!AJ:AJ)</f>
        <v>0</v>
      </c>
      <c r="O74" s="73"/>
    </row>
    <row r="75" spans="1:15" x14ac:dyDescent="0.25">
      <c r="A75" s="560" t="s">
        <v>629</v>
      </c>
      <c r="B75" s="551"/>
      <c r="C75" s="565">
        <f>SUMIF(BS.PRO!$AL:$AL,$A75,BS.PRO!L:L)</f>
        <v>-69</v>
      </c>
      <c r="D75" s="550"/>
      <c r="E75" s="565">
        <f>SUMIF(BS.PRO!$AL:$AL,$A75,BS.PRO!R:R)</f>
        <v>0</v>
      </c>
      <c r="F75" s="550"/>
      <c r="G75" s="565">
        <f>SUMIF(BS.PRO!$AL:$AL,$A75,BS.PRO!X:X)</f>
        <v>0</v>
      </c>
      <c r="H75" s="550"/>
      <c r="I75" s="565">
        <f>SUMIF(BS.PRO!$AL:$AL,$A75,BS.PRO!AD:AD)</f>
        <v>0</v>
      </c>
      <c r="J75" s="550"/>
      <c r="K75" s="565">
        <f>SUMIF(BS.PRO!$AL:$AL,$A75,BS.PRO!AJ:AJ)</f>
        <v>0</v>
      </c>
      <c r="O75" s="73"/>
    </row>
    <row r="76" spans="1:15" x14ac:dyDescent="0.25">
      <c r="A76" s="560" t="s">
        <v>495</v>
      </c>
      <c r="B76" s="551"/>
      <c r="C76" s="565">
        <f>SUMIF(BS.PRO!$AL:$AL,$A76,BS.PRO!L:L)</f>
        <v>12000</v>
      </c>
      <c r="D76" s="550"/>
      <c r="E76" s="565">
        <f>SUMIF(BS.PRO!$AL:$AL,$A76,BS.PRO!R:R)</f>
        <v>63000</v>
      </c>
      <c r="F76" s="550"/>
      <c r="G76" s="565">
        <f>SUMIF(BS.PRO!$AL:$AL,$A76,BS.PRO!X:X)</f>
        <v>228000</v>
      </c>
      <c r="H76" s="550"/>
      <c r="I76" s="565">
        <f>SUMIF(BS.PRO!$AL:$AL,$A76,BS.PRO!AD:AD)</f>
        <v>228000</v>
      </c>
      <c r="J76" s="550"/>
      <c r="K76" s="565">
        <f>SUMIF(BS.PRO!$AL:$AL,$A76,BS.PRO!AJ:AJ)</f>
        <v>228000</v>
      </c>
      <c r="O76" s="73"/>
    </row>
    <row r="77" spans="1:15" x14ac:dyDescent="0.25">
      <c r="A77" s="560" t="s">
        <v>2285</v>
      </c>
      <c r="B77" s="551"/>
      <c r="C77" s="565">
        <f>SUMIF(BS.PRO!$AL:$AL,$A77,BS.PRO!L:L)</f>
        <v>0</v>
      </c>
      <c r="D77" s="550"/>
      <c r="E77" s="565">
        <f>SUMIF(BS.PRO!$AL:$AL,$A77,BS.PRO!R:R)</f>
        <v>310000</v>
      </c>
      <c r="F77" s="550"/>
      <c r="G77" s="565">
        <f>SUMIF(BS.PRO!$AL:$AL,$A77,BS.PRO!X:X)</f>
        <v>310000</v>
      </c>
      <c r="H77" s="550"/>
      <c r="I77" s="565">
        <f>SUMIF(BS.PRO!$AL:$AL,$A77,BS.PRO!AD:AD)</f>
        <v>310000</v>
      </c>
      <c r="J77" s="550"/>
      <c r="K77" s="565">
        <f>SUMIF(BS.PRO!$AL:$AL,$A77,BS.PRO!AJ:AJ)</f>
        <v>310000</v>
      </c>
      <c r="O77" s="73"/>
    </row>
    <row r="78" spans="1:15" x14ac:dyDescent="0.25">
      <c r="A78" s="560"/>
      <c r="B78" s="551"/>
      <c r="C78" s="565"/>
      <c r="D78" s="550"/>
      <c r="E78" s="565"/>
      <c r="F78" s="550"/>
      <c r="G78" s="565"/>
      <c r="H78" s="550"/>
      <c r="I78" s="565"/>
      <c r="J78" s="550"/>
      <c r="K78" s="565"/>
      <c r="O78" s="73"/>
    </row>
    <row r="79" spans="1:15" x14ac:dyDescent="0.25">
      <c r="A79" s="668" t="s">
        <v>297</v>
      </c>
      <c r="B79" s="669" t="s">
        <v>90</v>
      </c>
      <c r="C79" s="670">
        <f>-SUM(C60:C78)</f>
        <v>-1828302</v>
      </c>
      <c r="D79" s="671" t="s">
        <v>90</v>
      </c>
      <c r="E79" s="670">
        <f>-SUM(E60:E78)</f>
        <v>-2942482</v>
      </c>
      <c r="F79" s="671" t="s">
        <v>90</v>
      </c>
      <c r="G79" s="670">
        <f>-SUM(G60:G78)</f>
        <v>-6855572</v>
      </c>
      <c r="H79" s="671" t="s">
        <v>90</v>
      </c>
      <c r="I79" s="670">
        <f>-SUM(I60:I78)</f>
        <v>-11940321</v>
      </c>
      <c r="J79" s="671" t="s">
        <v>90</v>
      </c>
      <c r="K79" s="670">
        <f>-SUM(K60:K78)</f>
        <v>-19774236</v>
      </c>
      <c r="O79" s="73"/>
    </row>
    <row r="80" spans="1:15" x14ac:dyDescent="0.25">
      <c r="A80" s="668" t="s">
        <v>291</v>
      </c>
      <c r="B80" s="669" t="s">
        <v>90</v>
      </c>
      <c r="C80" s="670">
        <f>SUM(C57,C79)</f>
        <v>-1700302</v>
      </c>
      <c r="D80" s="671" t="s">
        <v>90</v>
      </c>
      <c r="E80" s="670">
        <f>SUM(E57,E79)</f>
        <v>-1287899</v>
      </c>
      <c r="F80" s="671" t="s">
        <v>90</v>
      </c>
      <c r="G80" s="670">
        <f>SUM(G57,G79)</f>
        <v>696928</v>
      </c>
      <c r="H80" s="671" t="s">
        <v>90</v>
      </c>
      <c r="I80" s="670">
        <f>SUM(I57,I79)</f>
        <v>5998846</v>
      </c>
      <c r="J80" s="671" t="s">
        <v>90</v>
      </c>
      <c r="K80" s="670">
        <f>SUM(K57,K79)</f>
        <v>11765764</v>
      </c>
      <c r="O80" s="1405"/>
    </row>
    <row r="81" spans="1:16" x14ac:dyDescent="0.25">
      <c r="A81" s="558" t="s">
        <v>105</v>
      </c>
      <c r="B81" s="554"/>
      <c r="C81" s="553"/>
      <c r="D81" s="553"/>
      <c r="E81" s="553"/>
      <c r="F81" s="553"/>
      <c r="G81" s="553"/>
      <c r="H81" s="553"/>
      <c r="I81" s="553"/>
      <c r="J81" s="553"/>
      <c r="K81" s="553"/>
      <c r="O81" s="1406"/>
    </row>
    <row r="82" spans="1:16" x14ac:dyDescent="0.25">
      <c r="A82" s="560" t="s">
        <v>235</v>
      </c>
      <c r="B82" s="554"/>
      <c r="C82" s="565">
        <f>-SUMIF(BS.PRO!$AL:$AL,$A82,BS.PRO!L:L)</f>
        <v>47085</v>
      </c>
      <c r="D82" s="553"/>
      <c r="E82" s="565">
        <f>-SUMIF(BS.PRO!$AL:$AL,$A82,BS.PRO!R:R)</f>
        <v>0</v>
      </c>
      <c r="F82" s="553"/>
      <c r="G82" s="565">
        <f>-SUMIF(BS.PRO!$AL:$AL,$A82,BS.PRO!X:X)</f>
        <v>0</v>
      </c>
      <c r="H82" s="553"/>
      <c r="I82" s="565">
        <f>-SUMIF(BS.PRO!$AL:$AL,$A82,BS.PRO!AD:AD)</f>
        <v>0</v>
      </c>
      <c r="J82" s="553"/>
      <c r="K82" s="565">
        <f>-SUMIF(BS.PRO!$AL:$AL,$A82,BS.PRO!AJ:AJ)</f>
        <v>0</v>
      </c>
      <c r="O82" s="73"/>
    </row>
    <row r="83" spans="1:16" x14ac:dyDescent="0.25">
      <c r="A83" s="560" t="s">
        <v>37</v>
      </c>
      <c r="B83" s="551"/>
      <c r="C83" s="565">
        <f>-SUMIF(BS.PRO!$AL:$AL,$A83,BS.PRO!L:L)</f>
        <v>0</v>
      </c>
      <c r="D83" s="550"/>
      <c r="E83" s="565">
        <f>-SUMIF(BS.PRO!$AL:$AL,$A83,BS.PRO!R:R)</f>
        <v>0</v>
      </c>
      <c r="F83" s="550"/>
      <c r="G83" s="565">
        <f>-SUMIF(BS.PRO!$AL:$AL,$A83,BS.PRO!X:X)</f>
        <v>0</v>
      </c>
      <c r="H83" s="550"/>
      <c r="I83" s="565">
        <f>-SUMIF(BS.PRO!$AL:$AL,$A83,BS.PRO!AD:AD)</f>
        <v>0</v>
      </c>
      <c r="J83" s="550"/>
      <c r="K83" s="565">
        <f>-SUMIF(BS.PRO!$AL:$AL,$A83,BS.PRO!AJ:AJ)</f>
        <v>0</v>
      </c>
      <c r="O83" s="73"/>
    </row>
    <row r="84" spans="1:16" x14ac:dyDescent="0.25">
      <c r="A84" s="560" t="s">
        <v>233</v>
      </c>
      <c r="B84" s="551"/>
      <c r="C84" s="565">
        <f>-SUMIF(BS.PRO!$AL:$AL,$A84,BS.PRO!L:L)</f>
        <v>-36210</v>
      </c>
      <c r="D84" s="550"/>
      <c r="E84" s="565">
        <f>-SUMIF(BS.PRO!$AL:$AL,$A84,BS.PRO!R:R)</f>
        <v>0</v>
      </c>
      <c r="F84" s="550"/>
      <c r="G84" s="565">
        <f>-SUMIF(BS.PRO!$AL:$AL,$A84,BS.PRO!X:X)</f>
        <v>0</v>
      </c>
      <c r="H84" s="550"/>
      <c r="I84" s="565">
        <f>-SUMIF(BS.PRO!$AL:$AL,$A84,BS.PRO!AD:AD)</f>
        <v>0</v>
      </c>
      <c r="J84" s="550"/>
      <c r="K84" s="565">
        <f>-SUMIF(BS.PRO!$AL:$AL,$A84,BS.PRO!AJ:AJ)</f>
        <v>0</v>
      </c>
      <c r="O84" s="73"/>
    </row>
    <row r="85" spans="1:16" x14ac:dyDescent="0.25">
      <c r="A85" s="560" t="s">
        <v>1369</v>
      </c>
      <c r="B85" s="551"/>
      <c r="C85" s="565">
        <f>-SUMIF(BS.PRO!$AL:$AL,$A85,BS.PRO!L:L)</f>
        <v>0</v>
      </c>
      <c r="D85" s="550"/>
      <c r="E85" s="565">
        <f>-SUMIF(BS.PRO!$AL:$AL,$A85,BS.PRO!R:R)</f>
        <v>0</v>
      </c>
      <c r="F85" s="550"/>
      <c r="G85" s="565">
        <f>-SUMIF(BS.PRO!$AL:$AL,$A85,BS.PRO!X:X)</f>
        <v>0</v>
      </c>
      <c r="H85" s="550"/>
      <c r="I85" s="565">
        <f>-SUMIF(BS.PRO!$AL:$AL,$A85,BS.PRO!AD:AD)</f>
        <v>0</v>
      </c>
      <c r="J85" s="550"/>
      <c r="K85" s="565">
        <f>-SUMIF(BS.PRO!$AL:$AL,$A85,BS.PRO!AJ:AJ)</f>
        <v>0</v>
      </c>
      <c r="O85" s="73"/>
    </row>
    <row r="86" spans="1:16" x14ac:dyDescent="0.25">
      <c r="A86" s="560" t="s">
        <v>26</v>
      </c>
      <c r="B86" s="551"/>
      <c r="C86" s="565">
        <f>-SUMIF(BS.PRO!$AL:$AL,$A86,BS.PRO!L:L)</f>
        <v>-141773</v>
      </c>
      <c r="D86" s="550"/>
      <c r="E86" s="565">
        <f>-SUMIF(BS.PRO!$AL:$AL,$A86,BS.PRO!R:R)</f>
        <v>-360000</v>
      </c>
      <c r="F86" s="550"/>
      <c r="G86" s="565">
        <f>-SUMIF(BS.PRO!$AL:$AL,$A86,BS.PRO!X:X)</f>
        <v>-360000</v>
      </c>
      <c r="H86" s="550"/>
      <c r="I86" s="565">
        <f>-SUMIF(BS.PRO!$AL:$AL,$A86,BS.PRO!AD:AD)</f>
        <v>0</v>
      </c>
      <c r="J86" s="550"/>
      <c r="K86" s="565">
        <f>-SUMIF(BS.PRO!$AL:$AL,$A86,BS.PRO!AJ:AJ)</f>
        <v>0</v>
      </c>
      <c r="O86" s="73"/>
      <c r="P86" s="1003"/>
    </row>
    <row r="87" spans="1:16" x14ac:dyDescent="0.25">
      <c r="A87" s="668" t="s">
        <v>107</v>
      </c>
      <c r="B87" s="669" t="s">
        <v>90</v>
      </c>
      <c r="C87" s="670">
        <f>SUM(C80:C86)</f>
        <v>-1831200</v>
      </c>
      <c r="D87" s="671" t="s">
        <v>90</v>
      </c>
      <c r="E87" s="670">
        <f>SUM(E80:E86)</f>
        <v>-1647899</v>
      </c>
      <c r="F87" s="671" t="s">
        <v>90</v>
      </c>
      <c r="G87" s="670">
        <f>SUM(G80:G86)</f>
        <v>336928</v>
      </c>
      <c r="H87" s="671" t="s">
        <v>90</v>
      </c>
      <c r="I87" s="670">
        <f>SUM(I80:I86)</f>
        <v>5998846</v>
      </c>
      <c r="J87" s="671" t="s">
        <v>90</v>
      </c>
      <c r="K87" s="670">
        <f>SUM(K80:K86)</f>
        <v>11765764</v>
      </c>
      <c r="P87" s="1004"/>
    </row>
    <row r="88" spans="1:16" x14ac:dyDescent="0.25">
      <c r="A88" s="560" t="s">
        <v>108</v>
      </c>
      <c r="B88" s="551"/>
      <c r="C88" s="565">
        <f>SUMIF('IS - F25'!N:N,FS.1!A70,'IS - F25'!M:M)</f>
        <v>0</v>
      </c>
      <c r="D88" s="550"/>
      <c r="E88" s="565"/>
      <c r="F88" s="550"/>
      <c r="G88" s="565"/>
      <c r="H88" s="550"/>
      <c r="I88" s="565"/>
      <c r="J88" s="550"/>
      <c r="K88" s="565"/>
      <c r="O88" s="73"/>
      <c r="P88" s="1004"/>
    </row>
    <row r="89" spans="1:16" x14ac:dyDescent="0.25">
      <c r="A89" s="560" t="s">
        <v>109</v>
      </c>
      <c r="B89" s="551"/>
      <c r="C89" s="565">
        <f>SUMIF('IS - F25'!N:N,FS.1!A71,'IS - F25'!M:M)</f>
        <v>0</v>
      </c>
      <c r="D89" s="550"/>
      <c r="E89" s="565"/>
      <c r="F89" s="550"/>
      <c r="G89" s="565"/>
      <c r="H89" s="550"/>
      <c r="I89" s="565"/>
      <c r="J89" s="550"/>
      <c r="K89" s="565"/>
      <c r="O89" s="73"/>
      <c r="P89" s="1005"/>
    </row>
    <row r="90" spans="1:16" x14ac:dyDescent="0.25">
      <c r="A90" s="668" t="s">
        <v>292</v>
      </c>
      <c r="B90" s="672" t="s">
        <v>90</v>
      </c>
      <c r="C90" s="670">
        <f>SUM(C87:C89)</f>
        <v>-1831200</v>
      </c>
      <c r="D90" s="673" t="s">
        <v>90</v>
      </c>
      <c r="E90" s="670">
        <f>SUM(E87:E89)</f>
        <v>-1647899</v>
      </c>
      <c r="F90" s="673" t="s">
        <v>90</v>
      </c>
      <c r="G90" s="670">
        <f>SUM(G87:G89)</f>
        <v>336928</v>
      </c>
      <c r="H90" s="673" t="s">
        <v>90</v>
      </c>
      <c r="I90" s="670">
        <f>SUM(I87:I89)</f>
        <v>5998846</v>
      </c>
      <c r="J90" s="673" t="s">
        <v>90</v>
      </c>
      <c r="K90" s="670">
        <f>SUM(K87:K89)</f>
        <v>11765764</v>
      </c>
      <c r="P90" s="1004"/>
    </row>
    <row r="91" spans="1:16" x14ac:dyDescent="0.25">
      <c r="A91" s="668" t="s">
        <v>293</v>
      </c>
      <c r="B91" s="669" t="s">
        <v>90</v>
      </c>
      <c r="C91" s="670">
        <f>SUM(C90:C90)</f>
        <v>-1831200</v>
      </c>
      <c r="D91" s="671" t="s">
        <v>90</v>
      </c>
      <c r="E91" s="670">
        <f>SUM(E90:E90)</f>
        <v>-1647899</v>
      </c>
      <c r="F91" s="671" t="s">
        <v>90</v>
      </c>
      <c r="G91" s="670">
        <f>SUM(G90:G90)</f>
        <v>336928</v>
      </c>
      <c r="H91" s="671" t="s">
        <v>90</v>
      </c>
      <c r="I91" s="670">
        <f>SUM(I90:I90)</f>
        <v>5998846</v>
      </c>
      <c r="J91" s="671" t="s">
        <v>90</v>
      </c>
      <c r="K91" s="670">
        <f>SUM(K90:K90)</f>
        <v>11765764</v>
      </c>
      <c r="P91" s="1004"/>
    </row>
    <row r="92" spans="1:16" x14ac:dyDescent="0.25">
      <c r="A92" s="558"/>
      <c r="B92" s="551"/>
      <c r="C92" s="550"/>
      <c r="D92" s="550"/>
      <c r="E92" s="550"/>
      <c r="P92" s="1005"/>
    </row>
    <row r="93" spans="1:16" x14ac:dyDescent="0.25">
      <c r="A93" s="1469" t="s">
        <v>507</v>
      </c>
      <c r="B93" s="1469"/>
      <c r="C93" s="1582">
        <f>BS.PRO!L4+C91</f>
        <v>0</v>
      </c>
      <c r="D93" s="1469"/>
      <c r="E93" s="1582">
        <f>BS.PRO!R4+E91</f>
        <v>0</v>
      </c>
      <c r="F93" s="1582"/>
      <c r="G93" s="1582">
        <f>BS.PRO!X4+G91</f>
        <v>0</v>
      </c>
      <c r="H93" s="1582"/>
      <c r="I93" s="1582">
        <f>BS.PRO!AD4+I91</f>
        <v>0</v>
      </c>
      <c r="J93" s="1582"/>
      <c r="K93" s="1582">
        <f>BS.PRO!AJ4+K91</f>
        <v>0</v>
      </c>
      <c r="P93" s="1005"/>
    </row>
    <row r="94" spans="1:16" x14ac:dyDescent="0.25">
      <c r="A94" s="558"/>
      <c r="B94" s="551"/>
      <c r="C94" s="550"/>
      <c r="D94" s="551"/>
      <c r="E94" s="550"/>
      <c r="F94" s="551"/>
      <c r="G94" s="550"/>
      <c r="H94" s="550"/>
      <c r="I94" s="550"/>
      <c r="P94" s="1005"/>
    </row>
    <row r="95" spans="1:16" x14ac:dyDescent="0.25">
      <c r="A95" s="558"/>
      <c r="B95" s="551"/>
      <c r="C95" s="550"/>
      <c r="D95" s="551"/>
      <c r="E95" s="550"/>
      <c r="F95" s="551"/>
      <c r="G95" s="550"/>
      <c r="H95" s="550"/>
      <c r="I95" s="550"/>
    </row>
    <row r="97" spans="1:12" ht="18" x14ac:dyDescent="0.25">
      <c r="A97" s="546" t="str">
        <f>company_name</f>
        <v>Consolidated Hallor Group Inc.</v>
      </c>
    </row>
    <row r="98" spans="1:12" ht="14.4" x14ac:dyDescent="0.3">
      <c r="A98" s="674" t="str">
        <f>SOCE_descr</f>
        <v>Statements of Changes in Shareholders's Equity</v>
      </c>
    </row>
    <row r="99" spans="1:12" ht="24" x14ac:dyDescent="0.25">
      <c r="A99" s="653"/>
      <c r="B99" s="685"/>
      <c r="C99" s="656" t="s">
        <v>5</v>
      </c>
      <c r="D99" s="656"/>
      <c r="E99" s="656" t="s">
        <v>328</v>
      </c>
      <c r="F99" s="656"/>
      <c r="G99" s="656" t="s">
        <v>288</v>
      </c>
      <c r="H99" s="656"/>
      <c r="I99" s="686" t="s">
        <v>104</v>
      </c>
      <c r="J99" s="266"/>
      <c r="K99" s="266"/>
      <c r="L99" s="266"/>
    </row>
    <row r="100" spans="1:12" s="16" customFormat="1" x14ac:dyDescent="0.3">
      <c r="A100" s="677" t="s">
        <v>2212</v>
      </c>
      <c r="B100" s="679" t="s">
        <v>90</v>
      </c>
      <c r="C100" s="680">
        <f>FS.1!C92</f>
        <v>8224099</v>
      </c>
      <c r="D100" s="680" t="s">
        <v>90</v>
      </c>
      <c r="E100" s="680">
        <f>FS.1!E92</f>
        <v>308750</v>
      </c>
      <c r="F100" s="680" t="s">
        <v>90</v>
      </c>
      <c r="G100" s="680">
        <v>-3067490</v>
      </c>
      <c r="H100" s="680" t="s">
        <v>90</v>
      </c>
      <c r="I100" s="687">
        <f>ROUND(SUM(C100:G100),0)</f>
        <v>5465359</v>
      </c>
      <c r="J100" s="267"/>
      <c r="K100" s="240"/>
      <c r="L100" s="240"/>
    </row>
    <row r="101" spans="1:12" x14ac:dyDescent="0.25">
      <c r="A101" s="206" t="s">
        <v>2214</v>
      </c>
      <c r="B101" s="9"/>
      <c r="C101" s="11">
        <f>FS.1!C95</f>
        <v>0</v>
      </c>
      <c r="D101" s="11"/>
      <c r="E101" s="11">
        <f>FS.1!E95</f>
        <v>0</v>
      </c>
      <c r="F101" s="11"/>
      <c r="G101" s="11">
        <f>-BS.PRO!F4-38490</f>
        <v>-1910200</v>
      </c>
      <c r="H101" s="11"/>
      <c r="I101" s="688">
        <f>ROUND(SUM(C101:G101),0)</f>
        <v>-1910200</v>
      </c>
      <c r="J101" s="9"/>
      <c r="K101" s="11"/>
      <c r="L101" s="11"/>
    </row>
    <row r="102" spans="1:12" x14ac:dyDescent="0.25">
      <c r="A102" s="682" t="str">
        <f>"Balance - "&amp;TEXT(currentperiod_end_date,"MMMM D, YYYY")</f>
        <v>Balance - June 30, 2025</v>
      </c>
      <c r="B102" s="684" t="s">
        <v>90</v>
      </c>
      <c r="C102" s="680">
        <f>ROUND(SUM(C100:C101),0)</f>
        <v>8224099</v>
      </c>
      <c r="D102" s="681" t="s">
        <v>90</v>
      </c>
      <c r="E102" s="680">
        <f>ROUND(SUM(E100:E101),0)</f>
        <v>308750</v>
      </c>
      <c r="F102" s="681" t="s">
        <v>90</v>
      </c>
      <c r="G102" s="680">
        <f>ROUND(SUM(G100:G101),0)</f>
        <v>-4977690</v>
      </c>
      <c r="H102" s="681"/>
      <c r="I102" s="1553">
        <f>ROUND(SUM(I100:I101),0)</f>
        <v>3555159</v>
      </c>
      <c r="J102" s="268"/>
      <c r="K102" s="241"/>
      <c r="L102" s="241"/>
    </row>
    <row r="103" spans="1:12" x14ac:dyDescent="0.25">
      <c r="A103" s="1613" t="s">
        <v>2298</v>
      </c>
      <c r="B103" s="1614"/>
      <c r="C103" s="1615">
        <f>-BS.PRO!J88</f>
        <v>331121</v>
      </c>
      <c r="D103" s="1615"/>
      <c r="E103" s="1615"/>
      <c r="F103" s="1615"/>
      <c r="G103" s="1615"/>
      <c r="H103" s="1615"/>
      <c r="I103" s="688">
        <f>ROUND(SUM(C103:G103),0)</f>
        <v>331121</v>
      </c>
      <c r="J103" s="268"/>
      <c r="K103" s="241"/>
      <c r="L103" s="241"/>
    </row>
    <row r="104" spans="1:12" x14ac:dyDescent="0.25">
      <c r="A104" s="206" t="s">
        <v>2214</v>
      </c>
      <c r="B104" s="675"/>
      <c r="C104" s="11">
        <v>0</v>
      </c>
      <c r="D104" s="11"/>
      <c r="E104" s="11">
        <v>0</v>
      </c>
      <c r="F104" s="11"/>
      <c r="G104" s="11">
        <f>C91</f>
        <v>-1831200</v>
      </c>
      <c r="H104" s="676"/>
      <c r="I104" s="688">
        <f>ROUND(SUM(C104:G104),0)</f>
        <v>-1831200</v>
      </c>
      <c r="J104" s="9"/>
      <c r="K104" s="11"/>
      <c r="L104" s="11"/>
    </row>
    <row r="105" spans="1:12" x14ac:dyDescent="0.25">
      <c r="A105" s="682" t="s">
        <v>2257</v>
      </c>
      <c r="B105" s="684" t="s">
        <v>90</v>
      </c>
      <c r="C105" s="680">
        <f>ROUND(SUM(C102:C104),0)</f>
        <v>8555220</v>
      </c>
      <c r="D105" s="681" t="s">
        <v>90</v>
      </c>
      <c r="E105" s="680">
        <f>ROUND(SUM(E102:E104),0)</f>
        <v>308750</v>
      </c>
      <c r="F105" s="681" t="s">
        <v>90</v>
      </c>
      <c r="G105" s="680">
        <f>ROUND(SUM(G102:G104),0)</f>
        <v>-6808890</v>
      </c>
      <c r="H105" s="681"/>
      <c r="I105" s="1553">
        <f>ROUND(SUM(I102:I104),0)</f>
        <v>2055080</v>
      </c>
      <c r="J105" s="264"/>
      <c r="K105" s="269"/>
      <c r="L105" s="269"/>
    </row>
    <row r="106" spans="1:12" x14ac:dyDescent="0.25">
      <c r="A106" s="206" t="s">
        <v>2214</v>
      </c>
      <c r="B106" s="675"/>
      <c r="C106" s="11">
        <v>0</v>
      </c>
      <c r="D106" s="11"/>
      <c r="E106" s="11">
        <v>0</v>
      </c>
      <c r="F106" s="11"/>
      <c r="G106" s="11">
        <f>E91</f>
        <v>-1647899</v>
      </c>
      <c r="H106" s="676"/>
      <c r="I106" s="688">
        <f>ROUND(SUM(C106:G106),0)</f>
        <v>-1647899</v>
      </c>
      <c r="J106" s="264"/>
      <c r="K106" s="269"/>
      <c r="L106" s="269"/>
    </row>
    <row r="107" spans="1:12" x14ac:dyDescent="0.25">
      <c r="A107" s="682" t="s">
        <v>2258</v>
      </c>
      <c r="B107" s="684" t="s">
        <v>90</v>
      </c>
      <c r="C107" s="680">
        <f>ROUND(SUM(C105:C106),0)</f>
        <v>8555220</v>
      </c>
      <c r="D107" s="681" t="s">
        <v>90</v>
      </c>
      <c r="E107" s="680">
        <f>ROUND(SUM(E105:E106),0)</f>
        <v>308750</v>
      </c>
      <c r="F107" s="681" t="s">
        <v>90</v>
      </c>
      <c r="G107" s="680">
        <f>ROUND(SUM(G105:G106),0)</f>
        <v>-8456789</v>
      </c>
      <c r="H107" s="681"/>
      <c r="I107" s="1553">
        <f>ROUND(SUM(I105:I106),0)</f>
        <v>407181</v>
      </c>
      <c r="J107" s="264"/>
      <c r="K107" s="269"/>
      <c r="L107" s="269"/>
    </row>
    <row r="108" spans="1:12" x14ac:dyDescent="0.25">
      <c r="A108" s="206" t="s">
        <v>2299</v>
      </c>
      <c r="B108" s="675"/>
      <c r="C108" s="11">
        <v>0</v>
      </c>
      <c r="D108" s="11"/>
      <c r="E108" s="11">
        <v>0</v>
      </c>
      <c r="F108" s="11"/>
      <c r="G108" s="11">
        <f>G91</f>
        <v>336928</v>
      </c>
      <c r="H108" s="676"/>
      <c r="I108" s="688">
        <f>ROUND(SUM(C108:G108),0)</f>
        <v>336928</v>
      </c>
      <c r="J108" s="264"/>
      <c r="K108" s="269"/>
      <c r="L108" s="269"/>
    </row>
    <row r="109" spans="1:12" x14ac:dyDescent="0.25">
      <c r="A109" s="682" t="s">
        <v>2259</v>
      </c>
      <c r="B109" s="684" t="s">
        <v>90</v>
      </c>
      <c r="C109" s="680">
        <f>ROUND(SUM(C107:C108),0)</f>
        <v>8555220</v>
      </c>
      <c r="D109" s="681" t="s">
        <v>90</v>
      </c>
      <c r="E109" s="680">
        <f>ROUND(SUM(E107:E108),0)</f>
        <v>308750</v>
      </c>
      <c r="F109" s="681" t="s">
        <v>90</v>
      </c>
      <c r="G109" s="680">
        <f>ROUND(SUM(G107:G108),0)</f>
        <v>-8119861</v>
      </c>
      <c r="H109" s="681"/>
      <c r="I109" s="1553">
        <f>ROUND(SUM(I107:I108),0)</f>
        <v>744109</v>
      </c>
      <c r="J109" s="264"/>
      <c r="K109" s="269"/>
      <c r="L109" s="269"/>
    </row>
    <row r="110" spans="1:12" x14ac:dyDescent="0.25">
      <c r="A110" s="206" t="s">
        <v>2299</v>
      </c>
      <c r="B110" s="675"/>
      <c r="C110" s="11">
        <v>0</v>
      </c>
      <c r="D110" s="11"/>
      <c r="E110" s="11">
        <v>0</v>
      </c>
      <c r="F110" s="11"/>
      <c r="G110" s="11">
        <f>I91</f>
        <v>5998846</v>
      </c>
      <c r="H110" s="676"/>
      <c r="I110" s="688">
        <f>ROUND(SUM(C110:G110),0)</f>
        <v>5998846</v>
      </c>
      <c r="J110" s="264"/>
      <c r="K110" s="269"/>
      <c r="L110" s="269"/>
    </row>
    <row r="111" spans="1:12" x14ac:dyDescent="0.25">
      <c r="A111" s="682" t="s">
        <v>2260</v>
      </c>
      <c r="B111" s="684" t="s">
        <v>90</v>
      </c>
      <c r="C111" s="680">
        <f>ROUND(SUM(C109:C110),0)</f>
        <v>8555220</v>
      </c>
      <c r="D111" s="681" t="s">
        <v>90</v>
      </c>
      <c r="E111" s="680">
        <f>ROUND(SUM(E109:E110),0)</f>
        <v>308750</v>
      </c>
      <c r="F111" s="681" t="s">
        <v>90</v>
      </c>
      <c r="G111" s="680">
        <f>ROUND(SUM(G109:G110),0)</f>
        <v>-2121015</v>
      </c>
      <c r="H111" s="681"/>
      <c r="I111" s="1553">
        <f>ROUND(SUM(I109:I110),0)</f>
        <v>6742955</v>
      </c>
      <c r="J111" s="264"/>
      <c r="K111" s="269"/>
      <c r="L111" s="269"/>
    </row>
    <row r="112" spans="1:12" x14ac:dyDescent="0.25">
      <c r="A112" s="206" t="s">
        <v>2299</v>
      </c>
      <c r="B112" s="675"/>
      <c r="C112" s="11">
        <v>0</v>
      </c>
      <c r="D112" s="11"/>
      <c r="E112" s="11">
        <v>0</v>
      </c>
      <c r="F112" s="11"/>
      <c r="G112" s="11">
        <f>K91</f>
        <v>11765764</v>
      </c>
      <c r="H112" s="676"/>
      <c r="I112" s="688">
        <f>ROUND(SUM(C112:G112),0)</f>
        <v>11765764</v>
      </c>
      <c r="J112" s="264"/>
      <c r="K112" s="269"/>
      <c r="L112" s="269"/>
    </row>
    <row r="113" spans="1:12" x14ac:dyDescent="0.25">
      <c r="A113" s="682" t="s">
        <v>2261</v>
      </c>
      <c r="B113" s="684" t="s">
        <v>90</v>
      </c>
      <c r="C113" s="680">
        <f>ROUND(SUM(C111:C112),0)</f>
        <v>8555220</v>
      </c>
      <c r="D113" s="681" t="s">
        <v>90</v>
      </c>
      <c r="E113" s="680">
        <f>ROUND(SUM(E111:E112),0)</f>
        <v>308750</v>
      </c>
      <c r="F113" s="681" t="s">
        <v>90</v>
      </c>
      <c r="G113" s="680">
        <f>ROUND(SUM(G111:G112),0)</f>
        <v>9644749</v>
      </c>
      <c r="H113" s="681"/>
      <c r="I113" s="1553">
        <f>ROUND(SUM(I111:I112),0)</f>
        <v>18508719</v>
      </c>
      <c r="J113" s="264"/>
      <c r="K113" s="269"/>
      <c r="L113" s="269"/>
    </row>
    <row r="114" spans="1:12" x14ac:dyDescent="0.25">
      <c r="C114" s="115"/>
      <c r="D114" s="115"/>
      <c r="E114" s="115"/>
      <c r="F114" s="115"/>
      <c r="G114" s="115"/>
      <c r="H114" s="115"/>
    </row>
    <row r="115" spans="1:12" ht="12.6" thickBot="1" x14ac:dyDescent="0.3">
      <c r="A115" s="563" t="s">
        <v>2304</v>
      </c>
      <c r="B115" s="564"/>
      <c r="C115" s="270">
        <f>C105-C42</f>
        <v>0</v>
      </c>
      <c r="D115" s="271"/>
      <c r="E115" s="270">
        <f>E102-E43</f>
        <v>0</v>
      </c>
      <c r="F115" s="270"/>
      <c r="G115" s="270">
        <f>G105-C44</f>
        <v>0</v>
      </c>
      <c r="H115" s="270"/>
      <c r="I115" s="270">
        <f>I105-C45</f>
        <v>0</v>
      </c>
      <c r="J115" s="158"/>
      <c r="K115" s="158"/>
      <c r="L115" s="158"/>
    </row>
    <row r="116" spans="1:12" ht="13.2" thickTop="1" thickBot="1" x14ac:dyDescent="0.3">
      <c r="A116" s="563" t="s">
        <v>2303</v>
      </c>
      <c r="B116" s="564"/>
      <c r="C116" s="270">
        <f>C107-E42</f>
        <v>0</v>
      </c>
      <c r="D116" s="271"/>
      <c r="E116" s="270">
        <f>E107-E43</f>
        <v>0</v>
      </c>
      <c r="F116" s="270"/>
      <c r="G116" s="270">
        <f>G107-E44</f>
        <v>0</v>
      </c>
      <c r="H116" s="270"/>
      <c r="I116" s="270">
        <f>I107-E45</f>
        <v>0</v>
      </c>
      <c r="J116" s="158"/>
      <c r="K116" s="158"/>
      <c r="L116" s="158"/>
    </row>
    <row r="117" spans="1:12" ht="13.2" thickTop="1" thickBot="1" x14ac:dyDescent="0.3">
      <c r="A117" s="563" t="s">
        <v>2302</v>
      </c>
      <c r="B117" s="564"/>
      <c r="C117" s="270">
        <f>C109-G42</f>
        <v>0</v>
      </c>
      <c r="D117" s="271"/>
      <c r="E117" s="270">
        <f>E109-G43</f>
        <v>0</v>
      </c>
      <c r="F117" s="270"/>
      <c r="G117" s="270">
        <f>G109-G44</f>
        <v>0</v>
      </c>
      <c r="H117" s="270"/>
      <c r="I117" s="270">
        <f>I109-G45</f>
        <v>0</v>
      </c>
      <c r="J117" s="158"/>
      <c r="K117" s="158"/>
      <c r="L117" s="158"/>
    </row>
    <row r="118" spans="1:12" ht="13.2" thickTop="1" thickBot="1" x14ac:dyDescent="0.3">
      <c r="A118" s="563" t="s">
        <v>2300</v>
      </c>
      <c r="B118" s="564"/>
      <c r="C118" s="270">
        <f>C111-I42</f>
        <v>0</v>
      </c>
      <c r="D118" s="271"/>
      <c r="E118" s="270">
        <f>E111-I43</f>
        <v>0</v>
      </c>
      <c r="F118" s="270"/>
      <c r="G118" s="270">
        <f>G111-I44</f>
        <v>0</v>
      </c>
      <c r="H118" s="270"/>
      <c r="I118" s="270">
        <f>I111-I45</f>
        <v>0</v>
      </c>
      <c r="J118" s="158"/>
      <c r="K118" s="158"/>
      <c r="L118" s="158"/>
    </row>
    <row r="119" spans="1:12" ht="13.2" thickTop="1" thickBot="1" x14ac:dyDescent="0.3">
      <c r="A119" s="563" t="s">
        <v>2301</v>
      </c>
      <c r="B119" s="564"/>
      <c r="C119" s="270">
        <f>C113-K42</f>
        <v>0</v>
      </c>
      <c r="D119" s="271"/>
      <c r="E119" s="270">
        <f>E113-K43</f>
        <v>0</v>
      </c>
      <c r="F119" s="270"/>
      <c r="G119" s="270">
        <f>G113-K44</f>
        <v>0</v>
      </c>
      <c r="H119" s="270"/>
      <c r="I119" s="270">
        <f>I113-K45</f>
        <v>0</v>
      </c>
      <c r="J119" s="158"/>
      <c r="K119" s="158"/>
      <c r="L119" s="158"/>
    </row>
    <row r="120" spans="1:12" ht="12.6" thickTop="1" x14ac:dyDescent="0.25">
      <c r="A120" s="1625"/>
      <c r="B120" s="1615"/>
      <c r="C120" s="1555"/>
      <c r="D120" s="1556"/>
      <c r="E120" s="1555"/>
      <c r="F120" s="1555"/>
      <c r="G120" s="1555"/>
      <c r="H120" s="1555"/>
      <c r="I120" s="1555"/>
      <c r="J120" s="158"/>
      <c r="K120" s="158"/>
      <c r="L120" s="158"/>
    </row>
    <row r="121" spans="1:12" x14ac:dyDescent="0.25">
      <c r="A121" s="1554"/>
      <c r="B121" s="11"/>
      <c r="C121" s="1555"/>
      <c r="D121" s="1556"/>
      <c r="E121" s="1555"/>
      <c r="F121" s="1555"/>
      <c r="G121" s="1555"/>
      <c r="H121" s="1555"/>
      <c r="I121" s="1555"/>
      <c r="J121" s="158"/>
      <c r="K121" s="158"/>
      <c r="L121" s="158"/>
    </row>
    <row r="122" spans="1:12" ht="14.4" hidden="1" outlineLevel="1" x14ac:dyDescent="0.3">
      <c r="A122" s="674" t="str">
        <f>CFS_Descr</f>
        <v>Statement of Cash Flows</v>
      </c>
      <c r="C122" s="547"/>
      <c r="E122" s="547" t="s">
        <v>414</v>
      </c>
    </row>
    <row r="123" spans="1:12" hidden="1" outlineLevel="1" x14ac:dyDescent="0.25">
      <c r="A123" s="653"/>
      <c r="B123" s="689"/>
      <c r="C123" s="655" t="str">
        <f>TEXT(currentperiod_end_date,"MMMM DD, YYYY")</f>
        <v>June 30, 2025</v>
      </c>
      <c r="D123" s="685"/>
      <c r="E123" s="655" t="str">
        <f>TEXT(comp_period_1,"MMMM DD, YYYY")</f>
        <v>June 30, 2024</v>
      </c>
      <c r="F123" s="424"/>
      <c r="G123" s="156"/>
    </row>
    <row r="124" spans="1:12" hidden="1" outlineLevel="1" x14ac:dyDescent="0.25">
      <c r="A124" s="7" t="s">
        <v>113</v>
      </c>
      <c r="B124" s="9"/>
      <c r="C124" s="9"/>
      <c r="D124" s="9"/>
      <c r="E124" s="9"/>
      <c r="F124" s="9"/>
      <c r="G124" s="9"/>
    </row>
    <row r="125" spans="1:12" hidden="1" outlineLevel="1" x14ac:dyDescent="0.25">
      <c r="A125" s="7" t="s">
        <v>110</v>
      </c>
      <c r="B125" s="425" t="s">
        <v>90</v>
      </c>
      <c r="C125" s="157">
        <f>C90</f>
        <v>-1831200</v>
      </c>
      <c r="D125" s="8" t="s">
        <v>90</v>
      </c>
      <c r="E125" s="1370">
        <f>E90</f>
        <v>-1647899</v>
      </c>
      <c r="F125" s="9"/>
      <c r="G125" s="11"/>
    </row>
    <row r="126" spans="1:12" hidden="1" outlineLevel="1" x14ac:dyDescent="0.25">
      <c r="A126" s="4"/>
      <c r="B126" s="9"/>
      <c r="C126" s="11"/>
      <c r="D126" s="9"/>
      <c r="E126" s="194"/>
      <c r="F126" s="9"/>
      <c r="G126" s="11"/>
    </row>
    <row r="127" spans="1:12" hidden="1" outlineLevel="1" x14ac:dyDescent="0.25">
      <c r="A127" s="43" t="s">
        <v>68</v>
      </c>
      <c r="B127" s="9"/>
      <c r="C127" s="11"/>
      <c r="D127" s="9"/>
      <c r="E127" s="194"/>
      <c r="F127" s="9"/>
      <c r="G127" s="11"/>
    </row>
    <row r="128" spans="1:12" hidden="1" outlineLevel="1" x14ac:dyDescent="0.25">
      <c r="A128" s="4" t="str">
        <f>'BS.1 - F25'!K199</f>
        <v>Depreciation and amortization</v>
      </c>
      <c r="B128" s="9"/>
      <c r="C128" s="698">
        <f>_xlfn.XLOOKUP(A128,'BS.1 - F25'!$K$189:$K$244,'BS.1 - F25'!$L$189:$L$244,0,0,1)</f>
        <v>1256364</v>
      </c>
      <c r="D128" s="9"/>
      <c r="E128" s="194" t="e">
        <f>_xlfn.XLOOKUP(A128,'BS.2 - F24'!$K$191:$K$244,'BS.2 - F24'!$L$191:$L$244,0,0,1)</f>
        <v>#REF!</v>
      </c>
      <c r="F128" s="9"/>
      <c r="G128" s="11"/>
    </row>
    <row r="129" spans="1:7" hidden="1" outlineLevel="1" x14ac:dyDescent="0.25">
      <c r="A129" s="4" t="s">
        <v>37</v>
      </c>
      <c r="B129" s="9"/>
      <c r="C129" s="698">
        <f>_xlfn.XLOOKUP(A129,'BS.1 - F25'!$K$189:$K$244,'BS.1 - F25'!$L$189:$L$244,0,0,1)</f>
        <v>0</v>
      </c>
      <c r="D129" s="9"/>
      <c r="E129" s="194">
        <f>_xlfn.XLOOKUP(A129,'BS.2 - F24'!$K$191:$K$244,'BS.2 - F24'!$L$191:$L$244,0,0,1)</f>
        <v>0</v>
      </c>
      <c r="F129" s="9"/>
      <c r="G129" s="11"/>
    </row>
    <row r="130" spans="1:7" hidden="1" outlineLevel="1" x14ac:dyDescent="0.25">
      <c r="A130" s="4" t="str">
        <f>'BS.1 - F25'!K195</f>
        <v>Accretion expense</v>
      </c>
      <c r="B130" s="9"/>
      <c r="C130" s="698">
        <f>_xlfn.XLOOKUP(A130,'BS.1 - F25'!$K$189:$K$244,'BS.1 - F25'!$L$189:$L$244,0,0,1)</f>
        <v>31957</v>
      </c>
      <c r="D130" s="9"/>
      <c r="E130" s="194">
        <f>_xlfn.XLOOKUP(A130,'BS.2 - F24'!$K$191:$K$244,'BS.2 - F24'!$L$191:$L$244,0,0,1)</f>
        <v>24938</v>
      </c>
      <c r="F130" s="9"/>
      <c r="G130" s="11"/>
    </row>
    <row r="131" spans="1:7" hidden="1" outlineLevel="1" x14ac:dyDescent="0.25">
      <c r="A131" s="4" t="str">
        <f>'BS.1 - F25'!K196</f>
        <v>Interest expense</v>
      </c>
      <c r="B131" s="9"/>
      <c r="C131" s="698">
        <f>_xlfn.XLOOKUP(A131,'BS.1 - F25'!$K$189:$K$244,'BS.1 - F25'!$L$189:$L$244,0,0,1)</f>
        <v>37565</v>
      </c>
      <c r="D131" s="9"/>
      <c r="E131" s="194">
        <f>_xlfn.XLOOKUP(A131,'BS.2 - F24'!$K$191:$K$244,'BS.2 - F24'!$L$191:$L$244,0,0,1)</f>
        <v>30800</v>
      </c>
      <c r="F131" s="9"/>
      <c r="G131" s="11"/>
    </row>
    <row r="132" spans="1:7" hidden="1" outlineLevel="1" x14ac:dyDescent="0.25">
      <c r="A132" s="3" t="str">
        <f>'BS.2 - F24'!K195</f>
        <v>Gain on re-measurement of derivative liability</v>
      </c>
      <c r="C132" s="698">
        <f>_xlfn.XLOOKUP(A132,'BS.1 - F25'!$K$189:$K$244,'BS.1 - F25'!$L$189:$L$244,0,0,1)</f>
        <v>0</v>
      </c>
      <c r="E132" s="194">
        <f>_xlfn.XLOOKUP(A132,'BS.2 - F24'!$K$191:$K$244,'BS.2 - F24'!$L$191:$L$244,0,0,1)</f>
        <v>-75000</v>
      </c>
    </row>
    <row r="133" spans="1:7" hidden="1" outlineLevel="1" x14ac:dyDescent="0.25">
      <c r="A133" s="4"/>
      <c r="B133" s="9"/>
      <c r="C133" s="11"/>
      <c r="D133" s="9"/>
      <c r="E133" s="194"/>
      <c r="F133" s="9"/>
      <c r="G133" s="11"/>
    </row>
    <row r="134" spans="1:7" hidden="1" outlineLevel="1" x14ac:dyDescent="0.25">
      <c r="A134" s="43" t="s">
        <v>114</v>
      </c>
      <c r="B134" s="9"/>
      <c r="C134" s="11"/>
      <c r="D134" s="9"/>
      <c r="E134" s="194"/>
      <c r="F134" s="9"/>
      <c r="G134" s="11"/>
    </row>
    <row r="135" spans="1:7" hidden="1" outlineLevel="1" x14ac:dyDescent="0.25">
      <c r="A135" s="4" t="str">
        <f>'BS.1 - F25'!K203</f>
        <v>Receivables</v>
      </c>
      <c r="B135" s="9"/>
      <c r="C135" s="698">
        <f>_xlfn.XLOOKUP(A135,'BS.1 - F25'!$K$189:$K$244,'BS.1 - F25'!$L$189:$L$244,0,0,1)</f>
        <v>0</v>
      </c>
      <c r="D135" s="9"/>
      <c r="E135" s="194">
        <f>_xlfn.XLOOKUP(A135,'BS.2 - F24'!$K$191:$K$244,'BS.2 - F24'!$L$191:$L$244,0,0,1)</f>
        <v>12375</v>
      </c>
      <c r="F135" s="9"/>
      <c r="G135" s="11"/>
    </row>
    <row r="136" spans="1:7" hidden="1" outlineLevel="1" x14ac:dyDescent="0.25">
      <c r="A136" s="4" t="str">
        <f>'BS.1 - F25'!K204</f>
        <v>Prepaid expenses</v>
      </c>
      <c r="B136" s="9"/>
      <c r="C136" s="698">
        <f>_xlfn.XLOOKUP(A136,'BS.1 - F25'!$K$189:$K$244,'BS.1 - F25'!$L$189:$L$244,0,0,1)</f>
        <v>0</v>
      </c>
      <c r="D136" s="9"/>
      <c r="E136" s="194">
        <f>_xlfn.XLOOKUP(A136,'BS.2 - F24'!$K$191:$K$244,'BS.2 - F24'!$L$191:$L$244,0,0,1)</f>
        <v>2240</v>
      </c>
      <c r="F136" s="9"/>
      <c r="G136" s="11"/>
    </row>
    <row r="137" spans="1:7" hidden="1" outlineLevel="1" x14ac:dyDescent="0.25">
      <c r="A137" s="4" t="str">
        <f>'BS.1 - F25'!K205</f>
        <v>Sales tax receivable</v>
      </c>
      <c r="B137" s="9"/>
      <c r="C137" s="698">
        <f>_xlfn.XLOOKUP(A137,'BS.1 - F25'!$K$189:$K$244,'BS.1 - F25'!$L$189:$L$244,0,0,1)</f>
        <v>-7455</v>
      </c>
      <c r="D137" s="9"/>
      <c r="E137" s="194">
        <f>_xlfn.XLOOKUP(A137,'BS.2 - F24'!$K$191:$K$244,'BS.2 - F24'!$L$191:$L$244,0,0,1)</f>
        <v>-4177</v>
      </c>
      <c r="F137" s="9"/>
      <c r="G137" s="11"/>
    </row>
    <row r="138" spans="1:7" hidden="1" outlineLevel="1" x14ac:dyDescent="0.25">
      <c r="A138" s="4" t="str">
        <f>'BS.1 - F25'!K206</f>
        <v>Inventory</v>
      </c>
      <c r="B138" s="9"/>
      <c r="C138" s="698">
        <f>_xlfn.XLOOKUP(A138,'BS.1 - F25'!$K$189:$K$244,'BS.1 - F25'!$L$189:$L$244,0,0,1)</f>
        <v>291108</v>
      </c>
      <c r="D138" s="9"/>
      <c r="E138" s="194">
        <f>_xlfn.XLOOKUP(A138,'BS.2 - F24'!$K$191:$K$244,'BS.2 - F24'!$L$191:$L$244,0,0,1)</f>
        <v>-54914</v>
      </c>
      <c r="F138" s="9"/>
      <c r="G138" s="11"/>
    </row>
    <row r="139" spans="1:7" hidden="1" outlineLevel="1" x14ac:dyDescent="0.25">
      <c r="A139" s="4" t="s">
        <v>308</v>
      </c>
      <c r="B139" s="9"/>
      <c r="C139" s="698">
        <f>_xlfn.XLOOKUP(A139,'BS.1 - F25'!$K$189:$K$244,'BS.1 - F25'!$L$189:$L$244,0,0,1)</f>
        <v>253485</v>
      </c>
      <c r="D139" s="9"/>
      <c r="E139" s="194">
        <f>_xlfn.XLOOKUP(A139,'BS.2 - F24'!$K$191:$K$244,'BS.2 - F24'!$L$191:$L$244,0,0,1)</f>
        <v>102329</v>
      </c>
      <c r="F139" s="9"/>
      <c r="G139" s="11"/>
    </row>
    <row r="140" spans="1:7" hidden="1" outlineLevel="1" x14ac:dyDescent="0.25">
      <c r="A140" s="4" t="str">
        <f>'SCF.1 - Dec 31, 2022'!K194</f>
        <v>Due from related parties</v>
      </c>
      <c r="B140" s="9"/>
      <c r="C140" s="698">
        <f>_xlfn.XLOOKUP(A140,'BS.1 - F25'!$K$189:$K$244,'BS.1 - F25'!$L$189:$L$244,0,0,1)</f>
        <v>0</v>
      </c>
      <c r="D140" s="9"/>
      <c r="E140" s="194">
        <f>_xlfn.XLOOKUP(A140,'BS.2 - F24'!$K$191:$K$244,'BS.2 - F24'!$L$191:$L$244,0,0,1)</f>
        <v>0</v>
      </c>
      <c r="F140" s="9"/>
      <c r="G140" s="11"/>
    </row>
    <row r="141" spans="1:7" hidden="1" outlineLevel="1" x14ac:dyDescent="0.25">
      <c r="A141" s="4" t="str">
        <f>'SCF.1 - Dec 31, 2022'!K198</f>
        <v>Due to related parties</v>
      </c>
      <c r="B141" s="9"/>
      <c r="C141" s="698">
        <f>_xlfn.XLOOKUP(A141,'BS.1 - F25'!$K$189:$K$244,'BS.1 - F25'!$L$189:$L$244,0,0,1)</f>
        <v>3500</v>
      </c>
      <c r="D141" s="9"/>
      <c r="E141" s="194">
        <f>_xlfn.XLOOKUP(A141,'BS.2 - F24'!$K$191:$K$244,'BS.2 - F24'!$L$191:$L$244,0,0,1)</f>
        <v>938</v>
      </c>
      <c r="F141" s="9"/>
      <c r="G141" s="11"/>
    </row>
    <row r="142" spans="1:7" hidden="1" outlineLevel="1" x14ac:dyDescent="0.25">
      <c r="A142" s="660" t="s">
        <v>11</v>
      </c>
      <c r="B142" s="658" t="s">
        <v>90</v>
      </c>
      <c r="C142" s="707">
        <f>SUM(C125:C141)</f>
        <v>35324</v>
      </c>
      <c r="D142" s="708" t="s">
        <v>90</v>
      </c>
      <c r="E142" s="1372" t="e">
        <f>SUM(E125:E141)</f>
        <v>#REF!</v>
      </c>
      <c r="F142" s="8"/>
      <c r="G142" s="157"/>
    </row>
    <row r="143" spans="1:7" hidden="1" outlineLevel="1" x14ac:dyDescent="0.25">
      <c r="A143" s="7"/>
      <c r="B143" s="9"/>
      <c r="C143" s="11"/>
      <c r="D143" s="9"/>
      <c r="E143" s="194"/>
      <c r="F143" s="9"/>
      <c r="G143" s="11"/>
    </row>
    <row r="144" spans="1:7" hidden="1" outlineLevel="1" x14ac:dyDescent="0.25">
      <c r="A144" s="7" t="s">
        <v>115</v>
      </c>
      <c r="B144" s="9"/>
      <c r="C144" s="11"/>
      <c r="D144" s="9"/>
      <c r="E144" s="194"/>
      <c r="F144" s="9"/>
      <c r="G144" s="11"/>
    </row>
    <row r="145" spans="1:7" hidden="1" outlineLevel="1" x14ac:dyDescent="0.25">
      <c r="A145" s="4" t="str">
        <f>'BS.1 - F25'!K221</f>
        <v>Purchase of equipment</v>
      </c>
      <c r="B145" s="197" t="s">
        <v>90</v>
      </c>
      <c r="C145" s="698">
        <f>_xlfn.XLOOKUP(A145,'BS.1 - F25'!$K$189:$K$244,'BS.1 - F25'!$L$189:$L$244,0,0,1)</f>
        <v>0</v>
      </c>
      <c r="D145" s="9" t="s">
        <v>90</v>
      </c>
      <c r="E145" s="194" t="e">
        <f>_xlfn.XLOOKUP(A145,'BS.2 - F24'!$K$191:$K$244,'BS.2 - F24'!$L$191:$L$244,0,0,1)</f>
        <v>#REF!</v>
      </c>
      <c r="F145" s="9"/>
      <c r="G145" s="11"/>
    </row>
    <row r="146" spans="1:7" hidden="1" outlineLevel="1" x14ac:dyDescent="0.25">
      <c r="A146" s="4" t="str">
        <f>'BS.1 - F25'!K222</f>
        <v>Cash received on acquisition of Hallor Industries Inc.</v>
      </c>
      <c r="B146" s="9"/>
      <c r="C146" s="698">
        <f>_xlfn.XLOOKUP(A146,'BS.1 - F25'!$K$189:$K$244,'BS.1 - F25'!$L$189:$L$244,0,0,1)</f>
        <v>0</v>
      </c>
      <c r="D146" s="9"/>
      <c r="E146" s="194">
        <f>_xlfn.XLOOKUP(A146,'BS.2 - F24'!$K$191:$K$244,'BS.2 - F24'!$L$191:$L$244,0,0,1)</f>
        <v>21130</v>
      </c>
      <c r="F146" s="9"/>
      <c r="G146" s="11"/>
    </row>
    <row r="147" spans="1:7" hidden="1" outlineLevel="1" x14ac:dyDescent="0.25">
      <c r="A147" s="4" t="s">
        <v>509</v>
      </c>
      <c r="B147" s="9"/>
      <c r="C147" s="698">
        <f>_xlfn.XLOOKUP(A147,'BS.1 - F25'!$K$189:$K$244,'BS.1 - F25'!$L$189:$L$244,0,0,1)</f>
        <v>0</v>
      </c>
      <c r="D147" s="9"/>
      <c r="E147" s="194">
        <f>_xlfn.XLOOKUP(A147,'BS.2 - F24'!$K$191:$K$244,'BS.2 - F24'!$L$191:$L$244,0,0,1)</f>
        <v>0</v>
      </c>
      <c r="F147" s="9"/>
      <c r="G147" s="11"/>
    </row>
    <row r="148" spans="1:7" hidden="1" outlineLevel="1" x14ac:dyDescent="0.25">
      <c r="A148" s="660" t="s">
        <v>13</v>
      </c>
      <c r="B148" s="658" t="s">
        <v>90</v>
      </c>
      <c r="C148" s="707">
        <f>SUM(C145:C147)</f>
        <v>0</v>
      </c>
      <c r="D148" s="708" t="s">
        <v>90</v>
      </c>
      <c r="E148" s="1372" t="e">
        <f>SUM(E145:E147)</f>
        <v>#REF!</v>
      </c>
      <c r="F148" s="8"/>
      <c r="G148" s="157"/>
    </row>
    <row r="149" spans="1:7" hidden="1" outlineLevel="1" x14ac:dyDescent="0.25">
      <c r="A149" s="7"/>
      <c r="B149" s="8"/>
      <c r="C149" s="12"/>
      <c r="D149" s="8"/>
      <c r="E149" s="1370"/>
      <c r="F149" s="8"/>
      <c r="G149" s="12"/>
    </row>
    <row r="150" spans="1:7" hidden="1" outlineLevel="1" x14ac:dyDescent="0.25">
      <c r="A150" s="7" t="s">
        <v>116</v>
      </c>
      <c r="B150" s="9"/>
      <c r="C150" s="11"/>
      <c r="D150" s="9"/>
      <c r="E150" s="194"/>
      <c r="F150" s="9"/>
      <c r="G150" s="11"/>
    </row>
    <row r="151" spans="1:7" ht="24" hidden="1" outlineLevel="1" x14ac:dyDescent="0.25">
      <c r="A151" s="4" t="s">
        <v>56</v>
      </c>
      <c r="B151" s="9"/>
      <c r="C151" s="698">
        <f>_xlfn.XLOOKUP(A151,'BS.1 - F25'!$K$189:$K$244,'BS.1 - F25'!$L$189:$L$244,0,0,1)</f>
        <v>0</v>
      </c>
      <c r="D151" s="9"/>
      <c r="E151" s="194">
        <f>_xlfn.XLOOKUP(A151,'BS.2 - F24'!$K$191:$K$244,'BS.2 - F24'!$L$191:$L$244,0,0,1)</f>
        <v>225000</v>
      </c>
      <c r="F151" s="9"/>
      <c r="G151" s="11"/>
    </row>
    <row r="152" spans="1:7" hidden="1" outlineLevel="1" x14ac:dyDescent="0.25">
      <c r="A152" s="4" t="s">
        <v>1954</v>
      </c>
      <c r="B152" s="9"/>
      <c r="C152" s="698">
        <f>_xlfn.XLOOKUP(A152,'BS.1 - F25'!$K$189:$K$244,'BS.1 - F25'!$L$189:$L$244,0,0,1)</f>
        <v>0</v>
      </c>
      <c r="D152" s="9"/>
      <c r="E152" s="194">
        <f>_xlfn.XLOOKUP(A152,'BS.2 - F24'!$K$191:$K$244,'BS.2 - F24'!$L$191:$L$244,0,0,1)</f>
        <v>0</v>
      </c>
      <c r="F152" s="9"/>
      <c r="G152" s="11"/>
    </row>
    <row r="153" spans="1:7" hidden="1" outlineLevel="1" x14ac:dyDescent="0.25">
      <c r="A153" s="660" t="s">
        <v>16</v>
      </c>
      <c r="B153" s="658" t="s">
        <v>90</v>
      </c>
      <c r="C153" s="707">
        <f>SUM(C151:C152)</f>
        <v>0</v>
      </c>
      <c r="D153" s="708" t="s">
        <v>90</v>
      </c>
      <c r="E153" s="1372">
        <f>SUM(E151:E152)</f>
        <v>225000</v>
      </c>
      <c r="F153" s="8"/>
      <c r="G153" s="157"/>
    </row>
    <row r="154" spans="1:7" hidden="1" outlineLevel="1" x14ac:dyDescent="0.25">
      <c r="A154" s="7"/>
      <c r="B154" s="9"/>
      <c r="C154" s="11"/>
      <c r="D154" s="9"/>
      <c r="E154" s="194"/>
      <c r="F154" s="9"/>
      <c r="G154" s="11"/>
    </row>
    <row r="155" spans="1:7" hidden="1" outlineLevel="1" x14ac:dyDescent="0.25">
      <c r="A155" s="4" t="s">
        <v>117</v>
      </c>
      <c r="B155" s="197" t="s">
        <v>90</v>
      </c>
      <c r="C155" s="11">
        <f>SUM(C142,C148,C153)</f>
        <v>35324</v>
      </c>
      <c r="D155" s="9" t="s">
        <v>90</v>
      </c>
      <c r="E155" s="194" t="e">
        <f>SUM(E142,E148,E153)</f>
        <v>#REF!</v>
      </c>
      <c r="F155" s="9"/>
      <c r="G155" s="11"/>
    </row>
    <row r="156" spans="1:7" hidden="1" outlineLevel="1" x14ac:dyDescent="0.25">
      <c r="A156" s="4" t="s">
        <v>118</v>
      </c>
      <c r="B156" s="9"/>
      <c r="C156" s="698">
        <f>SUMIF('IS - F25'!$T$97:$T$145,A156,'IS - F25'!$U$97:$U$145)</f>
        <v>0</v>
      </c>
      <c r="D156" s="9"/>
      <c r="E156" s="194"/>
      <c r="F156" s="9"/>
      <c r="G156" s="11"/>
    </row>
    <row r="157" spans="1:7" hidden="1" outlineLevel="1" x14ac:dyDescent="0.25">
      <c r="A157" s="4" t="s">
        <v>119</v>
      </c>
      <c r="B157" s="9"/>
      <c r="C157" s="698">
        <f>E13</f>
        <v>1813362</v>
      </c>
      <c r="D157" s="9"/>
      <c r="E157" s="194">
        <f>'BS.2 - F24'!L247</f>
        <v>108180</v>
      </c>
      <c r="F157" s="9"/>
      <c r="G157" s="11"/>
    </row>
    <row r="158" spans="1:7" hidden="1" outlineLevel="1" x14ac:dyDescent="0.25">
      <c r="A158" s="660" t="s">
        <v>120</v>
      </c>
      <c r="B158" s="658" t="s">
        <v>90</v>
      </c>
      <c r="C158" s="707">
        <f>SUM(C155:C157)</f>
        <v>1848686</v>
      </c>
      <c r="D158" s="708" t="s">
        <v>90</v>
      </c>
      <c r="E158" s="1372" t="e">
        <f>SUM(E155:E157)</f>
        <v>#REF!</v>
      </c>
      <c r="F158" s="8"/>
      <c r="G158" s="157"/>
    </row>
    <row r="159" spans="1:7" hidden="1" outlineLevel="1" x14ac:dyDescent="0.25"/>
    <row r="160" spans="1:7" ht="12.6" hidden="1" outlineLevel="1" thickBot="1" x14ac:dyDescent="0.3">
      <c r="C160" s="40">
        <f>C158-C13</f>
        <v>-93745</v>
      </c>
      <c r="E160" s="1369" t="e">
        <f>E158-E13</f>
        <v>#REF!</v>
      </c>
      <c r="G160" s="158"/>
    </row>
    <row r="161" spans="6:7" collapsed="1" x14ac:dyDescent="0.25"/>
    <row r="164" spans="6:7" x14ac:dyDescent="0.25">
      <c r="F164" s="9"/>
      <c r="G164" s="11"/>
    </row>
    <row r="199" spans="7:7" x14ac:dyDescent="0.25">
      <c r="G199" s="80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C7F0-04D6-49BE-A166-1F57917AC979}">
  <sheetPr>
    <tabColor rgb="FF00FF99"/>
  </sheetPr>
  <dimension ref="A1:V179"/>
  <sheetViews>
    <sheetView workbookViewId="0">
      <pane xSplit="2" ySplit="8" topLeftCell="C46" activePane="bottomRight" state="frozen"/>
      <selection pane="topRight" activeCell="C1" sqref="C1"/>
      <selection pane="bottomLeft" activeCell="A9" sqref="A9"/>
      <selection pane="bottomRight" activeCell="D4" sqref="D4:E4"/>
    </sheetView>
  </sheetViews>
  <sheetFormatPr defaultColWidth="9.109375" defaultRowHeight="12" outlineLevelRow="1" outlineLevelCol="2" x14ac:dyDescent="0.25"/>
  <cols>
    <col min="1" max="1" width="57.5546875" style="3" bestFit="1" customWidth="1"/>
    <col min="2" max="2" width="2.109375" style="3" customWidth="1"/>
    <col min="3" max="3" width="15.33203125" style="3" customWidth="1"/>
    <col min="4" max="4" width="3.109375" style="3" bestFit="1" customWidth="1"/>
    <col min="5" max="5" width="15.21875" style="3" customWidth="1"/>
    <col min="6" max="6" width="3.109375" style="3" bestFit="1" customWidth="1"/>
    <col min="7" max="7" width="16.21875" style="3" bestFit="1" customWidth="1"/>
    <col min="8" max="8" width="3.109375" style="3" bestFit="1" customWidth="1"/>
    <col min="9" max="9" width="12.88671875" style="3" bestFit="1" customWidth="1"/>
    <col min="10" max="10" width="8.5546875" style="3" customWidth="1"/>
    <col min="11" max="11" width="9.21875" style="3" bestFit="1" customWidth="1"/>
    <col min="12" max="12" width="8.33203125" style="3" bestFit="1" customWidth="1"/>
    <col min="13" max="14" width="9.21875" style="3" bestFit="1" customWidth="1"/>
    <col min="15" max="15" width="83" style="16" hidden="1" customWidth="1" outlineLevel="1"/>
    <col min="16" max="16" width="13" style="3" customWidth="1" collapsed="1"/>
    <col min="17" max="17" width="2.88671875" style="3" bestFit="1" customWidth="1"/>
    <col min="18" max="18" width="5.109375" style="3" customWidth="1"/>
    <col min="19" max="19" width="9.109375" style="3"/>
    <col min="20" max="20" width="16.88671875" style="512" hidden="1" customWidth="1" outlineLevel="2"/>
    <col min="21" max="21" width="16" style="512" hidden="1" customWidth="1" outlineLevel="2"/>
    <col min="22" max="22" width="9.109375" style="3" collapsed="1"/>
    <col min="23" max="16384" width="9.109375" style="3"/>
  </cols>
  <sheetData>
    <row r="1" spans="1:21" ht="18" x14ac:dyDescent="0.25">
      <c r="A1" s="546" t="str">
        <f>company_name</f>
        <v>Consolidated Hallor Group Inc.</v>
      </c>
    </row>
    <row r="2" spans="1:21" ht="18" x14ac:dyDescent="0.35">
      <c r="A2" s="650" t="s">
        <v>315</v>
      </c>
      <c r="I2" s="1000"/>
      <c r="J2" s="6"/>
    </row>
    <row r="3" spans="1:21" x14ac:dyDescent="0.25">
      <c r="I3" s="808"/>
      <c r="J3" s="6"/>
    </row>
    <row r="4" spans="1:21" x14ac:dyDescent="0.25">
      <c r="I4" s="1000"/>
      <c r="J4" s="6"/>
      <c r="K4" s="1001"/>
      <c r="L4" s="1001"/>
    </row>
    <row r="5" spans="1:21" x14ac:dyDescent="0.25">
      <c r="A5" s="554" t="s">
        <v>1959</v>
      </c>
      <c r="C5" s="806">
        <f>C20-C36</f>
        <v>-683160</v>
      </c>
      <c r="E5" s="807">
        <f>E20-E36</f>
        <v>-67788</v>
      </c>
      <c r="I5" s="1000"/>
      <c r="J5" s="6"/>
      <c r="K5" s="1001"/>
      <c r="L5" s="1001"/>
    </row>
    <row r="6" spans="1:21" x14ac:dyDescent="0.25">
      <c r="G6" s="1377"/>
      <c r="I6" s="1000"/>
      <c r="J6" s="6"/>
      <c r="K6" s="1001"/>
      <c r="L6" s="1001"/>
    </row>
    <row r="7" spans="1:21" x14ac:dyDescent="0.25">
      <c r="A7" s="805"/>
      <c r="C7" s="797" t="s">
        <v>646</v>
      </c>
      <c r="D7" s="797"/>
      <c r="E7" s="797" t="s">
        <v>638</v>
      </c>
      <c r="J7" s="202"/>
      <c r="K7" s="130"/>
      <c r="L7" s="130"/>
      <c r="M7" s="272"/>
      <c r="N7" s="272"/>
      <c r="O7" s="267"/>
      <c r="P7" s="272"/>
      <c r="T7" s="418" t="s">
        <v>272</v>
      </c>
      <c r="U7" s="418"/>
    </row>
    <row r="8" spans="1:21" ht="12.6" thickBot="1" x14ac:dyDescent="0.3">
      <c r="A8" s="651"/>
      <c r="B8" s="917"/>
      <c r="C8" s="652" t="str">
        <f>TEXT(currentperiod_end_date, "MMMM DD, YYYY")</f>
        <v>June 30, 2025</v>
      </c>
      <c r="D8" s="917"/>
      <c r="E8" s="652" t="str">
        <f>TEXT(priorperiod_end_date,"MMMM DD, YYYY")</f>
        <v>June 30, 2024</v>
      </c>
      <c r="F8" s="798"/>
      <c r="G8" s="156"/>
      <c r="O8" s="268"/>
      <c r="P8" s="130"/>
      <c r="T8" s="513" t="str">
        <f>C10</f>
        <v>June 30, 2025</v>
      </c>
      <c r="U8" s="513" t="str">
        <f>E10</f>
        <v>June 30, 2024</v>
      </c>
    </row>
    <row r="9" spans="1:21" ht="14.4" x14ac:dyDescent="0.3">
      <c r="A9" s="674" t="str">
        <f>BS_descr</f>
        <v>Statement of Financial Position</v>
      </c>
      <c r="B9" s="3" t="s">
        <v>643</v>
      </c>
      <c r="E9" s="472"/>
    </row>
    <row r="10" spans="1:21" x14ac:dyDescent="0.25">
      <c r="A10" s="653"/>
      <c r="B10" s="654"/>
      <c r="C10" s="655" t="str">
        <f>C8</f>
        <v>June 30, 2025</v>
      </c>
      <c r="D10" s="654"/>
      <c r="E10" s="655" t="str">
        <f>E8</f>
        <v>June 30, 2024</v>
      </c>
      <c r="F10" s="424"/>
      <c r="K10" s="1376" t="s">
        <v>1948</v>
      </c>
      <c r="L10" s="1376" t="s">
        <v>1949</v>
      </c>
      <c r="O10" s="1339" t="s">
        <v>1215</v>
      </c>
    </row>
    <row r="11" spans="1:21" ht="13.2" x14ac:dyDescent="0.25">
      <c r="A11" s="568" t="s">
        <v>8</v>
      </c>
      <c r="B11" s="9"/>
      <c r="C11" s="9"/>
      <c r="D11" s="9"/>
      <c r="E11" s="9"/>
      <c r="F11" s="9"/>
      <c r="K11" s="9"/>
      <c r="L11" s="9"/>
      <c r="O11" s="73"/>
    </row>
    <row r="12" spans="1:21" x14ac:dyDescent="0.25">
      <c r="A12" s="7" t="s">
        <v>89</v>
      </c>
      <c r="B12" s="9"/>
      <c r="C12" s="9"/>
      <c r="D12" s="9"/>
      <c r="E12" s="9"/>
      <c r="F12" s="9"/>
      <c r="K12" s="9"/>
      <c r="L12" s="9"/>
      <c r="O12" s="73"/>
    </row>
    <row r="13" spans="1:21" x14ac:dyDescent="0.25">
      <c r="A13" s="16" t="s">
        <v>451</v>
      </c>
      <c r="B13" s="197" t="s">
        <v>90</v>
      </c>
      <c r="C13" s="565">
        <f>SUMIF('BS.1 - F25'!G:G,FS.1!A13,'BS.1 - F25'!F:F)</f>
        <v>392</v>
      </c>
      <c r="D13" s="197" t="s">
        <v>90</v>
      </c>
      <c r="E13" s="565">
        <f>SUMIF('BS.2 - F24'!G:G,A13,'BS.2 - F24'!F:F)</f>
        <v>5604</v>
      </c>
      <c r="F13" s="30"/>
      <c r="I13" s="804"/>
      <c r="K13" s="30">
        <f t="shared" ref="K13:K19" si="0">C13-E13</f>
        <v>-5212</v>
      </c>
      <c r="L13" s="1366">
        <f>IFERROR(K13/E13,0)</f>
        <v>-0.93004996431120623</v>
      </c>
      <c r="M13" s="265"/>
      <c r="N13" s="265"/>
      <c r="O13" s="73" t="s">
        <v>1956</v>
      </c>
      <c r="P13" s="265"/>
      <c r="T13" s="514">
        <v>201</v>
      </c>
      <c r="U13" s="514">
        <v>101</v>
      </c>
    </row>
    <row r="14" spans="1:21" x14ac:dyDescent="0.25">
      <c r="A14" s="16" t="s">
        <v>22</v>
      </c>
      <c r="B14" s="197"/>
      <c r="C14" s="565">
        <f>SUMIF('BS.1 - F25'!G:G,FS.1!A14,'BS.1 - F25'!F:F)</f>
        <v>0</v>
      </c>
      <c r="D14" s="197"/>
      <c r="E14" s="565">
        <f>SUMIF('BS.2 - F24'!G:G,A14,'BS.2 - F24'!F:F)</f>
        <v>0</v>
      </c>
      <c r="F14" s="30"/>
      <c r="I14" s="804"/>
      <c r="K14" s="30">
        <f t="shared" si="0"/>
        <v>0</v>
      </c>
      <c r="L14" s="1366">
        <f t="shared" ref="L14:L19" si="1">IFERROR(K14/E14,0)</f>
        <v>0</v>
      </c>
      <c r="M14" s="265"/>
      <c r="N14" s="265"/>
      <c r="O14" s="73" t="s">
        <v>1263</v>
      </c>
      <c r="P14" s="265"/>
      <c r="T14" s="514">
        <f>IF(C14&lt;&gt;"",MAX(T$13:T13)+1,"")</f>
        <v>202</v>
      </c>
      <c r="U14" s="514">
        <f>IF(E14&lt;&gt;"",MAX(U$13:U13)+1,"")</f>
        <v>102</v>
      </c>
    </row>
    <row r="15" spans="1:21" x14ac:dyDescent="0.25">
      <c r="A15" s="16" t="s">
        <v>3</v>
      </c>
      <c r="B15" s="197"/>
      <c r="C15" s="565">
        <f>SUMIF('BS.1 - F25'!G:G,FS.1!A15,'BS.1 - F25'!F:F)</f>
        <v>0</v>
      </c>
      <c r="D15" s="197"/>
      <c r="E15" s="565">
        <f>SUMIF('BS.2 - F24'!G:G,A15,'BS.2 - F24'!F:F)</f>
        <v>0</v>
      </c>
      <c r="F15" s="30"/>
      <c r="I15" s="804"/>
      <c r="K15" s="30">
        <f t="shared" si="0"/>
        <v>0</v>
      </c>
      <c r="L15" s="1366">
        <f t="shared" si="1"/>
        <v>0</v>
      </c>
      <c r="M15" s="265"/>
      <c r="N15" s="265"/>
      <c r="O15" s="73"/>
      <c r="P15" s="265"/>
      <c r="T15" s="514">
        <f>IF(C15&lt;&gt;"",MAX(T$13:T14)+1,"")</f>
        <v>203</v>
      </c>
      <c r="U15" s="514">
        <f>IF(E15&lt;&gt;"",MAX(U$13:U14)+1,"")</f>
        <v>103</v>
      </c>
    </row>
    <row r="16" spans="1:21" x14ac:dyDescent="0.25">
      <c r="A16" s="16" t="s">
        <v>618</v>
      </c>
      <c r="B16" s="197"/>
      <c r="C16" s="565">
        <f>SUMIF('BS.1 - F25'!G:G,FS.1!A16,'BS.1 - F25'!F:F)</f>
        <v>37905</v>
      </c>
      <c r="D16" s="197"/>
      <c r="E16" s="565">
        <f>SUMIF('BS.2 - F24'!G:G,A16,'BS.2 - F24'!F:F)</f>
        <v>30450</v>
      </c>
      <c r="F16" s="30"/>
      <c r="K16" s="30">
        <f t="shared" si="0"/>
        <v>7455</v>
      </c>
      <c r="L16" s="1366">
        <f t="shared" si="1"/>
        <v>0.24482758620689654</v>
      </c>
      <c r="M16" s="265"/>
      <c r="N16" s="265"/>
      <c r="O16" s="73"/>
      <c r="P16" s="265"/>
      <c r="T16" s="514">
        <f>IF(C16&lt;&gt;"",MAX(T$13:T15)+1,"")</f>
        <v>204</v>
      </c>
      <c r="U16" s="514">
        <f>IF(E16&lt;&gt;"",MAX(U$13:U15)+1,"")</f>
        <v>104</v>
      </c>
    </row>
    <row r="17" spans="1:21" x14ac:dyDescent="0.25">
      <c r="A17" s="16" t="s">
        <v>29</v>
      </c>
      <c r="B17" s="197"/>
      <c r="C17" s="565">
        <f>SUMIF('BS.1 - F25'!G:G,FS.1!A17,'BS.1 - F25'!F:F)</f>
        <v>161256</v>
      </c>
      <c r="D17" s="197"/>
      <c r="E17" s="565">
        <f>SUMIF('BS.2 - F24'!G:G,A17,'BS.2 - F24'!F:F)</f>
        <v>452364</v>
      </c>
      <c r="F17" s="30"/>
      <c r="K17" s="30">
        <f t="shared" si="0"/>
        <v>-291108</v>
      </c>
      <c r="L17" s="1366">
        <f>IFERROR(K17/E17,1)</f>
        <v>-0.64352601002732313</v>
      </c>
      <c r="M17" s="265"/>
      <c r="N17" s="265"/>
      <c r="O17" s="73" t="s">
        <v>1264</v>
      </c>
      <c r="P17" s="265"/>
      <c r="T17" s="514">
        <f>IF(C17&lt;&gt;"",MAX(T$13:T16)+1,"")</f>
        <v>205</v>
      </c>
      <c r="U17" s="514">
        <f>IF(E17&lt;&gt;"",MAX(U$13:U16)+1,"")</f>
        <v>105</v>
      </c>
    </row>
    <row r="18" spans="1:21" x14ac:dyDescent="0.25">
      <c r="A18" s="16" t="s">
        <v>185</v>
      </c>
      <c r="B18" s="197"/>
      <c r="C18" s="565">
        <f>SUMIF('BS.1 - F25'!G:G,FS.1!A18,'BS.1 - F25'!F:F)</f>
        <v>0</v>
      </c>
      <c r="D18" s="197"/>
      <c r="E18" s="565">
        <f>SUMIF('BS.2 - F24'!G:G,A18,'BS.2 - F24'!F:F)</f>
        <v>0</v>
      </c>
      <c r="F18" s="30"/>
      <c r="K18" s="30">
        <f t="shared" si="0"/>
        <v>0</v>
      </c>
      <c r="L18" s="1366">
        <f t="shared" si="1"/>
        <v>0</v>
      </c>
      <c r="M18" s="265"/>
      <c r="N18" s="265"/>
      <c r="O18" s="73"/>
      <c r="P18" s="265"/>
      <c r="T18" s="514">
        <f>IF(C18&lt;&gt;"",MAX(T$13:T17)+1,"")</f>
        <v>206</v>
      </c>
      <c r="U18" s="514">
        <f>IF(E18&lt;&gt;"",MAX(U$13:U17)+1,"")</f>
        <v>106</v>
      </c>
    </row>
    <row r="19" spans="1:21" x14ac:dyDescent="0.25">
      <c r="A19" s="3" t="s">
        <v>502</v>
      </c>
      <c r="C19" s="565">
        <f>SUMIF('BS.1 - F25'!G:G,FS.1!A19,'BS.1 - F25'!F:F)</f>
        <v>0</v>
      </c>
      <c r="E19" s="565">
        <f>SUMIF('BS.2 - F24'!G:G,A19,'BS.2 - F24'!F:F)</f>
        <v>0</v>
      </c>
      <c r="F19" s="30"/>
      <c r="K19" s="30">
        <f t="shared" si="0"/>
        <v>0</v>
      </c>
      <c r="L19" s="1366">
        <f t="shared" si="1"/>
        <v>0</v>
      </c>
      <c r="M19" s="265"/>
      <c r="N19" s="265"/>
      <c r="O19" s="73" t="s">
        <v>1265</v>
      </c>
      <c r="P19" s="265"/>
      <c r="T19" s="514">
        <f>IF(C19&lt;&gt;"",MAX(T$13:T18)+1,"")</f>
        <v>207</v>
      </c>
      <c r="U19" s="514">
        <f>IF(E19&lt;&gt;"",MAX(U$13:U18)+1,"")</f>
        <v>107</v>
      </c>
    </row>
    <row r="20" spans="1:21" ht="13.2" x14ac:dyDescent="0.25">
      <c r="A20" s="657" t="s">
        <v>92</v>
      </c>
      <c r="B20" s="658" t="s">
        <v>90</v>
      </c>
      <c r="C20" s="659">
        <f>SUM(C13:C19)</f>
        <v>199553</v>
      </c>
      <c r="D20" s="658" t="s">
        <v>90</v>
      </c>
      <c r="E20" s="659">
        <f>SUM(E13:E19)</f>
        <v>488418</v>
      </c>
      <c r="F20" s="263"/>
      <c r="K20" s="1374"/>
      <c r="L20" s="1374"/>
      <c r="O20" s="73"/>
      <c r="T20" s="514"/>
      <c r="U20" s="514"/>
    </row>
    <row r="21" spans="1:21" x14ac:dyDescent="0.25">
      <c r="A21" s="7" t="s">
        <v>93</v>
      </c>
      <c r="B21" s="9"/>
      <c r="C21" s="566"/>
      <c r="D21" s="9"/>
      <c r="E21" s="566"/>
      <c r="F21" s="30"/>
      <c r="K21" s="30"/>
      <c r="L21" s="30"/>
      <c r="O21" s="73"/>
      <c r="T21" s="514"/>
      <c r="U21" s="514"/>
    </row>
    <row r="22" spans="1:21" x14ac:dyDescent="0.25">
      <c r="A22" s="16"/>
      <c r="B22" s="9"/>
      <c r="C22" s="262"/>
      <c r="D22" s="9"/>
      <c r="E22" s="262"/>
      <c r="F22" s="30"/>
      <c r="K22" s="30"/>
      <c r="L22" s="30"/>
      <c r="M22" s="265"/>
      <c r="N22" s="265"/>
      <c r="O22" s="73"/>
      <c r="P22" s="265"/>
      <c r="T22" s="514"/>
      <c r="U22" s="514"/>
    </row>
    <row r="23" spans="1:21" x14ac:dyDescent="0.25">
      <c r="A23" s="16" t="s">
        <v>616</v>
      </c>
      <c r="B23" s="9"/>
      <c r="C23" s="565">
        <f>SUMIF('BS.1 - F25'!G:G,FS.1!A23,'BS.1 - F25'!F:F)</f>
        <v>5341</v>
      </c>
      <c r="D23" s="9"/>
      <c r="E23" s="565">
        <f>SUMIF('BS.2 - F24'!G:G,A23,'BS.2 - F24'!F:F)</f>
        <v>5341</v>
      </c>
      <c r="F23" s="30"/>
      <c r="K23" s="30">
        <f>C23-E23</f>
        <v>0</v>
      </c>
      <c r="L23" s="1366">
        <f>IFERROR(K23/E23,1)</f>
        <v>0</v>
      </c>
      <c r="M23" s="265"/>
      <c r="N23" s="265"/>
      <c r="O23" s="73" t="s">
        <v>1266</v>
      </c>
      <c r="P23" s="265"/>
      <c r="T23" s="514">
        <f>IF(C23&lt;&gt;"",MAX(T$13:T22)+1,"")</f>
        <v>208</v>
      </c>
      <c r="U23" s="514">
        <f>IF(E23&lt;&gt;"",MAX(U$13:U22)+1,"")</f>
        <v>108</v>
      </c>
    </row>
    <row r="24" spans="1:21" x14ac:dyDescent="0.25">
      <c r="A24" s="16" t="s">
        <v>732</v>
      </c>
      <c r="B24" s="9"/>
      <c r="C24" s="565">
        <f>SUMIF('BS.1 - F25'!G:G,FS.1!A24,'BS.1 - F25'!F:F)</f>
        <v>4271442</v>
      </c>
      <c r="D24" s="9"/>
      <c r="E24" s="565">
        <f>SUMIF('BS.2 - F24'!G:G,A24,'BS.2 - F24'!F:F)</f>
        <v>5527806</v>
      </c>
      <c r="F24" s="30"/>
      <c r="K24" s="30">
        <f>C24-E24</f>
        <v>-1256364</v>
      </c>
      <c r="L24" s="1366">
        <f>IFERROR(K24/E24,1)</f>
        <v>-0.22728076925999213</v>
      </c>
      <c r="M24" s="265"/>
      <c r="N24" s="265"/>
      <c r="O24" s="73" t="s">
        <v>1267</v>
      </c>
      <c r="P24" s="265"/>
      <c r="T24" s="514">
        <f>IF(C24&lt;&gt;"",MAX(T$13:T23)+1,"")</f>
        <v>209</v>
      </c>
      <c r="U24" s="514">
        <f>IF(E24&lt;&gt;"",MAX(U$13:U23)+1,"")</f>
        <v>109</v>
      </c>
    </row>
    <row r="25" spans="1:21" x14ac:dyDescent="0.25">
      <c r="A25" s="16" t="s">
        <v>645</v>
      </c>
      <c r="B25" s="9"/>
      <c r="C25" s="565">
        <f>SUMIF('BS.1 - F25'!G:G,FS.1!A25,'BS.1 - F25'!F:F)</f>
        <v>0</v>
      </c>
      <c r="D25" s="9"/>
      <c r="E25" s="565">
        <f>SUMIF('BS.2 - F24'!G:G,A25,'BS.2 - F24'!F:F)</f>
        <v>0</v>
      </c>
      <c r="F25" s="30"/>
      <c r="K25" s="30">
        <f>C25-E25</f>
        <v>0</v>
      </c>
      <c r="L25" s="30"/>
      <c r="M25" s="265"/>
      <c r="N25" s="265"/>
      <c r="O25" s="73"/>
      <c r="P25" s="265"/>
      <c r="T25" s="514"/>
      <c r="U25" s="514"/>
    </row>
    <row r="26" spans="1:21" x14ac:dyDescent="0.25">
      <c r="A26" s="660" t="s">
        <v>95</v>
      </c>
      <c r="B26" s="658" t="s">
        <v>90</v>
      </c>
      <c r="C26" s="659">
        <f>SUM(C23:C25)</f>
        <v>4276783</v>
      </c>
      <c r="D26" s="658" t="s">
        <v>90</v>
      </c>
      <c r="E26" s="659">
        <f>SUM(E23:E25)</f>
        <v>5533147</v>
      </c>
      <c r="F26" s="263"/>
      <c r="K26" s="1374"/>
      <c r="L26" s="1374"/>
      <c r="O26" s="73"/>
      <c r="T26" s="514"/>
      <c r="U26" s="514"/>
    </row>
    <row r="27" spans="1:21" ht="13.2" x14ac:dyDescent="0.25">
      <c r="A27" s="657" t="s">
        <v>314</v>
      </c>
      <c r="B27" s="658" t="s">
        <v>90</v>
      </c>
      <c r="C27" s="659">
        <f>SUM(C20,C26)</f>
        <v>4476336</v>
      </c>
      <c r="D27" s="658" t="s">
        <v>90</v>
      </c>
      <c r="E27" s="659">
        <f>SUM(E20,E26)</f>
        <v>6021565</v>
      </c>
      <c r="F27" s="263"/>
      <c r="K27" s="1374"/>
      <c r="L27" s="1374"/>
      <c r="O27" s="73"/>
      <c r="T27" s="514"/>
    </row>
    <row r="28" spans="1:21" ht="13.2" x14ac:dyDescent="0.25">
      <c r="A28" s="568" t="s">
        <v>96</v>
      </c>
      <c r="B28" s="8"/>
      <c r="C28" s="567"/>
      <c r="D28" s="8"/>
      <c r="E28" s="567"/>
      <c r="F28" s="263"/>
      <c r="K28" s="263"/>
      <c r="L28" s="263"/>
      <c r="O28" s="73"/>
      <c r="T28" s="514"/>
    </row>
    <row r="29" spans="1:21" x14ac:dyDescent="0.25">
      <c r="A29" s="7" t="s">
        <v>97</v>
      </c>
      <c r="B29" s="9"/>
      <c r="C29" s="566"/>
      <c r="D29" s="9"/>
      <c r="E29" s="566"/>
      <c r="F29" s="30"/>
      <c r="K29" s="30"/>
      <c r="L29" s="30"/>
      <c r="O29" s="73"/>
      <c r="T29" s="514"/>
    </row>
    <row r="30" spans="1:21" x14ac:dyDescent="0.25">
      <c r="A30" s="16" t="s">
        <v>308</v>
      </c>
      <c r="B30" s="197"/>
      <c r="C30" s="565">
        <f>-SUMIF('BS.1 - F25'!G:G,FS.1!A30,'BS.1 - F25'!F:F)</f>
        <v>603276</v>
      </c>
      <c r="D30" s="197"/>
      <c r="E30" s="565">
        <f>-SUMIF('BS.2 - F24'!G:G,A30,'BS.2 - F24'!F:F)</f>
        <v>349791</v>
      </c>
      <c r="F30" s="30"/>
      <c r="K30" s="30">
        <f t="shared" ref="K30:K35" si="2">C30-E30</f>
        <v>253485</v>
      </c>
      <c r="L30" s="1366">
        <f>IFERROR(K30/E30,1)</f>
        <v>0.72467559199636356</v>
      </c>
      <c r="M30" s="265"/>
      <c r="N30" s="265"/>
      <c r="O30" s="73" t="s">
        <v>1957</v>
      </c>
      <c r="P30" s="265"/>
      <c r="T30" s="514">
        <f>IF(C30&lt;&gt;"",MAX(T$13:T29)+1,"")</f>
        <v>210</v>
      </c>
      <c r="U30" s="514">
        <f>IF(E30&lt;&gt;"",MAX(U$13:U29)+1,"")</f>
        <v>110</v>
      </c>
    </row>
    <row r="31" spans="1:21" x14ac:dyDescent="0.25">
      <c r="A31" s="16" t="s">
        <v>617</v>
      </c>
      <c r="B31" s="197"/>
      <c r="C31" s="565">
        <f>-SUMIF('BS.1 - F25'!G:G,FS.1!A31,'BS.1 - F25'!F:F)</f>
        <v>0</v>
      </c>
      <c r="D31" s="197"/>
      <c r="E31" s="565">
        <f>-SUMIF('BS.2 - F24'!G:G,A31,'BS.2 - F24'!F:F)</f>
        <v>0</v>
      </c>
      <c r="F31" s="30"/>
      <c r="K31" s="30">
        <f t="shared" si="2"/>
        <v>0</v>
      </c>
      <c r="L31" s="1366">
        <f t="shared" ref="L31" si="3">IFERROR(K31/E31,0)</f>
        <v>0</v>
      </c>
      <c r="M31" s="265"/>
      <c r="N31" s="265"/>
      <c r="O31" s="73"/>
      <c r="P31" s="265"/>
      <c r="T31" s="514">
        <f>IF(C31&lt;&gt;"",MAX(T$13:T30)+1,"")</f>
        <v>211</v>
      </c>
      <c r="U31" s="514">
        <f>IF(E31&lt;&gt;"",MAX(U$13:U30)+1,"")</f>
        <v>111</v>
      </c>
    </row>
    <row r="32" spans="1:21" x14ac:dyDescent="0.25">
      <c r="A32" s="16" t="s">
        <v>677</v>
      </c>
      <c r="B32" s="197"/>
      <c r="C32" s="565">
        <f>-SUMIF('BS.1 - F25'!G:G,FS.1!A32,'BS.1 - F25'!F:F)</f>
        <v>274099</v>
      </c>
      <c r="D32" s="197"/>
      <c r="E32" s="565">
        <f>-SUMIF('BS.2 - F24'!G:G,A32,'BS.2 - F24'!F:F)</f>
        <v>204577</v>
      </c>
      <c r="F32" s="30"/>
      <c r="K32" s="30">
        <f t="shared" si="2"/>
        <v>69522</v>
      </c>
      <c r="L32" s="1366">
        <f>IFERROR(K32/E32,1)</f>
        <v>0.33983292354467998</v>
      </c>
      <c r="M32" s="265"/>
      <c r="N32" s="265"/>
      <c r="O32" s="73" t="s">
        <v>1958</v>
      </c>
      <c r="P32" s="265"/>
      <c r="T32" s="514">
        <f>IF(C32&lt;&gt;"",MAX(T$13:T31)+1,"")</f>
        <v>212</v>
      </c>
      <c r="U32" s="514">
        <f>IF(E32&lt;&gt;"",MAX(U$13:U31)+1,"")</f>
        <v>112</v>
      </c>
    </row>
    <row r="33" spans="1:21" x14ac:dyDescent="0.25">
      <c r="A33" s="16" t="s">
        <v>686</v>
      </c>
      <c r="B33" s="197"/>
      <c r="C33" s="565">
        <f>-SUMIF('BS.1 - F25'!G:G,FS.1!A33,'BS.1 - F25'!F:F)</f>
        <v>0</v>
      </c>
      <c r="D33" s="197"/>
      <c r="E33" s="565">
        <f>-SUMIF('BS.2 - F24'!G:G,A33,'BS.2 - F24'!F:F)</f>
        <v>0</v>
      </c>
      <c r="F33" s="30"/>
      <c r="K33" s="30">
        <f t="shared" si="2"/>
        <v>0</v>
      </c>
      <c r="L33" s="1366">
        <f>IFERROR(K33/E33,1)</f>
        <v>1</v>
      </c>
      <c r="M33" s="265"/>
      <c r="N33" s="265"/>
      <c r="O33" s="73" t="s">
        <v>1268</v>
      </c>
      <c r="P33" s="265"/>
      <c r="T33" s="514">
        <f>IF(C33&lt;&gt;"",MAX(T$13:T32)+1,"")</f>
        <v>213</v>
      </c>
      <c r="U33" s="514">
        <f>IF(E33&lt;&gt;"",MAX(U$13:U32)+1,"")</f>
        <v>113</v>
      </c>
    </row>
    <row r="34" spans="1:21" x14ac:dyDescent="0.25">
      <c r="A34" s="16" t="s">
        <v>192</v>
      </c>
      <c r="B34" s="197"/>
      <c r="C34" s="565">
        <f>-SUMIF('BS.1 - F25'!G:G,FS.1!A34,'BS.1 - F25'!F:F)</f>
        <v>0</v>
      </c>
      <c r="D34" s="197"/>
      <c r="E34" s="565">
        <f>-SUMIF('BS.2 - F24'!G:G,A34,'BS.2 - F24'!F:F)</f>
        <v>0</v>
      </c>
      <c r="F34" s="30"/>
      <c r="K34" s="30">
        <f t="shared" si="2"/>
        <v>0</v>
      </c>
      <c r="L34" s="1366">
        <f t="shared" ref="L34:L35" si="4">IFERROR(K34/E34,0)</f>
        <v>0</v>
      </c>
      <c r="M34" s="265"/>
      <c r="N34" s="265"/>
      <c r="O34" s="73"/>
      <c r="P34" s="265"/>
      <c r="T34" s="514">
        <f>IF(C34&lt;&gt;"",MAX(T$13:T33)+1,"")</f>
        <v>214</v>
      </c>
      <c r="U34" s="514">
        <f>IF(E34&lt;&gt;"",MAX(U$13:U33)+1,"")</f>
        <v>114</v>
      </c>
    </row>
    <row r="35" spans="1:21" x14ac:dyDescent="0.25">
      <c r="A35" s="569" t="s">
        <v>100</v>
      </c>
      <c r="B35" s="571"/>
      <c r="C35" s="724">
        <f>-SUMIF('BS.1 - F25'!G:G,FS.1!A35,'BS.1 - F25'!F:F)</f>
        <v>5338</v>
      </c>
      <c r="D35" s="571"/>
      <c r="E35" s="724">
        <f>-SUMIF('BS.2 - F24'!G:G,A35,'BS.2 - F24'!F:F)</f>
        <v>1838</v>
      </c>
      <c r="F35" s="30"/>
      <c r="K35" s="30">
        <f t="shared" si="2"/>
        <v>3500</v>
      </c>
      <c r="L35" s="1366">
        <f t="shared" si="4"/>
        <v>1.9042437431991295</v>
      </c>
      <c r="M35" s="265"/>
      <c r="N35" s="265"/>
      <c r="O35" s="73"/>
      <c r="P35" s="265"/>
      <c r="T35" s="514">
        <f>IF(C35&lt;&gt;"",MAX(T$13:T34)+1,"")</f>
        <v>215</v>
      </c>
      <c r="U35" s="514">
        <f>IF(E35&lt;&gt;"",MAX(U$13:U34)+1,"")</f>
        <v>115</v>
      </c>
    </row>
    <row r="36" spans="1:21" ht="13.2" x14ac:dyDescent="0.25">
      <c r="A36" s="661" t="s">
        <v>101</v>
      </c>
      <c r="B36" s="662" t="s">
        <v>90</v>
      </c>
      <c r="C36" s="663">
        <f>SUM(C30:C35)</f>
        <v>882713</v>
      </c>
      <c r="D36" s="662" t="s">
        <v>90</v>
      </c>
      <c r="E36" s="663">
        <f>SUM(E30:E35)</f>
        <v>556206</v>
      </c>
      <c r="F36" s="263"/>
      <c r="K36" s="1374"/>
      <c r="L36" s="1374"/>
      <c r="O36" s="73"/>
    </row>
    <row r="37" spans="1:21" x14ac:dyDescent="0.25">
      <c r="A37" s="7" t="s">
        <v>102</v>
      </c>
      <c r="B37" s="9"/>
      <c r="C37" s="566"/>
      <c r="D37" s="9"/>
      <c r="E37" s="566"/>
      <c r="F37" s="30"/>
      <c r="K37" s="30"/>
      <c r="L37" s="30"/>
      <c r="O37" s="73"/>
    </row>
    <row r="38" spans="1:21" x14ac:dyDescent="0.25">
      <c r="A38" s="16" t="s">
        <v>30</v>
      </c>
      <c r="B38" s="197"/>
      <c r="C38" s="565">
        <f>-SUMIF('BS.1 - F25'!G:G,FS.1!A38,'BS.1 - F25'!F:F)</f>
        <v>0</v>
      </c>
      <c r="D38" s="197"/>
      <c r="E38" s="565">
        <f>-SUMIF('BS.2 - F24'!G:G,A38,'BS.2 - F24'!F:F)</f>
        <v>0</v>
      </c>
      <c r="F38" s="30"/>
      <c r="K38" s="30">
        <f>C38-E38</f>
        <v>0</v>
      </c>
      <c r="L38" s="1366">
        <f t="shared" ref="L38" si="5">IFERROR(K38/E38,0)</f>
        <v>0</v>
      </c>
      <c r="O38" s="73"/>
    </row>
    <row r="39" spans="1:21" ht="13.2" x14ac:dyDescent="0.25">
      <c r="A39" s="657" t="s">
        <v>313</v>
      </c>
      <c r="B39" s="658" t="s">
        <v>90</v>
      </c>
      <c r="C39" s="659">
        <f>SUM(C36:C38)</f>
        <v>882713</v>
      </c>
      <c r="D39" s="658" t="s">
        <v>90</v>
      </c>
      <c r="E39" s="659">
        <f>SUM(E36:E38)</f>
        <v>556206</v>
      </c>
      <c r="F39" s="263"/>
      <c r="K39" s="1374"/>
      <c r="L39" s="1374"/>
      <c r="O39" s="73"/>
    </row>
    <row r="40" spans="1:21" ht="13.2" x14ac:dyDescent="0.25">
      <c r="A40" s="568" t="s">
        <v>103</v>
      </c>
      <c r="B40" s="9"/>
      <c r="C40" s="566"/>
      <c r="D40" s="9"/>
      <c r="E40" s="566"/>
      <c r="F40" s="30"/>
      <c r="K40" s="30"/>
      <c r="L40" s="30"/>
      <c r="O40" s="73"/>
    </row>
    <row r="41" spans="1:21" x14ac:dyDescent="0.25">
      <c r="A41" s="4" t="s">
        <v>5</v>
      </c>
      <c r="B41" s="197" t="s">
        <v>90</v>
      </c>
      <c r="C41" s="565">
        <f>-SUMIF('BS.1 - F25'!G:G,FS.1!A41,'BS.1 - F25'!F:F)</f>
        <v>8224099</v>
      </c>
      <c r="D41" s="197" t="s">
        <v>90</v>
      </c>
      <c r="E41" s="565">
        <f>-SUMIF('BS.2 - F24'!G:G,A41,'BS.2 - F24'!F:F)</f>
        <v>8224099</v>
      </c>
      <c r="F41" s="30"/>
      <c r="K41" s="30">
        <f>C41-E41</f>
        <v>0</v>
      </c>
      <c r="L41" s="1366">
        <f t="shared" ref="L41:L43" si="6">IFERROR(K41/E41,0)</f>
        <v>0</v>
      </c>
      <c r="M41" s="265"/>
      <c r="N41" s="265"/>
      <c r="O41" s="73" t="s">
        <v>1269</v>
      </c>
      <c r="P41" s="265"/>
      <c r="T41" s="514">
        <f>IF(C41&lt;&gt;"",MAX(T$13:T40)+1,"")</f>
        <v>216</v>
      </c>
      <c r="U41" s="514">
        <f>IF(E41&lt;&gt;"",MAX(U$13:U40)+1,"")</f>
        <v>116</v>
      </c>
    </row>
    <row r="42" spans="1:21" x14ac:dyDescent="0.25">
      <c r="A42" s="4" t="s">
        <v>6</v>
      </c>
      <c r="B42" s="197"/>
      <c r="C42" s="565">
        <f>-SUMIF('BS.1 - F25'!G:G,FS.1!A42,'BS.1 - F25'!F:F)</f>
        <v>308750</v>
      </c>
      <c r="D42" s="197"/>
      <c r="E42" s="565">
        <f>-SUMIF('BS.2 - F24'!G:G,A42,'BS.2 - F24'!F:F)</f>
        <v>308750</v>
      </c>
      <c r="F42" s="30"/>
      <c r="K42" s="30">
        <f>C42-E42</f>
        <v>0</v>
      </c>
      <c r="L42" s="1366">
        <f t="shared" si="6"/>
        <v>0</v>
      </c>
      <c r="M42" s="265"/>
      <c r="N42" s="265"/>
      <c r="O42" s="73"/>
      <c r="P42" s="265"/>
      <c r="T42" s="514">
        <f>IF(C42&lt;&gt;"",MAX(T$13:T41)+1,"")</f>
        <v>217</v>
      </c>
      <c r="U42" s="514">
        <f>IF(E42&lt;&gt;"",MAX(U$13:U41)+1,"")</f>
        <v>117</v>
      </c>
    </row>
    <row r="43" spans="1:21" x14ac:dyDescent="0.25">
      <c r="A43" s="4" t="s">
        <v>403</v>
      </c>
      <c r="B43" s="9"/>
      <c r="C43" s="565">
        <f>-SUMIF('BS.1 - F25'!I:I,FS.1!A43,'BS.1 - F25'!F:F)</f>
        <v>-4939226</v>
      </c>
      <c r="D43" s="9"/>
      <c r="E43" s="565" t="e">
        <f>-SUMIF('BS.2 - F24'!I:I,FS.1!A43,'BS.2 - F24'!F:F)</f>
        <v>#REF!</v>
      </c>
      <c r="F43" s="30"/>
      <c r="I43" s="115"/>
      <c r="K43" s="30" t="e">
        <f>C43-E43</f>
        <v>#REF!</v>
      </c>
      <c r="L43" s="1366">
        <f t="shared" si="6"/>
        <v>0</v>
      </c>
      <c r="M43" s="265"/>
      <c r="N43" s="265"/>
      <c r="O43" s="73" t="s">
        <v>1270</v>
      </c>
      <c r="P43" s="265"/>
      <c r="T43" s="514">
        <f>IF(C43&lt;&gt;"",MAX(T$13:T42)+1,"")</f>
        <v>218</v>
      </c>
      <c r="U43" s="514" t="e">
        <f>IF(E43&lt;&gt;"",MAX(U$13:U42)+1,"")</f>
        <v>#REF!</v>
      </c>
    </row>
    <row r="44" spans="1:21" ht="13.2" x14ac:dyDescent="0.25">
      <c r="A44" s="657" t="s">
        <v>311</v>
      </c>
      <c r="B44" s="658" t="s">
        <v>90</v>
      </c>
      <c r="C44" s="659">
        <f>SUM(C41:C43)</f>
        <v>3593623</v>
      </c>
      <c r="D44" s="658" t="s">
        <v>90</v>
      </c>
      <c r="E44" s="659" t="e">
        <f>SUM(E41:E43)</f>
        <v>#REF!</v>
      </c>
      <c r="F44" s="263"/>
      <c r="J44" s="1006"/>
      <c r="K44" s="1374"/>
      <c r="L44" s="1374"/>
    </row>
    <row r="45" spans="1:21" ht="13.2" x14ac:dyDescent="0.25">
      <c r="A45" s="657" t="s">
        <v>310</v>
      </c>
      <c r="B45" s="658" t="s">
        <v>90</v>
      </c>
      <c r="C45" s="659">
        <f>SUM(C44:C44)</f>
        <v>3593623</v>
      </c>
      <c r="D45" s="658" t="s">
        <v>90</v>
      </c>
      <c r="E45" s="659" t="e">
        <f>SUM(E44:E44)</f>
        <v>#REF!</v>
      </c>
      <c r="F45" s="263"/>
      <c r="J45" s="1006"/>
      <c r="K45" s="1374"/>
      <c r="L45" s="1374"/>
    </row>
    <row r="46" spans="1:21" ht="13.2" x14ac:dyDescent="0.25">
      <c r="A46" s="657" t="s">
        <v>312</v>
      </c>
      <c r="B46" s="658" t="s">
        <v>90</v>
      </c>
      <c r="C46" s="659">
        <f>SUM(C39,C45)</f>
        <v>4476336</v>
      </c>
      <c r="D46" s="658" t="s">
        <v>90</v>
      </c>
      <c r="E46" s="659" t="e">
        <f>SUM(E39,E45)</f>
        <v>#REF!</v>
      </c>
      <c r="F46" s="263"/>
      <c r="J46" s="1006"/>
      <c r="K46" s="1374"/>
      <c r="L46" s="1374"/>
    </row>
    <row r="47" spans="1:21" x14ac:dyDescent="0.25">
      <c r="A47" s="4"/>
      <c r="B47" s="432"/>
      <c r="C47" s="263"/>
      <c r="D47" s="432"/>
      <c r="E47" s="263"/>
      <c r="F47" s="30"/>
      <c r="G47" s="30"/>
      <c r="J47" s="1006"/>
    </row>
    <row r="48" spans="1:21" ht="12.6" thickBot="1" x14ac:dyDescent="0.3">
      <c r="A48" s="976" t="s">
        <v>1198</v>
      </c>
      <c r="B48" s="564"/>
      <c r="C48" s="40">
        <f>C27-C46</f>
        <v>0</v>
      </c>
      <c r="D48" s="564"/>
      <c r="E48" s="40" t="e">
        <f>E27-E46</f>
        <v>#REF!</v>
      </c>
      <c r="F48" s="11"/>
      <c r="G48" s="11"/>
      <c r="J48" s="1006"/>
    </row>
    <row r="49" spans="1:16" ht="12.6" thickTop="1" x14ac:dyDescent="0.25">
      <c r="F49" s="11"/>
      <c r="G49" s="158"/>
      <c r="J49" s="1006"/>
    </row>
    <row r="50" spans="1:16" ht="18" x14ac:dyDescent="0.25">
      <c r="A50" s="546" t="str">
        <f>company_name</f>
        <v>Consolidated Hallor Group Inc.</v>
      </c>
      <c r="F50" s="16"/>
      <c r="J50" s="1006"/>
      <c r="P50" s="472"/>
    </row>
    <row r="51" spans="1:16" x14ac:dyDescent="0.25">
      <c r="B51" s="16"/>
      <c r="C51" s="547"/>
      <c r="D51" s="547"/>
      <c r="E51" s="547"/>
      <c r="J51" s="1006"/>
      <c r="K51" s="472"/>
      <c r="L51" s="472"/>
      <c r="M51" s="472"/>
      <c r="N51" s="472"/>
      <c r="O51" s="725"/>
    </row>
    <row r="52" spans="1:16" ht="14.4" x14ac:dyDescent="0.3">
      <c r="A52" s="674" t="str">
        <f>IS_Descr</f>
        <v>Statement of Loss and Comprehensive Loss</v>
      </c>
      <c r="C52" s="725" t="s">
        <v>334</v>
      </c>
      <c r="D52" s="725"/>
      <c r="E52" s="725" t="str">
        <f>C52</f>
        <v>3 months</v>
      </c>
      <c r="F52" s="16"/>
      <c r="G52" s="725" t="str">
        <f>_xlfn.XLOOKUP(INPUTS!$B$3,INPUTS!$A$16:$A$19,INPUTS!$B$16:$B$19,"n/a",0,1)</f>
        <v>year ended</v>
      </c>
      <c r="H52" s="725"/>
      <c r="I52" s="725" t="str">
        <f>G52</f>
        <v>year ended</v>
      </c>
      <c r="K52" s="1376" t="s">
        <v>1948</v>
      </c>
      <c r="L52" s="1376" t="s">
        <v>1949</v>
      </c>
      <c r="M52" s="1376" t="s">
        <v>1948</v>
      </c>
      <c r="N52" s="1376" t="s">
        <v>1949</v>
      </c>
      <c r="P52" s="1006"/>
    </row>
    <row r="53" spans="1:16" x14ac:dyDescent="0.25">
      <c r="A53" s="726"/>
      <c r="B53" s="727"/>
      <c r="C53" s="728" t="str">
        <f>C8</f>
        <v>June 30, 2025</v>
      </c>
      <c r="D53" s="729"/>
      <c r="E53" s="728" t="str">
        <f>TEXT(comp_period_1,"MMMM DD, YYYY")</f>
        <v>June 30, 2024</v>
      </c>
      <c r="F53" s="727"/>
      <c r="G53" s="728" t="str" cm="1">
        <f>C53</f>
        <v>June 30, 2025</v>
      </c>
      <c r="H53" s="729"/>
      <c r="I53" s="728" t="str">
        <f>E53</f>
        <v>June 30, 2024</v>
      </c>
      <c r="K53" s="1375" t="s">
        <v>334</v>
      </c>
      <c r="L53" s="1375" t="str">
        <f>K53</f>
        <v>3 months</v>
      </c>
      <c r="M53" s="1375" t="str">
        <f>G52</f>
        <v>year ended</v>
      </c>
      <c r="N53" s="1375" t="str">
        <f>M53</f>
        <v>year ended</v>
      </c>
      <c r="O53" s="1339" t="s">
        <v>1215</v>
      </c>
    </row>
    <row r="54" spans="1:16" x14ac:dyDescent="0.25">
      <c r="A54" s="3" t="s">
        <v>189</v>
      </c>
      <c r="B54" s="552" t="s">
        <v>90</v>
      </c>
      <c r="C54" s="565"/>
      <c r="D54" s="552" t="s">
        <v>90</v>
      </c>
      <c r="E54" s="565"/>
      <c r="F54" s="552" t="s">
        <v>90</v>
      </c>
      <c r="G54" s="565">
        <f>-SUMIF('BS.1 - F25'!G:G,A54,'BS.1 - F25'!F:F)</f>
        <v>360000</v>
      </c>
      <c r="H54" s="552" t="s">
        <v>90</v>
      </c>
      <c r="I54" s="565">
        <f>-SUMIF('BS.2 - F24'!G:G,FS.1!A54,'BS.2 - F24'!F:F)</f>
        <v>0</v>
      </c>
      <c r="K54" s="30">
        <f>C54-E54</f>
        <v>0</v>
      </c>
      <c r="L54" s="1366">
        <f>IFERROR(K54/E54,0)</f>
        <v>0</v>
      </c>
      <c r="M54" s="804">
        <f>G54-I54</f>
        <v>360000</v>
      </c>
      <c r="N54" s="1366">
        <f>IFERROR(M54/I54,0)</f>
        <v>0</v>
      </c>
      <c r="O54" s="73" t="s">
        <v>1219</v>
      </c>
    </row>
    <row r="55" spans="1:16" x14ac:dyDescent="0.25">
      <c r="A55" s="3" t="s">
        <v>244</v>
      </c>
      <c r="B55" s="149"/>
      <c r="C55" s="565"/>
      <c r="D55" s="149"/>
      <c r="E55" s="565"/>
      <c r="F55" s="149"/>
      <c r="G55" s="565">
        <f>-SUMIF('BS.1 - F25'!G:G,A55,'BS.1 - F25'!F:F)</f>
        <v>-328158</v>
      </c>
      <c r="H55" s="549"/>
      <c r="I55" s="565">
        <f>-SUMIF('BS.2 - F24'!G:G,FS.1!A55,'BS.2 - F24'!F:F)</f>
        <v>0</v>
      </c>
      <c r="K55" s="30">
        <f>G55-I55</f>
        <v>-328158</v>
      </c>
      <c r="L55" s="1366">
        <f>IFERROR(K55/E55,0)</f>
        <v>0</v>
      </c>
      <c r="M55" s="804">
        <f>G55-I55</f>
        <v>-328158</v>
      </c>
      <c r="N55" s="1366">
        <f>IFERROR(M55/I55,0)</f>
        <v>0</v>
      </c>
      <c r="O55" s="73" t="s">
        <v>1219</v>
      </c>
    </row>
    <row r="56" spans="1:16" x14ac:dyDescent="0.25">
      <c r="A56" s="1466" t="s">
        <v>678</v>
      </c>
      <c r="B56" s="669" t="s">
        <v>90</v>
      </c>
      <c r="C56" s="670"/>
      <c r="D56" s="669" t="s">
        <v>90</v>
      </c>
      <c r="E56" s="670"/>
      <c r="F56" s="669" t="s">
        <v>90</v>
      </c>
      <c r="G56" s="670">
        <f>SUM(G54:G55)</f>
        <v>31842</v>
      </c>
      <c r="H56" s="669" t="s">
        <v>90</v>
      </c>
      <c r="I56" s="670">
        <f>SUM(I54:I55)</f>
        <v>0</v>
      </c>
      <c r="K56" s="754">
        <f>SUM(K54:K55)</f>
        <v>-328158</v>
      </c>
      <c r="L56" s="1367"/>
      <c r="M56" s="754">
        <f>SUM(M54:M55)</f>
        <v>31842</v>
      </c>
      <c r="N56" s="548"/>
      <c r="O56" s="73"/>
    </row>
    <row r="57" spans="1:16" x14ac:dyDescent="0.25">
      <c r="A57" s="6"/>
      <c r="B57" s="149"/>
      <c r="C57" s="548"/>
      <c r="D57" s="149"/>
      <c r="E57" s="548"/>
      <c r="F57" s="149"/>
      <c r="G57" s="548"/>
      <c r="H57" s="549"/>
      <c r="I57" s="548"/>
      <c r="L57" s="1368"/>
      <c r="O57" s="73"/>
    </row>
    <row r="58" spans="1:16" x14ac:dyDescent="0.25">
      <c r="A58" s="558" t="s">
        <v>296</v>
      </c>
      <c r="B58" s="551"/>
      <c r="C58" s="550"/>
      <c r="D58" s="551"/>
      <c r="E58" s="550"/>
      <c r="F58" s="551"/>
      <c r="G58" s="550"/>
      <c r="H58" s="550"/>
      <c r="I58" s="550"/>
      <c r="L58" s="1368"/>
      <c r="O58" s="73"/>
    </row>
    <row r="59" spans="1:16" x14ac:dyDescent="0.25">
      <c r="A59" s="559" t="s">
        <v>35</v>
      </c>
      <c r="B59" s="552" t="s">
        <v>90</v>
      </c>
      <c r="C59" s="565"/>
      <c r="D59" s="552" t="s">
        <v>90</v>
      </c>
      <c r="E59" s="565"/>
      <c r="F59" s="552" t="s">
        <v>90</v>
      </c>
      <c r="G59" s="565">
        <f>SUMIF('BS.1 - F25'!G:G,A59,'BS.1 - F25'!F:F)</f>
        <v>1755445</v>
      </c>
      <c r="H59" s="148" t="s">
        <v>90</v>
      </c>
      <c r="I59" s="565" t="e">
        <f>SUMIF('BS.2 - F24'!G:G,FS.1!A59,'BS.2 - F24'!F:F)</f>
        <v>#REF!</v>
      </c>
      <c r="K59" s="30">
        <f>C59-E59</f>
        <v>0</v>
      </c>
      <c r="L59" s="1366">
        <f>IFERROR(K59/E59,0)</f>
        <v>0</v>
      </c>
      <c r="M59" s="804" t="e">
        <f>G59-I59</f>
        <v>#REF!</v>
      </c>
      <c r="N59" s="1366">
        <f>IFERROR(M59/I59,0)</f>
        <v>0</v>
      </c>
      <c r="O59" s="73" t="s">
        <v>1275</v>
      </c>
    </row>
    <row r="60" spans="1:16" x14ac:dyDescent="0.25">
      <c r="A60" s="560" t="s">
        <v>36</v>
      </c>
      <c r="B60" s="551"/>
      <c r="C60" s="565"/>
      <c r="D60" s="551"/>
      <c r="E60" s="565"/>
      <c r="F60" s="551"/>
      <c r="G60" s="565">
        <f>SUMIF('BS.1 - F25'!G:G,A60,'BS.1 - F25'!F:F)</f>
        <v>70958</v>
      </c>
      <c r="H60" s="550"/>
      <c r="I60" s="565" t="e">
        <f>SUMIF('BS.2 - F24'!G:G,FS.1!A60,'BS.2 - F24'!F:F)</f>
        <v>#REF!</v>
      </c>
      <c r="K60" s="30">
        <f>C60-E60</f>
        <v>0</v>
      </c>
      <c r="L60" s="1366">
        <f>IFERROR(K60/E60,1)</f>
        <v>1</v>
      </c>
      <c r="M60" s="804" t="e">
        <f>G60-I60</f>
        <v>#REF!</v>
      </c>
      <c r="N60" s="1366">
        <f>IFERROR(M60/I60,0)</f>
        <v>0</v>
      </c>
      <c r="O60" s="73" t="s">
        <v>1218</v>
      </c>
    </row>
    <row r="61" spans="1:16" x14ac:dyDescent="0.25">
      <c r="A61" s="668" t="s">
        <v>297</v>
      </c>
      <c r="B61" s="669" t="s">
        <v>90</v>
      </c>
      <c r="C61" s="670">
        <f>-SUM(C59:C60)</f>
        <v>0</v>
      </c>
      <c r="D61" s="669" t="s">
        <v>90</v>
      </c>
      <c r="E61" s="670">
        <f>-SUM(E59:E60)</f>
        <v>0</v>
      </c>
      <c r="F61" s="669" t="s">
        <v>90</v>
      </c>
      <c r="G61" s="670">
        <f>-SUM(G59:G60)</f>
        <v>-1826403</v>
      </c>
      <c r="H61" s="671" t="s">
        <v>90</v>
      </c>
      <c r="I61" s="670" t="e">
        <f>-SUM(I59:I60)</f>
        <v>#REF!</v>
      </c>
      <c r="K61" s="670">
        <f>-SUM(K59:K60)</f>
        <v>0</v>
      </c>
      <c r="L61" s="1367"/>
      <c r="M61" s="670" t="e">
        <f>-SUM(M59:M60)</f>
        <v>#REF!</v>
      </c>
      <c r="N61" s="548"/>
      <c r="O61" s="73"/>
    </row>
    <row r="62" spans="1:16" x14ac:dyDescent="0.25">
      <c r="A62" s="668" t="s">
        <v>291</v>
      </c>
      <c r="B62" s="669" t="s">
        <v>90</v>
      </c>
      <c r="C62" s="670">
        <f>SUM(C56,C61)</f>
        <v>0</v>
      </c>
      <c r="D62" s="669" t="s">
        <v>90</v>
      </c>
      <c r="E62" s="670">
        <f>SUM(E56,E61)</f>
        <v>0</v>
      </c>
      <c r="F62" s="669" t="s">
        <v>90</v>
      </c>
      <c r="G62" s="670">
        <f>SUM(G56,G61)</f>
        <v>-1794561</v>
      </c>
      <c r="H62" s="671" t="s">
        <v>90</v>
      </c>
      <c r="I62" s="670" t="e">
        <f>SUM(I56,I61)</f>
        <v>#REF!</v>
      </c>
      <c r="K62" s="670">
        <f>SUM(K56,K61)</f>
        <v>-328158</v>
      </c>
      <c r="L62" s="1367"/>
      <c r="M62" s="670" t="e">
        <f>SUM(M56,M61)</f>
        <v>#REF!</v>
      </c>
      <c r="N62" s="548"/>
      <c r="O62" s="1405"/>
    </row>
    <row r="63" spans="1:16" x14ac:dyDescent="0.25">
      <c r="A63" s="558" t="s">
        <v>105</v>
      </c>
      <c r="B63" s="554"/>
      <c r="C63" s="553"/>
      <c r="D63" s="554"/>
      <c r="E63" s="553"/>
      <c r="F63" s="554"/>
      <c r="G63" s="553"/>
      <c r="H63" s="553"/>
      <c r="I63" s="553"/>
      <c r="L63" s="1368"/>
      <c r="O63" s="1406"/>
    </row>
    <row r="64" spans="1:16" x14ac:dyDescent="0.25">
      <c r="A64" s="560" t="s">
        <v>235</v>
      </c>
      <c r="B64" s="554"/>
      <c r="C64" s="565"/>
      <c r="D64" s="554"/>
      <c r="E64" s="565"/>
      <c r="F64" s="554"/>
      <c r="G64" s="565">
        <f>-SUMIF('BS.1 - F25'!G:G,A64,'BS.1 - F25'!F:F)</f>
        <v>0</v>
      </c>
      <c r="H64" s="553"/>
      <c r="I64" s="565">
        <f>-SUMIF('BS.2 - F24'!G:G,FS.1!A64,'BS.2 - F24'!F:F)</f>
        <v>3150</v>
      </c>
      <c r="K64" s="30">
        <f>C64-E64</f>
        <v>0</v>
      </c>
      <c r="L64" s="1366">
        <f>IFERROR(K64/E64,0)</f>
        <v>0</v>
      </c>
      <c r="M64" s="804">
        <f>G64-I64</f>
        <v>-3150</v>
      </c>
      <c r="N64" s="1366">
        <f>IFERROR(M64/I64,0)</f>
        <v>-1</v>
      </c>
      <c r="O64" s="73" t="s">
        <v>1219</v>
      </c>
    </row>
    <row r="65" spans="1:16" x14ac:dyDescent="0.25">
      <c r="A65" s="560" t="s">
        <v>37</v>
      </c>
      <c r="B65" s="551"/>
      <c r="C65" s="565"/>
      <c r="D65" s="551"/>
      <c r="E65" s="565"/>
      <c r="F65" s="551"/>
      <c r="G65" s="565">
        <f>-SUMIF('BS.1 - F25'!G:G,A65,'BS.1 - F25'!F:F)</f>
        <v>14</v>
      </c>
      <c r="H65" s="550"/>
      <c r="I65" s="565" t="e">
        <f>-SUMIF('BS.2 - F24'!G:G,FS.1!A65,'BS.2 - F24'!F:F)</f>
        <v>#REF!</v>
      </c>
      <c r="K65" s="30">
        <f t="shared" ref="K65:K68" si="7">C65-E65</f>
        <v>0</v>
      </c>
      <c r="L65" s="1366">
        <f>IFERROR(K65/E65,1)</f>
        <v>1</v>
      </c>
      <c r="M65" s="804" t="e">
        <f t="shared" ref="M65:M68" si="8">G65-I65</f>
        <v>#REF!</v>
      </c>
      <c r="N65" s="1366">
        <f t="shared" ref="N65:N71" si="9">IFERROR(M65/I65,0)</f>
        <v>0</v>
      </c>
      <c r="O65" s="73" t="s">
        <v>1218</v>
      </c>
    </row>
    <row r="66" spans="1:16" x14ac:dyDescent="0.25">
      <c r="A66" s="560" t="s">
        <v>233</v>
      </c>
      <c r="B66" s="551"/>
      <c r="C66" s="565"/>
      <c r="D66" s="551"/>
      <c r="E66" s="565"/>
      <c r="F66" s="551"/>
      <c r="G66" s="565">
        <f>-SUMIF('BS.1 - F25'!G:G,A66,'BS.1 - F25'!F:F)</f>
        <v>-31957</v>
      </c>
      <c r="H66" s="550"/>
      <c r="I66" s="565">
        <f>-SUMIF('BS.2 - F24'!G:G,FS.1!A66,'BS.2 - F24'!F:F)</f>
        <v>50062</v>
      </c>
      <c r="K66" s="30">
        <f t="shared" ref="K66" si="10">C66-E66</f>
        <v>0</v>
      </c>
      <c r="L66" s="1366">
        <f>IFERROR(K66/E66,1)</f>
        <v>1</v>
      </c>
      <c r="M66" s="804">
        <f t="shared" ref="M66" si="11">G66-I66</f>
        <v>-82019</v>
      </c>
      <c r="N66" s="1366">
        <f t="shared" ref="N66" si="12">IFERROR(M66/I66,0)</f>
        <v>-1.6383484479245736</v>
      </c>
      <c r="O66" s="73"/>
    </row>
    <row r="67" spans="1:16" x14ac:dyDescent="0.25">
      <c r="A67" s="560" t="s">
        <v>1369</v>
      </c>
      <c r="B67" s="551"/>
      <c r="C67" s="565"/>
      <c r="D67" s="551"/>
      <c r="E67" s="565"/>
      <c r="F67" s="551"/>
      <c r="G67" s="565">
        <f>-SUMIF('BS.1 - F25'!G:G,A67,'BS.1 - F25'!F:F)</f>
        <v>0</v>
      </c>
      <c r="H67" s="550"/>
      <c r="I67" s="565">
        <f>-SUMIF('BS.2 - F24'!G:G,FS.1!A67,'BS.2 - F24'!F:F)</f>
        <v>0</v>
      </c>
      <c r="K67" s="30">
        <f t="shared" si="7"/>
        <v>0</v>
      </c>
      <c r="L67" s="1366">
        <f>IFERROR(K67/E67,1)</f>
        <v>1</v>
      </c>
      <c r="M67" s="804">
        <f t="shared" si="8"/>
        <v>0</v>
      </c>
      <c r="N67" s="1366">
        <f>IFERROR(M67/I67,1)</f>
        <v>1</v>
      </c>
      <c r="O67" s="73" t="s">
        <v>1950</v>
      </c>
    </row>
    <row r="68" spans="1:16" x14ac:dyDescent="0.25">
      <c r="A68" s="560" t="s">
        <v>26</v>
      </c>
      <c r="B68" s="551"/>
      <c r="C68" s="565"/>
      <c r="D68" s="551"/>
      <c r="E68" s="565"/>
      <c r="F68" s="551"/>
      <c r="G68" s="565">
        <f>-SUMIF('BS.1 - F25'!G:G,A68,'BS.1 - F25'!F:F)</f>
        <v>-45232</v>
      </c>
      <c r="H68" s="550"/>
      <c r="I68" s="565">
        <f>-SUMIF('BS.2 - F24'!G:G,FS.1!A68,'BS.2 - F24'!F:F)</f>
        <v>-33787</v>
      </c>
      <c r="K68" s="30">
        <f t="shared" si="7"/>
        <v>0</v>
      </c>
      <c r="L68" s="1366">
        <f>IFERROR(K68/E68,1)</f>
        <v>1</v>
      </c>
      <c r="M68" s="804">
        <f t="shared" si="8"/>
        <v>-11445</v>
      </c>
      <c r="N68" s="1366">
        <f>IFERROR(M68/I68,1)</f>
        <v>0.3387397519756119</v>
      </c>
      <c r="O68" s="73" t="s">
        <v>1951</v>
      </c>
      <c r="P68" s="1003"/>
    </row>
    <row r="69" spans="1:16" x14ac:dyDescent="0.25">
      <c r="A69" s="668" t="s">
        <v>107</v>
      </c>
      <c r="B69" s="669" t="s">
        <v>90</v>
      </c>
      <c r="C69" s="670">
        <f>SUM(C62:C68)</f>
        <v>0</v>
      </c>
      <c r="D69" s="669" t="s">
        <v>90</v>
      </c>
      <c r="E69" s="670">
        <f>SUM(E62:E68)</f>
        <v>0</v>
      </c>
      <c r="F69" s="669" t="s">
        <v>90</v>
      </c>
      <c r="G69" s="670">
        <f>SUM(G62:G68)</f>
        <v>-1871736</v>
      </c>
      <c r="H69" s="671" t="s">
        <v>90</v>
      </c>
      <c r="I69" s="670" t="e">
        <f>SUM(I62:I68)</f>
        <v>#REF!</v>
      </c>
      <c r="K69" s="670">
        <f>SUM(K62:K68)</f>
        <v>-328158</v>
      </c>
      <c r="L69" s="1367"/>
      <c r="M69" s="670" t="e">
        <f>SUM(M62:M68)</f>
        <v>#REF!</v>
      </c>
      <c r="N69" s="548"/>
      <c r="P69" s="1004"/>
    </row>
    <row r="70" spans="1:16" x14ac:dyDescent="0.25">
      <c r="A70" s="560" t="s">
        <v>108</v>
      </c>
      <c r="B70" s="551"/>
      <c r="C70" s="565"/>
      <c r="D70" s="551"/>
      <c r="E70" s="565"/>
      <c r="F70" s="551"/>
      <c r="G70" s="565">
        <f>SUMIF('IS - F25'!N:N,FS.1!A70,'IS - F25'!M:M)</f>
        <v>0</v>
      </c>
      <c r="H70" s="550"/>
      <c r="I70" s="565">
        <f>SUMIF('IS - F24'!L:L,A70,'IS - F24'!K:K)</f>
        <v>0</v>
      </c>
      <c r="K70" s="30">
        <f>G70-I70</f>
        <v>0</v>
      </c>
      <c r="L70" s="1366">
        <f t="shared" ref="L70:L71" si="13">IFERROR(K70/E70,0)</f>
        <v>0</v>
      </c>
      <c r="M70" s="804">
        <f>G70-I70</f>
        <v>0</v>
      </c>
      <c r="N70" s="1366">
        <f t="shared" si="9"/>
        <v>0</v>
      </c>
      <c r="O70" s="73" t="s">
        <v>1219</v>
      </c>
      <c r="P70" s="1004"/>
    </row>
    <row r="71" spans="1:16" x14ac:dyDescent="0.25">
      <c r="A71" s="560" t="s">
        <v>109</v>
      </c>
      <c r="B71" s="551"/>
      <c r="C71" s="565"/>
      <c r="D71" s="551"/>
      <c r="E71" s="565"/>
      <c r="F71" s="551"/>
      <c r="G71" s="565">
        <f>SUMIF('IS - F25'!N:N,FS.1!A71,'IS - F25'!M:M)</f>
        <v>0</v>
      </c>
      <c r="H71" s="550"/>
      <c r="I71" s="565">
        <f>SUMIF('IS - F24'!L:L,A71,'IS - F24'!K:K)</f>
        <v>0</v>
      </c>
      <c r="K71" s="30">
        <f>G71-I71</f>
        <v>0</v>
      </c>
      <c r="L71" s="1366">
        <f t="shared" si="13"/>
        <v>0</v>
      </c>
      <c r="M71" s="804">
        <f>G71-I71</f>
        <v>0</v>
      </c>
      <c r="N71" s="1366">
        <f t="shared" si="9"/>
        <v>0</v>
      </c>
      <c r="O71" s="73" t="s">
        <v>1219</v>
      </c>
      <c r="P71" s="1005"/>
    </row>
    <row r="72" spans="1:16" x14ac:dyDescent="0.25">
      <c r="A72" s="668" t="s">
        <v>292</v>
      </c>
      <c r="B72" s="672" t="s">
        <v>90</v>
      </c>
      <c r="C72" s="670">
        <f>SUM(C69:C71)</f>
        <v>0</v>
      </c>
      <c r="D72" s="672" t="s">
        <v>90</v>
      </c>
      <c r="E72" s="670">
        <f>SUM(E69:E71)</f>
        <v>0</v>
      </c>
      <c r="F72" s="672" t="s">
        <v>90</v>
      </c>
      <c r="G72" s="670">
        <f>SUM(G69:G71)</f>
        <v>-1871736</v>
      </c>
      <c r="H72" s="673" t="s">
        <v>90</v>
      </c>
      <c r="I72" s="670" t="e">
        <f>SUM(I69:I71)</f>
        <v>#REF!</v>
      </c>
      <c r="K72" s="670">
        <f>SUM(K69:K71)</f>
        <v>-328158</v>
      </c>
      <c r="L72" s="1367"/>
      <c r="M72" s="670" t="e">
        <f>SUM(M69:M71)</f>
        <v>#REF!</v>
      </c>
      <c r="N72" s="548"/>
      <c r="P72" s="1004"/>
    </row>
    <row r="73" spans="1:16" x14ac:dyDescent="0.25">
      <c r="A73" s="668" t="s">
        <v>293</v>
      </c>
      <c r="B73" s="669" t="s">
        <v>90</v>
      </c>
      <c r="C73" s="670">
        <f>SUM(C72:C72)</f>
        <v>0</v>
      </c>
      <c r="D73" s="669" t="s">
        <v>90</v>
      </c>
      <c r="E73" s="670">
        <f>SUM(E72:E72)</f>
        <v>0</v>
      </c>
      <c r="F73" s="669" t="s">
        <v>90</v>
      </c>
      <c r="G73" s="670">
        <f>SUM(G72:G72)</f>
        <v>-1871736</v>
      </c>
      <c r="H73" s="671" t="s">
        <v>90</v>
      </c>
      <c r="I73" s="670" t="e">
        <f>SUM(I72:I72)</f>
        <v>#REF!</v>
      </c>
      <c r="K73" s="670">
        <f>SUM(K72:K72)</f>
        <v>-328158</v>
      </c>
      <c r="L73" s="1367"/>
      <c r="M73" s="670" t="e">
        <f>SUM(M72:M72)</f>
        <v>#REF!</v>
      </c>
      <c r="N73" s="548"/>
      <c r="P73" s="1004"/>
    </row>
    <row r="74" spans="1:16" x14ac:dyDescent="0.25">
      <c r="A74" s="558"/>
      <c r="B74" s="551"/>
      <c r="C74" s="550"/>
      <c r="D74" s="551"/>
      <c r="E74" s="550"/>
      <c r="F74" s="551"/>
      <c r="G74" s="550"/>
      <c r="H74" s="550"/>
      <c r="I74" s="550"/>
      <c r="P74" s="1005"/>
    </row>
    <row r="75" spans="1:16" x14ac:dyDescent="0.25">
      <c r="A75" s="1469" t="s">
        <v>2205</v>
      </c>
      <c r="B75" s="1468"/>
      <c r="C75" s="1467"/>
      <c r="D75" s="1468"/>
      <c r="E75" s="1467"/>
      <c r="F75" s="1468"/>
      <c r="G75" s="1467">
        <f>'BS.1 - F25'!F4+G73</f>
        <v>0</v>
      </c>
      <c r="H75" s="1467"/>
      <c r="I75" s="1467" t="e">
        <f>'BS.2 - F24'!F4+I73</f>
        <v>#REF!</v>
      </c>
      <c r="P75" s="1005"/>
    </row>
    <row r="76" spans="1:16" x14ac:dyDescent="0.25">
      <c r="A76" s="558"/>
      <c r="B76" s="551"/>
      <c r="C76" s="550"/>
      <c r="D76" s="551"/>
      <c r="E76" s="550"/>
      <c r="F76" s="551"/>
      <c r="G76" s="550"/>
      <c r="H76" s="550"/>
      <c r="I76" s="550"/>
      <c r="P76" s="1005"/>
    </row>
    <row r="77" spans="1:16" hidden="1" outlineLevel="1" x14ac:dyDescent="0.25">
      <c r="A77" s="558" t="s">
        <v>503</v>
      </c>
      <c r="B77" s="556" t="s">
        <v>90</v>
      </c>
      <c r="C77" s="555">
        <f>C72/C78</f>
        <v>0</v>
      </c>
      <c r="D77" s="556" t="s">
        <v>90</v>
      </c>
      <c r="E77" s="555">
        <f>E72/E78</f>
        <v>0</v>
      </c>
      <c r="F77" s="556" t="s">
        <v>90</v>
      </c>
      <c r="G77" s="555">
        <f>G72/G78</f>
        <v>-6.0112744319803409E-2</v>
      </c>
      <c r="H77" s="554" t="s">
        <v>90</v>
      </c>
      <c r="I77" s="555" t="e">
        <f>I72/I78</f>
        <v>#REF!</v>
      </c>
      <c r="P77" s="1006"/>
    </row>
    <row r="78" spans="1:16" hidden="1" outlineLevel="1" x14ac:dyDescent="0.25">
      <c r="A78" s="558" t="s">
        <v>504</v>
      </c>
      <c r="B78" s="554"/>
      <c r="C78" s="920">
        <v>31912501</v>
      </c>
      <c r="D78" s="554"/>
      <c r="E78" s="920">
        <v>6542479.0219780216</v>
      </c>
      <c r="F78" s="554"/>
      <c r="G78" s="920">
        <v>31137091.163934425</v>
      </c>
      <c r="H78" s="554"/>
      <c r="I78" s="920">
        <v>6486787.3387978142</v>
      </c>
    </row>
    <row r="79" spans="1:16" hidden="1" outlineLevel="1" x14ac:dyDescent="0.25">
      <c r="A79" s="558"/>
      <c r="B79" s="554"/>
      <c r="C79" s="557"/>
      <c r="D79" s="554"/>
      <c r="E79" s="553"/>
      <c r="F79" s="554"/>
      <c r="G79" s="557"/>
      <c r="H79" s="554"/>
      <c r="I79" s="553"/>
    </row>
    <row r="80" spans="1:16" hidden="1" outlineLevel="1" x14ac:dyDescent="0.25">
      <c r="A80" s="411" t="s">
        <v>1195</v>
      </c>
      <c r="B80" s="561"/>
      <c r="C80" s="562">
        <f>C73+'IS - F25'!G91</f>
        <v>195204</v>
      </c>
      <c r="D80" s="561"/>
      <c r="E80" s="561">
        <f>E73+'IS - F24'!F89</f>
        <v>17475</v>
      </c>
      <c r="F80" s="561"/>
      <c r="G80" s="562">
        <f>G73+'IS - F25'!M91</f>
        <v>-209719</v>
      </c>
      <c r="H80" s="561"/>
      <c r="I80" s="561" t="e">
        <f>'BS.2 - F24'!F4+I72</f>
        <v>#REF!</v>
      </c>
    </row>
    <row r="81" spans="1:21" collapsed="1" x14ac:dyDescent="0.25"/>
    <row r="83" spans="1:21" ht="18" x14ac:dyDescent="0.25">
      <c r="A83" s="546" t="str">
        <f>company_name</f>
        <v>Consolidated Hallor Group Inc.</v>
      </c>
    </row>
    <row r="84" spans="1:21" ht="14.4" x14ac:dyDescent="0.3">
      <c r="A84" s="674" t="str">
        <f>SOCE_descr</f>
        <v>Statements of Changes in Shareholders's Equity</v>
      </c>
    </row>
    <row r="85" spans="1:21" ht="24" x14ac:dyDescent="0.25">
      <c r="A85" s="653"/>
      <c r="B85" s="685"/>
      <c r="C85" s="656" t="s">
        <v>5</v>
      </c>
      <c r="D85" s="656"/>
      <c r="E85" s="656" t="s">
        <v>328</v>
      </c>
      <c r="F85" s="656"/>
      <c r="G85" s="656" t="s">
        <v>288</v>
      </c>
      <c r="H85" s="656"/>
      <c r="I85" s="686" t="s">
        <v>104</v>
      </c>
      <c r="J85" s="266"/>
      <c r="K85" s="266"/>
      <c r="L85" s="266"/>
    </row>
    <row r="86" spans="1:21" s="16" customFormat="1" x14ac:dyDescent="0.3">
      <c r="A86" s="677" t="str">
        <f>"Balance - "&amp;TEXT(comp_period_2,"MMMM D, YYYY")</f>
        <v>Balance - June 30, 2023</v>
      </c>
      <c r="B86" s="679" t="s">
        <v>90</v>
      </c>
      <c r="C86" s="680">
        <v>1774099</v>
      </c>
      <c r="D86" s="680" t="s">
        <v>90</v>
      </c>
      <c r="E86" s="680">
        <v>308750</v>
      </c>
      <c r="F86" s="680" t="s">
        <v>90</v>
      </c>
      <c r="G86" s="680">
        <v>-1474472</v>
      </c>
      <c r="H86" s="680" t="s">
        <v>90</v>
      </c>
      <c r="I86" s="687">
        <f>ROUND(SUM(C86:G86),0)</f>
        <v>608377</v>
      </c>
      <c r="J86" s="267"/>
      <c r="K86" s="240"/>
      <c r="L86" s="240"/>
      <c r="T86" s="515"/>
      <c r="U86" s="515"/>
    </row>
    <row r="87" spans="1:21" x14ac:dyDescent="0.25">
      <c r="A87" s="4" t="s">
        <v>1216</v>
      </c>
      <c r="B87" s="9"/>
      <c r="C87" s="11">
        <v>6000000</v>
      </c>
      <c r="D87" s="11"/>
      <c r="E87" s="11">
        <v>0</v>
      </c>
      <c r="F87" s="11"/>
      <c r="G87" s="11">
        <v>0</v>
      </c>
      <c r="H87" s="11"/>
      <c r="I87" s="688">
        <f>ROUND(SUM(C87:G87),0)</f>
        <v>6000000</v>
      </c>
      <c r="J87" s="9"/>
      <c r="K87" s="11"/>
      <c r="L87" s="11"/>
    </row>
    <row r="88" spans="1:21" x14ac:dyDescent="0.25">
      <c r="A88" s="4" t="s">
        <v>1217</v>
      </c>
      <c r="B88" s="9"/>
      <c r="C88" s="11">
        <v>450000</v>
      </c>
      <c r="D88" s="11"/>
      <c r="E88" s="11">
        <v>0</v>
      </c>
      <c r="F88" s="11"/>
      <c r="G88" s="11">
        <v>0</v>
      </c>
      <c r="H88" s="11"/>
      <c r="I88" s="688">
        <f>ROUND(SUM(C88:G88),0)</f>
        <v>450000</v>
      </c>
      <c r="J88" s="9"/>
      <c r="K88" s="11"/>
      <c r="L88" s="11"/>
    </row>
    <row r="89" spans="1:21" x14ac:dyDescent="0.25">
      <c r="A89" s="4" t="s">
        <v>317</v>
      </c>
      <c r="B89" s="9"/>
      <c r="C89" s="11">
        <v>0</v>
      </c>
      <c r="D89" s="11"/>
      <c r="E89" s="11">
        <v>0</v>
      </c>
      <c r="F89" s="11"/>
      <c r="G89" s="11" t="e">
        <f>I73</f>
        <v>#REF!</v>
      </c>
      <c r="H89" s="11"/>
      <c r="I89" s="688" t="e">
        <f>ROUND(SUM(C89:G89),0)</f>
        <v>#REF!</v>
      </c>
      <c r="J89" s="9"/>
      <c r="K89" s="11"/>
      <c r="L89" s="11"/>
    </row>
    <row r="90" spans="1:21" x14ac:dyDescent="0.25">
      <c r="A90" s="677" t="str">
        <f>"Balance - "&amp;TEXT(comp_period_1,"MMMM D, YYYY")</f>
        <v>Balance - June 30, 2024</v>
      </c>
      <c r="B90" s="679" t="s">
        <v>90</v>
      </c>
      <c r="C90" s="680">
        <f>ROUND(SUM(C86:C89),0)</f>
        <v>8224099</v>
      </c>
      <c r="D90" s="680" t="s">
        <v>90</v>
      </c>
      <c r="E90" s="680">
        <f>ROUND(SUM(E86:E89),0)</f>
        <v>308750</v>
      </c>
      <c r="F90" s="680" t="s">
        <v>90</v>
      </c>
      <c r="G90" s="680" t="e">
        <f>ROUND(SUM(G86:G89),0)</f>
        <v>#REF!</v>
      </c>
      <c r="H90" s="680" t="s">
        <v>90</v>
      </c>
      <c r="I90" s="680" t="e">
        <f>ROUND(SUM(I86:I89),0)</f>
        <v>#REF!</v>
      </c>
      <c r="J90" s="268"/>
      <c r="K90" s="241"/>
      <c r="L90" s="241"/>
    </row>
    <row r="91" spans="1:21" x14ac:dyDescent="0.25">
      <c r="A91" s="4"/>
      <c r="B91" s="9"/>
      <c r="C91" s="11"/>
      <c r="D91" s="11"/>
      <c r="E91" s="11"/>
      <c r="F91" s="11"/>
      <c r="G91" s="11"/>
      <c r="H91" s="11"/>
      <c r="I91" s="698"/>
      <c r="J91" s="9"/>
      <c r="K91" s="11"/>
      <c r="L91" s="11"/>
    </row>
    <row r="92" spans="1:21" x14ac:dyDescent="0.25">
      <c r="A92" s="677" t="s">
        <v>2207</v>
      </c>
      <c r="B92" s="679" t="s">
        <v>90</v>
      </c>
      <c r="C92" s="680">
        <f>C90</f>
        <v>8224099</v>
      </c>
      <c r="D92" s="680" t="s">
        <v>90</v>
      </c>
      <c r="E92" s="680">
        <f>E90</f>
        <v>308750</v>
      </c>
      <c r="F92" s="680" t="s">
        <v>90</v>
      </c>
      <c r="G92" s="680" t="e">
        <f>G90</f>
        <v>#REF!</v>
      </c>
      <c r="H92" s="680" t="s">
        <v>90</v>
      </c>
      <c r="I92" s="687" t="e">
        <f>ROUND(SUM(C92:G92),0)</f>
        <v>#REF!</v>
      </c>
      <c r="J92" s="523"/>
      <c r="K92" s="11"/>
      <c r="L92" s="11"/>
    </row>
    <row r="93" spans="1:21" x14ac:dyDescent="0.25">
      <c r="A93" s="4" t="s">
        <v>1216</v>
      </c>
      <c r="C93" s="11">
        <v>0</v>
      </c>
      <c r="D93" s="11"/>
      <c r="E93" s="11">
        <v>0</v>
      </c>
      <c r="F93" s="11"/>
      <c r="G93" s="11">
        <v>0</v>
      </c>
      <c r="I93" s="688">
        <f>ROUND(SUM(C93:G93),0)</f>
        <v>0</v>
      </c>
      <c r="J93" s="9"/>
      <c r="K93" s="11"/>
      <c r="L93" s="11"/>
    </row>
    <row r="94" spans="1:21" x14ac:dyDescent="0.25">
      <c r="A94" s="4" t="s">
        <v>1217</v>
      </c>
      <c r="C94" s="11">
        <v>0</v>
      </c>
      <c r="D94" s="11"/>
      <c r="E94" s="11">
        <v>0</v>
      </c>
      <c r="F94" s="11"/>
      <c r="G94" s="11"/>
      <c r="I94" s="688">
        <f>ROUND(SUM(C94:G94),0)</f>
        <v>0</v>
      </c>
      <c r="J94" s="9"/>
      <c r="K94" s="11"/>
      <c r="L94" s="11"/>
    </row>
    <row r="95" spans="1:21" x14ac:dyDescent="0.25">
      <c r="A95" s="206" t="s">
        <v>317</v>
      </c>
      <c r="B95" s="675"/>
      <c r="C95" s="11">
        <v>0</v>
      </c>
      <c r="D95" s="11"/>
      <c r="E95" s="11">
        <v>0</v>
      </c>
      <c r="F95" s="11"/>
      <c r="G95" s="11">
        <f>G72</f>
        <v>-1871736</v>
      </c>
      <c r="H95" s="676"/>
      <c r="I95" s="688">
        <f>ROUND(SUM(C95:G95),0)</f>
        <v>-1871736</v>
      </c>
      <c r="J95" s="9"/>
      <c r="K95" s="11"/>
      <c r="L95" s="11"/>
    </row>
    <row r="96" spans="1:21" x14ac:dyDescent="0.25">
      <c r="A96" s="682" t="str">
        <f>"Balance - "&amp;TEXT(currentperiod_end_date,"MMMM D, YYYY")</f>
        <v>Balance - June 30, 2025</v>
      </c>
      <c r="B96" s="684" t="s">
        <v>90</v>
      </c>
      <c r="C96" s="680">
        <f>ROUND(SUM(C92:C95),0)</f>
        <v>8224099</v>
      </c>
      <c r="D96" s="681" t="s">
        <v>90</v>
      </c>
      <c r="E96" s="680">
        <f>ROUND(SUM(E92:E95),0)</f>
        <v>308750</v>
      </c>
      <c r="F96" s="681" t="s">
        <v>90</v>
      </c>
      <c r="G96" s="680" t="e">
        <f>ROUND(SUM(G92:G95),0)</f>
        <v>#REF!</v>
      </c>
      <c r="H96" s="681"/>
      <c r="I96" s="680" t="e">
        <f>ROUND(SUM(I92:I95),0)</f>
        <v>#REF!</v>
      </c>
      <c r="J96" s="264"/>
      <c r="K96" s="269"/>
      <c r="L96" s="269"/>
    </row>
    <row r="97" spans="1:12" x14ac:dyDescent="0.25">
      <c r="C97" s="115"/>
      <c r="D97" s="115"/>
      <c r="E97" s="115"/>
      <c r="F97" s="115"/>
      <c r="G97" s="115"/>
      <c r="H97" s="115"/>
    </row>
    <row r="98" spans="1:12" ht="12.6" thickBot="1" x14ac:dyDescent="0.3">
      <c r="A98" s="563" t="s">
        <v>375</v>
      </c>
      <c r="B98" s="564"/>
      <c r="C98" s="270">
        <f>C90-E41</f>
        <v>0</v>
      </c>
      <c r="D98" s="271"/>
      <c r="E98" s="270">
        <f>E90-E42</f>
        <v>0</v>
      </c>
      <c r="F98" s="270"/>
      <c r="G98" s="270" t="e">
        <f>G90-E43</f>
        <v>#REF!</v>
      </c>
      <c r="H98" s="270"/>
      <c r="I98" s="270" t="e">
        <f>I90-E44</f>
        <v>#REF!</v>
      </c>
      <c r="J98" s="158"/>
      <c r="K98" s="158"/>
      <c r="L98" s="158"/>
    </row>
    <row r="99" spans="1:12" ht="13.2" thickTop="1" thickBot="1" x14ac:dyDescent="0.3">
      <c r="A99" s="563" t="s">
        <v>205</v>
      </c>
      <c r="B99" s="564"/>
      <c r="C99" s="270">
        <f>C96-C41</f>
        <v>0</v>
      </c>
      <c r="D99" s="271"/>
      <c r="E99" s="270">
        <f>E96-C42</f>
        <v>0</v>
      </c>
      <c r="F99" s="270"/>
      <c r="G99" s="270" t="e">
        <f>G96-C43</f>
        <v>#REF!</v>
      </c>
      <c r="H99" s="270"/>
      <c r="I99" s="270" t="e">
        <f>I96-C45</f>
        <v>#REF!</v>
      </c>
      <c r="J99" s="158"/>
      <c r="K99" s="158"/>
      <c r="L99" s="158"/>
    </row>
    <row r="100" spans="1:12" ht="12.6" thickTop="1" x14ac:dyDescent="0.25"/>
    <row r="102" spans="1:12" ht="14.4" x14ac:dyDescent="0.3">
      <c r="A102" s="674" t="str">
        <f>CFS_Descr</f>
        <v>Statement of Cash Flows</v>
      </c>
      <c r="C102" s="547"/>
      <c r="E102" s="547" t="s">
        <v>414</v>
      </c>
    </row>
    <row r="103" spans="1:12" x14ac:dyDescent="0.25">
      <c r="A103" s="653"/>
      <c r="B103" s="689"/>
      <c r="C103" s="655" t="str">
        <f>TEXT(currentperiod_end_date,"MMMM DD, YYYY")</f>
        <v>June 30, 2025</v>
      </c>
      <c r="D103" s="685"/>
      <c r="E103" s="655" t="str">
        <f>TEXT(comp_period_1,"MMMM DD, YYYY")</f>
        <v>June 30, 2024</v>
      </c>
      <c r="F103" s="424"/>
      <c r="G103" s="156"/>
    </row>
    <row r="104" spans="1:12" x14ac:dyDescent="0.25">
      <c r="A104" s="7" t="s">
        <v>113</v>
      </c>
      <c r="B104" s="9"/>
      <c r="C104" s="9"/>
      <c r="D104" s="9"/>
      <c r="E104" s="9"/>
      <c r="F104" s="9"/>
      <c r="G104" s="9"/>
    </row>
    <row r="105" spans="1:12" x14ac:dyDescent="0.25">
      <c r="A105" s="7" t="s">
        <v>110</v>
      </c>
      <c r="B105" s="425" t="s">
        <v>90</v>
      </c>
      <c r="C105" s="157">
        <f>G72</f>
        <v>-1871736</v>
      </c>
      <c r="D105" s="8" t="s">
        <v>90</v>
      </c>
      <c r="E105" s="1370" t="e">
        <f>I72</f>
        <v>#REF!</v>
      </c>
      <c r="F105" s="9"/>
      <c r="G105" s="11"/>
    </row>
    <row r="106" spans="1:12" x14ac:dyDescent="0.25">
      <c r="A106" s="4"/>
      <c r="B106" s="9"/>
      <c r="C106" s="11"/>
      <c r="D106" s="9"/>
      <c r="E106" s="194"/>
      <c r="F106" s="9"/>
      <c r="G106" s="11"/>
    </row>
    <row r="107" spans="1:12" x14ac:dyDescent="0.25">
      <c r="A107" s="43" t="s">
        <v>68</v>
      </c>
      <c r="B107" s="9"/>
      <c r="C107" s="11"/>
      <c r="D107" s="9"/>
      <c r="E107" s="194"/>
      <c r="F107" s="9"/>
      <c r="G107" s="11"/>
    </row>
    <row r="108" spans="1:12" x14ac:dyDescent="0.25">
      <c r="A108" s="4" t="str">
        <f>'BS.1 - F25'!K199</f>
        <v>Depreciation and amortization</v>
      </c>
      <c r="B108" s="9"/>
      <c r="C108" s="698">
        <f>_xlfn.XLOOKUP(A108,'BS.1 - F25'!$K$189:$K$244,'BS.1 - F25'!$L$189:$L$244,0,0,1)</f>
        <v>1256364</v>
      </c>
      <c r="D108" s="9"/>
      <c r="E108" s="194" t="e">
        <f>_xlfn.XLOOKUP(A108,'BS.2 - F24'!$K$191:$K$244,'BS.2 - F24'!$L$191:$L$244,0,0,1)</f>
        <v>#REF!</v>
      </c>
      <c r="F108" s="9"/>
      <c r="G108" s="11"/>
    </row>
    <row r="109" spans="1:12" x14ac:dyDescent="0.25">
      <c r="A109" s="4" t="s">
        <v>37</v>
      </c>
      <c r="B109" s="9"/>
      <c r="C109" s="698">
        <f>_xlfn.XLOOKUP(A109,'BS.1 - F25'!$K$189:$K$244,'BS.1 - F25'!$L$189:$L$244,0,0,1)</f>
        <v>0</v>
      </c>
      <c r="D109" s="9"/>
      <c r="E109" s="194">
        <f>_xlfn.XLOOKUP(A109,'BS.2 - F24'!$K$191:$K$244,'BS.2 - F24'!$L$191:$L$244,0,0,1)</f>
        <v>0</v>
      </c>
      <c r="F109" s="9"/>
      <c r="G109" s="11"/>
    </row>
    <row r="110" spans="1:12" x14ac:dyDescent="0.25">
      <c r="A110" s="4" t="str">
        <f>'BS.1 - F25'!K195</f>
        <v>Accretion expense</v>
      </c>
      <c r="B110" s="9"/>
      <c r="C110" s="698">
        <f>_xlfn.XLOOKUP(A110,'BS.1 - F25'!$K$189:$K$244,'BS.1 - F25'!$L$189:$L$244,0,0,1)</f>
        <v>31957</v>
      </c>
      <c r="D110" s="9"/>
      <c r="E110" s="194">
        <f>_xlfn.XLOOKUP(A110,'BS.2 - F24'!$K$191:$K$244,'BS.2 - F24'!$L$191:$L$244,0,0,1)</f>
        <v>24938</v>
      </c>
      <c r="F110" s="9"/>
      <c r="G110" s="11"/>
    </row>
    <row r="111" spans="1:12" x14ac:dyDescent="0.25">
      <c r="A111" s="4" t="str">
        <f>'BS.1 - F25'!K196</f>
        <v>Interest expense</v>
      </c>
      <c r="B111" s="9"/>
      <c r="C111" s="698">
        <f>_xlfn.XLOOKUP(A111,'BS.1 - F25'!$K$189:$K$244,'BS.1 - F25'!$L$189:$L$244,0,0,1)</f>
        <v>37565</v>
      </c>
      <c r="D111" s="9"/>
      <c r="E111" s="194">
        <f>_xlfn.XLOOKUP(A111,'BS.2 - F24'!$K$191:$K$244,'BS.2 - F24'!$L$191:$L$244,0,0,1)</f>
        <v>30800</v>
      </c>
      <c r="F111" s="9"/>
      <c r="G111" s="11"/>
    </row>
    <row r="112" spans="1:12" x14ac:dyDescent="0.25">
      <c r="A112" s="3" t="str">
        <f>'BS.2 - F24'!K195</f>
        <v>Gain on re-measurement of derivative liability</v>
      </c>
      <c r="C112" s="698">
        <f>_xlfn.XLOOKUP(A112,'BS.1 - F25'!$K$189:$K$244,'BS.1 - F25'!$L$189:$L$244,0,0,1)</f>
        <v>0</v>
      </c>
      <c r="E112" s="194">
        <f>_xlfn.XLOOKUP(A112,'BS.2 - F24'!$K$191:$K$244,'BS.2 - F24'!$L$191:$L$244,0,0,1)</f>
        <v>-75000</v>
      </c>
    </row>
    <row r="113" spans="1:7" x14ac:dyDescent="0.25">
      <c r="A113" s="4"/>
      <c r="B113" s="9"/>
      <c r="C113" s="11"/>
      <c r="D113" s="9"/>
      <c r="E113" s="194"/>
      <c r="F113" s="9"/>
      <c r="G113" s="11"/>
    </row>
    <row r="114" spans="1:7" x14ac:dyDescent="0.25">
      <c r="A114" s="43" t="s">
        <v>114</v>
      </c>
      <c r="B114" s="9"/>
      <c r="C114" s="11"/>
      <c r="D114" s="9"/>
      <c r="E114" s="194"/>
      <c r="F114" s="9"/>
      <c r="G114" s="11"/>
    </row>
    <row r="115" spans="1:7" x14ac:dyDescent="0.25">
      <c r="A115" s="4" t="str">
        <f>'BS.1 - F25'!K203</f>
        <v>Receivables</v>
      </c>
      <c r="B115" s="9"/>
      <c r="C115" s="698">
        <f>_xlfn.XLOOKUP(A115,'BS.1 - F25'!$K$189:$K$244,'BS.1 - F25'!$L$189:$L$244,0,0,1)</f>
        <v>0</v>
      </c>
      <c r="D115" s="9"/>
      <c r="E115" s="194">
        <f>_xlfn.XLOOKUP(A115,'BS.2 - F24'!$K$191:$K$244,'BS.2 - F24'!$L$191:$L$244,0,0,1)</f>
        <v>12375</v>
      </c>
      <c r="F115" s="9"/>
      <c r="G115" s="11"/>
    </row>
    <row r="116" spans="1:7" x14ac:dyDescent="0.25">
      <c r="A116" s="4" t="str">
        <f>'BS.1 - F25'!K204</f>
        <v>Prepaid expenses</v>
      </c>
      <c r="B116" s="9"/>
      <c r="C116" s="698">
        <f>_xlfn.XLOOKUP(A116,'BS.1 - F25'!$K$189:$K$244,'BS.1 - F25'!$L$189:$L$244,0,0,1)</f>
        <v>0</v>
      </c>
      <c r="D116" s="9"/>
      <c r="E116" s="194">
        <f>_xlfn.XLOOKUP(A116,'BS.2 - F24'!$K$191:$K$244,'BS.2 - F24'!$L$191:$L$244,0,0,1)</f>
        <v>2240</v>
      </c>
      <c r="F116" s="9"/>
      <c r="G116" s="11"/>
    </row>
    <row r="117" spans="1:7" x14ac:dyDescent="0.25">
      <c r="A117" s="4" t="str">
        <f>'BS.1 - F25'!K205</f>
        <v>Sales tax receivable</v>
      </c>
      <c r="B117" s="9"/>
      <c r="C117" s="698">
        <f>_xlfn.XLOOKUP(A117,'BS.1 - F25'!$K$189:$K$244,'BS.1 - F25'!$L$189:$L$244,0,0,1)</f>
        <v>-7455</v>
      </c>
      <c r="D117" s="9"/>
      <c r="E117" s="194">
        <f>_xlfn.XLOOKUP(A117,'BS.2 - F24'!$K$191:$K$244,'BS.2 - F24'!$L$191:$L$244,0,0,1)</f>
        <v>-4177</v>
      </c>
      <c r="F117" s="9"/>
      <c r="G117" s="11"/>
    </row>
    <row r="118" spans="1:7" x14ac:dyDescent="0.25">
      <c r="A118" s="4" t="str">
        <f>'BS.1 - F25'!K206</f>
        <v>Inventory</v>
      </c>
      <c r="B118" s="9"/>
      <c r="C118" s="698">
        <f>_xlfn.XLOOKUP(A118,'BS.1 - F25'!$K$189:$K$244,'BS.1 - F25'!$L$189:$L$244,0,0,1)</f>
        <v>291108</v>
      </c>
      <c r="D118" s="9"/>
      <c r="E118" s="194">
        <f>_xlfn.XLOOKUP(A118,'BS.2 - F24'!$K$191:$K$244,'BS.2 - F24'!$L$191:$L$244,0,0,1)</f>
        <v>-54914</v>
      </c>
      <c r="F118" s="9"/>
      <c r="G118" s="11"/>
    </row>
    <row r="119" spans="1:7" x14ac:dyDescent="0.25">
      <c r="A119" s="4" t="s">
        <v>308</v>
      </c>
      <c r="B119" s="9"/>
      <c r="C119" s="698">
        <f>_xlfn.XLOOKUP(A119,'BS.1 - F25'!$K$189:$K$244,'BS.1 - F25'!$L$189:$L$244,0,0,1)</f>
        <v>253485</v>
      </c>
      <c r="D119" s="9"/>
      <c r="E119" s="194">
        <f>_xlfn.XLOOKUP(A119,'BS.2 - F24'!$K$191:$K$244,'BS.2 - F24'!$L$191:$L$244,0,0,1)</f>
        <v>102329</v>
      </c>
      <c r="F119" s="9"/>
      <c r="G119" s="11"/>
    </row>
    <row r="120" spans="1:7" x14ac:dyDescent="0.25">
      <c r="A120" s="4" t="str">
        <f>'SCF.1 - Dec 31, 2022'!K194</f>
        <v>Due from related parties</v>
      </c>
      <c r="B120" s="9"/>
      <c r="C120" s="698">
        <f>_xlfn.XLOOKUP(A120,'BS.1 - F25'!$K$189:$K$244,'BS.1 - F25'!$L$189:$L$244,0,0,1)</f>
        <v>0</v>
      </c>
      <c r="D120" s="9"/>
      <c r="E120" s="194">
        <f>_xlfn.XLOOKUP(A120,'BS.2 - F24'!$K$191:$K$244,'BS.2 - F24'!$L$191:$L$244,0,0,1)</f>
        <v>0</v>
      </c>
      <c r="F120" s="9"/>
      <c r="G120" s="11"/>
    </row>
    <row r="121" spans="1:7" x14ac:dyDescent="0.25">
      <c r="A121" s="4" t="str">
        <f>'SCF.1 - Dec 31, 2022'!K198</f>
        <v>Due to related parties</v>
      </c>
      <c r="B121" s="9"/>
      <c r="C121" s="698">
        <f>_xlfn.XLOOKUP(A121,'BS.1 - F25'!$K$189:$K$244,'BS.1 - F25'!$L$189:$L$244,0,0,1)</f>
        <v>3500</v>
      </c>
      <c r="D121" s="9"/>
      <c r="E121" s="194">
        <f>_xlfn.XLOOKUP(A121,'BS.2 - F24'!$K$191:$K$244,'BS.2 - F24'!$L$191:$L$244,0,0,1)</f>
        <v>938</v>
      </c>
      <c r="F121" s="9"/>
      <c r="G121" s="11"/>
    </row>
    <row r="122" spans="1:7" x14ac:dyDescent="0.25">
      <c r="A122" s="660" t="s">
        <v>11</v>
      </c>
      <c r="B122" s="658" t="s">
        <v>90</v>
      </c>
      <c r="C122" s="707">
        <f>SUM(C105:C121)</f>
        <v>-5212</v>
      </c>
      <c r="D122" s="708" t="s">
        <v>90</v>
      </c>
      <c r="E122" s="1372" t="e">
        <f>SUM(E105:E121)</f>
        <v>#REF!</v>
      </c>
      <c r="F122" s="8"/>
      <c r="G122" s="157"/>
    </row>
    <row r="123" spans="1:7" x14ac:dyDescent="0.25">
      <c r="A123" s="7"/>
      <c r="B123" s="9"/>
      <c r="C123" s="11"/>
      <c r="D123" s="9"/>
      <c r="E123" s="194"/>
      <c r="F123" s="9"/>
      <c r="G123" s="11"/>
    </row>
    <row r="124" spans="1:7" x14ac:dyDescent="0.25">
      <c r="A124" s="7" t="s">
        <v>115</v>
      </c>
      <c r="B124" s="9"/>
      <c r="C124" s="11"/>
      <c r="D124" s="9"/>
      <c r="E124" s="194"/>
      <c r="F124" s="9"/>
      <c r="G124" s="11"/>
    </row>
    <row r="125" spans="1:7" x14ac:dyDescent="0.25">
      <c r="A125" s="4" t="str">
        <f>'BS.1 - F25'!K221</f>
        <v>Purchase of equipment</v>
      </c>
      <c r="B125" s="197" t="s">
        <v>90</v>
      </c>
      <c r="C125" s="698">
        <f>_xlfn.XLOOKUP(A125,'BS.1 - F25'!$K$189:$K$244,'BS.1 - F25'!$L$189:$L$244,0,0,1)</f>
        <v>0</v>
      </c>
      <c r="D125" s="9" t="s">
        <v>90</v>
      </c>
      <c r="E125" s="194" t="e">
        <f>_xlfn.XLOOKUP(A125,'BS.2 - F24'!$K$191:$K$244,'BS.2 - F24'!$L$191:$L$244,0,0,1)</f>
        <v>#REF!</v>
      </c>
      <c r="F125" s="9"/>
      <c r="G125" s="11"/>
    </row>
    <row r="126" spans="1:7" x14ac:dyDescent="0.25">
      <c r="A126" s="4" t="str">
        <f>'BS.1 - F25'!K222</f>
        <v>Cash received on acquisition of Hallor Industries Inc.</v>
      </c>
      <c r="B126" s="9"/>
      <c r="C126" s="698">
        <f>_xlfn.XLOOKUP(A126,'BS.1 - F25'!$K$189:$K$244,'BS.1 - F25'!$L$189:$L$244,0,0,1)</f>
        <v>0</v>
      </c>
      <c r="D126" s="9"/>
      <c r="E126" s="194">
        <f>_xlfn.XLOOKUP(A126,'BS.2 - F24'!$K$191:$K$244,'BS.2 - F24'!$L$191:$L$244,0,0,1)</f>
        <v>21130</v>
      </c>
      <c r="F126" s="9"/>
      <c r="G126" s="11"/>
    </row>
    <row r="127" spans="1:7" x14ac:dyDescent="0.25">
      <c r="A127" s="4" t="s">
        <v>509</v>
      </c>
      <c r="B127" s="9"/>
      <c r="C127" s="698">
        <f>_xlfn.XLOOKUP(A127,'BS.1 - F25'!$K$189:$K$244,'BS.1 - F25'!$L$189:$L$244,0,0,1)</f>
        <v>0</v>
      </c>
      <c r="D127" s="9"/>
      <c r="E127" s="194">
        <f>_xlfn.XLOOKUP(A127,'BS.2 - F24'!$K$191:$K$244,'BS.2 - F24'!$L$191:$L$244,0,0,1)</f>
        <v>0</v>
      </c>
      <c r="F127" s="9"/>
      <c r="G127" s="11"/>
    </row>
    <row r="128" spans="1:7" x14ac:dyDescent="0.25">
      <c r="A128" s="660" t="s">
        <v>13</v>
      </c>
      <c r="B128" s="658" t="s">
        <v>90</v>
      </c>
      <c r="C128" s="707">
        <f>SUM(C125:C127)</f>
        <v>0</v>
      </c>
      <c r="D128" s="708" t="s">
        <v>90</v>
      </c>
      <c r="E128" s="1372" t="e">
        <f>SUM(E125:E127)</f>
        <v>#REF!</v>
      </c>
      <c r="F128" s="8"/>
      <c r="G128" s="157"/>
    </row>
    <row r="129" spans="1:7" x14ac:dyDescent="0.25">
      <c r="A129" s="7"/>
      <c r="B129" s="8"/>
      <c r="C129" s="12"/>
      <c r="D129" s="8"/>
      <c r="E129" s="1370"/>
      <c r="F129" s="8"/>
      <c r="G129" s="12"/>
    </row>
    <row r="130" spans="1:7" x14ac:dyDescent="0.25">
      <c r="A130" s="7" t="s">
        <v>116</v>
      </c>
      <c r="B130" s="9"/>
      <c r="C130" s="11"/>
      <c r="D130" s="9"/>
      <c r="E130" s="194"/>
      <c r="F130" s="9"/>
      <c r="G130" s="11"/>
    </row>
    <row r="131" spans="1:7" x14ac:dyDescent="0.25">
      <c r="A131" s="4" t="s">
        <v>56</v>
      </c>
      <c r="B131" s="9"/>
      <c r="C131" s="698">
        <f>_xlfn.XLOOKUP(A131,'BS.1 - F25'!$K$189:$K$244,'BS.1 - F25'!$L$189:$L$244,0,0,1)</f>
        <v>0</v>
      </c>
      <c r="D131" s="9"/>
      <c r="E131" s="194">
        <f>_xlfn.XLOOKUP(A131,'BS.2 - F24'!$K$191:$K$244,'BS.2 - F24'!$L$191:$L$244,0,0,1)</f>
        <v>225000</v>
      </c>
      <c r="F131" s="9"/>
      <c r="G131" s="11"/>
    </row>
    <row r="132" spans="1:7" x14ac:dyDescent="0.25">
      <c r="A132" s="4" t="s">
        <v>1954</v>
      </c>
      <c r="B132" s="9"/>
      <c r="C132" s="698">
        <f>_xlfn.XLOOKUP(A132,'BS.1 - F25'!$K$189:$K$244,'BS.1 - F25'!$L$189:$L$244,0,0,1)</f>
        <v>0</v>
      </c>
      <c r="D132" s="9"/>
      <c r="E132" s="194">
        <f>_xlfn.XLOOKUP(A132,'BS.2 - F24'!$K$191:$K$244,'BS.2 - F24'!$L$191:$L$244,0,0,1)</f>
        <v>0</v>
      </c>
      <c r="F132" s="9"/>
      <c r="G132" s="11"/>
    </row>
    <row r="133" spans="1:7" x14ac:dyDescent="0.25">
      <c r="A133" s="660" t="s">
        <v>16</v>
      </c>
      <c r="B133" s="658" t="s">
        <v>90</v>
      </c>
      <c r="C133" s="707">
        <f>SUM(C131:C132)</f>
        <v>0</v>
      </c>
      <c r="D133" s="708" t="s">
        <v>90</v>
      </c>
      <c r="E133" s="1372">
        <f>SUM(E131:E132)</f>
        <v>225000</v>
      </c>
      <c r="F133" s="8"/>
      <c r="G133" s="157"/>
    </row>
    <row r="134" spans="1:7" x14ac:dyDescent="0.25">
      <c r="A134" s="7"/>
      <c r="B134" s="9"/>
      <c r="C134" s="11"/>
      <c r="D134" s="9"/>
      <c r="E134" s="194"/>
      <c r="F134" s="9"/>
      <c r="G134" s="11"/>
    </row>
    <row r="135" spans="1:7" x14ac:dyDescent="0.25">
      <c r="A135" s="4" t="s">
        <v>117</v>
      </c>
      <c r="B135" s="197" t="s">
        <v>90</v>
      </c>
      <c r="C135" s="11">
        <f>SUM(C122,C128,C133)</f>
        <v>-5212</v>
      </c>
      <c r="D135" s="9" t="s">
        <v>90</v>
      </c>
      <c r="E135" s="194" t="e">
        <f>SUM(E122,E128,E133)</f>
        <v>#REF!</v>
      </c>
      <c r="F135" s="9"/>
      <c r="G135" s="11"/>
    </row>
    <row r="136" spans="1:7" x14ac:dyDescent="0.25">
      <c r="A136" s="4" t="s">
        <v>118</v>
      </c>
      <c r="B136" s="9"/>
      <c r="C136" s="698">
        <f>SUMIF('IS - F25'!$T$97:$T$145,A136,'IS - F25'!$U$97:$U$145)</f>
        <v>0</v>
      </c>
      <c r="D136" s="9"/>
      <c r="E136" s="194"/>
      <c r="F136" s="9"/>
      <c r="G136" s="11"/>
    </row>
    <row r="137" spans="1:7" x14ac:dyDescent="0.25">
      <c r="A137" s="4" t="s">
        <v>119</v>
      </c>
      <c r="B137" s="9"/>
      <c r="C137" s="698">
        <f>E13</f>
        <v>5604</v>
      </c>
      <c r="D137" s="9"/>
      <c r="E137" s="194">
        <f>'BS.2 - F24'!L247</f>
        <v>108180</v>
      </c>
      <c r="F137" s="9"/>
      <c r="G137" s="11"/>
    </row>
    <row r="138" spans="1:7" x14ac:dyDescent="0.25">
      <c r="A138" s="660" t="s">
        <v>120</v>
      </c>
      <c r="B138" s="658" t="s">
        <v>90</v>
      </c>
      <c r="C138" s="707">
        <f>SUM(C135:C137)</f>
        <v>392</v>
      </c>
      <c r="D138" s="708" t="s">
        <v>90</v>
      </c>
      <c r="E138" s="1372" t="e">
        <f>SUM(E135:E137)</f>
        <v>#REF!</v>
      </c>
      <c r="F138" s="8"/>
      <c r="G138" s="157"/>
    </row>
    <row r="140" spans="1:7" ht="12.6" thickBot="1" x14ac:dyDescent="0.3">
      <c r="C140" s="40">
        <f>C138-C13</f>
        <v>0</v>
      </c>
      <c r="E140" s="1369" t="e">
        <f>E138-E13</f>
        <v>#REF!</v>
      </c>
      <c r="G140" s="158"/>
    </row>
    <row r="141" spans="1:7" ht="12.6" thickTop="1" x14ac:dyDescent="0.25"/>
    <row r="143" spans="1:7" x14ac:dyDescent="0.25">
      <c r="A143" s="6" t="s">
        <v>168</v>
      </c>
    </row>
    <row r="144" spans="1:7" x14ac:dyDescent="0.25">
      <c r="A144" s="3" t="str">
        <f>'BS.1 - F25'!K243</f>
        <v>Settlement of loan receivable on acquisition of Hallor Industries Inc.</v>
      </c>
      <c r="B144" s="197" t="s">
        <v>90</v>
      </c>
      <c r="C144" s="1373">
        <f>'BS.1 - F25'!R243</f>
        <v>0</v>
      </c>
      <c r="D144" s="9" t="s">
        <v>90</v>
      </c>
      <c r="E144" s="194">
        <v>0</v>
      </c>
      <c r="F144" s="9"/>
      <c r="G144" s="11"/>
    </row>
    <row r="145" spans="1:5" x14ac:dyDescent="0.25">
      <c r="A145" s="3" t="s">
        <v>1294</v>
      </c>
      <c r="B145" s="197" t="s">
        <v>90</v>
      </c>
      <c r="C145" s="1373">
        <f>'BS.1 - F25'!AA242+'BS.1 - F25'!AA229</f>
        <v>0</v>
      </c>
      <c r="D145" s="9" t="s">
        <v>90</v>
      </c>
      <c r="E145" s="194">
        <v>0</v>
      </c>
    </row>
    <row r="146" spans="1:5" x14ac:dyDescent="0.25">
      <c r="A146" s="3" t="s">
        <v>1953</v>
      </c>
      <c r="B146" s="197" t="s">
        <v>90</v>
      </c>
      <c r="C146" s="1371">
        <v>0</v>
      </c>
      <c r="D146" s="9" t="s">
        <v>90</v>
      </c>
      <c r="E146" s="1371">
        <f>'SCF.1 - Dec 31, 2022'!R225</f>
        <v>1258080</v>
      </c>
    </row>
    <row r="179" spans="7:7" x14ac:dyDescent="0.25">
      <c r="G179" s="804" t="e">
        <f>'BS.2 - F24'!F4</f>
        <v>#REF!</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C3D5-4149-460D-B313-2E62BDF6CC40}">
  <sheetPr>
    <tabColor rgb="FF00FF99"/>
  </sheetPr>
  <dimension ref="A1:M305"/>
  <sheetViews>
    <sheetView workbookViewId="0"/>
  </sheetViews>
  <sheetFormatPr defaultColWidth="9.109375" defaultRowHeight="12" outlineLevelRow="2" outlineLevelCol="1" x14ac:dyDescent="0.25"/>
  <cols>
    <col min="1" max="1" width="53" style="3" customWidth="1"/>
    <col min="2" max="2" width="9.44140625" style="3" customWidth="1"/>
    <col min="3" max="4" width="11.5546875" style="3" hidden="1" customWidth="1" outlineLevel="1"/>
    <col min="5" max="5" width="11.5546875" style="426" customWidth="1" collapsed="1"/>
    <col min="6" max="6" width="11.5546875" style="426" customWidth="1"/>
    <col min="7" max="7" width="3.88671875" style="3" customWidth="1"/>
    <col min="8" max="8" width="9.88671875" style="3" bestFit="1" customWidth="1"/>
    <col min="9" max="9" width="10.109375" style="3" bestFit="1" customWidth="1"/>
    <col min="10" max="10" width="10.33203125" style="3" bestFit="1" customWidth="1"/>
    <col min="11" max="11" width="10.109375" style="3" bestFit="1" customWidth="1"/>
    <col min="12" max="12" width="3.109375" style="3" customWidth="1"/>
    <col min="13" max="13" width="90.109375" style="3" customWidth="1"/>
    <col min="14" max="16384" width="9.109375" style="3"/>
  </cols>
  <sheetData>
    <row r="1" spans="1:5" ht="25.2" x14ac:dyDescent="0.25">
      <c r="A1" s="44" t="str">
        <f>company_name</f>
        <v>Consolidated Hallor Group Inc.</v>
      </c>
    </row>
    <row r="2" spans="1:5" ht="25.2" x14ac:dyDescent="0.25">
      <c r="A2" s="44" t="s">
        <v>127</v>
      </c>
    </row>
    <row r="4" spans="1:5" x14ac:dyDescent="0.25">
      <c r="A4" s="411" t="s">
        <v>373</v>
      </c>
      <c r="B4" s="540" t="str">
        <f>INPUTS!B3</f>
        <v>Q4</v>
      </c>
    </row>
    <row r="6" spans="1:5" ht="15.6" x14ac:dyDescent="0.3">
      <c r="A6" s="541" t="s">
        <v>412</v>
      </c>
    </row>
    <row r="8" spans="1:5" ht="15.6" hidden="1" outlineLevel="1" x14ac:dyDescent="0.3">
      <c r="A8" s="99" t="s">
        <v>353</v>
      </c>
    </row>
    <row r="9" spans="1:5" hidden="1" outlineLevel="2" x14ac:dyDescent="0.25">
      <c r="A9" s="237"/>
      <c r="B9" s="238"/>
      <c r="C9" s="239">
        <f>currentperiod_end_date</f>
        <v>45838</v>
      </c>
      <c r="D9" s="239">
        <f>priorperiod_end_date</f>
        <v>45473</v>
      </c>
      <c r="E9" s="427"/>
    </row>
    <row r="10" spans="1:5" hidden="1" outlineLevel="2" x14ac:dyDescent="0.25">
      <c r="A10" s="4" t="s">
        <v>128</v>
      </c>
      <c r="B10" s="4"/>
      <c r="C10" s="32"/>
      <c r="D10" s="11"/>
      <c r="E10" s="428"/>
    </row>
    <row r="11" spans="1:5" hidden="1" outlineLevel="2" x14ac:dyDescent="0.25">
      <c r="A11" s="4" t="s">
        <v>276</v>
      </c>
      <c r="B11" s="4"/>
      <c r="C11" s="32"/>
      <c r="D11" s="11"/>
      <c r="E11" s="428"/>
    </row>
    <row r="12" spans="1:5" hidden="1" outlineLevel="2" x14ac:dyDescent="0.25">
      <c r="A12" s="4" t="s">
        <v>216</v>
      </c>
      <c r="B12" s="4"/>
      <c r="C12" s="32"/>
      <c r="D12" s="11"/>
      <c r="E12" s="428"/>
    </row>
    <row r="13" spans="1:5" ht="12.6" hidden="1" outlineLevel="2" thickBot="1" x14ac:dyDescent="0.3">
      <c r="A13" s="24" t="s">
        <v>277</v>
      </c>
      <c r="B13" s="24"/>
      <c r="C13" s="33"/>
      <c r="D13" s="37"/>
      <c r="E13" s="428"/>
    </row>
    <row r="14" spans="1:5" ht="12.6" hidden="1" outlineLevel="2" thickBot="1" x14ac:dyDescent="0.3">
      <c r="A14" s="25" t="s">
        <v>129</v>
      </c>
      <c r="B14" s="25"/>
      <c r="C14" s="36">
        <f>SUM(C10:C12)</f>
        <v>0</v>
      </c>
      <c r="D14" s="147">
        <f>SUM(D10:D12)</f>
        <v>0</v>
      </c>
      <c r="E14" s="429"/>
    </row>
    <row r="15" spans="1:5" ht="12.6" hidden="1" outlineLevel="2" thickTop="1" x14ac:dyDescent="0.25">
      <c r="A15" s="118"/>
      <c r="B15" s="118"/>
      <c r="C15" s="118"/>
      <c r="D15" s="118"/>
    </row>
    <row r="16" spans="1:5" ht="12.6" hidden="1" outlineLevel="2" thickBot="1" x14ac:dyDescent="0.3">
      <c r="A16" s="120" t="s">
        <v>19</v>
      </c>
      <c r="B16" s="119"/>
      <c r="C16" s="121" t="e">
        <f>C14-#REF!</f>
        <v>#REF!</v>
      </c>
      <c r="D16" s="121" t="e">
        <f>D14-#REF!</f>
        <v>#REF!</v>
      </c>
      <c r="E16" s="430"/>
    </row>
    <row r="17" spans="1:5" hidden="1" outlineLevel="2" x14ac:dyDescent="0.25"/>
    <row r="18" spans="1:5" hidden="1" outlineLevel="2" x14ac:dyDescent="0.25">
      <c r="A18" s="237"/>
      <c r="B18" s="238"/>
      <c r="C18" s="239">
        <f>currentperiod_end_date</f>
        <v>45838</v>
      </c>
      <c r="D18" s="239">
        <f>priorperiod_end_date</f>
        <v>45473</v>
      </c>
      <c r="E18" s="427"/>
    </row>
    <row r="19" spans="1:5" hidden="1" outlineLevel="2" x14ac:dyDescent="0.25">
      <c r="A19" s="4" t="s">
        <v>128</v>
      </c>
      <c r="B19" s="4"/>
      <c r="C19" s="32"/>
      <c r="D19" s="11"/>
      <c r="E19" s="428"/>
    </row>
    <row r="20" spans="1:5" ht="12.6" hidden="1" outlineLevel="2" thickBot="1" x14ac:dyDescent="0.3">
      <c r="A20" s="24"/>
      <c r="B20" s="24"/>
      <c r="C20" s="33"/>
      <c r="D20" s="37"/>
      <c r="E20" s="428"/>
    </row>
    <row r="21" spans="1:5" ht="12.6" hidden="1" outlineLevel="2" thickBot="1" x14ac:dyDescent="0.3">
      <c r="A21" s="25" t="s">
        <v>95</v>
      </c>
      <c r="B21" s="25"/>
      <c r="C21" s="36">
        <f>SUM(C19:C20)</f>
        <v>0</v>
      </c>
      <c r="D21" s="147">
        <f>SUM(D19:D20)</f>
        <v>0</v>
      </c>
      <c r="E21" s="429"/>
    </row>
    <row r="22" spans="1:5" ht="12.6" hidden="1" outlineLevel="2" thickTop="1" x14ac:dyDescent="0.25"/>
    <row r="23" spans="1:5" ht="12.6" hidden="1" outlineLevel="2" thickBot="1" x14ac:dyDescent="0.3">
      <c r="A23" s="120" t="s">
        <v>19</v>
      </c>
      <c r="B23" s="119"/>
      <c r="C23" s="231" t="e">
        <f>C21-#REF!</f>
        <v>#REF!</v>
      </c>
      <c r="D23" s="231" t="e">
        <f>D21-#REF!</f>
        <v>#REF!</v>
      </c>
      <c r="E23" s="431"/>
    </row>
    <row r="24" spans="1:5" hidden="1" outlineLevel="1" x14ac:dyDescent="0.25"/>
    <row r="25" spans="1:5" ht="15.6" hidden="1" outlineLevel="1" x14ac:dyDescent="0.3">
      <c r="A25" s="99" t="s">
        <v>354</v>
      </c>
    </row>
    <row r="26" spans="1:5" hidden="1" outlineLevel="2" x14ac:dyDescent="0.25">
      <c r="A26" s="237"/>
      <c r="B26" s="238"/>
      <c r="C26" s="239">
        <f>currentperiod_end_date</f>
        <v>45838</v>
      </c>
      <c r="D26" s="239">
        <f>priorperiod_end_date</f>
        <v>45473</v>
      </c>
      <c r="E26" s="427"/>
    </row>
    <row r="27" spans="1:5" hidden="1" outlineLevel="2" x14ac:dyDescent="0.25">
      <c r="A27" s="4" t="s">
        <v>130</v>
      </c>
      <c r="B27" s="4"/>
      <c r="C27" s="32">
        <f>SUMIF('FY Current'!I:I,'Note Disclosures'!$A27,'FY Current'!G:G)</f>
        <v>0</v>
      </c>
      <c r="D27" s="11" t="e">
        <f>SUMIF(#REF!,$A27,#REF!)</f>
        <v>#REF!</v>
      </c>
      <c r="E27" s="428"/>
    </row>
    <row r="28" spans="1:5" hidden="1" outlineLevel="2" x14ac:dyDescent="0.25">
      <c r="A28" s="4" t="s">
        <v>207</v>
      </c>
      <c r="B28" s="4"/>
      <c r="C28" s="32">
        <f>SUMIF('FY Current'!I:I,'Note Disclosures'!$A28,'FY Current'!G:G)</f>
        <v>0</v>
      </c>
      <c r="D28" s="11" t="e">
        <f>SUMIF(#REF!,$A28,#REF!)</f>
        <v>#REF!</v>
      </c>
      <c r="E28" s="428"/>
    </row>
    <row r="29" spans="1:5" hidden="1" outlineLevel="2" x14ac:dyDescent="0.25">
      <c r="A29" s="4" t="s">
        <v>38</v>
      </c>
      <c r="B29" s="4"/>
      <c r="C29" s="32">
        <f>SUMIF('FY Current'!I:I,'Note Disclosures'!$A29,'FY Current'!G:G)</f>
        <v>0</v>
      </c>
      <c r="D29" s="11" t="e">
        <f>SUMIF(#REF!,$A29,#REF!)</f>
        <v>#REF!</v>
      </c>
      <c r="E29" s="428"/>
    </row>
    <row r="30" spans="1:5" ht="12.6" hidden="1" outlineLevel="2" thickBot="1" x14ac:dyDescent="0.3">
      <c r="A30" s="24" t="s">
        <v>131</v>
      </c>
      <c r="B30" s="24"/>
      <c r="C30" s="90">
        <f>SUMIF('FY Current'!I:I,'Note Disclosures'!$A30,'FY Current'!G:G)</f>
        <v>0</v>
      </c>
      <c r="D30" s="37" t="e">
        <f>SUMIF(#REF!,$A30,#REF!)</f>
        <v>#REF!</v>
      </c>
      <c r="E30" s="428"/>
    </row>
    <row r="31" spans="1:5" ht="12.6" hidden="1" outlineLevel="2" thickBot="1" x14ac:dyDescent="0.3">
      <c r="A31" s="25" t="s">
        <v>132</v>
      </c>
      <c r="B31" s="25"/>
      <c r="C31" s="36">
        <f>SUM(C27:C30)</f>
        <v>0</v>
      </c>
      <c r="D31" s="39" t="e">
        <f>SUM(D27:D30)</f>
        <v>#REF!</v>
      </c>
      <c r="E31" s="432"/>
    </row>
    <row r="32" spans="1:5" ht="12.6" hidden="1" outlineLevel="2" thickTop="1" x14ac:dyDescent="0.25"/>
    <row r="33" spans="1:7" ht="12.6" hidden="1" outlineLevel="2" thickBot="1" x14ac:dyDescent="0.3">
      <c r="A33" s="120" t="s">
        <v>19</v>
      </c>
      <c r="B33" s="119"/>
      <c r="C33" s="121" t="e">
        <f>C31-#REF!</f>
        <v>#REF!</v>
      </c>
      <c r="D33" s="121" t="e">
        <f>D31-#REF!</f>
        <v>#REF!</v>
      </c>
      <c r="E33" s="430"/>
    </row>
    <row r="34" spans="1:7" hidden="1" outlineLevel="1" x14ac:dyDescent="0.25"/>
    <row r="35" spans="1:7" ht="15.6" hidden="1" outlineLevel="1" x14ac:dyDescent="0.3">
      <c r="A35" s="99" t="s">
        <v>355</v>
      </c>
    </row>
    <row r="36" spans="1:7" hidden="1" outlineLevel="2" x14ac:dyDescent="0.25">
      <c r="A36" s="237"/>
      <c r="B36" s="242"/>
      <c r="C36" s="239">
        <f>currentperiod_end_date</f>
        <v>45838</v>
      </c>
      <c r="D36" s="239">
        <f>priorperiod_end_date</f>
        <v>45473</v>
      </c>
      <c r="E36" s="427"/>
    </row>
    <row r="37" spans="1:7" hidden="1" outlineLevel="2" x14ac:dyDescent="0.25">
      <c r="A37" s="4" t="s">
        <v>206</v>
      </c>
      <c r="B37" s="4"/>
      <c r="C37" s="32">
        <f>SUMIF('FY Current'!I:I,'Note Disclosures'!$A37,'FY Current'!G:G)</f>
        <v>0</v>
      </c>
      <c r="D37" s="11" t="e">
        <f>SUMIF(#REF!,$A37,#REF!)</f>
        <v>#REF!</v>
      </c>
      <c r="E37" s="428"/>
    </row>
    <row r="38" spans="1:7" hidden="1" outlineLevel="2" x14ac:dyDescent="0.25">
      <c r="A38" s="4" t="s">
        <v>198</v>
      </c>
      <c r="B38" s="4"/>
      <c r="C38" s="32">
        <f>SUMIF('FY Current'!I:I,'Note Disclosures'!$A38,'FY Current'!G:G)</f>
        <v>0</v>
      </c>
      <c r="D38" s="11" t="e">
        <f>SUMIF(#REF!,$A38,#REF!)</f>
        <v>#REF!</v>
      </c>
      <c r="E38" s="428"/>
    </row>
    <row r="39" spans="1:7" ht="12.6" hidden="1" outlineLevel="2" thickBot="1" x14ac:dyDescent="0.3">
      <c r="A39" s="24" t="s">
        <v>187</v>
      </c>
      <c r="B39" s="24"/>
      <c r="C39" s="90">
        <f>SUMIF('FY Current'!I:I,'Note Disclosures'!$A39,'FY Current'!G:G)</f>
        <v>0</v>
      </c>
      <c r="D39" s="37" t="e">
        <f>SUMIF(#REF!,$A39,#REF!)</f>
        <v>#REF!</v>
      </c>
      <c r="E39" s="428"/>
    </row>
    <row r="40" spans="1:7" ht="12.6" hidden="1" outlineLevel="2" thickBot="1" x14ac:dyDescent="0.3">
      <c r="A40" s="25" t="s">
        <v>72</v>
      </c>
      <c r="B40" s="25"/>
      <c r="C40" s="36">
        <f>SUM(C37:C39)</f>
        <v>0</v>
      </c>
      <c r="D40" s="39" t="e">
        <f>SUM(D37:D39)</f>
        <v>#REF!</v>
      </c>
      <c r="E40" s="432"/>
    </row>
    <row r="41" spans="1:7" ht="13.2" hidden="1" outlineLevel="2" thickTop="1" thickBot="1" x14ac:dyDescent="0.3">
      <c r="A41" s="24" t="s">
        <v>133</v>
      </c>
      <c r="B41" s="28"/>
      <c r="C41" s="33">
        <v>204945</v>
      </c>
      <c r="D41" s="37">
        <v>5644</v>
      </c>
      <c r="E41" s="428"/>
    </row>
    <row r="42" spans="1:7" ht="12.6" hidden="1" outlineLevel="2" thickBot="1" x14ac:dyDescent="0.3">
      <c r="A42" s="29" t="s">
        <v>134</v>
      </c>
      <c r="B42" s="25"/>
      <c r="C42" s="34">
        <f>C40-C41</f>
        <v>-204945</v>
      </c>
      <c r="D42" s="38" t="e">
        <f>D40-D41</f>
        <v>#REF!</v>
      </c>
      <c r="E42" s="428"/>
    </row>
    <row r="43" spans="1:7" ht="12.6" hidden="1" outlineLevel="2" thickTop="1" x14ac:dyDescent="0.25"/>
    <row r="44" spans="1:7" ht="12.6" hidden="1" outlineLevel="2" thickBot="1" x14ac:dyDescent="0.3">
      <c r="A44" s="120" t="s">
        <v>19</v>
      </c>
      <c r="B44" s="119"/>
      <c r="C44" s="121" t="e">
        <f>C41-#REF!</f>
        <v>#REF!</v>
      </c>
      <c r="D44" s="121" t="e">
        <f>D41-#REF!</f>
        <v>#REF!</v>
      </c>
      <c r="E44" s="430"/>
    </row>
    <row r="45" spans="1:7" ht="12.6" hidden="1" outlineLevel="2" thickBot="1" x14ac:dyDescent="0.3">
      <c r="A45" s="120" t="s">
        <v>19</v>
      </c>
      <c r="B45" s="119"/>
      <c r="C45" s="121" t="e">
        <f>C42-#REF!</f>
        <v>#REF!</v>
      </c>
      <c r="D45" s="121" t="e">
        <f>D42-#REF!</f>
        <v>#REF!</v>
      </c>
      <c r="E45" s="430"/>
    </row>
    <row r="46" spans="1:7" hidden="1" outlineLevel="1" x14ac:dyDescent="0.25"/>
    <row r="47" spans="1:7" ht="15.6" hidden="1" outlineLevel="1" x14ac:dyDescent="0.3">
      <c r="A47" s="99" t="s">
        <v>356</v>
      </c>
    </row>
    <row r="48" spans="1:7" ht="36" hidden="1" outlineLevel="2" x14ac:dyDescent="0.25">
      <c r="A48" s="237"/>
      <c r="B48" s="247"/>
      <c r="C48" s="248" t="s">
        <v>267</v>
      </c>
      <c r="D48" s="248" t="s">
        <v>268</v>
      </c>
      <c r="E48" s="433" t="s">
        <v>135</v>
      </c>
      <c r="F48" s="433" t="s">
        <v>269</v>
      </c>
      <c r="G48" s="248" t="s">
        <v>71</v>
      </c>
    </row>
    <row r="49" spans="1:7" ht="12.6" hidden="1" outlineLevel="2" thickBot="1" x14ac:dyDescent="0.3">
      <c r="A49" s="7" t="s">
        <v>136</v>
      </c>
      <c r="B49" s="9"/>
      <c r="C49" s="11"/>
      <c r="D49" s="9"/>
      <c r="E49" s="10"/>
      <c r="F49" s="10"/>
      <c r="G49" s="9"/>
    </row>
    <row r="50" spans="1:7" ht="13.2" hidden="1" outlineLevel="2" thickTop="1" thickBot="1" x14ac:dyDescent="0.3">
      <c r="A50" s="103">
        <f>IFRS_adopt</f>
        <v>45930</v>
      </c>
      <c r="B50" s="100"/>
      <c r="C50" s="190"/>
      <c r="D50" s="190"/>
      <c r="E50" s="434"/>
      <c r="F50" s="434">
        <v>0</v>
      </c>
      <c r="G50" s="190">
        <f>SUM(C50:F50)</f>
        <v>0</v>
      </c>
    </row>
    <row r="51" spans="1:7" ht="12.6" hidden="1" outlineLevel="2" thickBot="1" x14ac:dyDescent="0.3">
      <c r="A51" s="24" t="s">
        <v>137</v>
      </c>
      <c r="B51" s="95"/>
      <c r="C51" s="191"/>
      <c r="D51" s="191"/>
      <c r="E51" s="435"/>
      <c r="F51" s="435">
        <v>0</v>
      </c>
      <c r="G51" s="191">
        <f>SUM(C51:F51)</f>
        <v>0</v>
      </c>
    </row>
    <row r="52" spans="1:7" hidden="1" outlineLevel="2" x14ac:dyDescent="0.25">
      <c r="A52" s="188">
        <f>comp_period_1</f>
        <v>45473</v>
      </c>
      <c r="B52" s="189"/>
      <c r="C52" s="192">
        <f>SUM(C50:C51)</f>
        <v>0</v>
      </c>
      <c r="D52" s="192">
        <f>SUM(D50:D51)</f>
        <v>0</v>
      </c>
      <c r="E52" s="436">
        <f>SUM(E50:E51)</f>
        <v>0</v>
      </c>
      <c r="F52" s="436">
        <f>SUM(F50:F51)</f>
        <v>0</v>
      </c>
      <c r="G52" s="192">
        <f>SUM(C52:F52)</f>
        <v>0</v>
      </c>
    </row>
    <row r="53" spans="1:7" ht="12.6" hidden="1" outlineLevel="2" thickBot="1" x14ac:dyDescent="0.3">
      <c r="A53" s="24" t="s">
        <v>137</v>
      </c>
      <c r="B53" s="95"/>
      <c r="C53" s="191"/>
      <c r="D53" s="191"/>
      <c r="E53" s="435"/>
      <c r="F53" s="435">
        <v>0</v>
      </c>
      <c r="G53" s="191">
        <f>SUM(C53:F53)</f>
        <v>0</v>
      </c>
    </row>
    <row r="54" spans="1:7" ht="12.6" hidden="1" outlineLevel="2" thickBot="1" x14ac:dyDescent="0.3">
      <c r="A54" s="108">
        <f>currentperiod_end_date</f>
        <v>45838</v>
      </c>
      <c r="B54" s="97"/>
      <c r="C54" s="193">
        <f>SUM(C52:C53)</f>
        <v>0</v>
      </c>
      <c r="D54" s="193">
        <f>SUM(D52:D53)</f>
        <v>0</v>
      </c>
      <c r="E54" s="437">
        <f>SUM(E52:E53)</f>
        <v>0</v>
      </c>
      <c r="F54" s="437">
        <f>SUM(F52:F53)</f>
        <v>0</v>
      </c>
      <c r="G54" s="193">
        <f>SUM(G52:G53)</f>
        <v>0</v>
      </c>
    </row>
    <row r="55" spans="1:7" ht="12.6" hidden="1" outlineLevel="2" thickTop="1" x14ac:dyDescent="0.25">
      <c r="A55" s="104"/>
      <c r="B55" s="9"/>
      <c r="C55" s="194"/>
      <c r="D55" s="194"/>
      <c r="E55" s="438"/>
      <c r="F55" s="438"/>
      <c r="G55" s="194"/>
    </row>
    <row r="56" spans="1:7" ht="12.6" hidden="1" outlineLevel="2" thickBot="1" x14ac:dyDescent="0.3">
      <c r="A56" s="105" t="s">
        <v>138</v>
      </c>
      <c r="B56" s="26"/>
      <c r="C56" s="195"/>
      <c r="D56" s="195"/>
      <c r="E56" s="439"/>
      <c r="F56" s="439"/>
      <c r="G56" s="195"/>
    </row>
    <row r="57" spans="1:7" ht="13.2" hidden="1" outlineLevel="2" thickTop="1" thickBot="1" x14ac:dyDescent="0.3">
      <c r="A57" s="109">
        <v>43830</v>
      </c>
      <c r="B57" s="102"/>
      <c r="C57" s="196"/>
      <c r="D57" s="196"/>
      <c r="E57" s="440"/>
      <c r="F57" s="440">
        <v>0</v>
      </c>
      <c r="G57" s="190">
        <f>SUM(C57:F57)</f>
        <v>0</v>
      </c>
    </row>
    <row r="58" spans="1:7" ht="12.6" hidden="1" outlineLevel="2" thickBot="1" x14ac:dyDescent="0.3">
      <c r="A58" s="106" t="s">
        <v>10</v>
      </c>
      <c r="B58" s="95"/>
      <c r="C58" s="191"/>
      <c r="D58" s="191"/>
      <c r="E58" s="435"/>
      <c r="F58" s="435">
        <v>0</v>
      </c>
      <c r="G58" s="191">
        <f>SUM(C58:F58)</f>
        <v>0</v>
      </c>
    </row>
    <row r="59" spans="1:7" hidden="1" outlineLevel="2" x14ac:dyDescent="0.25">
      <c r="A59" s="188">
        <f>A52</f>
        <v>45473</v>
      </c>
      <c r="B59" s="189"/>
      <c r="C59" s="192">
        <f>SUM(C57:C58)</f>
        <v>0</v>
      </c>
      <c r="D59" s="192">
        <f>SUM(D57:D58)</f>
        <v>0</v>
      </c>
      <c r="E59" s="436">
        <f>SUM(E57:E58)</f>
        <v>0</v>
      </c>
      <c r="F59" s="436">
        <f>SUM(F57:F58)</f>
        <v>0</v>
      </c>
      <c r="G59" s="192">
        <f>SUM(C59:F59)</f>
        <v>0</v>
      </c>
    </row>
    <row r="60" spans="1:7" ht="12.6" hidden="1" outlineLevel="2" thickBot="1" x14ac:dyDescent="0.3">
      <c r="A60" s="106" t="s">
        <v>10</v>
      </c>
      <c r="B60" s="95"/>
      <c r="C60" s="191"/>
      <c r="D60" s="191"/>
      <c r="E60" s="435"/>
      <c r="F60" s="435">
        <v>0</v>
      </c>
      <c r="G60" s="191">
        <f>SUM(C60:F60)</f>
        <v>0</v>
      </c>
    </row>
    <row r="61" spans="1:7" ht="12.6" hidden="1" outlineLevel="2" thickBot="1" x14ac:dyDescent="0.3">
      <c r="A61" s="108">
        <f>A54</f>
        <v>45838</v>
      </c>
      <c r="B61" s="97"/>
      <c r="C61" s="193">
        <f>SUM(C59:C60)</f>
        <v>0</v>
      </c>
      <c r="D61" s="193">
        <f>SUM(D59:D60)</f>
        <v>0</v>
      </c>
      <c r="E61" s="437">
        <f>SUM(E59:E60)</f>
        <v>0</v>
      </c>
      <c r="F61" s="437">
        <f>SUM(F59:F60)</f>
        <v>0</v>
      </c>
      <c r="G61" s="193">
        <f>SUM(G59:G60)</f>
        <v>0</v>
      </c>
    </row>
    <row r="62" spans="1:7" ht="12.6" hidden="1" outlineLevel="2" thickTop="1" x14ac:dyDescent="0.25">
      <c r="A62" s="104"/>
      <c r="B62" s="9"/>
      <c r="C62" s="194"/>
      <c r="D62" s="194"/>
      <c r="E62" s="438"/>
      <c r="F62" s="438"/>
      <c r="G62" s="194"/>
    </row>
    <row r="63" spans="1:7" ht="12.6" hidden="1" outlineLevel="2" thickBot="1" x14ac:dyDescent="0.3">
      <c r="A63" s="105" t="s">
        <v>139</v>
      </c>
      <c r="B63" s="26"/>
      <c r="C63" s="195"/>
      <c r="D63" s="195"/>
      <c r="E63" s="439"/>
      <c r="F63" s="439"/>
      <c r="G63" s="195"/>
    </row>
    <row r="64" spans="1:7" ht="12.6" hidden="1" outlineLevel="2" thickTop="1" x14ac:dyDescent="0.25">
      <c r="A64" s="110">
        <f>IFRS_adopt</f>
        <v>45930</v>
      </c>
      <c r="B64" s="94"/>
      <c r="C64" s="194">
        <f>C50-C57</f>
        <v>0</v>
      </c>
      <c r="D64" s="194">
        <f>D50-D57</f>
        <v>0</v>
      </c>
      <c r="E64" s="438">
        <f>E50-E57</f>
        <v>0</v>
      </c>
      <c r="F64" s="438">
        <f>F50-F57</f>
        <v>0</v>
      </c>
      <c r="G64" s="194">
        <f>G50-G57</f>
        <v>0</v>
      </c>
    </row>
    <row r="65" spans="1:7" ht="12.6" hidden="1" outlineLevel="2" thickBot="1" x14ac:dyDescent="0.3">
      <c r="A65" s="111">
        <f>comp_period_1</f>
        <v>45473</v>
      </c>
      <c r="B65" s="95"/>
      <c r="C65" s="191">
        <f>C52-C59</f>
        <v>0</v>
      </c>
      <c r="D65" s="191">
        <f>D52-D59</f>
        <v>0</v>
      </c>
      <c r="E65" s="435">
        <f>E52-E59</f>
        <v>0</v>
      </c>
      <c r="F65" s="435">
        <f>F52-F59</f>
        <v>0</v>
      </c>
      <c r="G65" s="191">
        <f>G52-G59</f>
        <v>0</v>
      </c>
    </row>
    <row r="66" spans="1:7" ht="12.6" hidden="1" outlineLevel="2" thickBot="1" x14ac:dyDescent="0.3">
      <c r="A66" s="112">
        <f>currentperiod_end_date</f>
        <v>45838</v>
      </c>
      <c r="B66" s="96"/>
      <c r="C66" s="146">
        <f>C54-C61</f>
        <v>0</v>
      </c>
      <c r="D66" s="146">
        <f>D54-D61</f>
        <v>0</v>
      </c>
      <c r="E66" s="441">
        <f>E54-E61</f>
        <v>0</v>
      </c>
      <c r="F66" s="441">
        <f>F54-F61</f>
        <v>0</v>
      </c>
      <c r="G66" s="146">
        <f>G54-G61</f>
        <v>0</v>
      </c>
    </row>
    <row r="67" spans="1:7" ht="12.6" hidden="1" outlineLevel="2" thickTop="1" x14ac:dyDescent="0.25"/>
    <row r="68" spans="1:7" ht="12.6" hidden="1" outlineLevel="2" thickBot="1" x14ac:dyDescent="0.3">
      <c r="A68" s="120" t="s">
        <v>19</v>
      </c>
      <c r="B68" s="119"/>
      <c r="C68" s="121"/>
      <c r="D68" s="121"/>
      <c r="E68" s="442"/>
      <c r="F68" s="442"/>
      <c r="G68" s="121" t="e">
        <f>G64-#REF!</f>
        <v>#REF!</v>
      </c>
    </row>
    <row r="69" spans="1:7" ht="12.6" hidden="1" outlineLevel="2" thickBot="1" x14ac:dyDescent="0.3">
      <c r="A69" s="120" t="s">
        <v>19</v>
      </c>
      <c r="B69" s="119"/>
      <c r="C69" s="121"/>
      <c r="D69" s="121"/>
      <c r="E69" s="442"/>
      <c r="F69" s="442"/>
      <c r="G69" s="121" t="e">
        <f>G65-#REF!</f>
        <v>#REF!</v>
      </c>
    </row>
    <row r="70" spans="1:7" ht="12.6" hidden="1" outlineLevel="2" thickBot="1" x14ac:dyDescent="0.3">
      <c r="A70" s="120" t="s">
        <v>19</v>
      </c>
      <c r="B70" s="119"/>
      <c r="C70" s="121"/>
      <c r="D70" s="121"/>
      <c r="E70" s="442"/>
      <c r="F70" s="442"/>
      <c r="G70" s="121" t="e">
        <f>G66-#REF!</f>
        <v>#REF!</v>
      </c>
    </row>
    <row r="71" spans="1:7" hidden="1" outlineLevel="2" x14ac:dyDescent="0.25"/>
    <row r="72" spans="1:7" hidden="1" outlineLevel="1" x14ac:dyDescent="0.25"/>
    <row r="73" spans="1:7" ht="16.2" hidden="1" outlineLevel="1" thickBot="1" x14ac:dyDescent="0.35">
      <c r="A73" s="99" t="s">
        <v>275</v>
      </c>
    </row>
    <row r="74" spans="1:7" ht="24" hidden="1" outlineLevel="2" x14ac:dyDescent="0.25">
      <c r="A74" s="20"/>
      <c r="B74" s="22"/>
      <c r="C74" s="22" t="s">
        <v>126</v>
      </c>
      <c r="D74" s="22" t="s">
        <v>126</v>
      </c>
      <c r="E74" s="21" t="s">
        <v>126</v>
      </c>
      <c r="F74" s="21" t="s">
        <v>126</v>
      </c>
      <c r="G74" s="93" t="s">
        <v>71</v>
      </c>
    </row>
    <row r="75" spans="1:7" ht="12.6" hidden="1" outlineLevel="2" thickBot="1" x14ac:dyDescent="0.3">
      <c r="A75" s="7" t="s">
        <v>136</v>
      </c>
      <c r="B75" s="9"/>
      <c r="C75" s="11"/>
      <c r="D75" s="11"/>
      <c r="E75" s="428"/>
      <c r="F75" s="428"/>
      <c r="G75" s="9"/>
    </row>
    <row r="76" spans="1:7" ht="13.2" hidden="1" outlineLevel="2" thickTop="1" thickBot="1" x14ac:dyDescent="0.3">
      <c r="A76" s="103">
        <v>43646</v>
      </c>
      <c r="B76" s="100"/>
      <c r="C76" s="113">
        <v>0</v>
      </c>
      <c r="D76" s="113">
        <v>0</v>
      </c>
      <c r="E76" s="443">
        <v>0</v>
      </c>
      <c r="F76" s="443">
        <v>0</v>
      </c>
      <c r="G76" s="113">
        <f>SUM(C76:F76)</f>
        <v>0</v>
      </c>
    </row>
    <row r="77" spans="1:7" ht="12.6" hidden="1" outlineLevel="2" thickBot="1" x14ac:dyDescent="0.3">
      <c r="A77" s="106" t="s">
        <v>137</v>
      </c>
      <c r="B77" s="95"/>
      <c r="C77" s="37">
        <v>0</v>
      </c>
      <c r="D77" s="37">
        <v>0</v>
      </c>
      <c r="E77" s="444">
        <v>0</v>
      </c>
      <c r="F77" s="444">
        <v>0</v>
      </c>
      <c r="G77" s="37">
        <f>SUM(C77:F77)</f>
        <v>0</v>
      </c>
    </row>
    <row r="78" spans="1:7" hidden="1" outlineLevel="2" x14ac:dyDescent="0.25">
      <c r="A78" s="107">
        <v>44012</v>
      </c>
      <c r="B78" s="101"/>
      <c r="C78" s="12">
        <f>SUM(C76:C77)</f>
        <v>0</v>
      </c>
      <c r="D78" s="12">
        <f>SUM(D76:D77)</f>
        <v>0</v>
      </c>
      <c r="E78" s="432">
        <f>SUM(E76:E77)</f>
        <v>0</v>
      </c>
      <c r="F78" s="432">
        <f>SUM(F76:F77)</f>
        <v>0</v>
      </c>
      <c r="G78" s="12">
        <f>SUM(C78:F78)</f>
        <v>0</v>
      </c>
    </row>
    <row r="79" spans="1:7" ht="12.6" hidden="1" outlineLevel="2" thickBot="1" x14ac:dyDescent="0.3">
      <c r="A79" s="106" t="s">
        <v>137</v>
      </c>
      <c r="B79" s="95"/>
      <c r="C79" s="37">
        <v>0</v>
      </c>
      <c r="D79" s="37">
        <v>0</v>
      </c>
      <c r="E79" s="444">
        <v>0</v>
      </c>
      <c r="F79" s="444">
        <v>0</v>
      </c>
      <c r="G79" s="37">
        <f>SUM(C79:F79)</f>
        <v>0</v>
      </c>
    </row>
    <row r="80" spans="1:7" ht="12.6" hidden="1" outlineLevel="2" thickBot="1" x14ac:dyDescent="0.3">
      <c r="A80" s="108">
        <v>44377</v>
      </c>
      <c r="B80" s="97"/>
      <c r="C80" s="39">
        <f>SUM(C78:C79)</f>
        <v>0</v>
      </c>
      <c r="D80" s="39">
        <f>SUM(D78:D79)</f>
        <v>0</v>
      </c>
      <c r="E80" s="445">
        <f>SUM(E78:E79)</f>
        <v>0</v>
      </c>
      <c r="F80" s="445">
        <f>SUM(F78:F79)</f>
        <v>0</v>
      </c>
      <c r="G80" s="39">
        <f>SUM(G78:G79)</f>
        <v>0</v>
      </c>
    </row>
    <row r="81" spans="1:7" ht="12.6" hidden="1" outlineLevel="2" thickTop="1" x14ac:dyDescent="0.25">
      <c r="A81" s="104"/>
      <c r="B81" s="9"/>
      <c r="C81" s="11"/>
      <c r="D81" s="11"/>
      <c r="E81" s="428"/>
      <c r="F81" s="428"/>
      <c r="G81" s="11"/>
    </row>
    <row r="82" spans="1:7" ht="12.6" hidden="1" outlineLevel="2" thickBot="1" x14ac:dyDescent="0.3">
      <c r="A82" s="105" t="s">
        <v>138</v>
      </c>
      <c r="B82" s="26"/>
      <c r="C82" s="38"/>
      <c r="D82" s="38"/>
      <c r="E82" s="446"/>
      <c r="F82" s="446"/>
      <c r="G82" s="38"/>
    </row>
    <row r="83" spans="1:7" ht="13.2" hidden="1" outlineLevel="2" thickTop="1" thickBot="1" x14ac:dyDescent="0.3">
      <c r="A83" s="103">
        <v>43646</v>
      </c>
      <c r="B83" s="102"/>
      <c r="C83" s="114">
        <v>0</v>
      </c>
      <c r="D83" s="114">
        <v>0</v>
      </c>
      <c r="E83" s="447">
        <v>0</v>
      </c>
      <c r="F83" s="447">
        <v>0</v>
      </c>
      <c r="G83" s="113">
        <f>SUM(C83:F83)</f>
        <v>0</v>
      </c>
    </row>
    <row r="84" spans="1:7" ht="12.6" hidden="1" outlineLevel="2" thickBot="1" x14ac:dyDescent="0.3">
      <c r="A84" s="106" t="s">
        <v>10</v>
      </c>
      <c r="B84" s="95"/>
      <c r="C84" s="37">
        <v>0</v>
      </c>
      <c r="D84" s="37">
        <v>0</v>
      </c>
      <c r="E84" s="444">
        <v>0</v>
      </c>
      <c r="F84" s="444">
        <v>0</v>
      </c>
      <c r="G84" s="37">
        <f>SUM(C84:F84)</f>
        <v>0</v>
      </c>
    </row>
    <row r="85" spans="1:7" hidden="1" outlineLevel="2" x14ac:dyDescent="0.25">
      <c r="A85" s="107">
        <v>44012</v>
      </c>
      <c r="B85" s="101"/>
      <c r="C85" s="12">
        <f>SUM(C83:C84)</f>
        <v>0</v>
      </c>
      <c r="D85" s="12">
        <f>SUM(D83:D84)</f>
        <v>0</v>
      </c>
      <c r="E85" s="432">
        <f>SUM(E83:E84)</f>
        <v>0</v>
      </c>
      <c r="F85" s="432">
        <f>SUM(F83:F84)</f>
        <v>0</v>
      </c>
      <c r="G85" s="12">
        <f>SUM(C85:F85)</f>
        <v>0</v>
      </c>
    </row>
    <row r="86" spans="1:7" ht="12.6" hidden="1" outlineLevel="2" thickBot="1" x14ac:dyDescent="0.3">
      <c r="A86" s="106" t="s">
        <v>10</v>
      </c>
      <c r="B86" s="95"/>
      <c r="C86" s="37">
        <v>0</v>
      </c>
      <c r="D86" s="37">
        <v>0</v>
      </c>
      <c r="E86" s="444">
        <v>0</v>
      </c>
      <c r="F86" s="444">
        <v>0</v>
      </c>
      <c r="G86" s="37">
        <f>SUM(C86:F86)</f>
        <v>0</v>
      </c>
    </row>
    <row r="87" spans="1:7" ht="12.6" hidden="1" outlineLevel="2" thickBot="1" x14ac:dyDescent="0.3">
      <c r="A87" s="108">
        <v>44377</v>
      </c>
      <c r="B87" s="97"/>
      <c r="C87" s="39">
        <f>SUM(C85:C86)</f>
        <v>0</v>
      </c>
      <c r="D87" s="39">
        <f>SUM(D85:D86)</f>
        <v>0</v>
      </c>
      <c r="E87" s="445">
        <f>SUM(E85:E86)</f>
        <v>0</v>
      </c>
      <c r="F87" s="445">
        <f>SUM(F85:F86)</f>
        <v>0</v>
      </c>
      <c r="G87" s="39">
        <f>SUM(G85:G86)</f>
        <v>0</v>
      </c>
    </row>
    <row r="88" spans="1:7" ht="12.6" hidden="1" outlineLevel="2" thickTop="1" x14ac:dyDescent="0.25">
      <c r="A88" s="104"/>
      <c r="B88" s="9"/>
      <c r="C88" s="11"/>
      <c r="D88" s="11"/>
      <c r="E88" s="428"/>
      <c r="F88" s="428"/>
      <c r="G88" s="11"/>
    </row>
    <row r="89" spans="1:7" ht="12.6" hidden="1" outlineLevel="2" thickBot="1" x14ac:dyDescent="0.3">
      <c r="A89" s="105" t="s">
        <v>139</v>
      </c>
      <c r="B89" s="26"/>
      <c r="C89" s="38"/>
      <c r="D89" s="38"/>
      <c r="E89" s="446"/>
      <c r="F89" s="446"/>
      <c r="G89" s="38"/>
    </row>
    <row r="90" spans="1:7" ht="12.6" hidden="1" outlineLevel="2" thickTop="1" x14ac:dyDescent="0.25">
      <c r="A90" s="110">
        <v>43646</v>
      </c>
      <c r="B90" s="94"/>
      <c r="C90" s="11">
        <f>C76-C83</f>
        <v>0</v>
      </c>
      <c r="D90" s="11">
        <f>D76-D83</f>
        <v>0</v>
      </c>
      <c r="E90" s="428">
        <f>E76-E83</f>
        <v>0</v>
      </c>
      <c r="F90" s="428">
        <f>F76-F83</f>
        <v>0</v>
      </c>
      <c r="G90" s="11">
        <f>G76-G83</f>
        <v>0</v>
      </c>
    </row>
    <row r="91" spans="1:7" ht="12.6" hidden="1" outlineLevel="2" thickBot="1" x14ac:dyDescent="0.3">
      <c r="A91" s="111">
        <v>44012</v>
      </c>
      <c r="B91" s="95"/>
      <c r="C91" s="37">
        <f>C78-C85</f>
        <v>0</v>
      </c>
      <c r="D91" s="37">
        <f>D78-D85</f>
        <v>0</v>
      </c>
      <c r="E91" s="444">
        <f>E78-E85</f>
        <v>0</v>
      </c>
      <c r="F91" s="444">
        <f>F78-F85</f>
        <v>0</v>
      </c>
      <c r="G91" s="37">
        <f>G78-G85</f>
        <v>0</v>
      </c>
    </row>
    <row r="92" spans="1:7" ht="12.6" hidden="1" outlineLevel="2" thickBot="1" x14ac:dyDescent="0.3">
      <c r="A92" s="112">
        <v>44377</v>
      </c>
      <c r="B92" s="96"/>
      <c r="C92" s="36">
        <f>C80-C87</f>
        <v>0</v>
      </c>
      <c r="D92" s="36">
        <f>D80-D87</f>
        <v>0</v>
      </c>
      <c r="E92" s="448">
        <f>E80-E87</f>
        <v>0</v>
      </c>
      <c r="F92" s="448">
        <f>F80-F87</f>
        <v>0</v>
      </c>
      <c r="G92" s="36">
        <f>G80-G87</f>
        <v>0</v>
      </c>
    </row>
    <row r="93" spans="1:7" ht="12.6" hidden="1" outlineLevel="2" thickTop="1" x14ac:dyDescent="0.25">
      <c r="F93" s="449"/>
    </row>
    <row r="94" spans="1:7" ht="12.6" hidden="1" outlineLevel="2" thickBot="1" x14ac:dyDescent="0.3">
      <c r="A94" s="120" t="s">
        <v>19</v>
      </c>
      <c r="B94" s="119"/>
      <c r="C94" s="121"/>
      <c r="D94" s="121"/>
      <c r="E94" s="442"/>
      <c r="F94" s="442"/>
      <c r="G94" s="121" t="e">
        <f>G91-#REF!</f>
        <v>#REF!</v>
      </c>
    </row>
    <row r="95" spans="1:7" ht="12.6" hidden="1" outlineLevel="2" thickBot="1" x14ac:dyDescent="0.3">
      <c r="A95" s="120" t="s">
        <v>19</v>
      </c>
      <c r="B95" s="119"/>
      <c r="C95" s="121"/>
      <c r="D95" s="121"/>
      <c r="E95" s="442"/>
      <c r="F95" s="442"/>
      <c r="G95" s="121" t="e">
        <f>G92-#REF!</f>
        <v>#REF!</v>
      </c>
    </row>
    <row r="96" spans="1:7" hidden="1" outlineLevel="1" x14ac:dyDescent="0.25"/>
    <row r="97" spans="1:7" hidden="1" outlineLevel="1" x14ac:dyDescent="0.25"/>
    <row r="98" spans="1:7" ht="16.2" hidden="1" outlineLevel="1" thickBot="1" x14ac:dyDescent="0.35">
      <c r="A98" s="99" t="s">
        <v>357</v>
      </c>
    </row>
    <row r="99" spans="1:7" ht="24" hidden="1" outlineLevel="2" x14ac:dyDescent="0.25">
      <c r="A99" s="203"/>
      <c r="B99" s="205"/>
      <c r="C99" s="204" t="s">
        <v>278</v>
      </c>
      <c r="D99" s="204" t="s">
        <v>280</v>
      </c>
      <c r="E99" s="450" t="s">
        <v>126</v>
      </c>
      <c r="F99" s="450" t="s">
        <v>126</v>
      </c>
      <c r="G99" s="227" t="s">
        <v>71</v>
      </c>
    </row>
    <row r="100" spans="1:7" hidden="1" outlineLevel="2" x14ac:dyDescent="0.25">
      <c r="A100" s="225">
        <f>IFRS_adopt</f>
        <v>45930</v>
      </c>
      <c r="B100" s="226"/>
      <c r="C100" s="236"/>
      <c r="D100" s="236"/>
      <c r="E100" s="451"/>
      <c r="F100" s="451"/>
      <c r="G100" s="236">
        <f t="shared" ref="G100:G105" si="0">SUM(C100:F100)</f>
        <v>0</v>
      </c>
    </row>
    <row r="101" spans="1:7" hidden="1" outlineLevel="2" x14ac:dyDescent="0.25">
      <c r="A101" s="104" t="s">
        <v>137</v>
      </c>
      <c r="B101" s="94"/>
      <c r="C101" s="234"/>
      <c r="D101" s="234"/>
      <c r="E101" s="452"/>
      <c r="F101" s="452"/>
      <c r="G101" s="234">
        <f t="shared" si="0"/>
        <v>0</v>
      </c>
    </row>
    <row r="102" spans="1:7" ht="12.6" hidden="1" outlineLevel="2" thickBot="1" x14ac:dyDescent="0.3">
      <c r="A102" s="104" t="s">
        <v>279</v>
      </c>
      <c r="B102" s="94"/>
      <c r="C102" s="234"/>
      <c r="D102" s="234"/>
      <c r="E102" s="452"/>
      <c r="F102" s="452"/>
      <c r="G102" s="234">
        <f t="shared" si="0"/>
        <v>0</v>
      </c>
    </row>
    <row r="103" spans="1:7" hidden="1" outlineLevel="2" x14ac:dyDescent="0.25">
      <c r="A103" s="188">
        <f>priorperiod_end_date</f>
        <v>45473</v>
      </c>
      <c r="B103" s="189"/>
      <c r="C103" s="192">
        <f>SUM(C100:C102)</f>
        <v>0</v>
      </c>
      <c r="D103" s="192">
        <f>SUM(D100:D102)</f>
        <v>0</v>
      </c>
      <c r="E103" s="436">
        <f>SUM(E100:E102)</f>
        <v>0</v>
      </c>
      <c r="F103" s="436">
        <f>SUM(F100:F102)</f>
        <v>0</v>
      </c>
      <c r="G103" s="192">
        <f t="shared" si="0"/>
        <v>0</v>
      </c>
    </row>
    <row r="104" spans="1:7" hidden="1" outlineLevel="2" x14ac:dyDescent="0.25">
      <c r="A104" s="104" t="s">
        <v>137</v>
      </c>
      <c r="B104" s="94"/>
      <c r="C104" s="234"/>
      <c r="D104" s="234"/>
      <c r="E104" s="452"/>
      <c r="F104" s="452"/>
      <c r="G104" s="234">
        <f t="shared" si="0"/>
        <v>0</v>
      </c>
    </row>
    <row r="105" spans="1:7" ht="12.6" hidden="1" outlineLevel="2" thickBot="1" x14ac:dyDescent="0.3">
      <c r="A105" s="104" t="s">
        <v>279</v>
      </c>
      <c r="B105" s="94"/>
      <c r="C105" s="234"/>
      <c r="D105" s="234"/>
      <c r="E105" s="452"/>
      <c r="F105" s="452"/>
      <c r="G105" s="234">
        <f t="shared" si="0"/>
        <v>0</v>
      </c>
    </row>
    <row r="106" spans="1:7" hidden="1" outlineLevel="2" x14ac:dyDescent="0.25">
      <c r="A106" s="188">
        <f>currentperiod_end_date</f>
        <v>45838</v>
      </c>
      <c r="B106" s="189"/>
      <c r="C106" s="192">
        <f>SUM(C103:C105)</f>
        <v>0</v>
      </c>
      <c r="D106" s="192">
        <f>SUM(D103:D105)</f>
        <v>0</v>
      </c>
      <c r="E106" s="436">
        <f>SUM(E103:E105)</f>
        <v>0</v>
      </c>
      <c r="F106" s="436">
        <f>SUM(F103:F105)</f>
        <v>0</v>
      </c>
      <c r="G106" s="192">
        <f>SUM(G103:G105)</f>
        <v>0</v>
      </c>
    </row>
    <row r="107" spans="1:7" hidden="1" outlineLevel="2" x14ac:dyDescent="0.25">
      <c r="A107" s="104"/>
      <c r="B107" s="9"/>
      <c r="C107" s="11"/>
      <c r="D107" s="11"/>
      <c r="E107" s="428"/>
      <c r="F107" s="428"/>
      <c r="G107" s="11"/>
    </row>
    <row r="108" spans="1:7" ht="12.6" hidden="1" outlineLevel="2" thickBot="1" x14ac:dyDescent="0.3">
      <c r="A108" s="120" t="s">
        <v>19</v>
      </c>
      <c r="B108" s="119"/>
      <c r="C108" s="121"/>
      <c r="D108" s="121"/>
      <c r="E108" s="442"/>
      <c r="F108" s="442"/>
      <c r="G108" s="235" t="e">
        <f>G100-#REF!</f>
        <v>#REF!</v>
      </c>
    </row>
    <row r="109" spans="1:7" ht="12.6" hidden="1" outlineLevel="2" thickBot="1" x14ac:dyDescent="0.3">
      <c r="A109" s="120" t="s">
        <v>19</v>
      </c>
      <c r="B109" s="119"/>
      <c r="C109" s="121"/>
      <c r="D109" s="121"/>
      <c r="E109" s="442"/>
      <c r="F109" s="442"/>
      <c r="G109" s="235" t="e">
        <f>G103-#REF!</f>
        <v>#REF!</v>
      </c>
    </row>
    <row r="110" spans="1:7" ht="12.6" hidden="1" outlineLevel="2" thickBot="1" x14ac:dyDescent="0.3">
      <c r="A110" s="120" t="s">
        <v>19</v>
      </c>
      <c r="B110" s="119"/>
      <c r="C110" s="121"/>
      <c r="D110" s="121"/>
      <c r="E110" s="442"/>
      <c r="F110" s="442"/>
      <c r="G110" s="235" t="e">
        <f>G106-#REF!</f>
        <v>#REF!</v>
      </c>
    </row>
    <row r="111" spans="1:7" hidden="1" outlineLevel="1" x14ac:dyDescent="0.25"/>
    <row r="112" spans="1:7" hidden="1" outlineLevel="1" x14ac:dyDescent="0.25"/>
    <row r="113" spans="1:7" ht="15.6" hidden="1" outlineLevel="1" x14ac:dyDescent="0.3">
      <c r="A113" s="99" t="s">
        <v>358</v>
      </c>
      <c r="E113" s="453"/>
      <c r="F113" s="453"/>
      <c r="G113" s="150"/>
    </row>
    <row r="114" spans="1:7" hidden="1" outlineLevel="2" x14ac:dyDescent="0.25">
      <c r="A114" s="237"/>
      <c r="B114" s="242"/>
      <c r="C114" s="239">
        <f>currentperiod_end_date</f>
        <v>45838</v>
      </c>
      <c r="D114" s="239">
        <f>priorperiod_end_date</f>
        <v>45473</v>
      </c>
      <c r="E114" s="454">
        <f>IFRS_adopt</f>
        <v>45930</v>
      </c>
      <c r="F114" s="455"/>
      <c r="G114" s="221"/>
    </row>
    <row r="115" spans="1:7" hidden="1" outlineLevel="2" x14ac:dyDescent="0.25">
      <c r="A115" s="229" t="s">
        <v>140</v>
      </c>
      <c r="B115" s="206"/>
      <c r="C115" s="243"/>
      <c r="D115" s="236"/>
      <c r="E115" s="451"/>
      <c r="F115" s="456"/>
      <c r="G115" s="223"/>
    </row>
    <row r="116" spans="1:7" hidden="1" outlineLevel="2" x14ac:dyDescent="0.25">
      <c r="A116" s="4" t="s">
        <v>137</v>
      </c>
      <c r="B116" s="4"/>
      <c r="C116" s="233"/>
      <c r="D116" s="194"/>
      <c r="E116" s="457"/>
      <c r="F116" s="458"/>
      <c r="G116" s="222"/>
    </row>
    <row r="117" spans="1:7" hidden="1" outlineLevel="2" x14ac:dyDescent="0.25">
      <c r="A117" s="4" t="s">
        <v>141</v>
      </c>
      <c r="B117" s="4"/>
      <c r="C117" s="233"/>
      <c r="D117" s="194"/>
      <c r="E117" s="457"/>
      <c r="F117" s="456"/>
      <c r="G117" s="223"/>
    </row>
    <row r="118" spans="1:7" hidden="1" outlineLevel="2" x14ac:dyDescent="0.25">
      <c r="A118" s="4" t="s">
        <v>142</v>
      </c>
      <c r="B118" s="4"/>
      <c r="C118" s="233"/>
      <c r="D118" s="194"/>
      <c r="E118" s="457"/>
      <c r="F118" s="458"/>
      <c r="G118" s="222"/>
    </row>
    <row r="119" spans="1:7" ht="12.6" hidden="1" outlineLevel="2" thickBot="1" x14ac:dyDescent="0.3">
      <c r="A119" s="24" t="s">
        <v>143</v>
      </c>
      <c r="B119" s="24"/>
      <c r="C119" s="244"/>
      <c r="D119" s="191"/>
      <c r="E119" s="459"/>
      <c r="F119" s="456"/>
      <c r="G119" s="223"/>
    </row>
    <row r="120" spans="1:7" ht="12.6" hidden="1" outlineLevel="2" thickBot="1" x14ac:dyDescent="0.3">
      <c r="A120" s="25" t="s">
        <v>144</v>
      </c>
      <c r="B120" s="25"/>
      <c r="C120" s="146">
        <f>SUM(C115:C119)</f>
        <v>0</v>
      </c>
      <c r="D120" s="193">
        <f>SUM(D115:D119)</f>
        <v>0</v>
      </c>
      <c r="E120" s="437">
        <f>SUM(E115:E119)</f>
        <v>0</v>
      </c>
      <c r="F120" s="458"/>
      <c r="G120" s="222"/>
    </row>
    <row r="121" spans="1:7" ht="12.6" hidden="1" outlineLevel="2" thickTop="1" x14ac:dyDescent="0.25">
      <c r="A121" s="7"/>
      <c r="B121" s="7"/>
      <c r="C121" s="157"/>
      <c r="D121" s="12"/>
      <c r="E121" s="432"/>
      <c r="F121" s="458"/>
      <c r="G121" s="222"/>
    </row>
    <row r="122" spans="1:7" ht="12.6" hidden="1" outlineLevel="2" thickBot="1" x14ac:dyDescent="0.3">
      <c r="A122" s="120" t="s">
        <v>19</v>
      </c>
      <c r="B122" s="230"/>
      <c r="C122" s="232">
        <v>0</v>
      </c>
      <c r="D122" s="232">
        <v>0</v>
      </c>
      <c r="E122" s="460" t="e">
        <f>E120-SUM(#REF!,#REF!)</f>
        <v>#REF!</v>
      </c>
      <c r="F122" s="458"/>
      <c r="G122" s="222"/>
    </row>
    <row r="123" spans="1:7" hidden="1" outlineLevel="2" x14ac:dyDescent="0.25">
      <c r="A123" s="228"/>
      <c r="C123" s="220"/>
      <c r="D123" s="220"/>
      <c r="E123" s="430"/>
      <c r="F123" s="458"/>
      <c r="G123" s="222"/>
    </row>
    <row r="124" spans="1:7" hidden="1" outlineLevel="2" x14ac:dyDescent="0.25">
      <c r="E124" s="456"/>
      <c r="F124" s="456"/>
      <c r="G124" s="223"/>
    </row>
    <row r="125" spans="1:7" hidden="1" outlineLevel="2" x14ac:dyDescent="0.25">
      <c r="A125" s="237"/>
      <c r="B125" s="242"/>
      <c r="C125" s="239">
        <f>currentperiod_end_date</f>
        <v>45838</v>
      </c>
      <c r="D125" s="239">
        <f>priorperiod_end_date</f>
        <v>45473</v>
      </c>
      <c r="E125" s="454">
        <f>IFRS_adopt</f>
        <v>45930</v>
      </c>
      <c r="F125" s="458"/>
      <c r="G125" s="222"/>
    </row>
    <row r="126" spans="1:7" hidden="1" outlineLevel="2" x14ac:dyDescent="0.25">
      <c r="A126" s="7" t="s">
        <v>145</v>
      </c>
      <c r="B126" s="10"/>
      <c r="C126" s="9"/>
      <c r="D126" s="9"/>
      <c r="E126" s="10"/>
      <c r="F126" s="456"/>
      <c r="G126" s="223"/>
    </row>
    <row r="127" spans="1:7" hidden="1" outlineLevel="2" x14ac:dyDescent="0.25">
      <c r="A127" s="4" t="s">
        <v>146</v>
      </c>
      <c r="B127" s="4"/>
      <c r="C127" s="32"/>
      <c r="D127" s="11"/>
      <c r="E127" s="428"/>
      <c r="F127" s="458"/>
      <c r="G127" s="222"/>
    </row>
    <row r="128" spans="1:7" hidden="1" outlineLevel="2" x14ac:dyDescent="0.25">
      <c r="A128" s="4" t="s">
        <v>147</v>
      </c>
      <c r="B128" s="4"/>
      <c r="C128" s="32"/>
      <c r="D128" s="11"/>
      <c r="E128" s="428"/>
      <c r="F128" s="456"/>
      <c r="G128" s="223"/>
    </row>
    <row r="129" spans="1:7" ht="12.6" hidden="1" outlineLevel="2" thickBot="1" x14ac:dyDescent="0.3">
      <c r="A129" s="24" t="s">
        <v>148</v>
      </c>
      <c r="B129" s="24"/>
      <c r="C129" s="33"/>
      <c r="D129" s="37"/>
      <c r="E129" s="444"/>
      <c r="F129" s="458"/>
      <c r="G129" s="222"/>
    </row>
    <row r="130" spans="1:7" ht="12.6" hidden="1" outlineLevel="2" thickBot="1" x14ac:dyDescent="0.3">
      <c r="A130" s="25" t="s">
        <v>149</v>
      </c>
      <c r="B130" s="25"/>
      <c r="C130" s="36">
        <f>SUM(C127:C129)</f>
        <v>0</v>
      </c>
      <c r="D130" s="39">
        <f>SUM(D127:D129)</f>
        <v>0</v>
      </c>
      <c r="E130" s="445">
        <f>SUM(E127:E129)</f>
        <v>0</v>
      </c>
      <c r="F130" s="458"/>
      <c r="G130" s="222"/>
    </row>
    <row r="131" spans="1:7" ht="12.6" hidden="1" outlineLevel="2" thickTop="1" x14ac:dyDescent="0.25">
      <c r="A131" s="4"/>
      <c r="B131" s="4"/>
      <c r="C131" s="11"/>
      <c r="D131" s="11"/>
      <c r="E131" s="428"/>
      <c r="F131" s="458"/>
      <c r="G131" s="222"/>
    </row>
    <row r="132" spans="1:7" hidden="1" outlineLevel="2" x14ac:dyDescent="0.25">
      <c r="A132" s="7" t="s">
        <v>69</v>
      </c>
      <c r="B132" s="4"/>
      <c r="C132" s="11"/>
      <c r="D132" s="11"/>
      <c r="E132" s="428"/>
      <c r="F132" s="458"/>
      <c r="G132" s="222"/>
    </row>
    <row r="133" spans="1:7" hidden="1" outlineLevel="2" x14ac:dyDescent="0.25">
      <c r="A133" s="4" t="s">
        <v>150</v>
      </c>
      <c r="B133" s="4"/>
      <c r="C133" s="32"/>
      <c r="D133" s="11"/>
      <c r="E133" s="428"/>
      <c r="F133" s="456"/>
      <c r="G133" s="223"/>
    </row>
    <row r="134" spans="1:7" ht="12.6" hidden="1" outlineLevel="2" thickBot="1" x14ac:dyDescent="0.3">
      <c r="A134" s="24" t="s">
        <v>151</v>
      </c>
      <c r="B134" s="24"/>
      <c r="C134" s="33"/>
      <c r="D134" s="37"/>
      <c r="E134" s="444"/>
      <c r="F134" s="453"/>
      <c r="G134" s="150"/>
    </row>
    <row r="135" spans="1:7" ht="12.6" hidden="1" outlineLevel="2" thickBot="1" x14ac:dyDescent="0.3">
      <c r="A135" s="25" t="s">
        <v>152</v>
      </c>
      <c r="B135" s="25"/>
      <c r="C135" s="36">
        <f>SUM(C133:C134)</f>
        <v>0</v>
      </c>
      <c r="D135" s="39">
        <f>SUM(D133:D134)</f>
        <v>0</v>
      </c>
      <c r="E135" s="445">
        <f>SUM(E133:E134)</f>
        <v>0</v>
      </c>
      <c r="F135" s="461"/>
      <c r="G135" s="224"/>
    </row>
    <row r="136" spans="1:7" ht="12.6" hidden="1" outlineLevel="2" thickTop="1" x14ac:dyDescent="0.25">
      <c r="A136" s="7"/>
      <c r="B136" s="7"/>
      <c r="C136" s="12"/>
      <c r="D136" s="12"/>
      <c r="E136" s="432"/>
      <c r="F136" s="461"/>
      <c r="G136" s="224"/>
    </row>
    <row r="137" spans="1:7" ht="12.6" hidden="1" outlineLevel="2" thickBot="1" x14ac:dyDescent="0.3">
      <c r="A137" s="120" t="s">
        <v>19</v>
      </c>
      <c r="B137" s="119"/>
      <c r="C137" s="232">
        <f>C135-C120</f>
        <v>0</v>
      </c>
      <c r="D137" s="232">
        <f>D135-D120</f>
        <v>0</v>
      </c>
      <c r="E137" s="460">
        <f>E135-E120</f>
        <v>0</v>
      </c>
      <c r="F137" s="461"/>
      <c r="G137" s="224"/>
    </row>
    <row r="138" spans="1:7" hidden="1" outlineLevel="2" x14ac:dyDescent="0.25">
      <c r="A138" s="7"/>
      <c r="B138" s="7"/>
      <c r="C138" s="12"/>
      <c r="D138" s="12"/>
      <c r="E138" s="432"/>
      <c r="F138" s="461"/>
      <c r="G138" s="224"/>
    </row>
    <row r="139" spans="1:7" hidden="1" outlineLevel="2" x14ac:dyDescent="0.25">
      <c r="A139" s="7" t="s">
        <v>153</v>
      </c>
      <c r="B139" s="7"/>
      <c r="C139" s="12"/>
      <c r="D139" s="12"/>
      <c r="E139" s="432"/>
      <c r="F139" s="461"/>
      <c r="G139" s="224"/>
    </row>
    <row r="140" spans="1:7" hidden="1" outlineLevel="2" x14ac:dyDescent="0.25">
      <c r="A140" s="4" t="s">
        <v>154</v>
      </c>
      <c r="B140" s="7"/>
      <c r="C140" s="245"/>
      <c r="D140" s="246"/>
      <c r="E140" s="428"/>
      <c r="F140" s="453"/>
      <c r="G140" s="150"/>
    </row>
    <row r="141" spans="1:7" hidden="1" outlineLevel="1" x14ac:dyDescent="0.25"/>
    <row r="142" spans="1:7" ht="15.6" hidden="1" outlineLevel="1" x14ac:dyDescent="0.3">
      <c r="A142" s="99" t="s">
        <v>281</v>
      </c>
    </row>
    <row r="143" spans="1:7" hidden="1" outlineLevel="2" x14ac:dyDescent="0.25">
      <c r="A143" s="237"/>
      <c r="B143" s="242"/>
      <c r="C143" s="239">
        <f>currentperiod_end_date</f>
        <v>45838</v>
      </c>
      <c r="D143" s="239">
        <f>priorperiod_end_date</f>
        <v>45473</v>
      </c>
      <c r="E143" s="454">
        <f>IFRS_adopt</f>
        <v>45930</v>
      </c>
    </row>
    <row r="144" spans="1:7" hidden="1" outlineLevel="2" x14ac:dyDescent="0.25">
      <c r="A144" s="7"/>
      <c r="B144" s="10"/>
      <c r="C144" s="23"/>
      <c r="D144" s="9"/>
      <c r="E144" s="10"/>
    </row>
    <row r="145" spans="1:5" hidden="1" outlineLevel="2" x14ac:dyDescent="0.25">
      <c r="A145" s="7" t="s">
        <v>208</v>
      </c>
      <c r="B145" s="10"/>
      <c r="C145" s="23"/>
      <c r="D145" s="9"/>
      <c r="E145" s="10"/>
    </row>
    <row r="146" spans="1:5" hidden="1" outlineLevel="2" x14ac:dyDescent="0.25">
      <c r="A146" s="4" t="s">
        <v>209</v>
      </c>
      <c r="B146" s="4"/>
      <c r="C146" s="116">
        <v>0.08</v>
      </c>
      <c r="D146" s="117">
        <v>0.08</v>
      </c>
      <c r="E146" s="462">
        <v>0.08</v>
      </c>
    </row>
    <row r="147" spans="1:5" hidden="1" outlineLevel="2" x14ac:dyDescent="0.25">
      <c r="A147" s="4" t="s">
        <v>157</v>
      </c>
      <c r="B147" s="4"/>
      <c r="C147" s="32" t="e">
        <f>1000000*periodend_spotFX</f>
        <v>#VALUE!</v>
      </c>
      <c r="D147" s="11" t="e">
        <f>1000000*INPUTS!#REF!</f>
        <v>#REF!</v>
      </c>
      <c r="E147" s="428" t="e">
        <f>1000000*INPUTS!#REF!</f>
        <v>#REF!</v>
      </c>
    </row>
    <row r="148" spans="1:5" hidden="1" outlineLevel="2" x14ac:dyDescent="0.25">
      <c r="C148" s="23"/>
    </row>
    <row r="149" spans="1:5" hidden="1" outlineLevel="2" x14ac:dyDescent="0.25">
      <c r="A149" s="6" t="s">
        <v>210</v>
      </c>
      <c r="C149" s="23"/>
    </row>
    <row r="150" spans="1:5" hidden="1" outlineLevel="2" x14ac:dyDescent="0.25">
      <c r="A150" s="4" t="s">
        <v>211</v>
      </c>
      <c r="C150" s="116">
        <v>0.08</v>
      </c>
      <c r="D150" s="117">
        <v>0.19</v>
      </c>
      <c r="E150" s="462">
        <v>0.19</v>
      </c>
    </row>
    <row r="151" spans="1:5" hidden="1" outlineLevel="2" x14ac:dyDescent="0.25">
      <c r="A151" s="4" t="s">
        <v>157</v>
      </c>
      <c r="C151" s="32">
        <v>4000</v>
      </c>
      <c r="D151" s="11">
        <v>4112</v>
      </c>
      <c r="E151" s="428">
        <v>4112</v>
      </c>
    </row>
    <row r="152" spans="1:5" hidden="1" outlineLevel="1" x14ac:dyDescent="0.25"/>
    <row r="153" spans="1:5" hidden="1" outlineLevel="1" x14ac:dyDescent="0.25"/>
    <row r="154" spans="1:5" ht="15.6" hidden="1" outlineLevel="1" x14ac:dyDescent="0.3">
      <c r="A154" s="99" t="s">
        <v>359</v>
      </c>
    </row>
    <row r="155" spans="1:5" hidden="1" outlineLevel="2" x14ac:dyDescent="0.25">
      <c r="A155" s="237"/>
      <c r="B155" s="242"/>
      <c r="C155" s="239">
        <f>currentperiod_end_date</f>
        <v>45838</v>
      </c>
      <c r="D155" s="239">
        <f>priorperiod_end_date</f>
        <v>45473</v>
      </c>
      <c r="E155" s="454">
        <f>IFRS_adopt</f>
        <v>45930</v>
      </c>
    </row>
    <row r="156" spans="1:5" hidden="1" outlineLevel="2" x14ac:dyDescent="0.25">
      <c r="A156" s="4" t="s">
        <v>34</v>
      </c>
      <c r="B156" s="4"/>
      <c r="C156" s="32"/>
      <c r="D156" s="11"/>
      <c r="E156" s="428"/>
    </row>
    <row r="157" spans="1:5" hidden="1" outlineLevel="2" x14ac:dyDescent="0.25">
      <c r="A157" s="4" t="s">
        <v>184</v>
      </c>
      <c r="B157" s="4"/>
      <c r="C157" s="32"/>
      <c r="D157" s="11"/>
      <c r="E157" s="428"/>
    </row>
    <row r="158" spans="1:5" hidden="1" outlineLevel="2" x14ac:dyDescent="0.25">
      <c r="A158" s="4" t="s">
        <v>190</v>
      </c>
      <c r="B158" s="4"/>
      <c r="C158" s="32"/>
      <c r="D158" s="11"/>
      <c r="E158" s="428"/>
    </row>
    <row r="159" spans="1:5" hidden="1" outlineLevel="2" x14ac:dyDescent="0.25">
      <c r="A159" s="4" t="s">
        <v>212</v>
      </c>
      <c r="B159" s="4"/>
      <c r="C159" s="32"/>
      <c r="D159" s="11"/>
      <c r="E159" s="428"/>
    </row>
    <row r="160" spans="1:5" hidden="1" outlineLevel="2" x14ac:dyDescent="0.25">
      <c r="A160" s="4" t="s">
        <v>31</v>
      </c>
      <c r="B160" s="4"/>
      <c r="C160" s="32"/>
      <c r="D160" s="11"/>
      <c r="E160" s="428"/>
    </row>
    <row r="161" spans="1:7" hidden="1" outlineLevel="2" x14ac:dyDescent="0.25">
      <c r="A161" s="4" t="s">
        <v>199</v>
      </c>
      <c r="B161" s="4"/>
      <c r="C161" s="32"/>
      <c r="D161" s="11"/>
      <c r="E161" s="428"/>
    </row>
    <row r="162" spans="1:7" hidden="1" outlineLevel="2" x14ac:dyDescent="0.25">
      <c r="A162" s="4" t="s">
        <v>32</v>
      </c>
      <c r="B162" s="4"/>
      <c r="C162" s="32"/>
      <c r="D162" s="11"/>
      <c r="E162" s="428"/>
    </row>
    <row r="163" spans="1:7" hidden="1" outlineLevel="2" x14ac:dyDescent="0.25">
      <c r="A163" s="4" t="s">
        <v>191</v>
      </c>
      <c r="B163" s="4"/>
      <c r="C163" s="32"/>
      <c r="D163" s="11"/>
      <c r="E163" s="428"/>
    </row>
    <row r="164" spans="1:7" ht="12.6" hidden="1" outlineLevel="2" thickBot="1" x14ac:dyDescent="0.3">
      <c r="A164" s="24" t="s">
        <v>33</v>
      </c>
      <c r="B164" s="24"/>
      <c r="C164" s="90"/>
      <c r="D164" s="37"/>
      <c r="E164" s="444"/>
      <c r="F164" s="449">
        <f>SUM(C161,C162,C164)</f>
        <v>0</v>
      </c>
      <c r="G164" s="115">
        <f>SUM(D161,D162,D164)</f>
        <v>0</v>
      </c>
    </row>
    <row r="165" spans="1:7" ht="12.6" hidden="1" outlineLevel="2" thickBot="1" x14ac:dyDescent="0.3">
      <c r="A165" s="25" t="s">
        <v>73</v>
      </c>
      <c r="B165" s="25"/>
      <c r="C165" s="36">
        <f>SUM(C156:C164)</f>
        <v>0</v>
      </c>
      <c r="D165" s="39">
        <f>SUM(D156:D164)</f>
        <v>0</v>
      </c>
      <c r="E165" s="445">
        <f>SUM(E156:E164)</f>
        <v>0</v>
      </c>
    </row>
    <row r="166" spans="1:7" ht="12.6" hidden="1" outlineLevel="2" thickTop="1" x14ac:dyDescent="0.25">
      <c r="D166" s="115"/>
      <c r="E166" s="449"/>
    </row>
    <row r="167" spans="1:7" ht="12.6" hidden="1" outlineLevel="2" thickBot="1" x14ac:dyDescent="0.3">
      <c r="A167" s="120" t="s">
        <v>19</v>
      </c>
      <c r="B167" s="119"/>
      <c r="C167" s="121" t="e">
        <f>C165-#REF!</f>
        <v>#REF!</v>
      </c>
      <c r="D167" s="121" t="e">
        <f>D165-#REF!</f>
        <v>#REF!</v>
      </c>
      <c r="E167" s="442" t="e">
        <f>E165-#REF!</f>
        <v>#REF!</v>
      </c>
    </row>
    <row r="168" spans="1:7" hidden="1" outlineLevel="2" x14ac:dyDescent="0.25"/>
    <row r="169" spans="1:7" hidden="1" outlineLevel="1" x14ac:dyDescent="0.25"/>
    <row r="170" spans="1:7" ht="15.6" hidden="1" outlineLevel="1" x14ac:dyDescent="0.3">
      <c r="A170" s="99" t="s">
        <v>360</v>
      </c>
    </row>
    <row r="171" spans="1:7" hidden="1" outlineLevel="2" x14ac:dyDescent="0.25">
      <c r="A171" s="237"/>
      <c r="B171" s="242"/>
      <c r="C171" s="239">
        <f>currentperiod_end_date</f>
        <v>45838</v>
      </c>
      <c r="D171" s="239">
        <f>priorperiod_end_date</f>
        <v>45473</v>
      </c>
      <c r="E171" s="454">
        <f>IFRS_adopt</f>
        <v>45930</v>
      </c>
    </row>
    <row r="172" spans="1:7" hidden="1" outlineLevel="2" x14ac:dyDescent="0.25">
      <c r="A172" s="4" t="s">
        <v>282</v>
      </c>
      <c r="B172" s="4"/>
      <c r="C172" s="233"/>
      <c r="D172" s="194"/>
      <c r="E172" s="438"/>
    </row>
    <row r="173" spans="1:7" hidden="1" outlineLevel="2" x14ac:dyDescent="0.25">
      <c r="A173" s="4" t="s">
        <v>283</v>
      </c>
      <c r="B173" s="4"/>
      <c r="C173" s="233"/>
      <c r="D173" s="194"/>
      <c r="E173" s="438"/>
    </row>
    <row r="174" spans="1:7" hidden="1" outlineLevel="2" x14ac:dyDescent="0.25">
      <c r="A174" s="4" t="s">
        <v>284</v>
      </c>
      <c r="B174" s="4"/>
      <c r="C174" s="233"/>
      <c r="D174" s="194"/>
      <c r="E174" s="438"/>
    </row>
    <row r="175" spans="1:7" ht="12.6" hidden="1" outlineLevel="2" thickBot="1" x14ac:dyDescent="0.3">
      <c r="A175" s="24" t="s">
        <v>285</v>
      </c>
      <c r="B175" s="24"/>
      <c r="C175" s="244"/>
      <c r="D175" s="191"/>
      <c r="E175" s="435"/>
    </row>
    <row r="176" spans="1:7" ht="12.6" hidden="1" outlineLevel="2" thickBot="1" x14ac:dyDescent="0.3">
      <c r="A176" s="28" t="s">
        <v>155</v>
      </c>
      <c r="B176" s="28"/>
      <c r="C176" s="251">
        <f>SUM(C172:C175)</f>
        <v>0</v>
      </c>
      <c r="D176" s="252">
        <f>SUM(D172:D175)</f>
        <v>0</v>
      </c>
      <c r="E176" s="463">
        <f>SUM(E172:E175)</f>
        <v>0</v>
      </c>
    </row>
    <row r="177" spans="1:7" ht="12.6" hidden="1" outlineLevel="2" thickBot="1" x14ac:dyDescent="0.3">
      <c r="A177" s="24" t="s">
        <v>156</v>
      </c>
      <c r="B177" s="24"/>
      <c r="C177" s="249"/>
      <c r="D177" s="250"/>
      <c r="E177" s="464"/>
    </row>
    <row r="178" spans="1:7" ht="12.6" hidden="1" outlineLevel="2" thickBot="1" x14ac:dyDescent="0.3">
      <c r="A178" s="29" t="s">
        <v>286</v>
      </c>
      <c r="B178" s="29"/>
      <c r="C178" s="253">
        <f>C176-C177</f>
        <v>0</v>
      </c>
      <c r="D178" s="254">
        <f>D176-D177</f>
        <v>0</v>
      </c>
      <c r="E178" s="465">
        <f>E176-E177</f>
        <v>0</v>
      </c>
    </row>
    <row r="179" spans="1:7" ht="12.6" hidden="1" outlineLevel="2" thickTop="1" x14ac:dyDescent="0.25"/>
    <row r="180" spans="1:7" ht="12.6" hidden="1" outlineLevel="2" thickBot="1" x14ac:dyDescent="0.3">
      <c r="A180" s="120" t="s">
        <v>19</v>
      </c>
      <c r="B180" s="119"/>
      <c r="C180" s="121"/>
      <c r="D180" s="121"/>
      <c r="E180" s="442"/>
    </row>
    <row r="181" spans="1:7" ht="12.6" hidden="1" outlineLevel="2" thickBot="1" x14ac:dyDescent="0.3">
      <c r="A181" s="120" t="s">
        <v>19</v>
      </c>
      <c r="B181" s="119"/>
      <c r="C181" s="121"/>
      <c r="D181" s="121"/>
      <c r="E181" s="442"/>
    </row>
    <row r="182" spans="1:7" hidden="1" outlineLevel="2" x14ac:dyDescent="0.25"/>
    <row r="183" spans="1:7" hidden="1" outlineLevel="2" x14ac:dyDescent="0.25"/>
    <row r="184" spans="1:7" ht="15.6" hidden="1" outlineLevel="2" x14ac:dyDescent="0.3">
      <c r="A184" s="99" t="s">
        <v>158</v>
      </c>
    </row>
    <row r="185" spans="1:7" hidden="1" outlineLevel="2" x14ac:dyDescent="0.25">
      <c r="A185" s="237"/>
      <c r="B185" s="238"/>
      <c r="C185" s="239">
        <f>currentperiod_end_date</f>
        <v>45838</v>
      </c>
      <c r="D185" s="239">
        <f>priorperiod_end_date</f>
        <v>45473</v>
      </c>
    </row>
    <row r="186" spans="1:7" hidden="1" outlineLevel="2" x14ac:dyDescent="0.25">
      <c r="A186" s="4" t="s">
        <v>81</v>
      </c>
      <c r="B186" s="4"/>
      <c r="C186" s="32">
        <f>C175</f>
        <v>0</v>
      </c>
      <c r="D186" s="11">
        <f>D175</f>
        <v>0</v>
      </c>
    </row>
    <row r="187" spans="1:7" ht="12.6" hidden="1" outlineLevel="2" thickBot="1" x14ac:dyDescent="0.3">
      <c r="A187" s="4" t="s">
        <v>82</v>
      </c>
      <c r="B187" s="4"/>
      <c r="C187" s="32">
        <f>C172</f>
        <v>0</v>
      </c>
      <c r="D187" s="11">
        <f>D172</f>
        <v>0</v>
      </c>
      <c r="F187" s="466"/>
    </row>
    <row r="188" spans="1:7" ht="12.6" hidden="1" outlineLevel="2" thickBot="1" x14ac:dyDescent="0.3">
      <c r="A188" s="31"/>
      <c r="B188" s="31"/>
      <c r="C188" s="41">
        <f>SUM(C186:C187)</f>
        <v>0</v>
      </c>
      <c r="D188" s="122">
        <f>SUM(D186:D187)</f>
        <v>0</v>
      </c>
    </row>
    <row r="189" spans="1:7" ht="12.6" hidden="1" outlineLevel="2" thickTop="1" x14ac:dyDescent="0.25"/>
    <row r="190" spans="1:7" hidden="1" outlineLevel="2" x14ac:dyDescent="0.25"/>
    <row r="191" spans="1:7" ht="12.6" hidden="1" outlineLevel="2" thickBot="1" x14ac:dyDescent="0.3">
      <c r="A191" s="6" t="s">
        <v>75</v>
      </c>
    </row>
    <row r="192" spans="1:7" ht="72" hidden="1" outlineLevel="2" x14ac:dyDescent="0.25">
      <c r="A192" s="20"/>
      <c r="B192" s="22"/>
      <c r="C192" s="22" t="s">
        <v>76</v>
      </c>
      <c r="D192" s="22" t="s">
        <v>77</v>
      </c>
      <c r="E192" s="21" t="s">
        <v>78</v>
      </c>
      <c r="F192" s="21" t="s">
        <v>79</v>
      </c>
      <c r="G192" s="93" t="s">
        <v>80</v>
      </c>
    </row>
    <row r="193" spans="1:7" hidden="1" outlineLevel="2" x14ac:dyDescent="0.25">
      <c r="A193" s="4" t="s">
        <v>15</v>
      </c>
      <c r="B193" s="94"/>
      <c r="C193" s="11"/>
      <c r="D193" s="11"/>
      <c r="E193" s="428"/>
      <c r="F193" s="428"/>
      <c r="G193" s="11"/>
    </row>
    <row r="194" spans="1:7" hidden="1" outlineLevel="2" x14ac:dyDescent="0.25">
      <c r="A194" s="4" t="s">
        <v>98</v>
      </c>
      <c r="B194" s="94"/>
      <c r="C194" s="11"/>
      <c r="D194" s="11"/>
      <c r="E194" s="428"/>
      <c r="F194" s="428"/>
      <c r="G194" s="11"/>
    </row>
    <row r="195" spans="1:7" hidden="1" outlineLevel="2" x14ac:dyDescent="0.25">
      <c r="A195" s="4" t="s">
        <v>196</v>
      </c>
      <c r="B195" s="94"/>
      <c r="C195" s="11"/>
      <c r="D195" s="11"/>
      <c r="E195" s="428"/>
      <c r="F195" s="428"/>
      <c r="G195" s="11"/>
    </row>
    <row r="196" spans="1:7" hidden="1" outlineLevel="2" x14ac:dyDescent="0.25">
      <c r="A196" s="4" t="s">
        <v>30</v>
      </c>
      <c r="B196" s="94"/>
      <c r="C196" s="11"/>
      <c r="D196" s="11"/>
      <c r="E196" s="428"/>
      <c r="F196" s="428"/>
      <c r="G196" s="11"/>
    </row>
    <row r="197" spans="1:7" ht="12.6" hidden="1" outlineLevel="2" thickBot="1" x14ac:dyDescent="0.3">
      <c r="A197" s="24"/>
      <c r="B197" s="95"/>
      <c r="C197" s="37"/>
      <c r="D197" s="37"/>
      <c r="E197" s="444"/>
      <c r="F197" s="444"/>
      <c r="G197" s="37"/>
    </row>
    <row r="198" spans="1:7" ht="12.6" hidden="1" outlineLevel="2" thickBot="1" x14ac:dyDescent="0.3">
      <c r="A198" s="42" t="s">
        <v>71</v>
      </c>
      <c r="B198" s="96"/>
      <c r="C198" s="36">
        <f>SUM(C193:C197)</f>
        <v>0</v>
      </c>
      <c r="D198" s="36">
        <f>SUM(D193:D197)</f>
        <v>0</v>
      </c>
      <c r="E198" s="448">
        <f>SUM(E193:E197)</f>
        <v>0</v>
      </c>
      <c r="F198" s="448">
        <f>SUM(F193:F197)</f>
        <v>0</v>
      </c>
      <c r="G198" s="36">
        <f>SUM(G193:G197)</f>
        <v>0</v>
      </c>
    </row>
    <row r="199" spans="1:7" ht="12.6" hidden="1" outlineLevel="1" thickTop="1" x14ac:dyDescent="0.25">
      <c r="C199" s="115"/>
    </row>
    <row r="200" spans="1:7" hidden="1" outlineLevel="1" x14ac:dyDescent="0.25"/>
    <row r="201" spans="1:7" ht="15.6" hidden="1" outlineLevel="1" x14ac:dyDescent="0.3">
      <c r="A201" s="99" t="s">
        <v>361</v>
      </c>
    </row>
    <row r="202" spans="1:7" hidden="1" outlineLevel="2" x14ac:dyDescent="0.25"/>
    <row r="203" spans="1:7" hidden="1" outlineLevel="2" x14ac:dyDescent="0.25">
      <c r="A203" s="3" t="s">
        <v>126</v>
      </c>
    </row>
    <row r="204" spans="1:7" hidden="1" outlineLevel="2" x14ac:dyDescent="0.25"/>
    <row r="205" spans="1:7" hidden="1" outlineLevel="2" x14ac:dyDescent="0.25"/>
    <row r="206" spans="1:7" hidden="1" outlineLevel="1" x14ac:dyDescent="0.25"/>
    <row r="207" spans="1:7" ht="16.2" hidden="1" outlineLevel="1" thickBot="1" x14ac:dyDescent="0.35">
      <c r="A207" s="99" t="s">
        <v>362</v>
      </c>
    </row>
    <row r="208" spans="1:7" hidden="1" outlineLevel="2" x14ac:dyDescent="0.25">
      <c r="A208" s="20" t="s">
        <v>159</v>
      </c>
      <c r="B208" s="21"/>
      <c r="C208" s="98">
        <f>currentperiod_end_date</f>
        <v>45838</v>
      </c>
      <c r="D208" s="98">
        <f>priorperiod_end_date</f>
        <v>45473</v>
      </c>
    </row>
    <row r="209" spans="1:4" hidden="1" outlineLevel="2" x14ac:dyDescent="0.25">
      <c r="A209" s="7"/>
      <c r="B209" s="10"/>
      <c r="C209" s="35"/>
      <c r="D209" s="9"/>
    </row>
    <row r="210" spans="1:4" hidden="1" outlineLevel="2" x14ac:dyDescent="0.25">
      <c r="A210" s="4"/>
      <c r="B210" s="4"/>
      <c r="C210" s="32"/>
      <c r="D210" s="11"/>
    </row>
    <row r="211" spans="1:4" hidden="1" outlineLevel="2" x14ac:dyDescent="0.25">
      <c r="A211" s="4"/>
      <c r="B211" s="4"/>
      <c r="C211" s="32"/>
      <c r="D211" s="11"/>
    </row>
    <row r="212" spans="1:4" hidden="1" outlineLevel="2" x14ac:dyDescent="0.25">
      <c r="A212" s="4"/>
      <c r="B212" s="4"/>
      <c r="C212" s="32"/>
      <c r="D212" s="11"/>
    </row>
    <row r="213" spans="1:4" ht="12.6" hidden="1" outlineLevel="2" thickBot="1" x14ac:dyDescent="0.3">
      <c r="A213" s="4"/>
      <c r="B213" s="4"/>
      <c r="C213" s="32"/>
      <c r="D213" s="11"/>
    </row>
    <row r="214" spans="1:4" ht="12.6" hidden="1" outlineLevel="2" thickBot="1" x14ac:dyDescent="0.3">
      <c r="A214" s="31"/>
      <c r="B214" s="31"/>
      <c r="C214" s="41">
        <f>SUM(C210:C213)</f>
        <v>0</v>
      </c>
      <c r="D214" s="122">
        <f>SUM(D210:D213)</f>
        <v>0</v>
      </c>
    </row>
    <row r="215" spans="1:4" ht="12.6" hidden="1" outlineLevel="2" thickTop="1" x14ac:dyDescent="0.25"/>
    <row r="216" spans="1:4" ht="12.6" hidden="1" outlineLevel="2" thickBot="1" x14ac:dyDescent="0.3">
      <c r="A216" s="120" t="s">
        <v>19</v>
      </c>
      <c r="B216" s="119"/>
      <c r="C216" s="121" t="e">
        <f>C214-#REF!</f>
        <v>#REF!</v>
      </c>
      <c r="D216" s="121" t="e">
        <f>D214-#REF!</f>
        <v>#REF!</v>
      </c>
    </row>
    <row r="217" spans="1:4" ht="12.6" hidden="1" outlineLevel="2" thickBot="1" x14ac:dyDescent="0.3"/>
    <row r="218" spans="1:4" ht="36" hidden="1" outlineLevel="2" x14ac:dyDescent="0.25">
      <c r="A218" s="20"/>
      <c r="B218" s="21"/>
      <c r="C218" s="22" t="s">
        <v>160</v>
      </c>
      <c r="D218" s="93" t="s">
        <v>99</v>
      </c>
    </row>
    <row r="219" spans="1:4" ht="12.6" hidden="1" outlineLevel="2" thickBot="1" x14ac:dyDescent="0.3">
      <c r="A219" s="25"/>
      <c r="B219" s="27"/>
      <c r="C219" s="26"/>
      <c r="D219" s="26"/>
    </row>
    <row r="220" spans="1:4" ht="13.2" hidden="1" outlineLevel="2" thickTop="1" thickBot="1" x14ac:dyDescent="0.3">
      <c r="A220" s="24" t="s">
        <v>161</v>
      </c>
      <c r="B220" s="24"/>
      <c r="C220" s="37" t="s">
        <v>65</v>
      </c>
      <c r="D220" s="37">
        <v>0</v>
      </c>
    </row>
    <row r="221" spans="1:4" hidden="1" outlineLevel="2" x14ac:dyDescent="0.25">
      <c r="A221" s="4" t="s">
        <v>137</v>
      </c>
      <c r="B221" s="4"/>
      <c r="C221" s="11" t="s">
        <v>65</v>
      </c>
      <c r="D221" s="11">
        <v>0</v>
      </c>
    </row>
    <row r="222" spans="1:4" hidden="1" outlineLevel="2" x14ac:dyDescent="0.25">
      <c r="A222" s="4" t="s">
        <v>162</v>
      </c>
      <c r="B222" s="4"/>
      <c r="C222" s="11" t="s">
        <v>65</v>
      </c>
      <c r="D222" s="11">
        <v>0</v>
      </c>
    </row>
    <row r="223" spans="1:4" ht="12.6" hidden="1" outlineLevel="2" thickBot="1" x14ac:dyDescent="0.3">
      <c r="A223" s="24" t="s">
        <v>163</v>
      </c>
      <c r="B223" s="24"/>
      <c r="C223" s="37" t="s">
        <v>65</v>
      </c>
      <c r="D223" s="37">
        <v>0</v>
      </c>
    </row>
    <row r="224" spans="1:4" ht="12.6" hidden="1" outlineLevel="2" thickBot="1" x14ac:dyDescent="0.3">
      <c r="A224" s="29" t="str">
        <f>"Balance -"&amp;" "&amp;TEXT(D208,"mmmm dd, yyyy")</f>
        <v>Balance - June 30, 2024</v>
      </c>
      <c r="B224" s="29"/>
      <c r="C224" s="38">
        <f>SUM(C220:C223)</f>
        <v>0</v>
      </c>
      <c r="D224" s="38">
        <f>SUM(D220:D223)</f>
        <v>0</v>
      </c>
    </row>
    <row r="225" spans="1:4" ht="12.6" hidden="1" outlineLevel="2" thickTop="1" x14ac:dyDescent="0.25">
      <c r="A225" s="4" t="s">
        <v>164</v>
      </c>
      <c r="B225" s="4"/>
      <c r="C225" s="32">
        <v>0</v>
      </c>
      <c r="D225" s="32">
        <v>0</v>
      </c>
    </row>
    <row r="226" spans="1:4" hidden="1" outlineLevel="2" x14ac:dyDescent="0.25">
      <c r="A226" s="4" t="s">
        <v>137</v>
      </c>
      <c r="B226" s="4"/>
      <c r="C226" s="32">
        <v>0</v>
      </c>
      <c r="D226" s="32">
        <v>0</v>
      </c>
    </row>
    <row r="227" spans="1:4" hidden="1" outlineLevel="2" x14ac:dyDescent="0.25">
      <c r="A227" s="4" t="s">
        <v>165</v>
      </c>
      <c r="B227" s="4"/>
      <c r="C227" s="32">
        <v>0</v>
      </c>
      <c r="D227" s="32">
        <v>0</v>
      </c>
    </row>
    <row r="228" spans="1:4" hidden="1" outlineLevel="2" x14ac:dyDescent="0.25">
      <c r="A228" s="4" t="s">
        <v>162</v>
      </c>
      <c r="B228" s="4"/>
      <c r="C228" s="32">
        <v>0</v>
      </c>
      <c r="D228" s="32">
        <v>0</v>
      </c>
    </row>
    <row r="229" spans="1:4" hidden="1" outlineLevel="2" x14ac:dyDescent="0.25">
      <c r="A229" s="4" t="s">
        <v>166</v>
      </c>
      <c r="B229" s="4"/>
      <c r="C229" s="32">
        <v>0</v>
      </c>
      <c r="D229" s="32">
        <v>0</v>
      </c>
    </row>
    <row r="230" spans="1:4" ht="12.6" hidden="1" outlineLevel="2" thickBot="1" x14ac:dyDescent="0.3">
      <c r="A230" s="24" t="s">
        <v>163</v>
      </c>
      <c r="B230" s="24"/>
      <c r="C230" s="33" t="s">
        <v>65</v>
      </c>
      <c r="D230" s="33">
        <v>0</v>
      </c>
    </row>
    <row r="231" spans="1:4" ht="12.6" hidden="1" outlineLevel="2" thickBot="1" x14ac:dyDescent="0.3">
      <c r="A231" s="25" t="str">
        <f>"Balance -"&amp;" "&amp;TEXT(C208,"mmmm dd, yyyy")</f>
        <v>Balance - June 30, 2025</v>
      </c>
      <c r="B231" s="25"/>
      <c r="C231" s="36">
        <f>SUM(C225:C230)</f>
        <v>0</v>
      </c>
      <c r="D231" s="36">
        <f>SUM(D225:D230)</f>
        <v>0</v>
      </c>
    </row>
    <row r="232" spans="1:4" ht="12.6" hidden="1" outlineLevel="2" thickTop="1" x14ac:dyDescent="0.25"/>
    <row r="233" spans="1:4" ht="12.6" hidden="1" outlineLevel="2" thickBot="1" x14ac:dyDescent="0.3">
      <c r="A233" s="120" t="s">
        <v>19</v>
      </c>
      <c r="B233" s="119"/>
      <c r="C233" s="121"/>
      <c r="D233" s="121" t="e">
        <f>D231-#REF!</f>
        <v>#REF!</v>
      </c>
    </row>
    <row r="234" spans="1:4" hidden="1" outlineLevel="1" x14ac:dyDescent="0.25"/>
    <row r="235" spans="1:4" ht="16.2" hidden="1" outlineLevel="1" thickBot="1" x14ac:dyDescent="0.35">
      <c r="A235" s="99" t="s">
        <v>363</v>
      </c>
    </row>
    <row r="236" spans="1:4" hidden="1" outlineLevel="2" x14ac:dyDescent="0.25">
      <c r="A236" s="20" t="s">
        <v>159</v>
      </c>
      <c r="B236" s="21"/>
      <c r="C236" s="98">
        <f>currentperiod_end_date</f>
        <v>45838</v>
      </c>
      <c r="D236" s="98">
        <f>priorperiod_end_date</f>
        <v>45473</v>
      </c>
    </row>
    <row r="237" spans="1:4" hidden="1" outlineLevel="2" x14ac:dyDescent="0.25">
      <c r="A237" s="7"/>
      <c r="B237" s="10"/>
      <c r="C237" s="23"/>
      <c r="D237" s="9"/>
    </row>
    <row r="238" spans="1:4" hidden="1" outlineLevel="2" x14ac:dyDescent="0.25">
      <c r="A238" s="4" t="s">
        <v>167</v>
      </c>
      <c r="B238" s="4"/>
      <c r="C238" s="32"/>
      <c r="D238" s="11"/>
    </row>
    <row r="239" spans="1:4" hidden="1" outlineLevel="2" x14ac:dyDescent="0.25">
      <c r="A239" s="4" t="s">
        <v>223</v>
      </c>
      <c r="B239" s="4"/>
      <c r="C239" s="32"/>
      <c r="D239" s="11"/>
    </row>
    <row r="240" spans="1:4" ht="12.6" hidden="1" outlineLevel="2" thickBot="1" x14ac:dyDescent="0.3">
      <c r="A240" s="4" t="s">
        <v>214</v>
      </c>
      <c r="B240" s="4"/>
      <c r="C240" s="32"/>
      <c r="D240" s="11"/>
    </row>
    <row r="241" spans="1:13" ht="12.6" hidden="1" outlineLevel="2" thickBot="1" x14ac:dyDescent="0.3">
      <c r="A241" s="31"/>
      <c r="B241" s="31"/>
      <c r="C241" s="41">
        <f>SUM(C238:C240)</f>
        <v>0</v>
      </c>
      <c r="D241" s="122">
        <f>SUM(D238:D240)</f>
        <v>0</v>
      </c>
    </row>
    <row r="242" spans="1:13" ht="12.6" hidden="1" outlineLevel="2" thickTop="1" x14ac:dyDescent="0.25">
      <c r="D242" s="115"/>
    </row>
    <row r="243" spans="1:13" ht="12.6" hidden="1" outlineLevel="2" thickBot="1" x14ac:dyDescent="0.3">
      <c r="A243" s="120" t="s">
        <v>19</v>
      </c>
      <c r="B243" s="119"/>
      <c r="C243" s="121" t="e">
        <f>C241+#REF!</f>
        <v>#REF!</v>
      </c>
      <c r="D243" s="121" t="e">
        <f>D241+#REF!</f>
        <v>#REF!</v>
      </c>
    </row>
    <row r="244" spans="1:13" hidden="1" outlineLevel="1" x14ac:dyDescent="0.25"/>
    <row r="245" spans="1:13" collapsed="1" x14ac:dyDescent="0.25">
      <c r="E245" s="547" t="s">
        <v>414</v>
      </c>
      <c r="F245" s="547" t="s">
        <v>414</v>
      </c>
      <c r="G245" s="547"/>
    </row>
    <row r="246" spans="1:13" ht="15.6" x14ac:dyDescent="0.3">
      <c r="A246" s="469" t="s">
        <v>218</v>
      </c>
      <c r="B246" s="470"/>
      <c r="C246" s="538" t="s">
        <v>372</v>
      </c>
      <c r="D246" s="538" t="s">
        <v>372</v>
      </c>
      <c r="E246" s="538" t="str">
        <f>_xlfn.XLOOKUP('Note Disclosures'!$B$4,INPUTS!$A:$A,INPUTS!$B:$B,0,0,1)</f>
        <v>year ended</v>
      </c>
      <c r="F246" s="538" t="str">
        <f>_xlfn.XLOOKUP('Note Disclosures'!$B$4,INPUTS!$A:$A,INPUTS!$B:$B,0,0,1)</f>
        <v>year ended</v>
      </c>
      <c r="H246" s="539" t="str">
        <f>C246</f>
        <v>3 Months</v>
      </c>
      <c r="I246" s="539" t="str">
        <f>H246</f>
        <v>3 Months</v>
      </c>
      <c r="J246" s="539" t="str">
        <f>E246</f>
        <v>year ended</v>
      </c>
      <c r="K246" s="539" t="str">
        <f>J246</f>
        <v>year ended</v>
      </c>
    </row>
    <row r="247" spans="1:13" ht="24" x14ac:dyDescent="0.25">
      <c r="A247" s="467" t="s">
        <v>159</v>
      </c>
      <c r="B247" s="468"/>
      <c r="C247" s="98" t="str">
        <f>TEXT(currentperiod_end_date, "MMMM DD, YYYY")</f>
        <v>June 30, 2025</v>
      </c>
      <c r="D247" s="98" t="str">
        <f>TEXT(comp_period_2,"MMMM DD, YYYY")</f>
        <v>June 30, 2023</v>
      </c>
      <c r="E247" s="98" t="str">
        <f>C247</f>
        <v>June 30, 2025</v>
      </c>
      <c r="F247" s="98" t="str">
        <f>D247</f>
        <v>June 30, 2023</v>
      </c>
      <c r="H247" s="471" t="s">
        <v>294</v>
      </c>
      <c r="I247" s="471" t="s">
        <v>295</v>
      </c>
      <c r="J247" s="471" t="s">
        <v>294</v>
      </c>
      <c r="K247" s="471" t="s">
        <v>295</v>
      </c>
      <c r="M247" s="1002" t="s">
        <v>1274</v>
      </c>
    </row>
    <row r="248" spans="1:13" x14ac:dyDescent="0.25">
      <c r="A248" s="16" t="s">
        <v>240</v>
      </c>
      <c r="B248" s="4"/>
      <c r="C248" s="194">
        <f>SUMIF('IS - F25'!O:O,A248,'IS - F25'!G:G)</f>
        <v>367</v>
      </c>
      <c r="D248" s="194">
        <f>SUMIF('IS - F24'!M:M,A248,'IS - F24'!F:F)</f>
        <v>0</v>
      </c>
      <c r="E248" s="194">
        <f>SUMIF('BS.1 - F25'!H:H,'Note Disclosures'!A248,'BS.1 - F25'!F:F)</f>
        <v>2281</v>
      </c>
      <c r="F248" s="194">
        <f>SUMIF('BS.2 - F24'!H:H,'Note Disclosures'!A248,'BS.2 - F24'!F:F)</f>
        <v>2282</v>
      </c>
      <c r="G248" s="16"/>
      <c r="H248" s="134">
        <f>C248-D248</f>
        <v>367</v>
      </c>
      <c r="I248" s="1295">
        <f>IFERROR(H248/D248,1)</f>
        <v>1</v>
      </c>
      <c r="J248" s="134">
        <f>E248-F248</f>
        <v>-1</v>
      </c>
      <c r="K248" s="1295">
        <f>IFERROR(J248/F248,1)</f>
        <v>-4.3821209465381246E-4</v>
      </c>
      <c r="L248" s="16"/>
      <c r="M248" s="1296"/>
    </row>
    <row r="249" spans="1:13" x14ac:dyDescent="0.25">
      <c r="A249" s="16" t="s">
        <v>236</v>
      </c>
      <c r="B249" s="4"/>
      <c r="C249" s="194">
        <f>SUMIF('IS - F25'!O:O,A249,'IS - F25'!G:G)</f>
        <v>54025</v>
      </c>
      <c r="D249" s="194">
        <f>SUMIF('IS - F24'!M:M,A249,'IS - F24'!F:F)</f>
        <v>5600</v>
      </c>
      <c r="E249" s="194">
        <f>SUMIF('BS.1 - F25'!H:H,'Note Disclosures'!A249,'BS.1 - F25'!F:F)</f>
        <v>133726</v>
      </c>
      <c r="F249" s="194" t="e">
        <f>SUMIF('BS.2 - F24'!H:H,'Note Disclosures'!A249,'BS.2 - F24'!F:F)</f>
        <v>#REF!</v>
      </c>
      <c r="G249" s="16"/>
      <c r="H249" s="134">
        <f t="shared" ref="H249:H262" si="1">C249-D249</f>
        <v>48425</v>
      </c>
      <c r="I249" s="1295">
        <f t="shared" ref="I249:I261" si="2">IFERROR(H249/D249,1)</f>
        <v>8.6473214285714288</v>
      </c>
      <c r="J249" s="134" t="e">
        <f t="shared" ref="J249:J262" si="3">E249-F249</f>
        <v>#REF!</v>
      </c>
      <c r="K249" s="1295">
        <f t="shared" ref="K249:K261" si="4">IFERROR(J249/F249,1)</f>
        <v>1</v>
      </c>
      <c r="L249" s="16"/>
      <c r="M249" s="1296"/>
    </row>
    <row r="250" spans="1:13" x14ac:dyDescent="0.25">
      <c r="A250" s="16" t="s">
        <v>514</v>
      </c>
      <c r="B250" s="4"/>
      <c r="C250" s="194">
        <f>SUMIF('IS - F25'!O:O,A250,'IS - F25'!G:G)</f>
        <v>78800</v>
      </c>
      <c r="D250" s="194">
        <f>SUMIF('IS - F24'!M:M,A250,'IS - F24'!F:F)</f>
        <v>10000</v>
      </c>
      <c r="E250" s="194">
        <f>SUMIF('BS.1 - F25'!H:H,'Note Disclosures'!A250,'BS.1 - F25'!F:F)</f>
        <v>318291</v>
      </c>
      <c r="F250" s="194">
        <f>SUMIF('BS.2 - F24'!H:H,'Note Disclosures'!A250,'BS.2 - F24'!F:F)</f>
        <v>134140</v>
      </c>
      <c r="G250" s="16"/>
      <c r="H250" s="134">
        <f t="shared" si="1"/>
        <v>68800</v>
      </c>
      <c r="I250" s="1295">
        <f t="shared" si="2"/>
        <v>6.88</v>
      </c>
      <c r="J250" s="134">
        <f t="shared" si="3"/>
        <v>184151</v>
      </c>
      <c r="K250" s="1295">
        <f t="shared" si="4"/>
        <v>1.3728268972715074</v>
      </c>
      <c r="L250" s="16"/>
      <c r="M250" s="1296"/>
    </row>
    <row r="251" spans="1:13" x14ac:dyDescent="0.25">
      <c r="A251" s="16" t="s">
        <v>243</v>
      </c>
      <c r="B251" s="4"/>
      <c r="C251" s="194">
        <f>SUMIF('IS - F25'!O:O,A251,'IS - F25'!G:G)</f>
        <v>191</v>
      </c>
      <c r="D251" s="194">
        <f>SUMIF('IS - F24'!M:M,A251,'IS - F24'!F:F)</f>
        <v>0</v>
      </c>
      <c r="E251" s="194">
        <f>SUMIF('BS.1 - F25'!H:H,'Note Disclosures'!A251,'BS.1 - F25'!F:F)</f>
        <v>1742</v>
      </c>
      <c r="F251" s="194">
        <f>SUMIF('BS.2 - F24'!H:H,'Note Disclosures'!A251,'BS.2 - F24'!F:F)</f>
        <v>1253</v>
      </c>
      <c r="G251" s="16"/>
      <c r="H251" s="134">
        <f t="shared" ref="H251" si="5">C251-D251</f>
        <v>191</v>
      </c>
      <c r="I251" s="1295">
        <f t="shared" ref="I251" si="6">IFERROR(H251/D251,1)</f>
        <v>1</v>
      </c>
      <c r="J251" s="134">
        <f t="shared" ref="J251" si="7">E251-F251</f>
        <v>489</v>
      </c>
      <c r="K251" s="1295">
        <f t="shared" ref="K251" si="8">IFERROR(J251/F251,1)</f>
        <v>0.39026336791699923</v>
      </c>
      <c r="L251" s="16"/>
      <c r="M251" s="1296"/>
    </row>
    <row r="252" spans="1:13" x14ac:dyDescent="0.25">
      <c r="A252" s="16" t="s">
        <v>247</v>
      </c>
      <c r="B252" s="4"/>
      <c r="C252" s="194">
        <f>SUMIF('IS - F25'!O:O,A252,'IS - F25'!G:G)</f>
        <v>1460</v>
      </c>
      <c r="D252" s="194">
        <f>SUMIF('IS - F24'!M:M,A252,'IS - F24'!F:F)</f>
        <v>0</v>
      </c>
      <c r="E252" s="194">
        <f>SUMIF('BS.1 - F25'!H:H,'Note Disclosures'!A252,'BS.1 - F25'!F:F)</f>
        <v>8370</v>
      </c>
      <c r="F252" s="194" t="e">
        <f>SUMIF('BS.2 - F24'!H:H,'Note Disclosures'!A252,'BS.2 - F24'!F:F)</f>
        <v>#REF!</v>
      </c>
      <c r="G252" s="16"/>
      <c r="H252" s="134">
        <f t="shared" si="1"/>
        <v>1460</v>
      </c>
      <c r="I252" s="1295">
        <f t="shared" si="2"/>
        <v>1</v>
      </c>
      <c r="J252" s="134" t="e">
        <f t="shared" si="3"/>
        <v>#REF!</v>
      </c>
      <c r="K252" s="1295">
        <f t="shared" si="4"/>
        <v>1</v>
      </c>
      <c r="L252" s="16"/>
      <c r="M252" s="1296"/>
    </row>
    <row r="253" spans="1:13" x14ac:dyDescent="0.25">
      <c r="A253" s="16" t="s">
        <v>200</v>
      </c>
      <c r="B253" s="4"/>
      <c r="C253" s="194">
        <f>SUMIF('IS - F25'!O:O,A253,'IS - F25'!G:G)</f>
        <v>531</v>
      </c>
      <c r="D253" s="194">
        <f>SUMIF('IS - F24'!M:M,A253,'IS - F24'!F:F)</f>
        <v>1875</v>
      </c>
      <c r="E253" s="194">
        <f>SUMIF('BS.1 - F25'!H:H,'Note Disclosures'!A253,'BS.1 - F25'!F:F)</f>
        <v>2747</v>
      </c>
      <c r="F253" s="194" t="e">
        <f>SUMIF('BS.2 - F24'!H:H,'Note Disclosures'!A253,'BS.2 - F24'!F:F)</f>
        <v>#REF!</v>
      </c>
      <c r="G253" s="16"/>
      <c r="H253" s="134">
        <f t="shared" si="1"/>
        <v>-1344</v>
      </c>
      <c r="I253" s="1295">
        <f t="shared" si="2"/>
        <v>-0.71679999999999999</v>
      </c>
      <c r="J253" s="134" t="e">
        <f t="shared" si="3"/>
        <v>#REF!</v>
      </c>
      <c r="K253" s="1295">
        <f t="shared" si="4"/>
        <v>1</v>
      </c>
      <c r="L253" s="16"/>
      <c r="M253" s="1296"/>
    </row>
    <row r="254" spans="1:13" x14ac:dyDescent="0.25">
      <c r="A254" s="16" t="s">
        <v>27</v>
      </c>
      <c r="B254" s="4"/>
      <c r="C254" s="194">
        <f>SUMIF('IS - F25'!O:O,A254,'IS - F25'!G:G)</f>
        <v>619</v>
      </c>
      <c r="D254" s="194">
        <f>SUMIF('IS - F24'!M:M,A254,'IS - F24'!F:F)</f>
        <v>0</v>
      </c>
      <c r="E254" s="194">
        <f>SUMIF('BS.1 - F25'!H:H,'Note Disclosures'!A254,'BS.1 - F25'!F:F)</f>
        <v>934</v>
      </c>
      <c r="F254" s="194" t="e">
        <f>SUMIF('BS.2 - F24'!H:H,'Note Disclosures'!A254,'BS.2 - F24'!F:F)</f>
        <v>#REF!</v>
      </c>
      <c r="G254" s="16"/>
      <c r="H254" s="134">
        <f t="shared" si="1"/>
        <v>619</v>
      </c>
      <c r="I254" s="1295">
        <f t="shared" si="2"/>
        <v>1</v>
      </c>
      <c r="J254" s="134" t="e">
        <f t="shared" si="3"/>
        <v>#REF!</v>
      </c>
      <c r="K254" s="1295">
        <f t="shared" si="4"/>
        <v>1</v>
      </c>
      <c r="L254" s="16"/>
      <c r="M254" s="1296"/>
    </row>
    <row r="255" spans="1:13" x14ac:dyDescent="0.25">
      <c r="A255" s="16" t="s">
        <v>242</v>
      </c>
      <c r="B255" s="4"/>
      <c r="C255" s="194">
        <f>SUMIF('IS - F25'!O:O,A255,'IS - F25'!G:G)</f>
        <v>985</v>
      </c>
      <c r="D255" s="194">
        <f>SUMIF('IS - F24'!M:M,A255,'IS - F24'!F:F)</f>
        <v>0</v>
      </c>
      <c r="E255" s="194">
        <f>SUMIF('BS.1 - F25'!H:H,'Note Disclosures'!A255,'BS.1 - F25'!F:F)</f>
        <v>4524</v>
      </c>
      <c r="F255" s="194" t="e">
        <f>SUMIF('BS.2 - F24'!H:H,'Note Disclosures'!A255,'BS.2 - F24'!F:F)</f>
        <v>#REF!</v>
      </c>
      <c r="G255" s="16"/>
      <c r="H255" s="134">
        <f t="shared" si="1"/>
        <v>985</v>
      </c>
      <c r="I255" s="1295">
        <f t="shared" si="2"/>
        <v>1</v>
      </c>
      <c r="J255" s="134" t="e">
        <f t="shared" si="3"/>
        <v>#REF!</v>
      </c>
      <c r="K255" s="1295">
        <f t="shared" si="4"/>
        <v>1</v>
      </c>
      <c r="L255" s="16"/>
      <c r="M255" s="1296"/>
    </row>
    <row r="256" spans="1:13" x14ac:dyDescent="0.25">
      <c r="A256" s="16" t="s">
        <v>813</v>
      </c>
      <c r="B256" s="4"/>
      <c r="C256" s="194">
        <f>SUMIF('IS - F25'!O:O,A256,'IS - F25'!G:G)</f>
        <v>5250</v>
      </c>
      <c r="D256" s="194">
        <f>SUMIF('IS - F24'!M:M,A256,'IS - F24'!F:F)</f>
        <v>0</v>
      </c>
      <c r="E256" s="194">
        <f>SUMIF('BS.1 - F25'!H:H,'Note Disclosures'!A256,'BS.1 - F25'!F:F)</f>
        <v>0</v>
      </c>
      <c r="F256" s="194">
        <f>SUMIF('BS.2 - F24'!H:H,'Note Disclosures'!A256,'BS.2 - F24'!F:F)</f>
        <v>10700</v>
      </c>
      <c r="G256" s="16"/>
      <c r="H256" s="134">
        <f t="shared" si="1"/>
        <v>5250</v>
      </c>
      <c r="I256" s="1295">
        <f t="shared" si="2"/>
        <v>1</v>
      </c>
      <c r="J256" s="134">
        <f t="shared" si="3"/>
        <v>-10700</v>
      </c>
      <c r="K256" s="1295">
        <f t="shared" si="4"/>
        <v>-1</v>
      </c>
      <c r="L256" s="16"/>
      <c r="M256" s="1296"/>
    </row>
    <row r="257" spans="1:13" x14ac:dyDescent="0.25">
      <c r="A257" s="16" t="s">
        <v>494</v>
      </c>
      <c r="B257" s="4"/>
      <c r="C257" s="194">
        <f>SUMIF('IS - F25'!O:O,A257,'IS - F25'!G:G)</f>
        <v>9696</v>
      </c>
      <c r="D257" s="194">
        <f>SUMIF('IS - F24'!M:M,A257,'IS - F24'!F:F)</f>
        <v>0</v>
      </c>
      <c r="E257" s="194">
        <f>SUMIF('BS.1 - F25'!H:H,'Note Disclosures'!A257,'BS.1 - F25'!F:F)</f>
        <v>26182</v>
      </c>
      <c r="F257" s="194" t="e">
        <f>SUMIF('BS.2 - F24'!H:H,'Note Disclosures'!A257,'BS.2 - F24'!F:F)</f>
        <v>#REF!</v>
      </c>
      <c r="G257" s="16"/>
      <c r="H257" s="134">
        <f t="shared" si="1"/>
        <v>9696</v>
      </c>
      <c r="I257" s="1295">
        <f t="shared" si="2"/>
        <v>1</v>
      </c>
      <c r="J257" s="134" t="e">
        <f t="shared" si="3"/>
        <v>#REF!</v>
      </c>
      <c r="K257" s="1295">
        <f t="shared" si="4"/>
        <v>1</v>
      </c>
      <c r="L257" s="16"/>
      <c r="M257" s="1296"/>
    </row>
    <row r="258" spans="1:13" x14ac:dyDescent="0.25">
      <c r="A258" s="16" t="s">
        <v>627</v>
      </c>
      <c r="B258" s="4"/>
      <c r="C258" s="194">
        <f>SUMIF('IS - F25'!O:O,A258,'IS - F25'!G:G)</f>
        <v>5494</v>
      </c>
      <c r="D258" s="194">
        <f>SUMIF('IS - F24'!M:M,A258,'IS - F24'!F:F)</f>
        <v>0</v>
      </c>
      <c r="E258" s="194">
        <f>SUMIF('BS.1 - F25'!H:H,'Note Disclosures'!A258,'BS.1 - F25'!F:F)</f>
        <v>0</v>
      </c>
      <c r="F258" s="194" t="e">
        <f>SUMIF('BS.2 - F24'!H:H,'Note Disclosures'!A258,'BS.2 - F24'!F:F)</f>
        <v>#REF!</v>
      </c>
      <c r="G258" s="16"/>
      <c r="H258" s="134">
        <f t="shared" si="1"/>
        <v>5494</v>
      </c>
      <c r="I258" s="1295">
        <f t="shared" si="2"/>
        <v>1</v>
      </c>
      <c r="J258" s="134" t="e">
        <f t="shared" si="3"/>
        <v>#REF!</v>
      </c>
      <c r="K258" s="1295">
        <f t="shared" si="4"/>
        <v>1</v>
      </c>
      <c r="L258" s="16"/>
      <c r="M258" s="1296"/>
    </row>
    <row r="259" spans="1:13" x14ac:dyDescent="0.25">
      <c r="A259" s="16" t="s">
        <v>628</v>
      </c>
      <c r="B259" s="4"/>
      <c r="C259" s="194">
        <f>SUMIF('IS - F25'!O:O,A259,'IS - F25'!G:G)</f>
        <v>2728</v>
      </c>
      <c r="D259" s="194">
        <f>SUMIF('IS - F24'!M:M,A259,'IS - F24'!F:F)</f>
        <v>0</v>
      </c>
      <c r="E259" s="194">
        <f>SUMIF('BS.1 - F25'!H:H,'Note Disclosures'!A259,'BS.1 - F25'!F:F)</f>
        <v>241</v>
      </c>
      <c r="F259" s="194" t="e">
        <f>SUMIF('BS.2 - F24'!H:H,'Note Disclosures'!A259,'BS.2 - F24'!F:F)</f>
        <v>#REF!</v>
      </c>
      <c r="G259" s="16"/>
      <c r="H259" s="134">
        <f t="shared" si="1"/>
        <v>2728</v>
      </c>
      <c r="I259" s="1295">
        <f t="shared" si="2"/>
        <v>1</v>
      </c>
      <c r="J259" s="134" t="e">
        <f t="shared" si="3"/>
        <v>#REF!</v>
      </c>
      <c r="K259" s="1295">
        <f t="shared" si="4"/>
        <v>1</v>
      </c>
      <c r="L259" s="16"/>
      <c r="M259" s="1296"/>
    </row>
    <row r="260" spans="1:13" x14ac:dyDescent="0.25">
      <c r="A260" s="16" t="s">
        <v>43</v>
      </c>
      <c r="B260" s="16"/>
      <c r="C260" s="194">
        <f>SUMIF('IS - F25'!O:O,A260,'IS - F25'!G:G)</f>
        <v>509</v>
      </c>
      <c r="D260" s="194">
        <f>SUMIF('IS - F24'!M:M,A260,'IS - F24'!F:F)</f>
        <v>0</v>
      </c>
      <c r="E260" s="194">
        <f>SUMIF('BS.1 - F25'!H:H,'Note Disclosures'!A260,'BS.1 - F25'!F:F)</f>
        <v>1256364</v>
      </c>
      <c r="F260" s="194" t="e">
        <f>SUMIF('BS.2 - F24'!H:H,'Note Disclosures'!A260,'BS.2 - F24'!F:F)</f>
        <v>#REF!</v>
      </c>
      <c r="G260" s="16"/>
      <c r="H260" s="134">
        <f t="shared" si="1"/>
        <v>509</v>
      </c>
      <c r="I260" s="1295">
        <f t="shared" si="2"/>
        <v>1</v>
      </c>
      <c r="J260" s="134" t="e">
        <f t="shared" si="3"/>
        <v>#REF!</v>
      </c>
      <c r="K260" s="1295">
        <f t="shared" si="4"/>
        <v>1</v>
      </c>
      <c r="L260" s="16"/>
      <c r="M260" s="1296"/>
    </row>
    <row r="261" spans="1:13" x14ac:dyDescent="0.25">
      <c r="A261" s="16" t="s">
        <v>629</v>
      </c>
      <c r="B261" s="16"/>
      <c r="C261" s="194">
        <f>SUMIF('IS - F25'!O:O,A261,'IS - F25'!G:G)</f>
        <v>48</v>
      </c>
      <c r="D261" s="194">
        <f>SUMIF('IS - F24'!M:M,A261,'IS - F24'!F:F)</f>
        <v>0</v>
      </c>
      <c r="E261" s="194">
        <f>SUMIF('BS.1 - F25'!H:H,'Note Disclosures'!A261,'BS.1 - F25'!F:F)</f>
        <v>43</v>
      </c>
      <c r="F261" s="194" t="e">
        <f>SUMIF('BS.2 - F24'!H:H,'Note Disclosures'!A261,'BS.2 - F24'!F:F)</f>
        <v>#REF!</v>
      </c>
      <c r="G261" s="16"/>
      <c r="H261" s="134">
        <f t="shared" si="1"/>
        <v>48</v>
      </c>
      <c r="I261" s="1295">
        <f t="shared" si="2"/>
        <v>1</v>
      </c>
      <c r="J261" s="134" t="e">
        <f t="shared" si="3"/>
        <v>#REF!</v>
      </c>
      <c r="K261" s="1295">
        <f t="shared" si="4"/>
        <v>1</v>
      </c>
      <c r="L261" s="16"/>
      <c r="M261" s="1296"/>
    </row>
    <row r="262" spans="1:13" ht="12.6" thickBot="1" x14ac:dyDescent="0.3">
      <c r="A262" s="16" t="s">
        <v>704</v>
      </c>
      <c r="B262" s="16"/>
      <c r="C262" s="194">
        <f>SUMIF('IS - F25'!O:O,A262,'IS - F25'!G:G)</f>
        <v>0</v>
      </c>
      <c r="D262" s="194">
        <f>SUMIF('IS - F24'!M:M,A262,'IS - F24'!F:F)</f>
        <v>0</v>
      </c>
      <c r="E262" s="194">
        <f>SUMIF('BS.1 - F25'!H:H,'Note Disclosures'!A262,'BS.1 - F25'!F:F)</f>
        <v>0</v>
      </c>
      <c r="F262" s="194">
        <f>SUMIF('BS.2 - F24'!H:H,'Note Disclosures'!A262,'BS.2 - F24'!F:F)</f>
        <v>0</v>
      </c>
      <c r="G262" s="16"/>
      <c r="H262" s="134">
        <f t="shared" si="1"/>
        <v>0</v>
      </c>
      <c r="I262" s="1295">
        <f>IFERROR(H262/D262,0)</f>
        <v>0</v>
      </c>
      <c r="J262" s="134">
        <f t="shared" si="3"/>
        <v>0</v>
      </c>
      <c r="K262" s="1295">
        <f>IFERROR(J262/F262,0)</f>
        <v>0</v>
      </c>
      <c r="L262" s="16"/>
      <c r="M262" s="1296"/>
    </row>
    <row r="263" spans="1:13" ht="12.6" thickBot="1" x14ac:dyDescent="0.3">
      <c r="A263" s="31" t="s">
        <v>817</v>
      </c>
      <c r="B263" s="31"/>
      <c r="C263" s="122">
        <f>ROUND(SUM(C248:C262),0)</f>
        <v>160703</v>
      </c>
      <c r="D263" s="122">
        <f>ROUND(SUM(D248:D262),0)</f>
        <v>17475</v>
      </c>
      <c r="E263" s="122">
        <f>ROUND(SUM(E248:E262),0)</f>
        <v>1755445</v>
      </c>
      <c r="F263" s="122" t="e">
        <f>ROUND(SUM(F248:F262),0)</f>
        <v>#REF!</v>
      </c>
    </row>
    <row r="264" spans="1:13" ht="12.6" thickTop="1" x14ac:dyDescent="0.25"/>
    <row r="265" spans="1:13" ht="12.6" thickBot="1" x14ac:dyDescent="0.3">
      <c r="A265" s="120" t="s">
        <v>19</v>
      </c>
      <c r="B265" s="119"/>
      <c r="C265" s="121">
        <f>C263-'IS - F25'!G96</f>
        <v>-2407</v>
      </c>
      <c r="D265" s="121">
        <f>D263-'IS - F24'!F95</f>
        <v>0</v>
      </c>
      <c r="E265" s="121">
        <f>FS.1!G59-E263</f>
        <v>0</v>
      </c>
      <c r="F265" s="121" t="e">
        <f>FS.1!I59-F263</f>
        <v>#REF!</v>
      </c>
    </row>
    <row r="267" spans="1:13" ht="15.6" x14ac:dyDescent="0.3">
      <c r="A267" s="99" t="s">
        <v>364</v>
      </c>
    </row>
    <row r="268" spans="1:13" hidden="1" outlineLevel="1" x14ac:dyDescent="0.25">
      <c r="A268" s="20" t="s">
        <v>159</v>
      </c>
      <c r="B268" s="21"/>
      <c r="C268" s="98">
        <f>currentperiod_end_date</f>
        <v>45838</v>
      </c>
      <c r="D268" s="98">
        <f>priorperiod_end_date</f>
        <v>45473</v>
      </c>
    </row>
    <row r="269" spans="1:13" hidden="1" outlineLevel="1" x14ac:dyDescent="0.25">
      <c r="A269" s="7"/>
      <c r="B269" s="10"/>
      <c r="C269" s="23"/>
      <c r="D269" s="9"/>
    </row>
    <row r="270" spans="1:13" hidden="1" outlineLevel="1" x14ac:dyDescent="0.25">
      <c r="A270" s="3" t="s">
        <v>220</v>
      </c>
      <c r="B270" s="4"/>
      <c r="C270" s="32">
        <f>-SUMIF('FY Current'!I:I,$A270,'FY Current'!G:G)</f>
        <v>0</v>
      </c>
      <c r="D270" s="11" t="e">
        <f>-SUMIF(#REF!,$A270,#REF!)</f>
        <v>#REF!</v>
      </c>
    </row>
    <row r="271" spans="1:13" hidden="1" outlineLevel="1" x14ac:dyDescent="0.25">
      <c r="A271" s="3" t="s">
        <v>219</v>
      </c>
      <c r="B271" s="4"/>
      <c r="C271" s="32">
        <f>-SUMIF('FY Current'!I:I,$A271,'FY Current'!G:G)</f>
        <v>0</v>
      </c>
      <c r="D271" s="11" t="e">
        <f>-SUMIF(#REF!,$A271,#REF!)</f>
        <v>#REF!</v>
      </c>
    </row>
    <row r="272" spans="1:13" hidden="1" outlineLevel="1" x14ac:dyDescent="0.25">
      <c r="A272" s="3" t="s">
        <v>193</v>
      </c>
      <c r="C272" s="32">
        <f>-SUMIF('FY Current'!I:I,$A272,'FY Current'!G:G)</f>
        <v>0</v>
      </c>
      <c r="D272" s="11" t="e">
        <f>-SUMIF(#REF!,$A272,#REF!)</f>
        <v>#REF!</v>
      </c>
    </row>
    <row r="273" spans="1:4" hidden="1" outlineLevel="1" x14ac:dyDescent="0.25">
      <c r="A273" s="3" t="s">
        <v>217</v>
      </c>
      <c r="C273" s="32">
        <f>-SUMIF('FY Current'!I:I,$A273,'FY Current'!G:G)</f>
        <v>0</v>
      </c>
      <c r="D273" s="11" t="e">
        <f>-SUMIF(#REF!,$A273,#REF!)</f>
        <v>#REF!</v>
      </c>
    </row>
    <row r="274" spans="1:4" ht="12.6" hidden="1" outlineLevel="1" thickBot="1" x14ac:dyDescent="0.3">
      <c r="A274" s="3" t="s">
        <v>222</v>
      </c>
      <c r="C274" s="32">
        <f>-SUMIF('FY Current'!I:I,$A274,'FY Current'!G:G)</f>
        <v>0</v>
      </c>
      <c r="D274" s="11"/>
    </row>
    <row r="275" spans="1:4" ht="12.6" hidden="1" outlineLevel="1" thickBot="1" x14ac:dyDescent="0.3">
      <c r="A275" s="31"/>
      <c r="B275" s="31"/>
      <c r="C275" s="41">
        <f>SUM(C270:C274)</f>
        <v>0</v>
      </c>
      <c r="D275" s="122" t="e">
        <f>SUM(D270:D273)</f>
        <v>#REF!</v>
      </c>
    </row>
    <row r="276" spans="1:4" ht="12.6" hidden="1" outlineLevel="1" thickTop="1" x14ac:dyDescent="0.25"/>
    <row r="277" spans="1:4" ht="12.6" hidden="1" outlineLevel="1" thickBot="1" x14ac:dyDescent="0.3">
      <c r="A277" s="120" t="s">
        <v>19</v>
      </c>
      <c r="B277" s="119"/>
      <c r="C277" s="121" t="e">
        <f>C275-SUM(#REF!)</f>
        <v>#REF!</v>
      </c>
      <c r="D277" s="121" t="e">
        <f>D275-SUM(#REF!)</f>
        <v>#REF!</v>
      </c>
    </row>
    <row r="278" spans="1:4" collapsed="1" x14ac:dyDescent="0.25"/>
    <row r="279" spans="1:4" ht="15.6" x14ac:dyDescent="0.3">
      <c r="A279" s="99" t="s">
        <v>413</v>
      </c>
    </row>
    <row r="280" spans="1:4" ht="12.6" hidden="1" outlineLevel="1" thickBot="1" x14ac:dyDescent="0.3"/>
    <row r="281" spans="1:4" hidden="1" outlineLevel="1" x14ac:dyDescent="0.25">
      <c r="A281" s="20" t="s">
        <v>159</v>
      </c>
      <c r="B281" s="21"/>
      <c r="C281" s="98">
        <f>currentperiod_end_date</f>
        <v>45838</v>
      </c>
      <c r="D281" s="98">
        <f>priorperiod_end_date</f>
        <v>45473</v>
      </c>
    </row>
    <row r="282" spans="1:4" hidden="1" outlineLevel="1" x14ac:dyDescent="0.25">
      <c r="A282" s="7"/>
      <c r="B282" s="10"/>
      <c r="C282" s="23"/>
      <c r="D282" s="9"/>
    </row>
    <row r="283" spans="1:4" hidden="1" outlineLevel="1" x14ac:dyDescent="0.25">
      <c r="A283" s="4" t="s">
        <v>169</v>
      </c>
      <c r="B283" s="4"/>
      <c r="C283" s="32"/>
      <c r="D283" s="11"/>
    </row>
    <row r="284" spans="1:4" hidden="1" outlineLevel="1" x14ac:dyDescent="0.25">
      <c r="A284" s="4" t="s">
        <v>170</v>
      </c>
      <c r="B284" s="4"/>
      <c r="C284" s="32"/>
      <c r="D284" s="11"/>
    </row>
    <row r="285" spans="1:4" ht="24" hidden="1" outlineLevel="1" x14ac:dyDescent="0.25">
      <c r="A285" s="4" t="s">
        <v>171</v>
      </c>
      <c r="B285" s="4"/>
      <c r="C285" s="32"/>
      <c r="D285" s="11"/>
    </row>
    <row r="286" spans="1:4" hidden="1" outlineLevel="1" x14ac:dyDescent="0.25">
      <c r="A286" s="4" t="s">
        <v>172</v>
      </c>
      <c r="B286" s="4"/>
      <c r="C286" s="32"/>
      <c r="D286" s="11"/>
    </row>
    <row r="287" spans="1:4" hidden="1" outlineLevel="1" x14ac:dyDescent="0.25">
      <c r="A287" s="4" t="s">
        <v>173</v>
      </c>
      <c r="B287" s="4"/>
      <c r="C287" s="32"/>
      <c r="D287" s="11"/>
    </row>
    <row r="288" spans="1:4" hidden="1" outlineLevel="1" x14ac:dyDescent="0.25">
      <c r="A288" s="4" t="s">
        <v>174</v>
      </c>
      <c r="B288" s="4"/>
      <c r="C288" s="32"/>
      <c r="D288" s="11"/>
    </row>
    <row r="289" spans="1:13" hidden="1" outlineLevel="1" x14ac:dyDescent="0.25">
      <c r="A289" s="4" t="s">
        <v>175</v>
      </c>
      <c r="B289" s="4"/>
      <c r="C289" s="32"/>
      <c r="D289" s="11"/>
    </row>
    <row r="290" spans="1:13" collapsed="1" x14ac:dyDescent="0.25"/>
    <row r="292" spans="1:13" x14ac:dyDescent="0.25">
      <c r="A292" s="16" t="s">
        <v>240</v>
      </c>
    </row>
    <row r="293" spans="1:13" x14ac:dyDescent="0.25">
      <c r="A293" s="16" t="s">
        <v>236</v>
      </c>
    </row>
    <row r="294" spans="1:13" x14ac:dyDescent="0.25">
      <c r="A294" s="16" t="s">
        <v>514</v>
      </c>
    </row>
    <row r="295" spans="1:13" x14ac:dyDescent="0.25">
      <c r="A295" s="16" t="s">
        <v>243</v>
      </c>
    </row>
    <row r="296" spans="1:13" ht="14.4" x14ac:dyDescent="0.3">
      <c r="A296" s="16" t="s">
        <v>247</v>
      </c>
      <c r="M296"/>
    </row>
    <row r="297" spans="1:13" ht="14.4" x14ac:dyDescent="0.3">
      <c r="A297" s="16" t="s">
        <v>200</v>
      </c>
      <c r="M297"/>
    </row>
    <row r="298" spans="1:13" ht="14.4" x14ac:dyDescent="0.3">
      <c r="A298" s="16" t="s">
        <v>27</v>
      </c>
      <c r="M298"/>
    </row>
    <row r="299" spans="1:13" ht="14.4" x14ac:dyDescent="0.3">
      <c r="A299" s="16" t="s">
        <v>242</v>
      </c>
      <c r="M299"/>
    </row>
    <row r="300" spans="1:13" ht="14.4" x14ac:dyDescent="0.3">
      <c r="A300" s="16" t="s">
        <v>813</v>
      </c>
      <c r="M300"/>
    </row>
    <row r="301" spans="1:13" ht="14.4" x14ac:dyDescent="0.3">
      <c r="A301" s="16" t="s">
        <v>494</v>
      </c>
      <c r="M301"/>
    </row>
    <row r="302" spans="1:13" ht="14.4" x14ac:dyDescent="0.3">
      <c r="A302" s="16" t="s">
        <v>627</v>
      </c>
      <c r="M302"/>
    </row>
    <row r="303" spans="1:13" ht="14.4" x14ac:dyDescent="0.3">
      <c r="A303" s="16" t="s">
        <v>628</v>
      </c>
      <c r="M303"/>
    </row>
    <row r="304" spans="1:13" ht="14.4" x14ac:dyDescent="0.3">
      <c r="A304" s="16" t="s">
        <v>43</v>
      </c>
      <c r="M304"/>
    </row>
    <row r="305" spans="1:13" ht="14.4" x14ac:dyDescent="0.3">
      <c r="A305" s="16" t="s">
        <v>629</v>
      </c>
      <c r="E305" s="3"/>
      <c r="M305"/>
    </row>
  </sheetData>
  <sortState xmlns:xlrd2="http://schemas.microsoft.com/office/spreadsheetml/2017/richdata2" ref="E290:E305">
    <sortCondition ref="E290:E305"/>
  </sortState>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BE8A3EB-B8B2-4FA8-A7AA-38BA5DAAED6E}">
          <x14:formula1>
            <xm:f>INPUTS!$A$16:$A$19</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FECE-A028-4126-BD84-4D3D9429EEF1}">
  <sheetPr>
    <tabColor rgb="FFFFFF00"/>
  </sheetPr>
  <dimension ref="A1:L63"/>
  <sheetViews>
    <sheetView workbookViewId="0"/>
  </sheetViews>
  <sheetFormatPr defaultColWidth="8.88671875" defaultRowHeight="12" x14ac:dyDescent="0.3"/>
  <cols>
    <col min="1" max="1" width="74.5546875" style="16" customWidth="1"/>
    <col min="2" max="7" width="16" style="16" customWidth="1"/>
    <col min="8" max="8" width="8.88671875" style="16"/>
    <col min="9" max="9" width="12.109375" style="16" bestFit="1" customWidth="1"/>
    <col min="10" max="16384" width="8.88671875" style="16"/>
  </cols>
  <sheetData>
    <row r="1" spans="1:11" ht="25.2" x14ac:dyDescent="0.3">
      <c r="A1" s="44" t="str">
        <f>company_name</f>
        <v>Consolidated Hallor Group Inc.</v>
      </c>
    </row>
    <row r="2" spans="1:11" ht="25.2" x14ac:dyDescent="0.3">
      <c r="A2" s="44" t="s">
        <v>17</v>
      </c>
    </row>
    <row r="3" spans="1:11" x14ac:dyDescent="0.3">
      <c r="A3" s="17"/>
    </row>
    <row r="4" spans="1:11" ht="12.6" thickBot="1" x14ac:dyDescent="0.3">
      <c r="A4" s="46"/>
      <c r="B4" s="126"/>
      <c r="C4" s="126"/>
      <c r="D4" s="126" t="s">
        <v>221</v>
      </c>
      <c r="E4" s="47" t="s">
        <v>126</v>
      </c>
      <c r="F4" s="47" t="s">
        <v>124</v>
      </c>
      <c r="G4" s="47" t="s">
        <v>71</v>
      </c>
    </row>
    <row r="5" spans="1:11" x14ac:dyDescent="0.3">
      <c r="A5" s="64">
        <f>priorperiod_end_date</f>
        <v>45473</v>
      </c>
      <c r="B5" s="45" t="e">
        <f>_xlfn.XLOOKUP(A5,#REF!,#REF!,0,0,1)</f>
        <v>#REF!</v>
      </c>
      <c r="C5" s="45" t="e">
        <f>_xlfn.XLOOKUP(A5,#REF!,#REF!,0,0,1)</f>
        <v>#REF!</v>
      </c>
      <c r="D5" s="45">
        <v>0</v>
      </c>
      <c r="E5" s="45"/>
      <c r="F5" s="45"/>
      <c r="G5" s="45" t="e">
        <f>SUM(B5:F5)</f>
        <v>#REF!</v>
      </c>
    </row>
    <row r="6" spans="1:11" x14ac:dyDescent="0.3">
      <c r="A6" s="64">
        <f>currentperiod_end_date</f>
        <v>45838</v>
      </c>
      <c r="B6" s="45" t="e">
        <f>_xlfn.XLOOKUP(A6,#REF!,#REF!,0,0,1)</f>
        <v>#REF!</v>
      </c>
      <c r="C6" s="45" t="e">
        <f>_xlfn.XLOOKUP(A6,#REF!,#REF!,0,0,1)</f>
        <v>#REF!</v>
      </c>
      <c r="D6" s="45">
        <v>0</v>
      </c>
      <c r="E6" s="45"/>
      <c r="F6" s="45"/>
      <c r="G6" s="45" t="e">
        <f>SUM(B6:F6)</f>
        <v>#REF!</v>
      </c>
    </row>
    <row r="7" spans="1:11" ht="12.6" thickBot="1" x14ac:dyDescent="0.35">
      <c r="A7" s="56" t="s">
        <v>18</v>
      </c>
      <c r="B7" s="59" t="e">
        <f t="shared" ref="B7:G7" si="0">B6-B5</f>
        <v>#REF!</v>
      </c>
      <c r="C7" s="59" t="e">
        <f t="shared" si="0"/>
        <v>#REF!</v>
      </c>
      <c r="D7" s="59">
        <f t="shared" si="0"/>
        <v>0</v>
      </c>
      <c r="E7" s="59">
        <f t="shared" ref="E7" si="1">E6-E5</f>
        <v>0</v>
      </c>
      <c r="F7" s="59">
        <f t="shared" si="0"/>
        <v>0</v>
      </c>
      <c r="G7" s="59" t="e">
        <f t="shared" si="0"/>
        <v>#REF!</v>
      </c>
    </row>
    <row r="8" spans="1:11" x14ac:dyDescent="0.3">
      <c r="A8" s="50"/>
      <c r="B8" s="58"/>
      <c r="C8" s="58"/>
      <c r="D8" s="58"/>
      <c r="E8" s="58"/>
      <c r="F8" s="58"/>
      <c r="G8" s="58"/>
    </row>
    <row r="9" spans="1:11" x14ac:dyDescent="0.3">
      <c r="A9" s="69" t="s">
        <v>9</v>
      </c>
      <c r="B9" s="51"/>
      <c r="C9" s="51"/>
      <c r="D9" s="51"/>
      <c r="E9" s="51"/>
      <c r="F9" s="51"/>
      <c r="G9" s="51"/>
    </row>
    <row r="10" spans="1:11" x14ac:dyDescent="0.3">
      <c r="A10" s="53" t="s">
        <v>42</v>
      </c>
      <c r="B10" s="51" t="e">
        <f>_xlfn.XLOOKUP(A10,#REF!,#REF!,0,0,1)</f>
        <v>#REF!</v>
      </c>
      <c r="C10" s="51" t="e">
        <f>_xlfn.XLOOKUP(A10,#REF!,#REF!,0,0,1)</f>
        <v>#REF!</v>
      </c>
      <c r="D10" s="51">
        <f>-122911-92253</f>
        <v>-215164</v>
      </c>
      <c r="E10" s="51"/>
      <c r="F10" s="51"/>
      <c r="G10" s="51" t="e">
        <f>ROUND(SUM(B10:F10),0)</f>
        <v>#REF!</v>
      </c>
      <c r="I10" s="134"/>
      <c r="J10" s="134" t="e">
        <f>#REF!</f>
        <v>#REF!</v>
      </c>
      <c r="K10" s="134" t="e">
        <f>J10-G10</f>
        <v>#REF!</v>
      </c>
    </row>
    <row r="11" spans="1:11" x14ac:dyDescent="0.3">
      <c r="A11" s="53"/>
      <c r="B11" s="51"/>
      <c r="C11" s="51"/>
      <c r="D11" s="51"/>
      <c r="E11" s="51"/>
      <c r="F11" s="51"/>
      <c r="G11" s="51"/>
    </row>
    <row r="12" spans="1:11" x14ac:dyDescent="0.3">
      <c r="A12" s="69" t="s">
        <v>46</v>
      </c>
      <c r="B12" s="51"/>
      <c r="C12" s="51"/>
      <c r="D12" s="51"/>
      <c r="E12" s="51"/>
      <c r="F12" s="51"/>
      <c r="G12" s="51"/>
    </row>
    <row r="13" spans="1:11" x14ac:dyDescent="0.3">
      <c r="A13" s="53" t="s">
        <v>43</v>
      </c>
      <c r="B13" s="51" t="e">
        <f>_xlfn.XLOOKUP(A13,#REF!,#REF!,0,0,1)</f>
        <v>#REF!</v>
      </c>
      <c r="C13" s="51" t="e">
        <f>_xlfn.XLOOKUP(A13,#REF!,#REF!,0,0,1)</f>
        <v>#REF!</v>
      </c>
      <c r="D13" s="51" t="e">
        <f>'FY Current'!#REF!</f>
        <v>#REF!</v>
      </c>
      <c r="E13" s="51"/>
      <c r="F13" s="51"/>
      <c r="G13" s="51" t="e">
        <f>ROUND(SUM(B13:F13),0)</f>
        <v>#REF!</v>
      </c>
    </row>
    <row r="14" spans="1:11" x14ac:dyDescent="0.3">
      <c r="A14" s="53" t="s">
        <v>195</v>
      </c>
      <c r="B14" s="51" t="e">
        <f>_xlfn.XLOOKUP(A14,#REF!,#REF!,0,0,1)</f>
        <v>#REF!</v>
      </c>
      <c r="C14" s="51" t="e">
        <f>_xlfn.XLOOKUP(A14,#REF!,#REF!,0,0,1)</f>
        <v>#REF!</v>
      </c>
      <c r="D14" s="51"/>
      <c r="E14" s="51"/>
      <c r="F14" s="51"/>
      <c r="G14" s="51" t="e">
        <f>ROUND(SUM(B14:F14),0)</f>
        <v>#REF!</v>
      </c>
    </row>
    <row r="15" spans="1:11" x14ac:dyDescent="0.3">
      <c r="A15" s="53" t="s">
        <v>193</v>
      </c>
      <c r="B15" s="51" t="e">
        <f>_xlfn.XLOOKUP(A15,#REF!,#REF!,0,0,1)</f>
        <v>#REF!</v>
      </c>
      <c r="C15" s="51" t="e">
        <f>_xlfn.XLOOKUP(A15,#REF!,#REF!,0,0,1)</f>
        <v>#REF!</v>
      </c>
      <c r="D15" s="51"/>
      <c r="E15" s="51"/>
      <c r="F15" s="51"/>
      <c r="G15" s="51" t="e">
        <f>ROUND(SUM(B15:F15),0)</f>
        <v>#REF!</v>
      </c>
    </row>
    <row r="16" spans="1:11" x14ac:dyDescent="0.3">
      <c r="A16" s="53" t="s">
        <v>106</v>
      </c>
      <c r="B16" s="51" t="e">
        <f>_xlfn.XLOOKUP(A16,#REF!,#REF!,0,0,1)</f>
        <v>#REF!</v>
      </c>
      <c r="C16" s="51" t="e">
        <f>_xlfn.XLOOKUP(A16,#REF!,#REF!,0,0,1)</f>
        <v>#REF!</v>
      </c>
      <c r="D16" s="51">
        <v>-4643</v>
      </c>
      <c r="E16" s="51"/>
      <c r="F16" s="51"/>
      <c r="G16" s="51" t="e">
        <f>ROUND(SUM(B16:F16),0)</f>
        <v>#REF!</v>
      </c>
    </row>
    <row r="17" spans="1:10" x14ac:dyDescent="0.3">
      <c r="A17" s="53" t="s">
        <v>7</v>
      </c>
      <c r="B17" s="51" t="e">
        <f>_xlfn.XLOOKUP(A17,#REF!,#REF!,0,0,1)</f>
        <v>#REF!</v>
      </c>
      <c r="C17" s="51" t="e">
        <f>_xlfn.XLOOKUP(A17,#REF!,#REF!,0,0,1)</f>
        <v>#REF!</v>
      </c>
      <c r="D17" s="51"/>
      <c r="E17" s="51"/>
      <c r="F17" s="51"/>
      <c r="G17" s="51" t="e">
        <f t="shared" ref="G17" si="2">SUM(B17:F17)</f>
        <v>#REF!</v>
      </c>
    </row>
    <row r="18" spans="1:10" x14ac:dyDescent="0.3">
      <c r="A18" s="53" t="s">
        <v>47</v>
      </c>
      <c r="B18" s="51" t="e">
        <f>_xlfn.XLOOKUP(A18,#REF!,#REF!,0,0,1)</f>
        <v>#REF!</v>
      </c>
      <c r="C18" s="51" t="e">
        <f>_xlfn.XLOOKUP(A18,#REF!,#REF!,0,0,1)</f>
        <v>#REF!</v>
      </c>
      <c r="D18" s="51"/>
      <c r="E18" s="51"/>
      <c r="F18" s="51"/>
      <c r="G18" s="51" t="e">
        <f>ROUND(SUM(B18:F18),0)</f>
        <v>#REF!</v>
      </c>
    </row>
    <row r="19" spans="1:10" x14ac:dyDescent="0.3">
      <c r="A19" s="53" t="s">
        <v>108</v>
      </c>
      <c r="B19" s="51" t="e">
        <f>_xlfn.XLOOKUP(A19,#REF!,#REF!,0,0,1)</f>
        <v>#REF!</v>
      </c>
      <c r="C19" s="51" t="e">
        <f>_xlfn.XLOOKUP(A19,#REF!,#REF!,0,0,1)</f>
        <v>#REF!</v>
      </c>
      <c r="D19" s="51"/>
      <c r="E19" s="51"/>
      <c r="F19" s="51"/>
      <c r="G19" s="51" t="e">
        <f>ROUND(SUM(B19:F19),0)</f>
        <v>#REF!</v>
      </c>
    </row>
    <row r="20" spans="1:10" x14ac:dyDescent="0.3">
      <c r="A20" s="53" t="s">
        <v>109</v>
      </c>
      <c r="B20" s="51" t="e">
        <f>_xlfn.XLOOKUP(A20,#REF!,#REF!,0,0,1)</f>
        <v>#REF!</v>
      </c>
      <c r="C20" s="51" t="e">
        <f>_xlfn.XLOOKUP(A20,#REF!,#REF!,0,0,1)</f>
        <v>#REF!</v>
      </c>
      <c r="D20" s="51"/>
      <c r="E20" s="51"/>
      <c r="F20" s="51"/>
      <c r="G20" s="51" t="e">
        <f>ROUND(SUM(B20:F20),0)</f>
        <v>#REF!</v>
      </c>
    </row>
    <row r="21" spans="1:10" x14ac:dyDescent="0.3">
      <c r="A21" s="53"/>
      <c r="B21" s="51"/>
      <c r="C21" s="51"/>
      <c r="D21" s="51"/>
      <c r="E21" s="51"/>
      <c r="F21" s="51"/>
      <c r="G21" s="51"/>
    </row>
    <row r="22" spans="1:10" x14ac:dyDescent="0.3">
      <c r="A22" s="70" t="s">
        <v>52</v>
      </c>
      <c r="B22" s="51"/>
      <c r="C22" s="51"/>
      <c r="D22" s="51"/>
      <c r="E22" s="51"/>
      <c r="F22" s="51"/>
      <c r="G22" s="51"/>
    </row>
    <row r="23" spans="1:10" x14ac:dyDescent="0.3">
      <c r="A23" s="53" t="s">
        <v>15</v>
      </c>
      <c r="B23" s="51" t="e">
        <f>_xlfn.XLOOKUP(A23,#REF!,#REF!,0,0,1)</f>
        <v>#REF!</v>
      </c>
      <c r="C23" s="51" t="e">
        <f>_xlfn.XLOOKUP(A23,#REF!,#REF!,0,0,1)</f>
        <v>#REF!</v>
      </c>
      <c r="D23" s="51"/>
      <c r="E23" s="51"/>
      <c r="F23" s="51"/>
      <c r="G23" s="51" t="e">
        <f t="shared" ref="G23" si="3">SUM(B23:F23)</f>
        <v>#REF!</v>
      </c>
    </row>
    <row r="24" spans="1:10" x14ac:dyDescent="0.3">
      <c r="A24" s="53" t="s">
        <v>91</v>
      </c>
      <c r="B24" s="51" t="e">
        <f>_xlfn.XLOOKUP(A24,#REF!,#REF!,0,0,1)</f>
        <v>#REF!</v>
      </c>
      <c r="C24" s="51" t="e">
        <f>_xlfn.XLOOKUP(A24,#REF!,#REF!,0,0,1)</f>
        <v>#REF!</v>
      </c>
      <c r="D24" s="51"/>
      <c r="E24" s="51"/>
      <c r="F24" s="51"/>
      <c r="G24" s="51" t="e">
        <f t="shared" ref="G24:G29" si="4">ROUND(SUM(B24:F24),0)</f>
        <v>#REF!</v>
      </c>
    </row>
    <row r="25" spans="1:10" x14ac:dyDescent="0.3">
      <c r="A25" s="53" t="s">
        <v>183</v>
      </c>
      <c r="B25" s="51" t="e">
        <f>_xlfn.XLOOKUP(A25,#REF!,#REF!,0,0,1)</f>
        <v>#REF!</v>
      </c>
      <c r="C25" s="51" t="e">
        <f>_xlfn.XLOOKUP(A25,#REF!,#REF!,0,0,1)</f>
        <v>#REF!</v>
      </c>
      <c r="D25" s="51"/>
      <c r="E25" s="51"/>
      <c r="F25" s="51"/>
      <c r="G25" s="51" t="e">
        <f t="shared" si="4"/>
        <v>#REF!</v>
      </c>
    </row>
    <row r="26" spans="1:10" x14ac:dyDescent="0.3">
      <c r="A26" s="53" t="s">
        <v>70</v>
      </c>
      <c r="B26" s="51" t="e">
        <f>_xlfn.XLOOKUP(A26,#REF!,#REF!,0,0,1)</f>
        <v>#REF!</v>
      </c>
      <c r="C26" s="51" t="e">
        <f>_xlfn.XLOOKUP(A26,#REF!,#REF!,0,0,1)</f>
        <v>#REF!</v>
      </c>
      <c r="D26" s="51"/>
      <c r="E26" s="51"/>
      <c r="F26" s="51"/>
      <c r="G26" s="51" t="e">
        <f t="shared" si="4"/>
        <v>#REF!</v>
      </c>
    </row>
    <row r="27" spans="1:10" x14ac:dyDescent="0.3">
      <c r="A27" s="53" t="s">
        <v>98</v>
      </c>
      <c r="B27" s="51" t="e">
        <f>_xlfn.XLOOKUP(A27,#REF!,#REF!,0,0,1)</f>
        <v>#REF!</v>
      </c>
      <c r="C27" s="51" t="e">
        <f>_xlfn.XLOOKUP(A27,#REF!,#REF!,0,0,1)</f>
        <v>#REF!</v>
      </c>
      <c r="D27" s="132" t="e">
        <f>-D10-D13+1-D47-D16</f>
        <v>#REF!</v>
      </c>
      <c r="E27" s="51"/>
      <c r="F27" s="51"/>
      <c r="G27" s="51" t="e">
        <f t="shared" si="4"/>
        <v>#REF!</v>
      </c>
      <c r="J27" s="134" t="e">
        <f>#REF!</f>
        <v>#REF!</v>
      </c>
    </row>
    <row r="28" spans="1:10" x14ac:dyDescent="0.3">
      <c r="A28" s="53" t="s">
        <v>202</v>
      </c>
      <c r="B28" s="51" t="e">
        <f>_xlfn.XLOOKUP(A28,#REF!,#REF!,0,0,1)</f>
        <v>#REF!</v>
      </c>
      <c r="C28" s="51" t="e">
        <f>_xlfn.XLOOKUP(A28,#REF!,#REF!,0,0,1)</f>
        <v>#REF!</v>
      </c>
      <c r="D28" s="51"/>
      <c r="E28" s="51"/>
      <c r="F28" s="51"/>
      <c r="G28" s="51" t="e">
        <f t="shared" si="4"/>
        <v>#REF!</v>
      </c>
      <c r="I28" s="133" t="e">
        <f>G28/averageFX_period</f>
        <v>#REF!</v>
      </c>
      <c r="J28" s="134"/>
    </row>
    <row r="29" spans="1:10" x14ac:dyDescent="0.3">
      <c r="A29" s="53" t="s">
        <v>50</v>
      </c>
      <c r="B29" s="51" t="e">
        <f>_xlfn.XLOOKUP(A29,#REF!,#REF!,0,0,1)</f>
        <v>#REF!</v>
      </c>
      <c r="C29" s="51" t="e">
        <f>_xlfn.XLOOKUP(A29,#REF!,#REF!,0,0,1)</f>
        <v>#REF!</v>
      </c>
      <c r="D29" s="51"/>
      <c r="E29" s="51"/>
      <c r="F29" s="51"/>
      <c r="G29" s="51" t="e">
        <f t="shared" si="4"/>
        <v>#REF!</v>
      </c>
      <c r="J29" s="134"/>
    </row>
    <row r="30" spans="1:10" ht="12.6" thickBot="1" x14ac:dyDescent="0.35">
      <c r="A30" s="67" t="s">
        <v>51</v>
      </c>
      <c r="B30" s="91"/>
      <c r="C30" s="91"/>
      <c r="D30" s="91"/>
      <c r="E30" s="91"/>
      <c r="F30" s="91"/>
      <c r="G30" s="92" t="e">
        <f>SUM(G10:G29)</f>
        <v>#REF!</v>
      </c>
      <c r="J30" s="134"/>
    </row>
    <row r="31" spans="1:10" x14ac:dyDescent="0.3">
      <c r="A31" s="60"/>
      <c r="B31" s="58"/>
      <c r="C31" s="58"/>
      <c r="D31" s="58"/>
      <c r="E31" s="58"/>
      <c r="F31" s="58"/>
      <c r="G31" s="58"/>
      <c r="J31" s="134"/>
    </row>
    <row r="32" spans="1:10" x14ac:dyDescent="0.3">
      <c r="A32" s="69" t="s">
        <v>12</v>
      </c>
      <c r="B32" s="51"/>
      <c r="C32" s="51"/>
      <c r="D32" s="51"/>
      <c r="E32" s="51"/>
      <c r="F32" s="51"/>
      <c r="G32" s="51"/>
      <c r="J32" s="134"/>
    </row>
    <row r="33" spans="1:12" x14ac:dyDescent="0.3">
      <c r="A33" s="53" t="s">
        <v>57</v>
      </c>
      <c r="B33" s="51" t="e">
        <f>_xlfn.XLOOKUP(A33,#REF!,#REF!,0,0,1)</f>
        <v>#REF!</v>
      </c>
      <c r="C33" s="51" t="e">
        <f>_xlfn.XLOOKUP(A33,#REF!,#REF!,0,0,1)</f>
        <v>#REF!</v>
      </c>
      <c r="D33" s="51"/>
      <c r="E33" s="51"/>
      <c r="F33" s="51"/>
      <c r="G33" s="51" t="e">
        <f t="shared" ref="G33:G35" si="5">ROUND(SUM(B33:F33),0)</f>
        <v>#REF!</v>
      </c>
      <c r="J33" s="134"/>
    </row>
    <row r="34" spans="1:12" x14ac:dyDescent="0.3">
      <c r="A34" s="53" t="s">
        <v>58</v>
      </c>
      <c r="B34" s="51" t="e">
        <f>_xlfn.XLOOKUP(A34,#REF!,#REF!,0,0,1)</f>
        <v>#REF!</v>
      </c>
      <c r="C34" s="51" t="e">
        <f>_xlfn.XLOOKUP(A34,#REF!,#REF!,0,0,1)</f>
        <v>#REF!</v>
      </c>
      <c r="D34" s="51"/>
      <c r="E34" s="51"/>
      <c r="F34" s="51"/>
      <c r="G34" s="51" t="e">
        <f t="shared" si="5"/>
        <v>#REF!</v>
      </c>
      <c r="J34" s="134"/>
    </row>
    <row r="35" spans="1:12" x14ac:dyDescent="0.3">
      <c r="A35" s="53" t="s">
        <v>83</v>
      </c>
      <c r="B35" s="51" t="e">
        <f>_xlfn.XLOOKUP(A35,#REF!,#REF!,0,0,1)</f>
        <v>#REF!</v>
      </c>
      <c r="C35" s="51" t="e">
        <f>_xlfn.XLOOKUP(A35,#REF!,#REF!,0,0,1)</f>
        <v>#REF!</v>
      </c>
      <c r="D35" s="51"/>
      <c r="E35" s="51"/>
      <c r="F35" s="51"/>
      <c r="G35" s="51" t="e">
        <f t="shared" si="5"/>
        <v>#REF!</v>
      </c>
      <c r="J35" s="134"/>
    </row>
    <row r="36" spans="1:12" x14ac:dyDescent="0.3">
      <c r="A36" s="53"/>
      <c r="B36" s="51"/>
      <c r="C36" s="51"/>
      <c r="D36" s="51"/>
      <c r="E36" s="51"/>
      <c r="F36" s="51"/>
      <c r="G36" s="51"/>
      <c r="J36" s="134"/>
    </row>
    <row r="37" spans="1:12" ht="12.6" thickBot="1" x14ac:dyDescent="0.35">
      <c r="A37" s="67" t="s">
        <v>122</v>
      </c>
      <c r="B37" s="91"/>
      <c r="C37" s="91"/>
      <c r="D37" s="91"/>
      <c r="E37" s="91"/>
      <c r="F37" s="91"/>
      <c r="G37" s="92" t="e">
        <f>SUM(G33:G36)</f>
        <v>#REF!</v>
      </c>
      <c r="J37" s="134"/>
    </row>
    <row r="38" spans="1:12" x14ac:dyDescent="0.3">
      <c r="A38" s="60"/>
      <c r="B38" s="58"/>
      <c r="C38" s="58"/>
      <c r="D38" s="58"/>
      <c r="E38" s="58"/>
      <c r="F38" s="58"/>
      <c r="G38" s="58"/>
      <c r="J38" s="134"/>
    </row>
    <row r="39" spans="1:12" x14ac:dyDescent="0.3">
      <c r="A39" s="69" t="s">
        <v>14</v>
      </c>
      <c r="B39" s="51"/>
      <c r="C39" s="51"/>
      <c r="D39" s="51"/>
      <c r="E39" s="51"/>
      <c r="F39" s="51"/>
      <c r="G39" s="51"/>
      <c r="J39" s="134"/>
    </row>
    <row r="40" spans="1:12" x14ac:dyDescent="0.3">
      <c r="A40" s="53" t="s">
        <v>53</v>
      </c>
      <c r="B40" s="51" t="e">
        <f>_xlfn.XLOOKUP(A40,#REF!,#REF!,0,0,1)</f>
        <v>#REF!</v>
      </c>
      <c r="C40" s="51" t="e">
        <f>_xlfn.XLOOKUP(A40,#REF!,#REF!,0,0,1)</f>
        <v>#REF!</v>
      </c>
      <c r="D40" s="51"/>
      <c r="E40" s="51"/>
      <c r="F40" s="51"/>
      <c r="G40" s="51" t="e">
        <f t="shared" ref="G40:G49" si="6">ROUND(SUM(B40:F40),0)</f>
        <v>#REF!</v>
      </c>
      <c r="J40" s="134"/>
    </row>
    <row r="41" spans="1:12" x14ac:dyDescent="0.3">
      <c r="A41" s="53" t="s">
        <v>54</v>
      </c>
      <c r="B41" s="51" t="e">
        <f>_xlfn.XLOOKUP(A41,#REF!,#REF!,0,0,1)</f>
        <v>#REF!</v>
      </c>
      <c r="C41" s="51" t="e">
        <f>_xlfn.XLOOKUP(A41,#REF!,#REF!,0,0,1)</f>
        <v>#REF!</v>
      </c>
      <c r="D41" s="51"/>
      <c r="E41" s="51"/>
      <c r="F41" s="51"/>
      <c r="G41" s="51" t="e">
        <f t="shared" si="6"/>
        <v>#REF!</v>
      </c>
      <c r="J41" s="134"/>
    </row>
    <row r="42" spans="1:12" x14ac:dyDescent="0.3">
      <c r="A42" s="53" t="s">
        <v>49</v>
      </c>
      <c r="B42" s="51" t="e">
        <f>_xlfn.XLOOKUP(A42,#REF!,#REF!,0,0,1)</f>
        <v>#REF!</v>
      </c>
      <c r="C42" s="51" t="e">
        <f>_xlfn.XLOOKUP(A42,#REF!,#REF!,0,0,1)</f>
        <v>#REF!</v>
      </c>
      <c r="D42" s="51"/>
      <c r="E42" s="51"/>
      <c r="F42" s="51"/>
      <c r="G42" s="51" t="e">
        <f t="shared" si="6"/>
        <v>#REF!</v>
      </c>
      <c r="J42" s="134"/>
    </row>
    <row r="43" spans="1:12" x14ac:dyDescent="0.3">
      <c r="A43" s="53" t="s">
        <v>55</v>
      </c>
      <c r="B43" s="51" t="e">
        <f>_xlfn.XLOOKUP(A43,#REF!,#REF!,0,0,1)</f>
        <v>#REF!</v>
      </c>
      <c r="C43" s="51" t="e">
        <f>_xlfn.XLOOKUP(A43,#REF!,#REF!,0,0,1)</f>
        <v>#REF!</v>
      </c>
      <c r="D43" s="51"/>
      <c r="E43" s="51"/>
      <c r="F43" s="51"/>
      <c r="G43" s="51" t="e">
        <f t="shared" si="6"/>
        <v>#REF!</v>
      </c>
      <c r="J43" s="134"/>
    </row>
    <row r="44" spans="1:12" x14ac:dyDescent="0.3">
      <c r="A44" s="53" t="s">
        <v>84</v>
      </c>
      <c r="B44" s="51" t="e">
        <f>_xlfn.XLOOKUP(A44,#REF!,#REF!,0,0,1)</f>
        <v>#REF!</v>
      </c>
      <c r="C44" s="51" t="e">
        <f>_xlfn.XLOOKUP(A44,#REF!,#REF!,0,0,1)</f>
        <v>#REF!</v>
      </c>
      <c r="D44" s="51"/>
      <c r="E44" s="51"/>
      <c r="F44" s="51"/>
      <c r="G44" s="51" t="e">
        <f t="shared" si="6"/>
        <v>#REF!</v>
      </c>
      <c r="J44" s="134"/>
    </row>
    <row r="45" spans="1:12" x14ac:dyDescent="0.3">
      <c r="A45" s="53" t="s">
        <v>204</v>
      </c>
      <c r="B45" s="51" t="e">
        <f>_xlfn.XLOOKUP(A45,#REF!,#REF!,0,0,1)</f>
        <v>#REF!</v>
      </c>
      <c r="C45" s="51" t="e">
        <f>_xlfn.XLOOKUP(A45,#REF!,#REF!,0,0,1)</f>
        <v>#REF!</v>
      </c>
      <c r="D45" s="51"/>
      <c r="E45" s="51"/>
      <c r="F45" s="51"/>
      <c r="G45" s="51" t="e">
        <f t="shared" si="6"/>
        <v>#REF!</v>
      </c>
      <c r="J45" s="134"/>
    </row>
    <row r="46" spans="1:12" x14ac:dyDescent="0.3">
      <c r="A46" s="53" t="s">
        <v>213</v>
      </c>
      <c r="B46" s="51" t="e">
        <f>_xlfn.XLOOKUP(A46,#REF!,#REF!,0,0,1)</f>
        <v>#REF!</v>
      </c>
      <c r="C46" s="51" t="e">
        <f>_xlfn.XLOOKUP(A46,#REF!,#REF!,0,0,1)</f>
        <v>#REF!</v>
      </c>
      <c r="D46" s="51"/>
      <c r="E46" s="51"/>
      <c r="F46" s="51"/>
      <c r="G46" s="51" t="e">
        <f t="shared" si="6"/>
        <v>#REF!</v>
      </c>
      <c r="J46" s="134"/>
    </row>
    <row r="47" spans="1:12" x14ac:dyDescent="0.3">
      <c r="A47" s="53" t="s">
        <v>48</v>
      </c>
      <c r="B47" s="51" t="e">
        <f>_xlfn.XLOOKUP(A47,#REF!,#REF!,0,0,1)</f>
        <v>#REF!</v>
      </c>
      <c r="C47" s="51" t="e">
        <f>_xlfn.XLOOKUP(A47,#REF!,#REF!,0,0,1)</f>
        <v>#REF!</v>
      </c>
      <c r="D47" s="132">
        <f>-539223</f>
        <v>-539223</v>
      </c>
      <c r="E47" s="51"/>
      <c r="F47" s="51"/>
      <c r="G47" s="51" t="e">
        <f t="shared" si="6"/>
        <v>#REF!</v>
      </c>
      <c r="J47" s="134" t="e">
        <f>#REF!</f>
        <v>#REF!</v>
      </c>
      <c r="L47" s="131" t="e">
        <f>G47-J47</f>
        <v>#REF!</v>
      </c>
    </row>
    <row r="48" spans="1:12" x14ac:dyDescent="0.3">
      <c r="A48" s="53" t="s">
        <v>203</v>
      </c>
      <c r="B48" s="51" t="e">
        <f>_xlfn.XLOOKUP(A48,#REF!,#REF!,0,0,1)</f>
        <v>#REF!</v>
      </c>
      <c r="C48" s="51" t="e">
        <f>_xlfn.XLOOKUP(A48,#REF!,#REF!,0,0,1)</f>
        <v>#REF!</v>
      </c>
      <c r="D48" s="51"/>
      <c r="E48" s="51"/>
      <c r="F48" s="51"/>
      <c r="G48" s="51" t="e">
        <f t="shared" si="6"/>
        <v>#REF!</v>
      </c>
    </row>
    <row r="49" spans="1:7" x14ac:dyDescent="0.3">
      <c r="A49" s="53" t="s">
        <v>61</v>
      </c>
      <c r="B49" s="51" t="e">
        <f>_xlfn.XLOOKUP(A49,#REF!,#REF!,0,0,1)</f>
        <v>#REF!</v>
      </c>
      <c r="C49" s="51" t="e">
        <f>_xlfn.XLOOKUP(A49,#REF!,#REF!,0,0,1)</f>
        <v>#REF!</v>
      </c>
      <c r="D49" s="51"/>
      <c r="E49" s="51"/>
      <c r="F49" s="51"/>
      <c r="G49" s="51" t="e">
        <f t="shared" si="6"/>
        <v>#REF!</v>
      </c>
    </row>
    <row r="50" spans="1:7" ht="12.6" thickBot="1" x14ac:dyDescent="0.35">
      <c r="A50" s="67" t="s">
        <v>121</v>
      </c>
      <c r="B50" s="91"/>
      <c r="C50" s="91"/>
      <c r="D50" s="91"/>
      <c r="E50" s="91"/>
      <c r="F50" s="91"/>
      <c r="G50" s="92" t="e">
        <f>SUM(G40:G49)</f>
        <v>#REF!</v>
      </c>
    </row>
    <row r="51" spans="1:7" x14ac:dyDescent="0.3">
      <c r="A51" s="60"/>
      <c r="B51" s="58"/>
      <c r="C51" s="58"/>
      <c r="D51" s="58"/>
      <c r="E51" s="58"/>
      <c r="F51" s="58"/>
      <c r="G51" s="58"/>
    </row>
    <row r="52" spans="1:7" x14ac:dyDescent="0.3">
      <c r="A52" s="69" t="s">
        <v>63</v>
      </c>
      <c r="B52" s="51"/>
      <c r="C52" s="51"/>
      <c r="D52" s="51"/>
      <c r="E52" s="51"/>
      <c r="F52" s="51"/>
      <c r="G52" s="51"/>
    </row>
    <row r="53" spans="1:7" x14ac:dyDescent="0.3">
      <c r="A53" s="53" t="s">
        <v>64</v>
      </c>
      <c r="B53" s="51" t="e">
        <f>_xlfn.XLOOKUP(A53,#REF!,#REF!,0,0,1)</f>
        <v>#REF!</v>
      </c>
      <c r="C53" s="51" t="e">
        <f>_xlfn.XLOOKUP(A53,#REF!,#REF!,0,0,1)</f>
        <v>#REF!</v>
      </c>
      <c r="D53" s="51"/>
      <c r="E53" s="51"/>
      <c r="F53" s="51"/>
      <c r="G53" s="51" t="e">
        <f t="shared" ref="G53:G55" si="7">ROUND(SUM(B53:F53),0)</f>
        <v>#REF!</v>
      </c>
    </row>
    <row r="54" spans="1:7" x14ac:dyDescent="0.3">
      <c r="A54" s="53" t="s">
        <v>112</v>
      </c>
      <c r="B54" s="51" t="e">
        <f>_xlfn.XLOOKUP(A54,#REF!,#REF!,0,0,1)</f>
        <v>#REF!</v>
      </c>
      <c r="C54" s="51" t="e">
        <f>_xlfn.XLOOKUP(A54,#REF!,#REF!,0,0,1)</f>
        <v>#REF!</v>
      </c>
      <c r="D54" s="51"/>
      <c r="E54" s="51"/>
      <c r="F54" s="51"/>
      <c r="G54" s="51" t="e">
        <f t="shared" si="7"/>
        <v>#REF!</v>
      </c>
    </row>
    <row r="55" spans="1:7" x14ac:dyDescent="0.3">
      <c r="A55" s="53" t="s">
        <v>111</v>
      </c>
      <c r="B55" s="51" t="e">
        <f>_xlfn.XLOOKUP(A55,#REF!,#REF!,0,0,1)</f>
        <v>#REF!</v>
      </c>
      <c r="C55" s="51" t="e">
        <f>_xlfn.XLOOKUP(A55,#REF!,#REF!,0,0,1)</f>
        <v>#REF!</v>
      </c>
      <c r="D55" s="51"/>
      <c r="E55" s="51"/>
      <c r="F55" s="51"/>
      <c r="G55" s="51" t="e">
        <f t="shared" si="7"/>
        <v>#REF!</v>
      </c>
    </row>
    <row r="56" spans="1:7" x14ac:dyDescent="0.3">
      <c r="A56" s="53"/>
      <c r="B56" s="51"/>
      <c r="C56" s="51"/>
      <c r="D56" s="51"/>
      <c r="E56" s="51"/>
      <c r="F56" s="51"/>
      <c r="G56" s="51"/>
    </row>
    <row r="57" spans="1:7" ht="12.6" thickBot="1" x14ac:dyDescent="0.35">
      <c r="A57" s="62" t="s">
        <v>20</v>
      </c>
      <c r="B57" s="91"/>
      <c r="C57" s="91"/>
      <c r="D57" s="91"/>
      <c r="E57" s="91"/>
      <c r="F57" s="91"/>
      <c r="G57" s="91" t="e">
        <f>SUM(G30,G37,G50)</f>
        <v>#REF!</v>
      </c>
    </row>
    <row r="58" spans="1:7" x14ac:dyDescent="0.3">
      <c r="A58" s="60" t="s">
        <v>201</v>
      </c>
      <c r="B58" s="58" t="e">
        <f>_xlfn.XLOOKUP(A58,#REF!,#REF!,0,0,1)</f>
        <v>#REF!</v>
      </c>
      <c r="C58" s="58" t="e">
        <f>_xlfn.XLOOKUP(A58,#REF!,#REF!,0,0,1)</f>
        <v>#REF!</v>
      </c>
      <c r="D58" s="58"/>
      <c r="E58" s="58"/>
      <c r="F58" s="58"/>
      <c r="G58" s="51" t="e">
        <f>ROUND(SUM(B58:F58),0)</f>
        <v>#REF!</v>
      </c>
    </row>
    <row r="59" spans="1:7" x14ac:dyDescent="0.3">
      <c r="A59" s="52" t="s">
        <v>67</v>
      </c>
      <c r="B59" s="51" t="e">
        <f>_xlfn.XLOOKUP(A59,#REF!,#REF!,0,0,1)</f>
        <v>#REF!</v>
      </c>
      <c r="C59" s="51" t="e">
        <f>_xlfn.XLOOKUP(A59,#REF!,#REF!,0,0,1)</f>
        <v>#REF!</v>
      </c>
      <c r="D59" s="51"/>
      <c r="E59" s="51"/>
      <c r="F59" s="51"/>
      <c r="G59" s="51" t="e">
        <f>ROUND(SUM(B59:F59),0)</f>
        <v>#REF!</v>
      </c>
    </row>
    <row r="60" spans="1:7" ht="12.6" thickBot="1" x14ac:dyDescent="0.35">
      <c r="A60" s="48" t="s">
        <v>66</v>
      </c>
      <c r="B60" s="49" t="e">
        <f>ROUND(SUM(B10:B59),0)</f>
        <v>#REF!</v>
      </c>
      <c r="C60" s="49" t="e">
        <f>ROUND(SUM(C10:C59),0)</f>
        <v>#REF!</v>
      </c>
      <c r="D60" s="49" t="e">
        <f>ROUND(SUM(D10:D59),0)</f>
        <v>#REF!</v>
      </c>
      <c r="E60" s="49">
        <f>ROUND(SUM(E10:E59),0)</f>
        <v>0</v>
      </c>
      <c r="F60" s="49">
        <f>ROUND(SUM(F10:F59),0)</f>
        <v>0</v>
      </c>
      <c r="G60" s="49" t="e">
        <f>SUM(G57:G59)</f>
        <v>#REF!</v>
      </c>
    </row>
    <row r="61" spans="1:7" ht="12.6" thickTop="1" x14ac:dyDescent="0.3"/>
    <row r="62" spans="1:7" ht="12.6" thickBot="1" x14ac:dyDescent="0.35">
      <c r="A62" s="65" t="s">
        <v>19</v>
      </c>
      <c r="B62" s="66" t="e">
        <f t="shared" ref="B62:G62" si="8">B60-B6</f>
        <v>#REF!</v>
      </c>
      <c r="C62" s="66" t="e">
        <f t="shared" si="8"/>
        <v>#REF!</v>
      </c>
      <c r="D62" s="66" t="e">
        <f t="shared" si="8"/>
        <v>#REF!</v>
      </c>
      <c r="E62" s="66">
        <f t="shared" si="8"/>
        <v>0</v>
      </c>
      <c r="F62" s="66">
        <f t="shared" si="8"/>
        <v>0</v>
      </c>
      <c r="G62" s="66" t="e">
        <f t="shared" si="8"/>
        <v>#REF!</v>
      </c>
    </row>
    <row r="63" spans="1:7" ht="12.6" thickTop="1" x14ac:dyDescent="0.3"/>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D37E-2F46-47D0-A825-92EBEF86B374}">
  <sheetPr>
    <tabColor rgb="FF00FFCC"/>
  </sheetPr>
  <dimension ref="B1:S46"/>
  <sheetViews>
    <sheetView workbookViewId="0"/>
  </sheetViews>
  <sheetFormatPr defaultColWidth="8.88671875" defaultRowHeight="14.4" x14ac:dyDescent="0.3"/>
  <cols>
    <col min="1" max="1" width="5.44140625" customWidth="1"/>
    <col min="2" max="2" width="10.5546875" style="404" bestFit="1" customWidth="1"/>
    <col min="3" max="3" width="53.44140625" bestFit="1" customWidth="1"/>
    <col min="4" max="4" width="18.5546875" bestFit="1" customWidth="1"/>
    <col min="5" max="5" width="18.109375" customWidth="1"/>
    <col min="6" max="6" width="11.88671875" customWidth="1"/>
    <col min="7" max="8" width="18.5546875" bestFit="1" customWidth="1"/>
    <col min="9" max="9" width="14.44140625" customWidth="1"/>
    <col min="10" max="10" width="15.6640625" customWidth="1"/>
    <col min="11" max="11" width="11.6640625" bestFit="1" customWidth="1"/>
    <col min="12" max="12" width="15.6640625" bestFit="1" customWidth="1"/>
    <col min="13" max="13" width="3.88671875" customWidth="1"/>
    <col min="14" max="14" width="8.6640625" bestFit="1" customWidth="1"/>
    <col min="15" max="15" width="13.33203125" bestFit="1" customWidth="1"/>
    <col min="16" max="16" width="11.88671875" bestFit="1" customWidth="1"/>
    <col min="17" max="17" width="4.44140625" customWidth="1"/>
    <col min="18" max="18" width="9.33203125" bestFit="1" customWidth="1"/>
    <col min="19" max="19" width="11.88671875" bestFit="1" customWidth="1"/>
  </cols>
  <sheetData>
    <row r="1" spans="2:19" ht="15.6" x14ac:dyDescent="0.3">
      <c r="C1" s="282"/>
      <c r="F1" s="1585"/>
      <c r="G1" s="1585"/>
      <c r="H1" s="1585"/>
      <c r="I1" s="1585"/>
      <c r="J1" s="1585"/>
    </row>
    <row r="2" spans="2:19" ht="15.6" x14ac:dyDescent="0.3">
      <c r="D2" s="1585" t="s">
        <v>330</v>
      </c>
      <c r="E2" s="1586"/>
      <c r="F2" s="1586"/>
      <c r="G2" s="1586"/>
      <c r="H2" s="1586"/>
      <c r="I2" s="1586"/>
      <c r="J2" s="1586"/>
      <c r="K2" s="1586"/>
      <c r="L2" s="1586"/>
    </row>
    <row r="3" spans="2:19" ht="15.6" x14ac:dyDescent="0.3">
      <c r="D3" s="283"/>
      <c r="F3" s="284" t="s">
        <v>331</v>
      </c>
      <c r="H3" s="1587">
        <f>EDATE(J4,12)</f>
        <v>44926</v>
      </c>
      <c r="I3" s="1587"/>
      <c r="J3" s="1587"/>
    </row>
    <row r="4" spans="2:19" x14ac:dyDescent="0.3">
      <c r="G4" s="1588" t="s">
        <v>332</v>
      </c>
      <c r="H4" s="1588"/>
      <c r="I4" s="1588"/>
      <c r="J4" s="542">
        <v>44561</v>
      </c>
    </row>
    <row r="6" spans="2:19" x14ac:dyDescent="0.3">
      <c r="G6" s="285" t="s">
        <v>333</v>
      </c>
      <c r="H6" s="286" t="s">
        <v>334</v>
      </c>
      <c r="K6" s="285" t="s">
        <v>335</v>
      </c>
      <c r="L6" s="286" t="s">
        <v>334</v>
      </c>
      <c r="O6" s="285" t="s">
        <v>336</v>
      </c>
      <c r="P6" s="286" t="s">
        <v>334</v>
      </c>
      <c r="Q6" s="287"/>
      <c r="R6" s="287"/>
      <c r="S6" s="288" t="s">
        <v>334</v>
      </c>
    </row>
    <row r="7" spans="2:19" x14ac:dyDescent="0.3">
      <c r="C7" s="284"/>
      <c r="D7" s="289"/>
      <c r="F7" s="290" t="s">
        <v>337</v>
      </c>
      <c r="G7" s="291">
        <f>H7</f>
        <v>44926</v>
      </c>
      <c r="H7" s="292">
        <f>H3</f>
        <v>44926</v>
      </c>
      <c r="I7" s="293"/>
      <c r="J7" s="290" t="s">
        <v>338</v>
      </c>
      <c r="K7" s="294">
        <f>L7</f>
        <v>44834</v>
      </c>
      <c r="L7" s="295">
        <f>EDATE(J4,9)</f>
        <v>44834</v>
      </c>
      <c r="M7" s="293"/>
      <c r="N7" s="296" t="s">
        <v>339</v>
      </c>
      <c r="O7" s="294">
        <f>P7</f>
        <v>44742</v>
      </c>
      <c r="P7" s="295">
        <f>EDATE(J4,6)</f>
        <v>44742</v>
      </c>
      <c r="Q7" s="293"/>
      <c r="R7" s="296" t="s">
        <v>340</v>
      </c>
      <c r="S7" s="297">
        <f>EDATE(J4,3)</f>
        <v>44651</v>
      </c>
    </row>
    <row r="8" spans="2:19" x14ac:dyDescent="0.3">
      <c r="C8" s="284"/>
      <c r="D8" s="289"/>
      <c r="F8" s="298" t="s">
        <v>341</v>
      </c>
      <c r="G8" s="299" t="s">
        <v>342</v>
      </c>
      <c r="H8" s="300" t="s">
        <v>342</v>
      </c>
      <c r="I8" s="301"/>
      <c r="J8" s="298" t="s">
        <v>341</v>
      </c>
      <c r="K8" s="302" t="s">
        <v>342</v>
      </c>
      <c r="L8" s="303" t="s">
        <v>342</v>
      </c>
      <c r="M8" s="301"/>
      <c r="N8" s="298" t="s">
        <v>341</v>
      </c>
      <c r="O8" s="302" t="s">
        <v>342</v>
      </c>
      <c r="P8" s="303" t="s">
        <v>342</v>
      </c>
      <c r="Q8" s="301"/>
      <c r="R8" s="298" t="s">
        <v>341</v>
      </c>
      <c r="S8" s="304" t="s">
        <v>342</v>
      </c>
    </row>
    <row r="9" spans="2:19" ht="15" thickBot="1" x14ac:dyDescent="0.35">
      <c r="B9" s="405"/>
      <c r="C9" s="305"/>
      <c r="D9" s="306" t="s">
        <v>343</v>
      </c>
      <c r="E9" s="307"/>
      <c r="F9" s="308"/>
      <c r="G9" s="309">
        <f>G7-J4</f>
        <v>365</v>
      </c>
      <c r="H9" s="310">
        <f>H7-L7</f>
        <v>92</v>
      </c>
      <c r="I9" s="311"/>
      <c r="J9" s="312"/>
      <c r="K9" s="313">
        <f>K7-J4</f>
        <v>273</v>
      </c>
      <c r="L9" s="310">
        <f>L7-P7</f>
        <v>92</v>
      </c>
      <c r="M9" s="311"/>
      <c r="N9" s="312"/>
      <c r="O9" s="313">
        <f>O7-J4</f>
        <v>181</v>
      </c>
      <c r="P9" s="310">
        <f>P7-S7</f>
        <v>91</v>
      </c>
      <c r="Q9" s="311"/>
      <c r="R9" s="312"/>
      <c r="S9" s="314">
        <f>S7-J4</f>
        <v>90</v>
      </c>
    </row>
    <row r="10" spans="2:19" ht="15" thickTop="1" x14ac:dyDescent="0.3">
      <c r="B10" s="406">
        <f>J4+1</f>
        <v>44562</v>
      </c>
      <c r="C10" s="284" t="s">
        <v>344</v>
      </c>
      <c r="D10" s="289">
        <v>26000000</v>
      </c>
      <c r="E10" s="315"/>
      <c r="F10" s="316"/>
      <c r="G10" s="317"/>
      <c r="H10" s="318"/>
      <c r="I10" s="319"/>
      <c r="J10" s="316"/>
      <c r="K10" s="320"/>
      <c r="L10" s="321"/>
      <c r="M10" s="319"/>
      <c r="N10" s="316"/>
      <c r="O10" s="320"/>
      <c r="P10" s="321"/>
      <c r="Q10" s="319"/>
      <c r="R10" s="316"/>
      <c r="S10" s="322"/>
    </row>
    <row r="11" spans="2:19" x14ac:dyDescent="0.3">
      <c r="B11" s="407"/>
      <c r="C11" s="324"/>
      <c r="D11" s="325"/>
      <c r="E11" s="326"/>
      <c r="F11" s="327" t="str">
        <f>IF(D11&gt;0,G$7-B11+1," ")</f>
        <v xml:space="preserve"> </v>
      </c>
      <c r="G11" s="328" t="str">
        <f>IF(D11&gt;0,F11/G$9*$D11," ")</f>
        <v xml:space="preserve"> </v>
      </c>
      <c r="H11" s="329"/>
      <c r="I11" s="319"/>
      <c r="J11" s="330" t="str">
        <f>IF(D11&gt;0,K$7-B11+1," ")</f>
        <v xml:space="preserve"> </v>
      </c>
      <c r="K11" s="328" t="str">
        <f>IF(D11&gt;0,J11/K$9*$D11," ")</f>
        <v xml:space="preserve"> </v>
      </c>
      <c r="L11" s="329"/>
      <c r="M11" s="319"/>
      <c r="N11" s="330" t="str">
        <f>IF(D11&gt;0,O$7-B11+1," ")</f>
        <v xml:space="preserve"> </v>
      </c>
      <c r="O11" s="328" t="str">
        <f>IF(D11&gt;0,N11/O$9*$D11," ")</f>
        <v xml:space="preserve"> </v>
      </c>
      <c r="P11" s="329"/>
      <c r="Q11" s="319"/>
      <c r="R11" s="330" t="str">
        <f>IF(D11&gt;0,S$7-B11+1," ")</f>
        <v xml:space="preserve"> </v>
      </c>
      <c r="S11" s="331" t="str">
        <f>IF(D11&gt;0,R11/S$9*$D11," ")</f>
        <v xml:space="preserve"> </v>
      </c>
    </row>
    <row r="12" spans="2:19" x14ac:dyDescent="0.3">
      <c r="B12" s="407"/>
      <c r="C12" s="323"/>
      <c r="D12" s="325"/>
      <c r="E12" s="326"/>
      <c r="F12" s="353" t="str">
        <f>IF(D12&gt;0,G$7-B12+1," ")</f>
        <v xml:space="preserve"> </v>
      </c>
      <c r="G12" s="328" t="str">
        <f>IF(D12&gt;0,F12/G$9*$D12," ")</f>
        <v xml:space="preserve"> </v>
      </c>
      <c r="H12" s="329"/>
      <c r="I12" s="319"/>
      <c r="J12" s="330" t="str">
        <f>IF(D12&gt;0,K$7-B12+1," ")</f>
        <v xml:space="preserve"> </v>
      </c>
      <c r="K12" s="328" t="str">
        <f>IF(D12&gt;0,J12/K$9*$D12," ")</f>
        <v xml:space="preserve"> </v>
      </c>
      <c r="L12" s="329"/>
      <c r="M12" s="319"/>
      <c r="N12" s="330" t="str">
        <f>IF(D12&gt;0,O$7-B12+1," ")</f>
        <v xml:space="preserve"> </v>
      </c>
      <c r="O12" s="328" t="str">
        <f>IF(D12&gt;0,N12/O$9*$D12," ")</f>
        <v xml:space="preserve"> </v>
      </c>
      <c r="P12" s="329"/>
      <c r="Q12" s="319"/>
      <c r="R12" s="330" t="str">
        <f>IF(D12&gt;0,S$7-B12+1," ")</f>
        <v xml:space="preserve"> </v>
      </c>
      <c r="S12" s="331" t="str">
        <f>IF(D12&gt;0,R12/S$9*D12," ")</f>
        <v xml:space="preserve"> </v>
      </c>
    </row>
    <row r="13" spans="2:19" x14ac:dyDescent="0.3">
      <c r="B13" s="407"/>
      <c r="C13" s="323"/>
      <c r="D13" s="325"/>
      <c r="E13" s="326"/>
      <c r="F13" s="330" t="str">
        <f t="shared" ref="F13" si="0">IF(D13&gt;0,G$7-B13+1," ")</f>
        <v xml:space="preserve"> </v>
      </c>
      <c r="G13" s="328" t="str">
        <f t="shared" ref="G13" si="1">IF(D13&gt;0,F13/G$9*$D13," ")</f>
        <v xml:space="preserve"> </v>
      </c>
      <c r="H13" s="329"/>
      <c r="I13" s="319"/>
      <c r="J13" s="330" t="str">
        <f t="shared" ref="J13" si="2">IF(D13&gt;0,K$7-B13+1," ")</f>
        <v xml:space="preserve"> </v>
      </c>
      <c r="K13" s="328" t="str">
        <f t="shared" ref="K13" si="3">IF(D13&gt;0,J13/K$9*$D13," ")</f>
        <v xml:space="preserve"> </v>
      </c>
      <c r="L13" s="329"/>
      <c r="M13" s="319"/>
      <c r="N13" s="330" t="str">
        <f t="shared" ref="N13" si="4">IF(D13&gt;0,O$7-B13+1," ")</f>
        <v xml:space="preserve"> </v>
      </c>
      <c r="O13" s="328" t="str">
        <f t="shared" ref="O13" si="5">IF(D13&gt;0,N13/O$9*$D13," ")</f>
        <v xml:space="preserve"> </v>
      </c>
      <c r="P13" s="329"/>
      <c r="Q13" s="319"/>
      <c r="R13" s="330" t="str">
        <f t="shared" ref="R13" si="6">IF(D13&gt;0,S$7-B13+1," ")</f>
        <v xml:space="preserve"> </v>
      </c>
      <c r="S13" s="331" t="str">
        <f t="shared" ref="S13" si="7">IF(D13&gt;0,R13/S$9*D13," ")</f>
        <v xml:space="preserve"> </v>
      </c>
    </row>
    <row r="14" spans="2:19" ht="15" thickBot="1" x14ac:dyDescent="0.35">
      <c r="B14" s="407"/>
      <c r="C14" s="324"/>
      <c r="D14" s="325"/>
      <c r="E14" s="326"/>
      <c r="F14" s="327" t="str">
        <f>IF(D14&gt;0,G$7-B14+1," ")</f>
        <v xml:space="preserve"> </v>
      </c>
      <c r="G14" s="332" t="str">
        <f>IF(D14&gt;0,F14/G$9*$D14," ")</f>
        <v xml:space="preserve"> </v>
      </c>
      <c r="H14" s="333"/>
      <c r="I14" s="319"/>
      <c r="J14" s="330" t="str">
        <f>IF(D14&gt;0,K$7-B14+1," ")</f>
        <v xml:space="preserve"> </v>
      </c>
      <c r="K14" s="332" t="str">
        <f>IF(D14&gt;0,J14/K$9*$D14," ")</f>
        <v xml:space="preserve"> </v>
      </c>
      <c r="L14" s="333"/>
      <c r="M14" s="319"/>
      <c r="N14" s="330" t="str">
        <f>IF(D14&gt;0,O$7-B14+1," ")</f>
        <v xml:space="preserve"> </v>
      </c>
      <c r="O14" s="332" t="str">
        <f>IF(D14&gt;0,N14/O$9*$D14," ")</f>
        <v xml:space="preserve"> </v>
      </c>
      <c r="P14" s="333"/>
      <c r="Q14" s="319"/>
      <c r="R14" s="330" t="str">
        <f>IF(D14&gt;0,S$7-B14+1," ")</f>
        <v xml:space="preserve"> </v>
      </c>
      <c r="S14" s="334" t="str">
        <f>IF(D14&gt;0,R14/S$9*$D14," ")</f>
        <v xml:space="preserve"> </v>
      </c>
    </row>
    <row r="15" spans="2:19" ht="15" thickBot="1" x14ac:dyDescent="0.35">
      <c r="B15" s="406"/>
      <c r="C15" s="335" t="s">
        <v>345</v>
      </c>
      <c r="D15" s="336"/>
      <c r="E15" s="337"/>
      <c r="F15" s="338"/>
      <c r="G15" s="339"/>
      <c r="H15" s="339"/>
      <c r="I15" s="340"/>
      <c r="J15" s="341"/>
      <c r="K15" s="339"/>
      <c r="L15" s="339"/>
      <c r="M15" s="342"/>
      <c r="N15" s="341"/>
      <c r="O15" s="339"/>
      <c r="P15" s="339"/>
      <c r="Q15" s="342"/>
      <c r="R15" s="341"/>
      <c r="S15" s="343">
        <f>SUM(S10:S14)+D10</f>
        <v>26000000</v>
      </c>
    </row>
    <row r="16" spans="2:19" x14ac:dyDescent="0.3">
      <c r="B16" s="406"/>
      <c r="C16" s="284"/>
      <c r="D16" s="289"/>
      <c r="E16" s="326"/>
      <c r="F16" s="316"/>
      <c r="G16" s="344"/>
      <c r="H16" s="345"/>
      <c r="I16" s="319"/>
      <c r="J16" s="316"/>
      <c r="K16" s="346"/>
      <c r="L16" s="347"/>
      <c r="N16" s="316"/>
      <c r="O16" s="344"/>
      <c r="P16" s="345"/>
      <c r="Q16" s="319"/>
      <c r="R16" s="316"/>
      <c r="S16" s="319"/>
    </row>
    <row r="17" spans="2:19" x14ac:dyDescent="0.3">
      <c r="B17" s="406">
        <f>EDATE(B10,3)</f>
        <v>44652</v>
      </c>
      <c r="C17" s="284" t="s">
        <v>344</v>
      </c>
      <c r="D17" s="289">
        <f>SUM(D10:D14)</f>
        <v>26000000</v>
      </c>
      <c r="E17" s="348"/>
      <c r="F17" s="316"/>
      <c r="G17" s="349"/>
      <c r="H17" s="350"/>
      <c r="I17" s="319"/>
      <c r="J17" s="316"/>
      <c r="K17" s="351"/>
      <c r="L17" s="352"/>
      <c r="N17" s="316"/>
      <c r="O17" s="349"/>
      <c r="P17" s="350"/>
      <c r="Q17" s="319"/>
      <c r="R17" s="316"/>
      <c r="S17" s="319"/>
    </row>
    <row r="18" spans="2:19" x14ac:dyDescent="0.3">
      <c r="B18" s="406"/>
      <c r="C18" s="284"/>
      <c r="D18" s="289"/>
      <c r="E18" s="326"/>
      <c r="F18" s="316"/>
      <c r="G18" s="349"/>
      <c r="H18" s="350"/>
      <c r="I18" s="319"/>
      <c r="J18" s="316"/>
      <c r="K18" s="351"/>
      <c r="L18" s="352"/>
      <c r="N18" s="316"/>
      <c r="O18" s="349"/>
      <c r="P18" s="350"/>
      <c r="Q18" s="319"/>
      <c r="R18" s="316"/>
      <c r="S18" s="319"/>
    </row>
    <row r="19" spans="2:19" x14ac:dyDescent="0.3">
      <c r="B19" s="407"/>
      <c r="C19" s="323"/>
      <c r="D19" s="325"/>
      <c r="E19" s="326"/>
      <c r="F19" s="353"/>
      <c r="G19" s="328" t="str">
        <f>IF(D19&gt;0,F19/G$9*$D19," ")</f>
        <v xml:space="preserve"> </v>
      </c>
      <c r="H19" s="329"/>
      <c r="I19" s="319"/>
      <c r="J19" s="354" t="str">
        <f>IF(D19&gt;0,K$7-B19+1," ")</f>
        <v xml:space="preserve"> </v>
      </c>
      <c r="K19" s="355" t="str">
        <f>IF(D19&gt;0,J19/K$9*$D19," ")</f>
        <v xml:space="preserve"> </v>
      </c>
      <c r="L19" s="356"/>
      <c r="N19" s="354" t="str">
        <f>IF(D19&gt;0,O$7-B19+1," ")</f>
        <v xml:space="preserve"> </v>
      </c>
      <c r="O19" s="355" t="str">
        <f>IF(D19&gt;0,N19/O$9*$D19," ")</f>
        <v xml:space="preserve"> </v>
      </c>
      <c r="P19" s="357" t="str">
        <f>IF(D19&gt;0,N19/P$9*D19," ")</f>
        <v xml:space="preserve"> </v>
      </c>
      <c r="Q19" s="319"/>
      <c r="R19" s="316"/>
      <c r="S19" s="319"/>
    </row>
    <row r="20" spans="2:19" x14ac:dyDescent="0.3">
      <c r="B20" s="407"/>
      <c r="C20" s="323"/>
      <c r="D20" s="325"/>
      <c r="E20" s="326"/>
      <c r="F20" s="353" t="str">
        <f t="shared" ref="F20" si="8">IF(D20&gt;0,G$7-B20+1," ")</f>
        <v xml:space="preserve"> </v>
      </c>
      <c r="G20" s="328" t="str">
        <f t="shared" ref="G20" si="9">IF(D20&gt;0,F20/G$9*$D20," ")</f>
        <v xml:space="preserve"> </v>
      </c>
      <c r="H20" s="329"/>
      <c r="I20" s="319"/>
      <c r="J20" s="354" t="str">
        <f t="shared" ref="J20" si="10">IF(D20&gt;0,K$7-B20+1," ")</f>
        <v xml:space="preserve"> </v>
      </c>
      <c r="K20" s="355" t="str">
        <f t="shared" ref="K20" si="11">IF(D20&gt;0,J20/K$9*$D20," ")</f>
        <v xml:space="preserve"> </v>
      </c>
      <c r="L20" s="356"/>
      <c r="N20" s="354" t="str">
        <f t="shared" ref="N20" si="12">IF(D20&gt;0,O$7-B20+1," ")</f>
        <v xml:space="preserve"> </v>
      </c>
      <c r="O20" s="355" t="str">
        <f t="shared" ref="O20" si="13">IF(D20&gt;0,N20/O$9*$D20," ")</f>
        <v xml:space="preserve"> </v>
      </c>
      <c r="P20" s="357" t="str">
        <f t="shared" ref="P20" si="14">IF(D20&gt;0,N20/P$9*D20," ")</f>
        <v xml:space="preserve"> </v>
      </c>
      <c r="Q20" s="319"/>
      <c r="R20" s="316"/>
      <c r="S20" s="319"/>
    </row>
    <row r="21" spans="2:19" ht="15" thickBot="1" x14ac:dyDescent="0.35">
      <c r="B21" s="407"/>
      <c r="C21" s="324"/>
      <c r="D21" s="325"/>
      <c r="E21" s="326"/>
      <c r="F21" s="327"/>
      <c r="G21" s="358"/>
      <c r="H21" s="359"/>
      <c r="I21" s="319"/>
      <c r="J21" s="330"/>
      <c r="K21" s="358"/>
      <c r="L21" s="359"/>
      <c r="M21" s="319"/>
      <c r="N21" s="330"/>
      <c r="O21" s="360"/>
      <c r="P21" s="329"/>
      <c r="Q21" s="319"/>
      <c r="R21" s="316"/>
      <c r="S21" s="319"/>
    </row>
    <row r="22" spans="2:19" ht="15" thickBot="1" x14ac:dyDescent="0.35">
      <c r="B22" s="406"/>
      <c r="C22" s="361" t="s">
        <v>346</v>
      </c>
      <c r="D22" s="362"/>
      <c r="E22" s="363"/>
      <c r="F22" s="364"/>
      <c r="G22" s="365"/>
      <c r="H22" s="365"/>
      <c r="I22" s="366"/>
      <c r="J22" s="364"/>
      <c r="K22" s="365"/>
      <c r="L22" s="365"/>
      <c r="M22" s="366"/>
      <c r="N22" s="364"/>
      <c r="O22" s="367">
        <f>SUM(O10:O21)+D10</f>
        <v>26000000</v>
      </c>
      <c r="P22" s="368"/>
      <c r="Q22" s="319"/>
      <c r="R22" s="316"/>
      <c r="S22" s="319"/>
    </row>
    <row r="23" spans="2:19" ht="15" thickBot="1" x14ac:dyDescent="0.35">
      <c r="B23" s="406"/>
      <c r="C23" s="335" t="s">
        <v>345</v>
      </c>
      <c r="D23" s="336"/>
      <c r="E23" s="337"/>
      <c r="F23" s="369"/>
      <c r="G23" s="370"/>
      <c r="H23" s="370"/>
      <c r="I23" s="342"/>
      <c r="J23" s="369"/>
      <c r="K23" s="370"/>
      <c r="L23" s="370"/>
      <c r="M23" s="342"/>
      <c r="N23" s="369"/>
      <c r="O23" s="370"/>
      <c r="P23" s="371">
        <f>SUM(P18:P21)+D17</f>
        <v>26000000</v>
      </c>
      <c r="Q23" s="319"/>
      <c r="R23" s="316"/>
      <c r="S23" s="319"/>
    </row>
    <row r="24" spans="2:19" x14ac:dyDescent="0.3">
      <c r="C24" s="284"/>
      <c r="D24" s="289"/>
      <c r="E24" s="326"/>
      <c r="F24" s="316"/>
      <c r="G24" s="344"/>
      <c r="H24" s="345"/>
      <c r="I24" s="319"/>
      <c r="J24" s="316"/>
      <c r="K24" s="346"/>
      <c r="L24" s="347"/>
      <c r="N24" s="316"/>
      <c r="O24" s="372"/>
      <c r="P24" s="372"/>
      <c r="Q24" s="319"/>
      <c r="R24" s="316"/>
      <c r="S24" s="319"/>
    </row>
    <row r="25" spans="2:19" x14ac:dyDescent="0.3">
      <c r="B25" s="406">
        <f>EDATE(B17,3)</f>
        <v>44743</v>
      </c>
      <c r="C25" s="284" t="s">
        <v>344</v>
      </c>
      <c r="D25" s="289">
        <f>SUM(D17:D21)</f>
        <v>26000000</v>
      </c>
      <c r="E25" s="373"/>
      <c r="F25" s="316"/>
      <c r="G25" s="349"/>
      <c r="H25" s="350"/>
      <c r="I25" s="319"/>
      <c r="J25" s="316"/>
      <c r="K25" s="351"/>
      <c r="L25" s="352"/>
      <c r="N25" s="316"/>
      <c r="O25" s="372"/>
      <c r="P25" s="372"/>
      <c r="Q25" s="319"/>
      <c r="R25" s="316"/>
      <c r="S25" s="319"/>
    </row>
    <row r="26" spans="2:19" x14ac:dyDescent="0.3">
      <c r="B26" s="406"/>
      <c r="C26" s="284"/>
      <c r="D26" s="289"/>
      <c r="E26" s="326"/>
      <c r="F26" s="316"/>
      <c r="G26" s="349"/>
      <c r="H26" s="350"/>
      <c r="I26" s="319"/>
      <c r="J26" s="316"/>
      <c r="K26" s="355" t="str">
        <f>IF(D26&gt;0,J26/K$9*$D26," ")</f>
        <v xml:space="preserve"> </v>
      </c>
      <c r="L26" s="329" t="str">
        <f>IF(D26&gt;0,J26/L$9*D26," ")</f>
        <v xml:space="preserve"> </v>
      </c>
      <c r="N26" s="316"/>
      <c r="O26" s="372"/>
      <c r="P26" s="372"/>
      <c r="Q26" s="319"/>
      <c r="R26" s="316"/>
      <c r="S26" s="319"/>
    </row>
    <row r="27" spans="2:19" x14ac:dyDescent="0.3">
      <c r="B27" s="407"/>
      <c r="C27" s="323"/>
      <c r="D27" s="325"/>
      <c r="E27" s="326"/>
      <c r="F27" s="353" t="str">
        <f>IF(D27&gt;0,G$7-B27+1," ")</f>
        <v xml:space="preserve"> </v>
      </c>
      <c r="G27" s="328" t="str">
        <f>IF(D27&gt;0,F27/G$9*$D27," ")</f>
        <v xml:space="preserve"> </v>
      </c>
      <c r="H27" s="329"/>
      <c r="I27" s="319"/>
      <c r="J27" s="354" t="str">
        <f>IF(D27&gt;0,K$7-B27+1," ")</f>
        <v xml:space="preserve"> </v>
      </c>
      <c r="K27" s="355" t="str">
        <f>IF(D27&gt;0,J27/K$9*$D27," ")</f>
        <v xml:space="preserve"> </v>
      </c>
      <c r="L27" s="329" t="str">
        <f>IF(D27&gt;0,J27/L$9*D27," ")</f>
        <v xml:space="preserve"> </v>
      </c>
      <c r="N27" s="354"/>
      <c r="O27" s="374"/>
      <c r="P27" s="375"/>
      <c r="Q27" s="319"/>
      <c r="R27" s="316"/>
      <c r="S27" s="319"/>
    </row>
    <row r="28" spans="2:19" ht="15" thickBot="1" x14ac:dyDescent="0.35">
      <c r="C28" s="284"/>
      <c r="D28" s="289"/>
      <c r="E28" s="326"/>
      <c r="F28" s="327" t="str">
        <f>IF(D28&gt;0,G$7-B28+1," ")</f>
        <v xml:space="preserve"> </v>
      </c>
      <c r="G28" s="332" t="str">
        <f>IF(D28&gt;0,F28/G$9*$D28," ")</f>
        <v xml:space="preserve"> </v>
      </c>
      <c r="H28" s="333"/>
      <c r="I28" s="319"/>
      <c r="J28" s="330" t="str">
        <f>IF(D28&gt;0,K$7-B28+1," ")</f>
        <v xml:space="preserve"> </v>
      </c>
      <c r="K28" s="328" t="str">
        <f>IF(D28&gt;0,J28/K$9*$D28," ")</f>
        <v xml:space="preserve"> </v>
      </c>
      <c r="L28" s="329" t="str">
        <f>IF(D28&gt;0,J28/L$9*D28," ")</f>
        <v xml:space="preserve"> </v>
      </c>
      <c r="N28" s="330" t="str">
        <f>IF(D28&gt;0,O$7-B28+1," ")</f>
        <v xml:space="preserve"> </v>
      </c>
      <c r="O28" s="372"/>
      <c r="P28" s="372"/>
      <c r="Q28" s="319"/>
      <c r="R28" s="316"/>
      <c r="S28" s="319"/>
    </row>
    <row r="29" spans="2:19" ht="15" thickBot="1" x14ac:dyDescent="0.35">
      <c r="C29" s="361" t="s">
        <v>347</v>
      </c>
      <c r="D29" s="362"/>
      <c r="E29" s="363"/>
      <c r="F29" s="364"/>
      <c r="G29" s="365"/>
      <c r="H29" s="365"/>
      <c r="I29" s="366"/>
      <c r="J29" s="364"/>
      <c r="K29" s="377">
        <f>SUM(K10:K28)+D10</f>
        <v>26000000</v>
      </c>
      <c r="L29" s="368"/>
      <c r="M29" s="319"/>
      <c r="N29" s="316"/>
      <c r="O29" s="372"/>
      <c r="P29" s="378"/>
      <c r="Q29" s="319"/>
      <c r="R29" s="316"/>
      <c r="S29" s="319"/>
    </row>
    <row r="30" spans="2:19" ht="15" thickBot="1" x14ac:dyDescent="0.35">
      <c r="C30" s="335" t="s">
        <v>345</v>
      </c>
      <c r="D30" s="336"/>
      <c r="E30" s="337"/>
      <c r="F30" s="369"/>
      <c r="G30" s="370"/>
      <c r="H30" s="370"/>
      <c r="I30" s="342"/>
      <c r="J30" s="369"/>
      <c r="K30" s="370"/>
      <c r="L30" s="371">
        <f>SUM(L24:L28)+D25</f>
        <v>26000000</v>
      </c>
      <c r="M30" s="319"/>
      <c r="N30" s="316"/>
      <c r="O30" s="379"/>
      <c r="P30" s="372"/>
      <c r="Q30" s="319"/>
      <c r="R30" s="316"/>
      <c r="S30" s="319"/>
    </row>
    <row r="31" spans="2:19" x14ac:dyDescent="0.3">
      <c r="B31" s="406">
        <f>EDATE(B25,3)</f>
        <v>44835</v>
      </c>
      <c r="C31" s="284" t="s">
        <v>344</v>
      </c>
      <c r="D31" s="289">
        <f>SUM(D25:D28)</f>
        <v>26000000</v>
      </c>
      <c r="E31" s="373"/>
      <c r="G31" s="408"/>
      <c r="H31" s="409"/>
      <c r="K31" s="380"/>
      <c r="L31" s="381"/>
      <c r="N31" s="316"/>
      <c r="O31" s="372"/>
      <c r="P31" s="372"/>
      <c r="Q31" s="319"/>
      <c r="R31" s="316"/>
      <c r="S31" s="319"/>
    </row>
    <row r="32" spans="2:19" x14ac:dyDescent="0.3">
      <c r="B32" s="406"/>
      <c r="C32" s="284"/>
      <c r="D32" s="289"/>
      <c r="E32" s="373"/>
      <c r="G32" s="408"/>
      <c r="H32" s="409"/>
      <c r="K32" s="380"/>
      <c r="L32" s="381"/>
      <c r="N32" s="316"/>
      <c r="O32" s="372"/>
      <c r="P32" s="372"/>
      <c r="Q32" s="319"/>
      <c r="R32" s="316"/>
      <c r="S32" s="319"/>
    </row>
    <row r="33" spans="2:19" x14ac:dyDescent="0.3">
      <c r="B33" s="407"/>
      <c r="C33" s="323"/>
      <c r="D33" s="325"/>
      <c r="E33" s="326"/>
      <c r="F33" s="327" t="str">
        <f>IF(D33&gt;0,G$7-B33+1," ")</f>
        <v xml:space="preserve"> </v>
      </c>
      <c r="G33" s="328" t="str">
        <f>IF(D33&gt;0,F33/365*$D33," ")</f>
        <v xml:space="preserve"> </v>
      </c>
      <c r="H33" s="382" t="str">
        <f>IF(D33&gt;0,F33/H$9*D33," ")</f>
        <v xml:space="preserve"> </v>
      </c>
      <c r="J33" s="330"/>
      <c r="K33" s="380"/>
      <c r="L33" s="380"/>
      <c r="N33" s="316"/>
      <c r="O33" s="372"/>
      <c r="P33" s="372"/>
      <c r="Q33" s="319"/>
      <c r="R33" s="316"/>
      <c r="S33" s="319"/>
    </row>
    <row r="34" spans="2:19" ht="15" thickBot="1" x14ac:dyDescent="0.35">
      <c r="D34" s="376"/>
      <c r="E34" s="326"/>
      <c r="F34" s="327" t="str">
        <f>IF(D34&gt;0,G$7-#REF!+1," ")</f>
        <v xml:space="preserve"> </v>
      </c>
      <c r="G34" s="328" t="str">
        <f>IF(D34&gt;0,F34/365*$D34," ")</f>
        <v xml:space="preserve"> </v>
      </c>
      <c r="H34" s="382" t="str">
        <f>IF(D34&gt;0,F34/H$9*D34," ")</f>
        <v xml:space="preserve"> </v>
      </c>
      <c r="J34" s="330" t="str">
        <f>IF(D34&gt;0,K$7-#REF!+1," ")</f>
        <v xml:space="preserve"> </v>
      </c>
      <c r="K34" s="380"/>
      <c r="L34" s="380"/>
      <c r="N34" s="316"/>
      <c r="O34" s="372"/>
      <c r="P34" s="372"/>
      <c r="Q34" s="319"/>
      <c r="R34" s="316"/>
      <c r="S34" s="319"/>
    </row>
    <row r="35" spans="2:19" ht="15" thickBot="1" x14ac:dyDescent="0.35">
      <c r="C35" s="361" t="s">
        <v>348</v>
      </c>
      <c r="D35" s="383"/>
      <c r="E35" s="363"/>
      <c r="F35" s="364"/>
      <c r="G35" s="384">
        <f>SUM(G10:G34)+D10</f>
        <v>26000000</v>
      </c>
      <c r="H35" s="385"/>
      <c r="K35" s="380"/>
      <c r="L35" s="380"/>
      <c r="N35" s="316"/>
      <c r="O35" s="372"/>
      <c r="P35" s="372"/>
      <c r="Q35" s="319"/>
      <c r="R35" s="316"/>
      <c r="S35" s="319"/>
    </row>
    <row r="36" spans="2:19" ht="15" thickBot="1" x14ac:dyDescent="0.35">
      <c r="C36" s="386" t="s">
        <v>345</v>
      </c>
      <c r="D36" s="387"/>
      <c r="E36" s="388"/>
      <c r="F36" s="389"/>
      <c r="G36" s="390"/>
      <c r="H36" s="410">
        <f>SUM(H32:H34)+D31</f>
        <v>26000000</v>
      </c>
      <c r="K36" s="380"/>
      <c r="L36" s="380"/>
      <c r="N36" s="316"/>
      <c r="O36" s="372"/>
      <c r="P36" s="372"/>
      <c r="Q36" s="319"/>
      <c r="R36" s="316"/>
      <c r="S36" s="319"/>
    </row>
    <row r="38" spans="2:19" x14ac:dyDescent="0.3">
      <c r="B38" s="406">
        <f>B31+91</f>
        <v>44926</v>
      </c>
      <c r="C38" s="284" t="s">
        <v>349</v>
      </c>
      <c r="D38" s="289">
        <f>SUM(D31:D34)</f>
        <v>26000000</v>
      </c>
      <c r="E38" s="289"/>
    </row>
    <row r="39" spans="2:19" x14ac:dyDescent="0.3">
      <c r="B39" s="406"/>
      <c r="C39" s="391"/>
      <c r="D39" s="392"/>
      <c r="E39" s="289"/>
    </row>
    <row r="40" spans="2:19" x14ac:dyDescent="0.3">
      <c r="F40" s="393"/>
      <c r="G40" s="393"/>
    </row>
    <row r="41" spans="2:19" x14ac:dyDescent="0.3">
      <c r="D41" s="543" t="e">
        <f>#REF!</f>
        <v>#REF!</v>
      </c>
      <c r="E41" s="543" t="e">
        <f>#REF!</f>
        <v>#REF!</v>
      </c>
      <c r="F41" s="394"/>
      <c r="G41" s="544" t="e">
        <f>#REF!</f>
        <v>#REF!</v>
      </c>
      <c r="H41" s="544" t="e">
        <f>#REF!</f>
        <v>#REF!</v>
      </c>
      <c r="I41" s="395"/>
    </row>
    <row r="42" spans="2:19" x14ac:dyDescent="0.3">
      <c r="C42" s="396"/>
      <c r="D42" s="397">
        <f>E42</f>
        <v>45473</v>
      </c>
      <c r="E42" s="397">
        <f>EOMONTH(EDATE(G42,-12),0)</f>
        <v>45473</v>
      </c>
      <c r="F42" s="516"/>
      <c r="G42" s="397">
        <f>currentperiod_end_date</f>
        <v>45838</v>
      </c>
      <c r="H42" s="397">
        <f>currentperiod_end_date</f>
        <v>45838</v>
      </c>
      <c r="I42" s="516"/>
    </row>
    <row r="43" spans="2:19" x14ac:dyDescent="0.3">
      <c r="C43" s="394" t="s">
        <v>350</v>
      </c>
      <c r="D43" s="398">
        <v>14478260.869565217</v>
      </c>
      <c r="E43" s="398">
        <v>6887671.2328767125</v>
      </c>
      <c r="F43" s="403"/>
      <c r="G43" s="398">
        <f>H36</f>
        <v>26000000</v>
      </c>
      <c r="H43" s="398">
        <f>G35</f>
        <v>26000000</v>
      </c>
      <c r="I43" s="517"/>
    </row>
    <row r="44" spans="2:19" x14ac:dyDescent="0.3">
      <c r="C44" s="394"/>
      <c r="D44" s="398"/>
      <c r="E44" s="398"/>
      <c r="F44" s="403"/>
      <c r="G44" s="398"/>
      <c r="H44" s="398"/>
    </row>
    <row r="45" spans="2:19" x14ac:dyDescent="0.3">
      <c r="C45" s="274" t="s">
        <v>351</v>
      </c>
      <c r="D45" s="399"/>
      <c r="E45" s="399" t="e">
        <f>#REF!</f>
        <v>#REF!</v>
      </c>
      <c r="F45" s="400"/>
      <c r="G45" s="399"/>
      <c r="H45" s="399" t="e">
        <f>#REF!</f>
        <v>#REF!</v>
      </c>
      <c r="I45" s="400"/>
      <c r="J45" s="401"/>
    </row>
    <row r="46" spans="2:19" x14ac:dyDescent="0.3">
      <c r="C46" s="274" t="s">
        <v>352</v>
      </c>
      <c r="D46" s="402">
        <f t="shared" ref="D46:H46" si="15">IFERROR(D45/D43,0)</f>
        <v>0</v>
      </c>
      <c r="E46" s="402">
        <f t="shared" si="15"/>
        <v>0</v>
      </c>
      <c r="F46" s="518"/>
      <c r="G46" s="402">
        <f t="shared" si="15"/>
        <v>0</v>
      </c>
      <c r="H46" s="402">
        <f t="shared" si="15"/>
        <v>0</v>
      </c>
      <c r="I46" s="518"/>
      <c r="J46" s="401"/>
    </row>
  </sheetData>
  <mergeCells count="4">
    <mergeCell ref="F1:J1"/>
    <mergeCell ref="D2:L2"/>
    <mergeCell ref="H3:J3"/>
    <mergeCell ref="G4:I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D1FE-EDA5-459E-B624-1E27BCF9C789}">
  <sheetPr>
    <tabColor rgb="FF00FF99"/>
  </sheetPr>
  <dimension ref="A1:P41"/>
  <sheetViews>
    <sheetView topLeftCell="A19" workbookViewId="0"/>
  </sheetViews>
  <sheetFormatPr defaultRowHeight="15.6" outlineLevelRow="1" x14ac:dyDescent="0.3"/>
  <cols>
    <col min="1" max="1" width="64.5546875" style="799" bestFit="1" customWidth="1"/>
    <col min="2" max="2" width="19.6640625" style="799" bestFit="1" customWidth="1"/>
    <col min="3" max="3" width="24" bestFit="1" customWidth="1"/>
    <col min="4" max="4" width="11.88671875" style="207" customWidth="1"/>
    <col min="5" max="5" width="6.6640625" customWidth="1"/>
    <col min="6" max="6" width="10.88671875" bestFit="1" customWidth="1"/>
    <col min="7" max="7" width="2.109375" customWidth="1"/>
    <col min="8" max="13" width="10.109375" customWidth="1"/>
    <col min="15" max="15" width="10.33203125" customWidth="1"/>
    <col min="16" max="16" width="68.33203125" bestFit="1" customWidth="1"/>
  </cols>
  <sheetData>
    <row r="1" spans="1:9" hidden="1" outlineLevel="1" x14ac:dyDescent="0.3">
      <c r="A1" s="1308" t="s">
        <v>1852</v>
      </c>
    </row>
    <row r="2" spans="1:9" hidden="1" outlineLevel="1" x14ac:dyDescent="0.3">
      <c r="A2" s="1309" t="s">
        <v>738</v>
      </c>
      <c r="B2" s="1310" t="s">
        <v>739</v>
      </c>
    </row>
    <row r="3" spans="1:9" hidden="1" outlineLevel="1" x14ac:dyDescent="0.3">
      <c r="A3" s="1311" t="s">
        <v>740</v>
      </c>
      <c r="B3" s="1312">
        <v>288310</v>
      </c>
      <c r="H3" s="207" t="s">
        <v>1853</v>
      </c>
    </row>
    <row r="4" spans="1:9" hidden="1" outlineLevel="1" x14ac:dyDescent="0.3">
      <c r="A4" s="1311" t="s">
        <v>811</v>
      </c>
      <c r="B4" s="1312">
        <f>500000</f>
        <v>500000</v>
      </c>
      <c r="H4" s="207"/>
    </row>
    <row r="5" spans="1:9" ht="16.2" hidden="1" outlineLevel="1" thickBot="1" x14ac:dyDescent="0.35">
      <c r="A5" s="1313" t="s">
        <v>1854</v>
      </c>
      <c r="B5" s="1314">
        <f>2500000*I5</f>
        <v>3400000.0000000005</v>
      </c>
      <c r="H5" s="207" t="s">
        <v>1855</v>
      </c>
      <c r="I5" s="1315">
        <v>1.36</v>
      </c>
    </row>
    <row r="6" spans="1:9" ht="16.2" hidden="1" outlineLevel="1" thickBot="1" x14ac:dyDescent="0.35">
      <c r="A6" s="801" t="s">
        <v>741</v>
      </c>
      <c r="B6" s="800">
        <f>SUM(B3:B5)</f>
        <v>4188310.0000000005</v>
      </c>
    </row>
    <row r="7" spans="1:9" hidden="1" outlineLevel="1" x14ac:dyDescent="0.3"/>
    <row r="8" spans="1:9" hidden="1" outlineLevel="1" x14ac:dyDescent="0.3"/>
    <row r="9" spans="1:9" hidden="1" outlineLevel="1" x14ac:dyDescent="0.3">
      <c r="A9" s="1309" t="s">
        <v>734</v>
      </c>
      <c r="B9" s="1310" t="s">
        <v>735</v>
      </c>
    </row>
    <row r="10" spans="1:9" hidden="1" outlineLevel="1" x14ac:dyDescent="0.3">
      <c r="A10" s="1311" t="s">
        <v>1856</v>
      </c>
      <c r="B10" s="1312">
        <f>B6</f>
        <v>4188310.0000000005</v>
      </c>
    </row>
    <row r="11" spans="1:9" hidden="1" outlineLevel="1" x14ac:dyDescent="0.3">
      <c r="A11" s="1311" t="s">
        <v>1857</v>
      </c>
      <c r="B11" s="1312">
        <f>-50000-2800000-50000</f>
        <v>-2900000</v>
      </c>
    </row>
    <row r="12" spans="1:9" hidden="1" outlineLevel="1" x14ac:dyDescent="0.3">
      <c r="A12" s="1311" t="s">
        <v>814</v>
      </c>
      <c r="B12" s="1312">
        <f>-60000</f>
        <v>-60000</v>
      </c>
    </row>
    <row r="13" spans="1:9" hidden="1" outlineLevel="1" x14ac:dyDescent="0.3">
      <c r="A13" s="1311" t="s">
        <v>1858</v>
      </c>
      <c r="B13" s="1312">
        <v>-18000</v>
      </c>
    </row>
    <row r="14" spans="1:9" ht="31.2" hidden="1" outlineLevel="1" x14ac:dyDescent="0.3">
      <c r="A14" s="1311" t="s">
        <v>1859</v>
      </c>
      <c r="B14" s="1312">
        <f>-20000+5500</f>
        <v>-14500</v>
      </c>
    </row>
    <row r="15" spans="1:9" hidden="1" outlineLevel="1" x14ac:dyDescent="0.3">
      <c r="A15" s="1311" t="s">
        <v>1860</v>
      </c>
      <c r="B15" s="1312">
        <f>-372000</f>
        <v>-372000</v>
      </c>
    </row>
    <row r="16" spans="1:9" ht="41.25" hidden="1" customHeight="1" outlineLevel="1" thickBot="1" x14ac:dyDescent="0.35">
      <c r="A16" s="1313" t="s">
        <v>1861</v>
      </c>
      <c r="B16" s="1314">
        <f>-100000+55000</f>
        <v>-45000</v>
      </c>
    </row>
    <row r="17" spans="1:16" ht="16.2" hidden="1" outlineLevel="1" thickBot="1" x14ac:dyDescent="0.35">
      <c r="A17" s="1316" t="s">
        <v>736</v>
      </c>
      <c r="B17" s="1317">
        <f>SUM(B11:B16)</f>
        <v>-3409500</v>
      </c>
    </row>
    <row r="18" spans="1:16" ht="16.2" hidden="1" outlineLevel="1" thickBot="1" x14ac:dyDescent="0.35">
      <c r="A18" s="1316" t="s">
        <v>737</v>
      </c>
      <c r="B18" s="1317">
        <f>SUM(B10,B17)</f>
        <v>778810.00000000047</v>
      </c>
      <c r="C18" s="207" t="s">
        <v>1862</v>
      </c>
    </row>
    <row r="19" spans="1:16" collapsed="1" x14ac:dyDescent="0.3">
      <c r="A19" s="802"/>
    </row>
    <row r="20" spans="1:16" x14ac:dyDescent="0.3">
      <c r="A20" s="802"/>
      <c r="B20" s="803"/>
    </row>
    <row r="21" spans="1:16" ht="28.8" x14ac:dyDescent="0.3">
      <c r="A21" s="1308" t="s">
        <v>1863</v>
      </c>
      <c r="H21" s="1318" t="s">
        <v>1384</v>
      </c>
      <c r="I21" s="1319" t="s">
        <v>1864</v>
      </c>
      <c r="J21" s="1318" t="s">
        <v>1384</v>
      </c>
      <c r="K21" s="1318" t="s">
        <v>1384</v>
      </c>
      <c r="L21" s="1318" t="s">
        <v>1384</v>
      </c>
      <c r="M21" s="1318" t="s">
        <v>1384</v>
      </c>
      <c r="N21" s="1318" t="s">
        <v>1384</v>
      </c>
      <c r="O21" s="1319" t="s">
        <v>1864</v>
      </c>
    </row>
    <row r="22" spans="1:16" ht="43.2" x14ac:dyDescent="0.3">
      <c r="A22" s="1309" t="s">
        <v>738</v>
      </c>
      <c r="B22" s="1310" t="s">
        <v>739</v>
      </c>
      <c r="D22" s="1320" t="s">
        <v>1865</v>
      </c>
      <c r="F22" s="1320" t="s">
        <v>1866</v>
      </c>
      <c r="G22" s="1320"/>
      <c r="H22" s="1321" t="s">
        <v>451</v>
      </c>
      <c r="I22" s="1322" t="s">
        <v>1867</v>
      </c>
      <c r="J22" s="1321" t="s">
        <v>1868</v>
      </c>
      <c r="K22" s="1321" t="s">
        <v>29</v>
      </c>
      <c r="L22" s="1321" t="s">
        <v>1869</v>
      </c>
      <c r="M22" s="1321" t="s">
        <v>1870</v>
      </c>
      <c r="N22" s="1321" t="s">
        <v>1871</v>
      </c>
      <c r="O22" s="1321" t="s">
        <v>1872</v>
      </c>
    </row>
    <row r="23" spans="1:16" x14ac:dyDescent="0.3">
      <c r="A23" s="1311" t="s">
        <v>740</v>
      </c>
      <c r="B23" s="1312">
        <f>FS.1!C5+FS.1!C32+FS.1!C33</f>
        <v>-409061</v>
      </c>
      <c r="D23" s="1323">
        <f>SUM(H23,J23:N23)</f>
        <v>-446966</v>
      </c>
      <c r="E23" s="1138" t="s">
        <v>1384</v>
      </c>
      <c r="F23" s="1324">
        <f>SUM(H23:O23)</f>
        <v>-721065</v>
      </c>
      <c r="H23" s="1325">
        <f>H26</f>
        <v>392</v>
      </c>
      <c r="I23" s="1326">
        <v>0</v>
      </c>
      <c r="J23" s="1325">
        <f>J26</f>
        <v>0</v>
      </c>
      <c r="K23" s="1325">
        <f>K26</f>
        <v>161256</v>
      </c>
      <c r="L23" s="1325">
        <v>0</v>
      </c>
      <c r="M23" s="1325">
        <f>M26</f>
        <v>-603276</v>
      </c>
      <c r="N23" s="1325">
        <f>N26</f>
        <v>-5338</v>
      </c>
      <c r="O23" s="1325">
        <f>O26</f>
        <v>-274099</v>
      </c>
    </row>
    <row r="24" spans="1:16" x14ac:dyDescent="0.3">
      <c r="A24" s="1311" t="s">
        <v>811</v>
      </c>
      <c r="B24" s="1312">
        <f>B4</f>
        <v>500000</v>
      </c>
      <c r="D24" s="1323"/>
      <c r="E24" s="1315"/>
      <c r="F24" s="1315"/>
      <c r="G24" s="1315"/>
    </row>
    <row r="25" spans="1:16" ht="16.2" thickBot="1" x14ac:dyDescent="0.35">
      <c r="A25" s="1313" t="s">
        <v>1854</v>
      </c>
      <c r="B25" s="1314">
        <v>0</v>
      </c>
      <c r="C25" s="1337" t="s">
        <v>1877</v>
      </c>
      <c r="D25" s="1323">
        <f>SUM(H25,J25:N25)</f>
        <v>288310</v>
      </c>
      <c r="E25" s="1138" t="s">
        <v>1384</v>
      </c>
      <c r="F25" s="1328">
        <f>SUM(H25,J25:O25)</f>
        <v>734</v>
      </c>
      <c r="H25" s="1329">
        <v>44447</v>
      </c>
      <c r="I25" s="1326">
        <v>500000</v>
      </c>
      <c r="J25" s="1329">
        <v>49282</v>
      </c>
      <c r="K25" s="1329">
        <v>427134</v>
      </c>
      <c r="L25" s="1329">
        <v>0</v>
      </c>
      <c r="M25" s="1329">
        <v>-231653</v>
      </c>
      <c r="N25" s="1329">
        <v>-900</v>
      </c>
      <c r="O25" s="1329">
        <v>-287576</v>
      </c>
      <c r="P25" s="207" t="s">
        <v>1876</v>
      </c>
    </row>
    <row r="26" spans="1:16" ht="16.2" thickBot="1" x14ac:dyDescent="0.35">
      <c r="A26" s="801" t="s">
        <v>741</v>
      </c>
      <c r="B26" s="800">
        <f>SUM(B23:B25)</f>
        <v>90939</v>
      </c>
      <c r="C26" s="1337" t="s">
        <v>1878</v>
      </c>
      <c r="D26" s="1338">
        <f>SUM(H26,J26:N26)</f>
        <v>-446966</v>
      </c>
      <c r="E26" s="1138" t="s">
        <v>1384</v>
      </c>
      <c r="F26" s="1330">
        <f>SUM(H26,J26:O26)</f>
        <v>-721065</v>
      </c>
      <c r="H26" s="1331">
        <f>FS.1!C13</f>
        <v>392</v>
      </c>
      <c r="I26" s="1326">
        <f>I25</f>
        <v>500000</v>
      </c>
      <c r="J26" s="1331">
        <f>FS.1!C14</f>
        <v>0</v>
      </c>
      <c r="K26" s="1331">
        <f>FS.1!C17</f>
        <v>161256</v>
      </c>
      <c r="L26" s="1331">
        <v>0</v>
      </c>
      <c r="M26" s="1331">
        <f>-FS.1!C30</f>
        <v>-603276</v>
      </c>
      <c r="N26" s="1331">
        <f>-FS.1!C35</f>
        <v>-5338</v>
      </c>
      <c r="O26" s="1331">
        <f>-FS.1!C32-FS.1!C33</f>
        <v>-274099</v>
      </c>
      <c r="P26" s="207" t="s">
        <v>1875</v>
      </c>
    </row>
    <row r="27" spans="1:16" x14ac:dyDescent="0.3">
      <c r="C27" s="1327" t="s">
        <v>1220</v>
      </c>
      <c r="D27" s="1323">
        <f>SUM(H27:N27)</f>
        <v>-735276</v>
      </c>
      <c r="E27" s="1332"/>
      <c r="F27" s="1332"/>
      <c r="G27" s="1332"/>
      <c r="H27" s="1333">
        <f>(H26-H25)</f>
        <v>-44055</v>
      </c>
      <c r="I27" s="1333">
        <f t="shared" ref="I27:O27" si="0">I26-I25</f>
        <v>0</v>
      </c>
      <c r="J27" s="1333">
        <f t="shared" si="0"/>
        <v>-49282</v>
      </c>
      <c r="K27" s="1333">
        <f t="shared" si="0"/>
        <v>-265878</v>
      </c>
      <c r="L27" s="1333">
        <f t="shared" si="0"/>
        <v>0</v>
      </c>
      <c r="M27" s="1333">
        <f t="shared" si="0"/>
        <v>-371623</v>
      </c>
      <c r="N27" s="1333">
        <f t="shared" si="0"/>
        <v>-4438</v>
      </c>
      <c r="O27" s="1333">
        <f t="shared" si="0"/>
        <v>13477</v>
      </c>
    </row>
    <row r="29" spans="1:16" x14ac:dyDescent="0.3">
      <c r="A29" s="1309" t="s">
        <v>734</v>
      </c>
      <c r="B29" s="1310" t="s">
        <v>735</v>
      </c>
    </row>
    <row r="30" spans="1:16" x14ac:dyDescent="0.3">
      <c r="A30" s="1311" t="s">
        <v>1856</v>
      </c>
      <c r="B30" s="1312">
        <f>B26</f>
        <v>90939</v>
      </c>
    </row>
    <row r="31" spans="1:16" x14ac:dyDescent="0.3">
      <c r="A31" s="1311" t="s">
        <v>1857</v>
      </c>
      <c r="B31" s="1312">
        <f>-50000</f>
        <v>-50000</v>
      </c>
    </row>
    <row r="32" spans="1:16" x14ac:dyDescent="0.3">
      <c r="A32" s="1311" t="s">
        <v>814</v>
      </c>
      <c r="B32" s="1312">
        <f>-60000</f>
        <v>-60000</v>
      </c>
    </row>
    <row r="33" spans="1:3" x14ac:dyDescent="0.3">
      <c r="A33" s="1311" t="s">
        <v>1858</v>
      </c>
      <c r="B33" s="1312">
        <v>-18000</v>
      </c>
    </row>
    <row r="34" spans="1:3" ht="31.2" x14ac:dyDescent="0.3">
      <c r="A34" s="1311" t="s">
        <v>1859</v>
      </c>
      <c r="B34" s="1312">
        <f>-20000</f>
        <v>-20000</v>
      </c>
    </row>
    <row r="35" spans="1:3" x14ac:dyDescent="0.3">
      <c r="A35" s="1311" t="s">
        <v>1860</v>
      </c>
      <c r="B35" s="1312">
        <f>-372000</f>
        <v>-372000</v>
      </c>
    </row>
    <row r="36" spans="1:3" ht="44.25" customHeight="1" thickBot="1" x14ac:dyDescent="0.35">
      <c r="A36" s="1313" t="s">
        <v>1861</v>
      </c>
      <c r="B36" s="1314">
        <f>-100000+55000-22000</f>
        <v>-67000</v>
      </c>
    </row>
    <row r="37" spans="1:3" ht="16.2" thickBot="1" x14ac:dyDescent="0.35">
      <c r="A37" s="1316" t="s">
        <v>736</v>
      </c>
      <c r="B37" s="1317">
        <f>SUM(B31:B36)</f>
        <v>-587000</v>
      </c>
    </row>
    <row r="38" spans="1:3" ht="16.2" thickBot="1" x14ac:dyDescent="0.35">
      <c r="A38" s="1316" t="s">
        <v>737</v>
      </c>
      <c r="B38" s="1317">
        <f>SUM(B30,B37)</f>
        <v>-496061</v>
      </c>
      <c r="C38" s="207" t="s">
        <v>1862</v>
      </c>
    </row>
    <row r="40" spans="1:3" x14ac:dyDescent="0.3">
      <c r="A40" s="1334" t="s">
        <v>1873</v>
      </c>
      <c r="B40" s="1335">
        <f>100000</f>
        <v>100000</v>
      </c>
    </row>
    <row r="41" spans="1:3" x14ac:dyDescent="0.3">
      <c r="A41" s="1334" t="s">
        <v>1874</v>
      </c>
      <c r="B41" s="1336">
        <f>IF((B38-B40)&lt;0,B38-B40,0)</f>
        <v>-596061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5AA9-FE62-4EA7-91E7-5991B46E86EE}">
  <sheetPr>
    <tabColor rgb="FFFFFF99"/>
  </sheetPr>
  <dimension ref="A1:K40"/>
  <sheetViews>
    <sheetView workbookViewId="0"/>
  </sheetViews>
  <sheetFormatPr defaultRowHeight="14.4" x14ac:dyDescent="0.3"/>
  <cols>
    <col min="1" max="1" width="12.44140625" bestFit="1" customWidth="1"/>
    <col min="2" max="2" width="35.6640625" bestFit="1" customWidth="1"/>
    <col min="3" max="3" width="12.5546875" bestFit="1" customWidth="1"/>
    <col min="4" max="5" width="11.5546875" bestFit="1" customWidth="1"/>
    <col min="6" max="6" width="12.5546875" bestFit="1" customWidth="1"/>
    <col min="8" max="8" width="10.6640625" bestFit="1" customWidth="1"/>
    <col min="9" max="11" width="11.5546875" bestFit="1" customWidth="1"/>
  </cols>
  <sheetData>
    <row r="1" spans="1:11" x14ac:dyDescent="0.3">
      <c r="A1" s="713" t="s">
        <v>652</v>
      </c>
      <c r="C1" s="737" t="s">
        <v>653</v>
      </c>
    </row>
    <row r="2" spans="1:11" x14ac:dyDescent="0.3">
      <c r="C2" s="738" t="s">
        <v>654</v>
      </c>
    </row>
    <row r="4" spans="1:11" x14ac:dyDescent="0.3">
      <c r="A4" s="274" t="s">
        <v>655</v>
      </c>
      <c r="B4" s="713" t="s">
        <v>656</v>
      </c>
    </row>
    <row r="5" spans="1:11" x14ac:dyDescent="0.3">
      <c r="B5" t="s">
        <v>657</v>
      </c>
      <c r="C5" s="739">
        <v>150</v>
      </c>
    </row>
    <row r="6" spans="1:11" x14ac:dyDescent="0.3">
      <c r="B6" t="s">
        <v>658</v>
      </c>
      <c r="C6" s="740">
        <v>125000</v>
      </c>
    </row>
    <row r="7" spans="1:11" x14ac:dyDescent="0.3">
      <c r="B7" t="s">
        <v>659</v>
      </c>
      <c r="C7" s="741">
        <v>0.1</v>
      </c>
    </row>
    <row r="8" spans="1:11" x14ac:dyDescent="0.3">
      <c r="B8" s="579" t="s">
        <v>660</v>
      </c>
      <c r="C8" s="742" t="e">
        <f>#REF!</f>
        <v>#REF!</v>
      </c>
    </row>
    <row r="9" spans="1:11" x14ac:dyDescent="0.3">
      <c r="B9" t="s">
        <v>661</v>
      </c>
      <c r="C9" s="740" t="e">
        <f>C7*C8</f>
        <v>#REF!</v>
      </c>
    </row>
    <row r="10" spans="1:11" x14ac:dyDescent="0.3">
      <c r="B10" t="s">
        <v>662</v>
      </c>
      <c r="C10" s="743" t="e">
        <f>C6+(C5*C9)</f>
        <v>#REF!</v>
      </c>
    </row>
    <row r="11" spans="1:11" x14ac:dyDescent="0.3">
      <c r="B11" s="713"/>
    </row>
    <row r="12" spans="1:11" x14ac:dyDescent="0.3">
      <c r="B12" s="713" t="s">
        <v>663</v>
      </c>
      <c r="C12" s="740">
        <v>5000</v>
      </c>
    </row>
    <row r="15" spans="1:11" x14ac:dyDescent="0.3">
      <c r="C15" s="734">
        <v>2023</v>
      </c>
      <c r="D15" s="734">
        <v>2024</v>
      </c>
      <c r="E15" s="734">
        <v>2025</v>
      </c>
      <c r="F15" s="734">
        <v>2026</v>
      </c>
      <c r="H15" s="735">
        <v>45138</v>
      </c>
      <c r="I15" s="735">
        <f>EDATE(H15,12)</f>
        <v>45504</v>
      </c>
      <c r="J15" s="735">
        <f t="shared" ref="J15:K15" si="0">EDATE(I15,12)</f>
        <v>45869</v>
      </c>
      <c r="K15" s="735">
        <f t="shared" si="0"/>
        <v>46234</v>
      </c>
    </row>
    <row r="16" spans="1:11" ht="15" thickBot="1" x14ac:dyDescent="0.35">
      <c r="C16" s="736" t="s">
        <v>648</v>
      </c>
      <c r="D16" s="736" t="s">
        <v>649</v>
      </c>
      <c r="E16" s="736" t="s">
        <v>650</v>
      </c>
      <c r="F16" s="736" t="s">
        <v>651</v>
      </c>
      <c r="H16" s="736" t="s">
        <v>648</v>
      </c>
      <c r="I16" s="736" t="s">
        <v>649</v>
      </c>
      <c r="J16" s="736" t="s">
        <v>650</v>
      </c>
      <c r="K16" s="736" t="s">
        <v>651</v>
      </c>
    </row>
    <row r="17" spans="1:11" ht="15" thickTop="1" x14ac:dyDescent="0.3"/>
    <row r="18" spans="1:11" x14ac:dyDescent="0.3">
      <c r="B18" s="579" t="s">
        <v>664</v>
      </c>
      <c r="C18" s="744" t="e">
        <f>#REF!</f>
        <v>#REF!</v>
      </c>
      <c r="D18" s="744" t="e">
        <f>#REF!</f>
        <v>#REF!</v>
      </c>
      <c r="E18" s="744" t="e">
        <f>#REF!</f>
        <v>#REF!</v>
      </c>
      <c r="F18" s="744" t="e">
        <f>#REF!</f>
        <v>#REF!</v>
      </c>
      <c r="H18" s="744" t="e">
        <f>#REF!</f>
        <v>#REF!</v>
      </c>
      <c r="I18" s="744" t="e">
        <f>SUM(#REF!,#REF!)</f>
        <v>#REF!</v>
      </c>
      <c r="J18" s="744" t="e">
        <f>SUM(#REF!,#REF!)</f>
        <v>#REF!</v>
      </c>
      <c r="K18" s="744" t="e">
        <f>SUM(#REF!,#REF!)</f>
        <v>#REF!</v>
      </c>
    </row>
    <row r="19" spans="1:11" x14ac:dyDescent="0.3">
      <c r="B19" s="579" t="s">
        <v>665</v>
      </c>
      <c r="C19" s="744" t="e">
        <f>C18</f>
        <v>#REF!</v>
      </c>
      <c r="D19" s="744">
        <v>200</v>
      </c>
      <c r="E19" s="744">
        <v>200</v>
      </c>
      <c r="F19" s="744">
        <v>0</v>
      </c>
      <c r="H19" s="744" t="e">
        <f>H18</f>
        <v>#REF!</v>
      </c>
      <c r="I19" s="744">
        <v>200</v>
      </c>
      <c r="J19" s="744">
        <v>200</v>
      </c>
      <c r="K19" s="744">
        <v>0</v>
      </c>
    </row>
    <row r="20" spans="1:11" x14ac:dyDescent="0.3">
      <c r="B20" s="579" t="s">
        <v>666</v>
      </c>
      <c r="C20" s="744" t="e">
        <f>C18-C19</f>
        <v>#REF!</v>
      </c>
      <c r="D20" s="744" t="e">
        <f t="shared" ref="D20:F20" si="1">D18-D19</f>
        <v>#REF!</v>
      </c>
      <c r="E20" s="744" t="e">
        <f t="shared" si="1"/>
        <v>#REF!</v>
      </c>
      <c r="F20" s="744" t="e">
        <f t="shared" si="1"/>
        <v>#REF!</v>
      </c>
      <c r="H20" s="744" t="e">
        <f>H18-H19</f>
        <v>#REF!</v>
      </c>
      <c r="I20" s="744" t="e">
        <f t="shared" ref="I20:K20" si="2">I18-I19</f>
        <v>#REF!</v>
      </c>
      <c r="J20" s="744" t="e">
        <f t="shared" si="2"/>
        <v>#REF!</v>
      </c>
      <c r="K20" s="744" t="e">
        <f t="shared" si="2"/>
        <v>#REF!</v>
      </c>
    </row>
    <row r="21" spans="1:11" x14ac:dyDescent="0.3">
      <c r="B21" s="745" t="s">
        <v>667</v>
      </c>
      <c r="C21" s="746" t="e">
        <f>ROUND(C20/$C$5,0)</f>
        <v>#REF!</v>
      </c>
      <c r="D21" s="746" t="e">
        <f>ROUND(D20/$C$5,0)</f>
        <v>#REF!</v>
      </c>
      <c r="E21" s="746" t="e">
        <f>ROUND(E20/$C$5,0)</f>
        <v>#REF!</v>
      </c>
      <c r="F21" s="746" t="e">
        <f>ROUND(F20/$C$5,0)</f>
        <v>#REF!</v>
      </c>
      <c r="H21" s="746" t="e">
        <f>ROUND(H20/$C$5,0)</f>
        <v>#REF!</v>
      </c>
      <c r="I21" s="746" t="e">
        <f>ROUND(I20/$C$5,0)</f>
        <v>#REF!</v>
      </c>
      <c r="J21" s="746" t="e">
        <f>ROUND(J20/$C$5,0)</f>
        <v>#REF!</v>
      </c>
      <c r="K21" s="746" t="e">
        <f>ROUND(K20/$C$5,0)</f>
        <v>#REF!</v>
      </c>
    </row>
    <row r="22" spans="1:11" x14ac:dyDescent="0.3">
      <c r="C22" s="744"/>
      <c r="D22" s="744"/>
      <c r="E22" s="744"/>
      <c r="F22" s="744"/>
      <c r="H22" s="744"/>
      <c r="I22" s="744"/>
      <c r="J22" s="744"/>
      <c r="K22" s="744"/>
    </row>
    <row r="23" spans="1:11" x14ac:dyDescent="0.3">
      <c r="B23" s="579" t="s">
        <v>668</v>
      </c>
      <c r="C23" s="747" t="e">
        <f>C19*$C$12</f>
        <v>#REF!</v>
      </c>
      <c r="D23" s="747">
        <f>D19*$C$12</f>
        <v>1000000</v>
      </c>
      <c r="E23" s="747">
        <f>E19*$C$12</f>
        <v>1000000</v>
      </c>
      <c r="F23" s="747">
        <f>F19*$C$12</f>
        <v>0</v>
      </c>
      <c r="H23" s="747" t="e">
        <f>H19*$C$12</f>
        <v>#REF!</v>
      </c>
      <c r="I23" s="747">
        <f>I19*$C$12</f>
        <v>1000000</v>
      </c>
      <c r="J23" s="747">
        <f>J19*$C$12</f>
        <v>1000000</v>
      </c>
      <c r="K23" s="747">
        <f>K19*$C$12</f>
        <v>0</v>
      </c>
    </row>
    <row r="24" spans="1:11" x14ac:dyDescent="0.3">
      <c r="B24" s="579" t="s">
        <v>669</v>
      </c>
      <c r="C24" s="747" t="e">
        <f>C21*C10</f>
        <v>#REF!</v>
      </c>
      <c r="D24" s="747" t="e">
        <f>D21*$C$10</f>
        <v>#REF!</v>
      </c>
      <c r="E24" s="747" t="e">
        <f>E21*$C$10</f>
        <v>#REF!</v>
      </c>
      <c r="F24" s="747" t="e">
        <f>F21*$C$10</f>
        <v>#REF!</v>
      </c>
      <c r="H24" s="747" t="e">
        <f>H21*H10</f>
        <v>#REF!</v>
      </c>
      <c r="I24" s="747" t="e">
        <f>I21*$C$10</f>
        <v>#REF!</v>
      </c>
      <c r="J24" s="747" t="e">
        <f>J21*$C$10</f>
        <v>#REF!</v>
      </c>
      <c r="K24" s="747" t="e">
        <f>K21*$C$10</f>
        <v>#REF!</v>
      </c>
    </row>
    <row r="25" spans="1:11" x14ac:dyDescent="0.3">
      <c r="B25" s="748" t="s">
        <v>647</v>
      </c>
      <c r="C25" s="749" t="e">
        <f>SUM(C23:C24)</f>
        <v>#REF!</v>
      </c>
      <c r="D25" s="749" t="e">
        <f t="shared" ref="D25:F25" si="3">SUM(D23:D24)</f>
        <v>#REF!</v>
      </c>
      <c r="E25" s="749" t="e">
        <f t="shared" si="3"/>
        <v>#REF!</v>
      </c>
      <c r="F25" s="749" t="e">
        <f t="shared" si="3"/>
        <v>#REF!</v>
      </c>
      <c r="H25" s="749" t="e">
        <f>SUM(H23:H24)</f>
        <v>#REF!</v>
      </c>
      <c r="I25" s="749" t="e">
        <f t="shared" ref="I25:K25" si="4">SUM(I23:I24)</f>
        <v>#REF!</v>
      </c>
      <c r="J25" s="749" t="e">
        <f t="shared" si="4"/>
        <v>#REF!</v>
      </c>
      <c r="K25" s="749" t="e">
        <f t="shared" si="4"/>
        <v>#REF!</v>
      </c>
    </row>
    <row r="26" spans="1:11" x14ac:dyDescent="0.3">
      <c r="C26" s="744"/>
      <c r="D26" s="744"/>
      <c r="E26" s="744"/>
      <c r="F26" s="744"/>
      <c r="H26" s="744"/>
      <c r="I26" s="744"/>
      <c r="J26" s="744"/>
      <c r="K26" s="744"/>
    </row>
    <row r="27" spans="1:11" x14ac:dyDescent="0.3">
      <c r="C27" s="734">
        <v>2023</v>
      </c>
      <c r="D27" s="734">
        <v>2024</v>
      </c>
      <c r="E27" s="734">
        <v>2025</v>
      </c>
      <c r="F27" s="734">
        <v>2026</v>
      </c>
      <c r="H27" s="734">
        <v>2023</v>
      </c>
      <c r="I27" s="734">
        <v>2024</v>
      </c>
      <c r="J27" s="734">
        <v>2025</v>
      </c>
      <c r="K27" s="734">
        <v>2026</v>
      </c>
    </row>
    <row r="28" spans="1:11" ht="15" thickBot="1" x14ac:dyDescent="0.35">
      <c r="A28">
        <v>2</v>
      </c>
      <c r="B28" s="713" t="s">
        <v>670</v>
      </c>
      <c r="C28" s="736" t="s">
        <v>648</v>
      </c>
      <c r="D28" s="736" t="s">
        <v>649</v>
      </c>
      <c r="E28" s="736" t="s">
        <v>650</v>
      </c>
      <c r="F28" s="736" t="s">
        <v>651</v>
      </c>
      <c r="H28" s="736" t="s">
        <v>648</v>
      </c>
      <c r="I28" s="736" t="s">
        <v>649</v>
      </c>
      <c r="J28" s="736" t="s">
        <v>650</v>
      </c>
      <c r="K28" s="736" t="s">
        <v>651</v>
      </c>
    </row>
    <row r="29" spans="1:11" ht="15" thickTop="1" x14ac:dyDescent="0.3">
      <c r="B29" s="745"/>
      <c r="C29" s="744"/>
      <c r="D29" s="744"/>
      <c r="E29" s="744"/>
      <c r="F29" s="744"/>
      <c r="H29" s="744"/>
      <c r="I29" s="744"/>
      <c r="J29" s="744"/>
      <c r="K29" s="744"/>
    </row>
    <row r="30" spans="1:11" x14ac:dyDescent="0.3">
      <c r="A30" s="209" t="s">
        <v>671</v>
      </c>
      <c r="B30" s="579" t="s">
        <v>664</v>
      </c>
      <c r="C30" s="744" t="e">
        <f>C18</f>
        <v>#REF!</v>
      </c>
      <c r="D30" s="744" t="e">
        <f t="shared" ref="D30:F30" si="5">D18</f>
        <v>#REF!</v>
      </c>
      <c r="E30" s="744" t="e">
        <f t="shared" si="5"/>
        <v>#REF!</v>
      </c>
      <c r="F30" s="744" t="e">
        <f t="shared" si="5"/>
        <v>#REF!</v>
      </c>
      <c r="H30" s="744" t="e">
        <f>H18</f>
        <v>#REF!</v>
      </c>
      <c r="I30" s="744" t="e">
        <f t="shared" ref="I30:K30" si="6">I18</f>
        <v>#REF!</v>
      </c>
      <c r="J30" s="744" t="e">
        <f t="shared" si="6"/>
        <v>#REF!</v>
      </c>
      <c r="K30" s="744" t="e">
        <f t="shared" si="6"/>
        <v>#REF!</v>
      </c>
    </row>
    <row r="31" spans="1:11" x14ac:dyDescent="0.3">
      <c r="B31" t="s">
        <v>672</v>
      </c>
      <c r="C31" s="750">
        <v>5000</v>
      </c>
      <c r="D31" s="750">
        <v>5000</v>
      </c>
      <c r="E31" s="750">
        <v>5000</v>
      </c>
      <c r="F31" s="750">
        <v>5000</v>
      </c>
      <c r="H31" s="750">
        <v>5000</v>
      </c>
      <c r="I31" s="750">
        <v>5000</v>
      </c>
      <c r="J31" s="750">
        <v>5000</v>
      </c>
      <c r="K31" s="750">
        <v>5000</v>
      </c>
    </row>
    <row r="32" spans="1:11" x14ac:dyDescent="0.3">
      <c r="B32" s="748" t="s">
        <v>673</v>
      </c>
      <c r="C32" s="749" t="e">
        <f>C30*C31</f>
        <v>#REF!</v>
      </c>
      <c r="D32" s="749" t="e">
        <f t="shared" ref="D32:F32" si="7">D30*D31</f>
        <v>#REF!</v>
      </c>
      <c r="E32" s="749" t="e">
        <f t="shared" si="7"/>
        <v>#REF!</v>
      </c>
      <c r="F32" s="749" t="e">
        <f t="shared" si="7"/>
        <v>#REF!</v>
      </c>
      <c r="H32" s="749" t="e">
        <f>H30*H31</f>
        <v>#REF!</v>
      </c>
      <c r="I32" s="749" t="e">
        <f t="shared" ref="I32:K32" si="8">I30*I31</f>
        <v>#REF!</v>
      </c>
      <c r="J32" s="749" t="e">
        <f t="shared" si="8"/>
        <v>#REF!</v>
      </c>
      <c r="K32" s="749" t="e">
        <f t="shared" si="8"/>
        <v>#REF!</v>
      </c>
    </row>
    <row r="33" spans="1:11" x14ac:dyDescent="0.3">
      <c r="C33" s="744"/>
      <c r="D33" s="744"/>
      <c r="E33" s="744"/>
      <c r="F33" s="744"/>
      <c r="H33" s="744"/>
      <c r="I33" s="744"/>
      <c r="J33" s="744"/>
      <c r="K33" s="744"/>
    </row>
    <row r="34" spans="1:11" x14ac:dyDescent="0.3">
      <c r="A34" s="209" t="s">
        <v>674</v>
      </c>
      <c r="B34" s="579" t="s">
        <v>664</v>
      </c>
      <c r="C34" s="744" t="e">
        <f>C18</f>
        <v>#REF!</v>
      </c>
      <c r="D34" s="744" t="e">
        <f t="shared" ref="D34:F34" si="9">D18</f>
        <v>#REF!</v>
      </c>
      <c r="E34" s="744" t="e">
        <f t="shared" si="9"/>
        <v>#REF!</v>
      </c>
      <c r="F34" s="744" t="e">
        <f t="shared" si="9"/>
        <v>#REF!</v>
      </c>
      <c r="H34" s="744" t="e">
        <f>H18</f>
        <v>#REF!</v>
      </c>
      <c r="I34" s="744" t="e">
        <f t="shared" ref="I34:K34" si="10">I18</f>
        <v>#REF!</v>
      </c>
      <c r="J34" s="744" t="e">
        <f t="shared" si="10"/>
        <v>#REF!</v>
      </c>
      <c r="K34" s="744" t="e">
        <f t="shared" si="10"/>
        <v>#REF!</v>
      </c>
    </row>
    <row r="35" spans="1:11" x14ac:dyDescent="0.3">
      <c r="B35" s="579" t="s">
        <v>667</v>
      </c>
      <c r="C35" s="733" t="e">
        <f>ROUNDUP(C34/$C$5,0)</f>
        <v>#REF!</v>
      </c>
      <c r="D35" s="733" t="e">
        <f>ROUNDUP(D34/$C$5,0)</f>
        <v>#REF!</v>
      </c>
      <c r="E35" s="733" t="e">
        <f t="shared" ref="E35:F35" si="11">ROUNDUP(E34/$C$5,0)</f>
        <v>#REF!</v>
      </c>
      <c r="F35" s="733" t="e">
        <f t="shared" si="11"/>
        <v>#REF!</v>
      </c>
      <c r="H35" s="733" t="e">
        <f>ROUNDUP(H34/$C$5,0)</f>
        <v>#REF!</v>
      </c>
      <c r="I35" s="733" t="e">
        <f>ROUNDUP(I34/$C$5,0)</f>
        <v>#REF!</v>
      </c>
      <c r="J35" s="733" t="e">
        <f t="shared" ref="J35:K35" si="12">ROUNDUP(J34/$C$5,0)</f>
        <v>#REF!</v>
      </c>
      <c r="K35" s="733" t="e">
        <f t="shared" si="12"/>
        <v>#REF!</v>
      </c>
    </row>
    <row r="36" spans="1:11" x14ac:dyDescent="0.3">
      <c r="B36" t="s">
        <v>658</v>
      </c>
      <c r="C36" s="751">
        <f>$C$6</f>
        <v>125000</v>
      </c>
      <c r="D36" s="751">
        <f t="shared" ref="D36:F36" si="13">$C$6</f>
        <v>125000</v>
      </c>
      <c r="E36" s="751">
        <f t="shared" si="13"/>
        <v>125000</v>
      </c>
      <c r="F36" s="751">
        <f t="shared" si="13"/>
        <v>125000</v>
      </c>
      <c r="H36" s="751">
        <f>$C$6</f>
        <v>125000</v>
      </c>
      <c r="I36" s="751">
        <f t="shared" ref="I36:K36" si="14">$C$6</f>
        <v>125000</v>
      </c>
      <c r="J36" s="751">
        <f t="shared" si="14"/>
        <v>125000</v>
      </c>
      <c r="K36" s="751">
        <f t="shared" si="14"/>
        <v>125000</v>
      </c>
    </row>
    <row r="37" spans="1:11" x14ac:dyDescent="0.3">
      <c r="B37" t="s">
        <v>661</v>
      </c>
      <c r="C37" s="751" t="e">
        <f>$C$9</f>
        <v>#REF!</v>
      </c>
      <c r="D37" s="751" t="e">
        <f t="shared" ref="D37:F37" si="15">$C$9</f>
        <v>#REF!</v>
      </c>
      <c r="E37" s="751" t="e">
        <f t="shared" si="15"/>
        <v>#REF!</v>
      </c>
      <c r="F37" s="751" t="e">
        <f t="shared" si="15"/>
        <v>#REF!</v>
      </c>
      <c r="H37" s="751" t="e">
        <f>$C$9</f>
        <v>#REF!</v>
      </c>
      <c r="I37" s="751" t="e">
        <f t="shared" ref="I37:K37" si="16">$C$9</f>
        <v>#REF!</v>
      </c>
      <c r="J37" s="751" t="e">
        <f t="shared" si="16"/>
        <v>#REF!</v>
      </c>
      <c r="K37" s="751" t="e">
        <f t="shared" si="16"/>
        <v>#REF!</v>
      </c>
    </row>
    <row r="38" spans="1:11" x14ac:dyDescent="0.3">
      <c r="B38" s="748" t="s">
        <v>675</v>
      </c>
      <c r="C38" s="752" t="e">
        <f>(C35*C36)+(C34*C37)</f>
        <v>#REF!</v>
      </c>
      <c r="D38" s="752" t="e">
        <f t="shared" ref="D38:F38" si="17">(D35*D36)+(D34*D37)</f>
        <v>#REF!</v>
      </c>
      <c r="E38" s="752" t="e">
        <f t="shared" si="17"/>
        <v>#REF!</v>
      </c>
      <c r="F38" s="752" t="e">
        <f t="shared" si="17"/>
        <v>#REF!</v>
      </c>
      <c r="H38" s="752" t="e">
        <f>(H35*H36)+(H34*H37)</f>
        <v>#REF!</v>
      </c>
      <c r="I38" s="752" t="e">
        <f t="shared" ref="I38:K38" si="18">(I35*I36)+(I34*I37)</f>
        <v>#REF!</v>
      </c>
      <c r="J38" s="752" t="e">
        <f t="shared" si="18"/>
        <v>#REF!</v>
      </c>
      <c r="K38" s="752" t="e">
        <f t="shared" si="18"/>
        <v>#REF!</v>
      </c>
    </row>
    <row r="40" spans="1:11" x14ac:dyDescent="0.3">
      <c r="B40" s="713" t="s">
        <v>676</v>
      </c>
      <c r="C40" s="753" t="e">
        <f>C32-C38</f>
        <v>#REF!</v>
      </c>
      <c r="D40" s="753" t="e">
        <f t="shared" ref="D40:F40" si="19">D32-D38</f>
        <v>#REF!</v>
      </c>
      <c r="E40" s="753" t="e">
        <f t="shared" si="19"/>
        <v>#REF!</v>
      </c>
      <c r="F40" s="753" t="e">
        <f t="shared" si="19"/>
        <v>#REF!</v>
      </c>
      <c r="H40" s="753" t="e">
        <f>H32-H38</f>
        <v>#REF!</v>
      </c>
      <c r="I40" s="753" t="e">
        <f t="shared" ref="I40:K40" si="20">I32-I38</f>
        <v>#REF!</v>
      </c>
      <c r="J40" s="753" t="e">
        <f t="shared" si="20"/>
        <v>#REF!</v>
      </c>
      <c r="K40" s="753" t="e">
        <f t="shared" si="20"/>
        <v>#REF!</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963B-C632-4367-91E4-BD646BAE3BF7}">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8D9C-50BB-42C9-9696-4CAEC5C40BD2}">
  <sheetPr>
    <tabColor rgb="FFFF33CC"/>
  </sheetPr>
  <dimension ref="A1:AI32"/>
  <sheetViews>
    <sheetView view="pageLayout" topLeftCell="A2" zoomScaleNormal="100" workbookViewId="0">
      <selection activeCell="O23" sqref="O23"/>
    </sheetView>
  </sheetViews>
  <sheetFormatPr defaultRowHeight="13.8" x14ac:dyDescent="0.25"/>
  <cols>
    <col min="1" max="1" width="42.88671875" style="1070" bestFit="1" customWidth="1"/>
    <col min="2" max="2" width="1.6640625" style="1070" bestFit="1" customWidth="1"/>
    <col min="3" max="3" width="10.5546875" style="1070" customWidth="1"/>
    <col min="4" max="4" width="1.6640625" style="1070" bestFit="1" customWidth="1"/>
    <col min="5" max="5" width="10.5546875" style="1070" customWidth="1"/>
    <col min="6" max="6" width="2" style="1070" bestFit="1" customWidth="1"/>
    <col min="7" max="7" width="10.5546875" style="1070" customWidth="1"/>
    <col min="8" max="8" width="2" style="1070" bestFit="1" customWidth="1"/>
    <col min="9" max="9" width="10.5546875" style="1070" customWidth="1"/>
    <col min="10" max="10" width="2" style="1070" bestFit="1" customWidth="1"/>
    <col min="11" max="11" width="10.5546875" style="1070" customWidth="1"/>
    <col min="12" max="12" width="8.88671875" style="1070"/>
    <col min="13" max="13" width="30" style="1070" bestFit="1" customWidth="1"/>
    <col min="14" max="14" width="2" style="1070" bestFit="1" customWidth="1"/>
    <col min="15" max="15" width="11.5546875" style="1070" customWidth="1"/>
    <col min="16" max="16" width="2" style="1070" bestFit="1" customWidth="1"/>
    <col min="17" max="17" width="11.5546875" style="1070" customWidth="1"/>
    <col min="18" max="18" width="2" style="1070" bestFit="1" customWidth="1"/>
    <col min="19" max="19" width="11.5546875" style="1070" customWidth="1"/>
    <col min="20" max="20" width="2" style="1070" bestFit="1" customWidth="1"/>
    <col min="21" max="21" width="11.5546875" style="1070" customWidth="1"/>
    <col min="22" max="22" width="2" style="1070" bestFit="1" customWidth="1"/>
    <col min="23" max="23" width="11.5546875" style="1070" customWidth="1"/>
    <col min="24" max="26" width="8.88671875" style="1070"/>
    <col min="27" max="27" width="49.5546875" style="1070" customWidth="1"/>
    <col min="28" max="28" width="2" style="1070" bestFit="1" customWidth="1"/>
    <col min="29" max="29" width="12.6640625" style="1070" customWidth="1"/>
    <col min="30" max="30" width="3.109375" style="1070" bestFit="1" customWidth="1"/>
    <col min="31" max="31" width="12.6640625" style="1070" customWidth="1"/>
    <col min="32" max="32" width="3.109375" style="1070" bestFit="1" customWidth="1"/>
    <col min="33" max="33" width="12.6640625" style="1070" customWidth="1"/>
    <col min="34" max="34" width="3.109375" style="1070" bestFit="1" customWidth="1"/>
    <col min="35" max="35" width="12.6640625" style="1070" customWidth="1"/>
    <col min="36" max="16384" width="8.88671875" style="1070"/>
  </cols>
  <sheetData>
    <row r="1" spans="1:35" ht="14.4" thickBot="1" x14ac:dyDescent="0.3">
      <c r="A1" s="1378" t="s">
        <v>1971</v>
      </c>
      <c r="M1" s="1378" t="s">
        <v>1972</v>
      </c>
      <c r="N1" s="1482"/>
      <c r="O1" s="1584">
        <f>O5/O3</f>
        <v>0.25206774320598663</v>
      </c>
      <c r="P1" s="1482"/>
      <c r="Q1" s="1584">
        <f>Q5/Q3</f>
        <v>0.2533332822966507</v>
      </c>
      <c r="S1" s="1584">
        <f>S5/S3</f>
        <v>0.25333333333333335</v>
      </c>
      <c r="U1" s="1584">
        <f>U5/U3</f>
        <v>0.25333333804060015</v>
      </c>
      <c r="W1" s="1584">
        <f>W5/W3</f>
        <v>0.25333333333333335</v>
      </c>
    </row>
    <row r="2" spans="1:35" ht="37.200000000000003" thickTop="1" thickBot="1" x14ac:dyDescent="0.3">
      <c r="A2" s="1632" t="str">
        <f>"As at"</f>
        <v>As at</v>
      </c>
      <c r="B2" s="692"/>
      <c r="C2" s="995" t="str">
        <f>TEXT(FS.PRO!C8,"MMMM, DD, YYYY")&amp;" (forecasted)"</f>
        <v>June, 30, 2026 (forecasted)</v>
      </c>
      <c r="D2" s="692"/>
      <c r="E2" s="995" t="str">
        <f>TEXT(FS.PRO!E8,"MMMM, DD, YYYY")&amp;" (forecasted)"</f>
        <v>June, 30, 2027 (forecasted)</v>
      </c>
      <c r="F2" s="692"/>
      <c r="G2" s="995" t="str">
        <f>TEXT(FS.PRO!G8,"MMMM, DD, YYYY")&amp;" (forecasted)"</f>
        <v>June, 30, 2028 (forecasted)</v>
      </c>
      <c r="H2" s="692"/>
      <c r="I2" s="995" t="str">
        <f>TEXT(FS.PRO!I8,"MMMM, DD, YYYY")&amp;" (forecasted)"</f>
        <v>June, 30, 2029 (forecasted)</v>
      </c>
      <c r="J2" s="692"/>
      <c r="K2" s="995" t="str">
        <f>TEXT(FS.PRO!K8,"MMMM, DD, YYYY")&amp;" (forecasted)"</f>
        <v>June, 30, 2030 (forecasted)</v>
      </c>
      <c r="M2" s="1631" t="s">
        <v>2305</v>
      </c>
      <c r="N2" s="696"/>
      <c r="O2" s="1079" t="s">
        <v>2307</v>
      </c>
      <c r="P2" s="696"/>
      <c r="Q2" s="1079" t="s">
        <v>2308</v>
      </c>
      <c r="R2" s="696"/>
      <c r="S2" s="1079" t="s">
        <v>2309</v>
      </c>
      <c r="T2" s="696"/>
      <c r="U2" s="1079" t="s">
        <v>2310</v>
      </c>
      <c r="V2" s="696"/>
      <c r="W2" s="1079" t="s">
        <v>2311</v>
      </c>
      <c r="AA2" s="1633"/>
      <c r="AB2" s="1039"/>
      <c r="AC2" s="1159" t="s">
        <v>513</v>
      </c>
      <c r="AD2" s="1159"/>
      <c r="AE2" s="1159" t="s">
        <v>328</v>
      </c>
      <c r="AF2" s="1159"/>
      <c r="AG2" s="1159" t="s">
        <v>288</v>
      </c>
      <c r="AH2" s="1159"/>
      <c r="AI2" s="1634" t="s">
        <v>512</v>
      </c>
    </row>
    <row r="3" spans="1:35" x14ac:dyDescent="0.25">
      <c r="A3" s="1500" t="s">
        <v>8</v>
      </c>
      <c r="B3" s="1048"/>
      <c r="C3" s="1506"/>
      <c r="D3" s="1048"/>
      <c r="E3" s="1506"/>
      <c r="F3" s="1048"/>
      <c r="G3" s="1506"/>
      <c r="H3" s="1048"/>
      <c r="I3" s="1506"/>
      <c r="J3" s="1048"/>
      <c r="K3" s="1506"/>
      <c r="M3" s="1495" t="s">
        <v>620</v>
      </c>
      <c r="N3" s="1048" t="s">
        <v>90</v>
      </c>
      <c r="O3" s="1496">
        <f>_xlfn.XLOOKUP($M3,FS.PRO!$A:$A,FS.PRO!C:C,0,0,1)</f>
        <v>507800</v>
      </c>
      <c r="P3" s="1048" t="s">
        <v>90</v>
      </c>
      <c r="Q3" s="1496">
        <f>_xlfn.XLOOKUP($M3,FS.PRO!$A:$A,FS.PRO!E:E,0,0,1)</f>
        <v>6531250</v>
      </c>
      <c r="R3" s="1048" t="s">
        <v>90</v>
      </c>
      <c r="S3" s="1496">
        <f>_xlfn.XLOOKUP($M3,FS.PRO!$A:$A,FS.PRO!G:G,0,0,1)</f>
        <v>29812500</v>
      </c>
      <c r="T3" s="1048" t="s">
        <v>90</v>
      </c>
      <c r="U3" s="1496">
        <f>_xlfn.XLOOKUP($M3,FS.PRO!$A:$A,FS.PRO!I:I,0,0,1)</f>
        <v>70812500</v>
      </c>
      <c r="V3" s="1048" t="s">
        <v>90</v>
      </c>
      <c r="W3" s="1496">
        <f>_xlfn.XLOOKUP($M3,FS.PRO!$A:$A,FS.PRO!K:K,0,0,1)</f>
        <v>124500000</v>
      </c>
      <c r="AA3" s="1502" t="str">
        <f>FS.PRO!A102</f>
        <v>Balance - June 30, 2025</v>
      </c>
      <c r="AB3" s="1635" t="s">
        <v>90</v>
      </c>
      <c r="AC3" s="1636">
        <f>FS.PRO!C102</f>
        <v>8224099</v>
      </c>
      <c r="AD3" s="1636" t="s">
        <v>90</v>
      </c>
      <c r="AE3" s="1636">
        <f>FS.PRO!E102</f>
        <v>308750</v>
      </c>
      <c r="AF3" s="1636" t="s">
        <v>90</v>
      </c>
      <c r="AG3" s="1636">
        <f>FS.PRO!G102</f>
        <v>-4977690</v>
      </c>
      <c r="AH3" s="1636" t="s">
        <v>90</v>
      </c>
      <c r="AI3" s="1637">
        <f>ROUND(SUM(AC3:AG3),0)</f>
        <v>3555159</v>
      </c>
    </row>
    <row r="4" spans="1:35" x14ac:dyDescent="0.25">
      <c r="A4" s="1500" t="s">
        <v>415</v>
      </c>
      <c r="B4" s="1048"/>
      <c r="C4" s="1071"/>
      <c r="D4" s="1048"/>
      <c r="E4" s="1071"/>
      <c r="F4" s="1048"/>
      <c r="G4" s="1071"/>
      <c r="H4" s="1048"/>
      <c r="I4" s="1071"/>
      <c r="J4" s="1048"/>
      <c r="K4" s="1071"/>
      <c r="M4" s="1495" t="s">
        <v>244</v>
      </c>
      <c r="N4" s="1048" t="s">
        <v>90</v>
      </c>
      <c r="O4" s="1496">
        <f>_xlfn.XLOOKUP($M4,FS.PRO!$A:$A,FS.PRO!C:C,0,0,1)</f>
        <v>-379800</v>
      </c>
      <c r="P4" s="1048" t="s">
        <v>90</v>
      </c>
      <c r="Q4" s="1496">
        <f>_xlfn.XLOOKUP($M4,FS.PRO!$A:$A,FS.PRO!E:E,0,0,1)</f>
        <v>-4876667</v>
      </c>
      <c r="R4" s="1048" t="s">
        <v>90</v>
      </c>
      <c r="S4" s="1496">
        <f>_xlfn.XLOOKUP($M4,FS.PRO!$A:$A,FS.PRO!G:G,0,0,1)</f>
        <v>-22260000</v>
      </c>
      <c r="T4" s="1048" t="s">
        <v>90</v>
      </c>
      <c r="U4" s="1496">
        <f>_xlfn.XLOOKUP($M4,FS.PRO!$A:$A,FS.PRO!I:I,0,0,1)</f>
        <v>-52873333</v>
      </c>
      <c r="V4" s="1048" t="s">
        <v>90</v>
      </c>
      <c r="W4" s="1496">
        <f>_xlfn.XLOOKUP($M4,FS.PRO!$A:$A,FS.PRO!K:K,0,0,1)</f>
        <v>-92960000</v>
      </c>
      <c r="AA4" s="1047" t="str">
        <f>FS.PRO!A103</f>
        <v>Conversion of convertible debt to common shares</v>
      </c>
      <c r="AB4" s="1048"/>
      <c r="AC4" s="1638">
        <f>FS.PRO!C103</f>
        <v>331121</v>
      </c>
      <c r="AD4" s="1638"/>
      <c r="AE4" s="1638">
        <f>FS.PRO!E103</f>
        <v>0</v>
      </c>
      <c r="AF4" s="1638"/>
      <c r="AG4" s="1638">
        <f>FS.PRO!G103</f>
        <v>0</v>
      </c>
      <c r="AH4" s="1638"/>
      <c r="AI4" s="1639">
        <f>ROUND(SUM(AC4:AG4),0)</f>
        <v>331121</v>
      </c>
    </row>
    <row r="5" spans="1:35" x14ac:dyDescent="0.25">
      <c r="A5" s="1495" t="str">
        <f>FS.1!A13</f>
        <v>Cash</v>
      </c>
      <c r="B5" s="1048" t="s">
        <v>90</v>
      </c>
      <c r="C5" s="1496">
        <f>_xlfn.XLOOKUP($A5,FS.PRO!$A:$A,FS.PRO!C:C,0,0,1)</f>
        <v>1942431</v>
      </c>
      <c r="D5" s="1048" t="s">
        <v>90</v>
      </c>
      <c r="E5" s="1496">
        <f>_xlfn.XLOOKUP($A5,FS.PRO!$A:$A,FS.PRO!E:E,0,0,1)</f>
        <v>1813362</v>
      </c>
      <c r="F5" s="1048" t="s">
        <v>90</v>
      </c>
      <c r="G5" s="1496">
        <f>_xlfn.XLOOKUP($A5,FS.PRO!$A:$A,FS.PRO!G:G,0,0,1)</f>
        <v>1408703</v>
      </c>
      <c r="H5" s="1048" t="s">
        <v>90</v>
      </c>
      <c r="I5" s="1496">
        <f>_xlfn.XLOOKUP($A5,FS.PRO!$A:$A,FS.PRO!I:I,0,0,1)</f>
        <v>9856641</v>
      </c>
      <c r="J5" s="1048" t="s">
        <v>90</v>
      </c>
      <c r="K5" s="1496">
        <f>_xlfn.XLOOKUP($A5,FS.PRO!$A:$A,FS.PRO!K:K,0,0,1)</f>
        <v>25432405</v>
      </c>
      <c r="M5" s="1502" t="s">
        <v>2238</v>
      </c>
      <c r="N5" s="1504" t="s">
        <v>90</v>
      </c>
      <c r="O5" s="1505">
        <f>SUM(O3:O4)</f>
        <v>128000</v>
      </c>
      <c r="P5" s="1504" t="s">
        <v>90</v>
      </c>
      <c r="Q5" s="1505">
        <f>SUM(Q3:Q4)</f>
        <v>1654583</v>
      </c>
      <c r="R5" s="1504" t="s">
        <v>90</v>
      </c>
      <c r="S5" s="1505">
        <f>SUM(S3:S4)</f>
        <v>7552500</v>
      </c>
      <c r="T5" s="1504" t="s">
        <v>90</v>
      </c>
      <c r="U5" s="1505">
        <f>SUM(U3:U4)</f>
        <v>17939167</v>
      </c>
      <c r="V5" s="1504" t="s">
        <v>90</v>
      </c>
      <c r="W5" s="1505">
        <f>SUM(W3:W4)</f>
        <v>31540000</v>
      </c>
      <c r="AA5" s="1047" t="str">
        <f>FS.PRO!A104</f>
        <v>Net loss for year</v>
      </c>
      <c r="AB5" s="1048"/>
      <c r="AC5" s="1638">
        <f>FS.PRO!C104</f>
        <v>0</v>
      </c>
      <c r="AD5" s="1638"/>
      <c r="AE5" s="1638">
        <f>FS.PRO!E104</f>
        <v>0</v>
      </c>
      <c r="AF5" s="1638"/>
      <c r="AG5" s="1638">
        <f>FS.PRO!G104</f>
        <v>-1831200</v>
      </c>
      <c r="AH5" s="1638"/>
      <c r="AI5" s="1639">
        <f>ROUND(SUM(AC5:AG5),0)</f>
        <v>-1831200</v>
      </c>
    </row>
    <row r="6" spans="1:35" x14ac:dyDescent="0.25">
      <c r="A6" s="1495" t="str">
        <f>FS.PRO!A14</f>
        <v>Receivables</v>
      </c>
      <c r="B6" s="1048"/>
      <c r="C6" s="1496">
        <f>_xlfn.XLOOKUP($A6,FS.PRO!$A:$A,FS.PRO!C:C,0,0,1)</f>
        <v>18</v>
      </c>
      <c r="D6" s="1048"/>
      <c r="E6" s="1496">
        <f>_xlfn.XLOOKUP($A6,FS.PRO!$A:$A,FS.PRO!E:E,0,0,1)</f>
        <v>18</v>
      </c>
      <c r="F6" s="1048"/>
      <c r="G6" s="1496">
        <f>_xlfn.XLOOKUP($A6,FS.PRO!$A:$A,FS.PRO!G:G,0,0,1)</f>
        <v>18</v>
      </c>
      <c r="H6" s="1048"/>
      <c r="I6" s="1496">
        <f>_xlfn.XLOOKUP($A6,FS.PRO!$A:$A,FS.PRO!I:I,0,0,1)</f>
        <v>18</v>
      </c>
      <c r="J6" s="1048"/>
      <c r="K6" s="1496">
        <f>_xlfn.XLOOKUP($A6,FS.PRO!$A:$A,FS.PRO!K:K,0,0,1)</f>
        <v>18</v>
      </c>
      <c r="M6" s="1500" t="s">
        <v>296</v>
      </c>
      <c r="N6" s="1048"/>
      <c r="O6" s="1506"/>
      <c r="P6" s="1048"/>
      <c r="Q6" s="1506"/>
      <c r="R6" s="1048"/>
      <c r="S6" s="1506"/>
      <c r="T6" s="1048"/>
      <c r="U6" s="1506"/>
      <c r="V6" s="1048"/>
      <c r="W6" s="1506"/>
      <c r="AA6" s="1502" t="str">
        <f>FS.PRO!A105</f>
        <v>Balance - June 30, 2026</v>
      </c>
      <c r="AB6" s="1635" t="s">
        <v>90</v>
      </c>
      <c r="AC6" s="1636">
        <f>ROUND(SUM(AC3:AC5),0)</f>
        <v>8555220</v>
      </c>
      <c r="AD6" s="1636" t="s">
        <v>90</v>
      </c>
      <c r="AE6" s="1636">
        <f>ROUND(SUM(AE3:AE5),0)</f>
        <v>308750</v>
      </c>
      <c r="AF6" s="1636" t="s">
        <v>90</v>
      </c>
      <c r="AG6" s="1636">
        <f>ROUND(SUM(AG3:AG5),0)</f>
        <v>-6808890</v>
      </c>
      <c r="AH6" s="1636" t="s">
        <v>90</v>
      </c>
      <c r="AI6" s="1636">
        <f>ROUND(SUM(AI3:AI5),0)</f>
        <v>2055080</v>
      </c>
    </row>
    <row r="7" spans="1:35" x14ac:dyDescent="0.25">
      <c r="A7" s="1495" t="str">
        <f>FS.PRO!A17</f>
        <v>Inventory</v>
      </c>
      <c r="B7" s="1048"/>
      <c r="C7" s="1496">
        <f>_xlfn.XLOOKUP($A7,FS.PRO!$A:$A,FS.PRO!C:C,0,0,1)</f>
        <v>159517</v>
      </c>
      <c r="D7" s="1048"/>
      <c r="E7" s="1496">
        <f>_xlfn.XLOOKUP($A7,FS.PRO!$A:$A,FS.PRO!E:E,0,0,1)</f>
        <v>602850</v>
      </c>
      <c r="F7" s="1048"/>
      <c r="G7" s="1496">
        <f>_xlfn.XLOOKUP($A7,FS.PRO!$A:$A,FS.PRO!G:G,0,0,1)</f>
        <v>2142850</v>
      </c>
      <c r="H7" s="1048"/>
      <c r="I7" s="1496">
        <f>_xlfn.XLOOKUP($A7,FS.PRO!$A:$A,FS.PRO!I:I,0,0,1)</f>
        <v>5269517</v>
      </c>
      <c r="J7" s="1048"/>
      <c r="K7" s="1496">
        <f>_xlfn.XLOOKUP($A7,FS.PRO!$A:$A,FS.PRO!K:K,0,0,1)</f>
        <v>10309517</v>
      </c>
      <c r="M7" s="1495" t="str">
        <f>FS.PRO!A60</f>
        <v>Bank fees</v>
      </c>
      <c r="N7" s="1048" t="s">
        <v>90</v>
      </c>
      <c r="O7" s="1496">
        <f>_xlfn.XLOOKUP($M7,FS.PRO!$A:$A,FS.PRO!C:C,0,0,1)</f>
        <v>2074</v>
      </c>
      <c r="P7" s="1048" t="s">
        <v>90</v>
      </c>
      <c r="Q7" s="1496">
        <f>_xlfn.XLOOKUP($M7,FS.PRO!$A:$A,FS.PRO!E:E,0,0,1)</f>
        <v>2514</v>
      </c>
      <c r="R7" s="1048" t="s">
        <v>90</v>
      </c>
      <c r="S7" s="1496">
        <f>_xlfn.XLOOKUP($M7,FS.PRO!$A:$A,FS.PRO!G:G,0,0,1)</f>
        <v>2639</v>
      </c>
      <c r="T7" s="1048" t="s">
        <v>90</v>
      </c>
      <c r="U7" s="1496">
        <f>_xlfn.XLOOKUP($M7,FS.PRO!$A:$A,FS.PRO!I:I,0,0,1)</f>
        <v>2772</v>
      </c>
      <c r="V7" s="1048" t="s">
        <v>90</v>
      </c>
      <c r="W7" s="1496">
        <f>_xlfn.XLOOKUP($M7,FS.PRO!$A:$A,FS.PRO!K:K,0,0,1)</f>
        <v>2910</v>
      </c>
      <c r="AA7" s="1640" t="s">
        <v>2214</v>
      </c>
      <c r="AB7" s="1514"/>
      <c r="AC7" s="1638">
        <f>FS.PRO!C106</f>
        <v>0</v>
      </c>
      <c r="AD7" s="1638"/>
      <c r="AE7" s="1638">
        <f>FS.PRO!E106</f>
        <v>0</v>
      </c>
      <c r="AF7" s="1638"/>
      <c r="AG7" s="1638">
        <f>FS.PRO!G106</f>
        <v>-1647899</v>
      </c>
      <c r="AH7" s="1641"/>
      <c r="AI7" s="1639">
        <f>ROUND(SUM(AC7:AG7),0)</f>
        <v>-1647899</v>
      </c>
    </row>
    <row r="8" spans="1:35" ht="14.4" thickBot="1" x14ac:dyDescent="0.3">
      <c r="A8" s="1497" t="str">
        <f>FS.1!A20</f>
        <v>Total current assets</v>
      </c>
      <c r="B8" s="1498" t="s">
        <v>90</v>
      </c>
      <c r="C8" s="1499">
        <f>SUM(C5:C7)</f>
        <v>2101966</v>
      </c>
      <c r="D8" s="1498" t="s">
        <v>90</v>
      </c>
      <c r="E8" s="1499">
        <f>SUM(E5:E7)</f>
        <v>2416230</v>
      </c>
      <c r="F8" s="1498" t="s">
        <v>90</v>
      </c>
      <c r="G8" s="1499">
        <f>SUM(G5:G7)</f>
        <v>3551571</v>
      </c>
      <c r="H8" s="1498" t="s">
        <v>90</v>
      </c>
      <c r="I8" s="1499">
        <f>SUM(I5:I7)</f>
        <v>15126176</v>
      </c>
      <c r="J8" s="1498" t="s">
        <v>90</v>
      </c>
      <c r="K8" s="1499">
        <f>SUM(K5:K7)</f>
        <v>35741940</v>
      </c>
      <c r="M8" s="1495" t="str">
        <f>FS.PRO!A61</f>
        <v>Professional fees</v>
      </c>
      <c r="N8" s="1048"/>
      <c r="O8" s="1496">
        <f>_xlfn.XLOOKUP($M8,FS.PRO!$A:$A,FS.PRO!C:C,0,0,1)</f>
        <v>111500</v>
      </c>
      <c r="P8" s="1048"/>
      <c r="Q8" s="1496">
        <f>_xlfn.XLOOKUP($M8,FS.PRO!$A:$A,FS.PRO!E:E,0,0,1)</f>
        <v>90000</v>
      </c>
      <c r="R8" s="1048"/>
      <c r="S8" s="1496">
        <f>_xlfn.XLOOKUP($M8,FS.PRO!$A:$A,FS.PRO!G:G,0,0,1)</f>
        <v>90000</v>
      </c>
      <c r="T8" s="1048"/>
      <c r="U8" s="1496">
        <f>_xlfn.XLOOKUP($M8,FS.PRO!$A:$A,FS.PRO!I:I,0,0,1)</f>
        <v>108000</v>
      </c>
      <c r="V8" s="1048"/>
      <c r="W8" s="1496">
        <f>_xlfn.XLOOKUP($M8,FS.PRO!$A:$A,FS.PRO!K:K,0,0,1)</f>
        <v>129600</v>
      </c>
      <c r="AA8" s="1642" t="str">
        <f>FS.PRO!A107</f>
        <v>Balance - June 30, 2027</v>
      </c>
      <c r="AB8" s="1643" t="s">
        <v>90</v>
      </c>
      <c r="AC8" s="1636">
        <f>SUM(AC6:AC7)</f>
        <v>8555220</v>
      </c>
      <c r="AD8" s="1637" t="s">
        <v>90</v>
      </c>
      <c r="AE8" s="1636">
        <f>SUM(AE6:AE7)</f>
        <v>308750</v>
      </c>
      <c r="AF8" s="1637" t="s">
        <v>90</v>
      </c>
      <c r="AG8" s="1636">
        <f>SUM(AG6:AG7)</f>
        <v>-8456789</v>
      </c>
      <c r="AH8" s="1636" t="s">
        <v>90</v>
      </c>
      <c r="AI8" s="1636">
        <f>SUM(AI6:AI7)</f>
        <v>407181</v>
      </c>
    </row>
    <row r="9" spans="1:35" x14ac:dyDescent="0.25">
      <c r="A9" s="1500" t="str">
        <f>FS.1!A21</f>
        <v>Non-current assets</v>
      </c>
      <c r="M9" s="1495" t="str">
        <f>FS.PRO!A62</f>
        <v>Consulting expense</v>
      </c>
      <c r="N9" s="1048"/>
      <c r="O9" s="1496">
        <f>_xlfn.XLOOKUP($M9,FS.PRO!$A:$A,FS.PRO!C:C,0,0,1)</f>
        <v>273417</v>
      </c>
      <c r="P9" s="1048"/>
      <c r="Q9" s="1496">
        <f>_xlfn.XLOOKUP($M9,FS.PRO!$A:$A,FS.PRO!E:E,0,0,1)</f>
        <v>276000</v>
      </c>
      <c r="R9" s="1048"/>
      <c r="S9" s="1496">
        <f>_xlfn.XLOOKUP($M9,FS.PRO!$A:$A,FS.PRO!G:G,0,0,1)</f>
        <v>276000</v>
      </c>
      <c r="T9" s="1048"/>
      <c r="U9" s="1496">
        <f>_xlfn.XLOOKUP($M9,FS.PRO!$A:$A,FS.PRO!I:I,0,0,1)</f>
        <v>276000</v>
      </c>
      <c r="V9" s="1048"/>
      <c r="W9" s="1496">
        <f>_xlfn.XLOOKUP($M9,FS.PRO!$A:$A,FS.PRO!K:K,0,0,1)</f>
        <v>276000</v>
      </c>
      <c r="AA9" s="1640" t="s">
        <v>2214</v>
      </c>
      <c r="AB9" s="1514"/>
      <c r="AC9" s="1638">
        <f>FS.PRO!C108</f>
        <v>0</v>
      </c>
      <c r="AD9" s="1638"/>
      <c r="AE9" s="1638">
        <f>FS.PRO!E108</f>
        <v>0</v>
      </c>
      <c r="AF9" s="1638"/>
      <c r="AG9" s="1638">
        <f>FS.PRO!G108</f>
        <v>336928</v>
      </c>
      <c r="AH9" s="1641"/>
      <c r="AI9" s="1639">
        <f>ROUND(SUM(AC9:AG9),0)</f>
        <v>336928</v>
      </c>
    </row>
    <row r="10" spans="1:35" x14ac:dyDescent="0.25">
      <c r="A10" s="592" t="str">
        <f>FS.PRO!A23</f>
        <v>Equipment</v>
      </c>
      <c r="C10" s="1496">
        <f>_xlfn.XLOOKUP($A10,FS.PRO!$A:$A,FS.PRO!C:C,0,0,1)</f>
        <v>3442</v>
      </c>
      <c r="E10" s="1496">
        <f>_xlfn.XLOOKUP($A10,FS.PRO!$A:$A,FS.PRO!E:E,0,0,1)</f>
        <v>3442</v>
      </c>
      <c r="G10" s="1496">
        <f>_xlfn.XLOOKUP($A10,FS.PRO!$A:$A,FS.PRO!G:G,0,0,1)</f>
        <v>3442</v>
      </c>
      <c r="I10" s="1496">
        <f>_xlfn.XLOOKUP($A10,FS.PRO!$A:$A,FS.PRO!I:I,0,0,1)</f>
        <v>3442</v>
      </c>
      <c r="K10" s="1496">
        <f>_xlfn.XLOOKUP($A10,FS.PRO!$A:$A,FS.PRO!K:K,0,0,1)</f>
        <v>3442</v>
      </c>
      <c r="M10" s="1495" t="str">
        <f>FS.PRO!A63</f>
        <v>Dues, licenses, and permits</v>
      </c>
      <c r="N10" s="1048"/>
      <c r="O10" s="1496">
        <f>_xlfn.XLOOKUP($M10,FS.PRO!$A:$A,FS.PRO!C:C,0,0,1)</f>
        <v>2194</v>
      </c>
      <c r="P10" s="1048"/>
      <c r="Q10" s="1496">
        <f>_xlfn.XLOOKUP($M10,FS.PRO!$A:$A,FS.PRO!E:E,0,0,1)</f>
        <v>1812</v>
      </c>
      <c r="R10" s="1048"/>
      <c r="S10" s="1496">
        <f>_xlfn.XLOOKUP($M10,FS.PRO!$A:$A,FS.PRO!G:G,0,0,1)</f>
        <v>1849</v>
      </c>
      <c r="T10" s="1048"/>
      <c r="U10" s="1496">
        <f>_xlfn.XLOOKUP($M10,FS.PRO!$A:$A,FS.PRO!I:I,0,0,1)</f>
        <v>1886</v>
      </c>
      <c r="V10" s="1048"/>
      <c r="W10" s="1496">
        <f>_xlfn.XLOOKUP($M10,FS.PRO!$A:$A,FS.PRO!K:K,0,0,1)</f>
        <v>1923</v>
      </c>
      <c r="AA10" s="1642" t="str">
        <f>FS.PRO!A109</f>
        <v>Balance - June 30, 2028</v>
      </c>
      <c r="AB10" s="1643" t="s">
        <v>90</v>
      </c>
      <c r="AC10" s="1636">
        <f>SUM(AC8:AC9)</f>
        <v>8555220</v>
      </c>
      <c r="AD10" s="1637" t="s">
        <v>90</v>
      </c>
      <c r="AE10" s="1636">
        <f>SUM(AE8:AE9)</f>
        <v>308750</v>
      </c>
      <c r="AF10" s="1637" t="s">
        <v>90</v>
      </c>
      <c r="AG10" s="1636">
        <f>SUM(AG8:AG9)</f>
        <v>-8119861</v>
      </c>
      <c r="AH10" s="1636" t="s">
        <v>90</v>
      </c>
      <c r="AI10" s="1636">
        <f>SUM(AI8:AI9)</f>
        <v>744109</v>
      </c>
    </row>
    <row r="11" spans="1:35" x14ac:dyDescent="0.25">
      <c r="A11" s="1074" t="str">
        <f>FS.PRO!A24</f>
        <v>Intangible assets</v>
      </c>
      <c r="B11" s="1073"/>
      <c r="C11" s="1508">
        <f>_xlfn.XLOOKUP($A11,FS.PRO!$A:$A,FS.PRO!C:C,0,0,1)</f>
        <v>3015078</v>
      </c>
      <c r="D11" s="1073"/>
      <c r="E11" s="1508">
        <f>_xlfn.XLOOKUP($A11,FS.PRO!$A:$A,FS.PRO!E:E,0,0,1)</f>
        <v>1758714</v>
      </c>
      <c r="F11" s="1073"/>
      <c r="G11" s="1508">
        <f>_xlfn.XLOOKUP($A11,FS.PRO!$A:$A,FS.PRO!G:G,0,0,1)</f>
        <v>502350</v>
      </c>
      <c r="H11" s="1073"/>
      <c r="I11" s="1508">
        <f>_xlfn.XLOOKUP($A11,FS.PRO!$A:$A,FS.PRO!I:I,0,0,1)</f>
        <v>314091</v>
      </c>
      <c r="J11" s="1073"/>
      <c r="K11" s="1508">
        <f>_xlfn.XLOOKUP($A11,FS.PRO!$A:$A,FS.PRO!K:K,0,0,1)</f>
        <v>314091</v>
      </c>
      <c r="M11" s="1495" t="str">
        <f>FS.PRO!A64</f>
        <v>Advertising and marketing</v>
      </c>
      <c r="N11" s="1048"/>
      <c r="O11" s="1496">
        <f>_xlfn.XLOOKUP($M11,FS.PRO!$A:$A,FS.PRO!C:C,0,0,1)</f>
        <v>78640</v>
      </c>
      <c r="P11" s="1048"/>
      <c r="Q11" s="1496">
        <f>_xlfn.XLOOKUP($M11,FS.PRO!$A:$A,FS.PRO!E:E,0,0,1)</f>
        <v>434250</v>
      </c>
      <c r="R11" s="1048"/>
      <c r="S11" s="1496">
        <f>_xlfn.XLOOKUP($M11,FS.PRO!$A:$A,FS.PRO!G:G,0,0,1)</f>
        <v>1671750</v>
      </c>
      <c r="T11" s="1048"/>
      <c r="U11" s="1496">
        <f>_xlfn.XLOOKUP($M11,FS.PRO!$A:$A,FS.PRO!I:I,0,0,1)</f>
        <v>3828000</v>
      </c>
      <c r="V11" s="1048"/>
      <c r="W11" s="1496">
        <f>_xlfn.XLOOKUP($M11,FS.PRO!$A:$A,FS.PRO!K:K,0,0,1)</f>
        <v>6640500</v>
      </c>
      <c r="AA11" s="1640" t="s">
        <v>2299</v>
      </c>
      <c r="AB11" s="1514"/>
      <c r="AC11" s="1638">
        <f>FS.PRO!C110</f>
        <v>0</v>
      </c>
      <c r="AD11" s="1638"/>
      <c r="AE11" s="1638">
        <f>FS.PRO!E110</f>
        <v>0</v>
      </c>
      <c r="AF11" s="1638"/>
      <c r="AG11" s="1638">
        <f>FS.PRO!G110</f>
        <v>5998846</v>
      </c>
      <c r="AH11" s="1641"/>
      <c r="AI11" s="1639">
        <f>ROUND(SUM(AC11:AG11),0)</f>
        <v>5998846</v>
      </c>
    </row>
    <row r="12" spans="1:35" ht="14.4" thickBot="1" x14ac:dyDescent="0.3">
      <c r="A12" s="1509" t="str">
        <f>FS.1!A26</f>
        <v>Total non-current assets</v>
      </c>
      <c r="B12" s="1511" t="s">
        <v>90</v>
      </c>
      <c r="C12" s="1512">
        <f>SUM(C10:C11)</f>
        <v>3018520</v>
      </c>
      <c r="D12" s="1511" t="s">
        <v>90</v>
      </c>
      <c r="E12" s="1512">
        <f>SUM(E10:E11)</f>
        <v>1762156</v>
      </c>
      <c r="F12" s="1511" t="s">
        <v>90</v>
      </c>
      <c r="G12" s="1512">
        <f>SUM(G10:G11)</f>
        <v>505792</v>
      </c>
      <c r="H12" s="1511" t="s">
        <v>90</v>
      </c>
      <c r="I12" s="1512">
        <f>SUM(I10:I11)</f>
        <v>317533</v>
      </c>
      <c r="J12" s="1511" t="s">
        <v>90</v>
      </c>
      <c r="K12" s="1512">
        <f>SUM(K10:K11)</f>
        <v>317533</v>
      </c>
      <c r="M12" s="1495" t="str">
        <f>FS.PRO!A65</f>
        <v>Meals and entertainment</v>
      </c>
      <c r="N12" s="1048"/>
      <c r="O12" s="1496">
        <f>_xlfn.XLOOKUP($M12,FS.PRO!$A:$A,FS.PRO!C:C,0,0,1)</f>
        <v>3000</v>
      </c>
      <c r="P12" s="1048"/>
      <c r="Q12" s="1496">
        <f>_xlfn.XLOOKUP($M12,FS.PRO!$A:$A,FS.PRO!E:E,0,0,1)</f>
        <v>3300</v>
      </c>
      <c r="R12" s="1048"/>
      <c r="S12" s="1496">
        <f>_xlfn.XLOOKUP($M12,FS.PRO!$A:$A,FS.PRO!G:G,0,0,1)</f>
        <v>3630</v>
      </c>
      <c r="T12" s="1048"/>
      <c r="U12" s="1496">
        <f>_xlfn.XLOOKUP($M12,FS.PRO!$A:$A,FS.PRO!I:I,0,0,1)</f>
        <v>3993</v>
      </c>
      <c r="V12" s="1048"/>
      <c r="W12" s="1496">
        <f>_xlfn.XLOOKUP($M12,FS.PRO!$A:$A,FS.PRO!K:K,0,0,1)</f>
        <v>4392</v>
      </c>
      <c r="AA12" s="1642" t="str">
        <f>FS.PRO!A111</f>
        <v>Balance - June 30, 2029</v>
      </c>
      <c r="AB12" s="1643" t="s">
        <v>90</v>
      </c>
      <c r="AC12" s="1636">
        <f>SUM(AC10:AC11)</f>
        <v>8555220</v>
      </c>
      <c r="AD12" s="1637" t="s">
        <v>90</v>
      </c>
      <c r="AE12" s="1636">
        <f>SUM(AE10:AE11)</f>
        <v>308750</v>
      </c>
      <c r="AF12" s="1637" t="s">
        <v>90</v>
      </c>
      <c r="AG12" s="1636">
        <f>SUM(AG10:AG11)</f>
        <v>-2121015</v>
      </c>
      <c r="AH12" s="1636" t="s">
        <v>90</v>
      </c>
      <c r="AI12" s="1636">
        <f>SUM(AI10:AI11)</f>
        <v>6742955</v>
      </c>
    </row>
    <row r="13" spans="1:35" ht="14.4" thickBot="1" x14ac:dyDescent="0.3">
      <c r="A13" s="1509" t="str">
        <f>FS.1!A27</f>
        <v>Total Assets</v>
      </c>
      <c r="B13" s="1511" t="s">
        <v>90</v>
      </c>
      <c r="C13" s="1512">
        <f>C12+C8</f>
        <v>5120486</v>
      </c>
      <c r="D13" s="1511" t="s">
        <v>90</v>
      </c>
      <c r="E13" s="1512">
        <f>E12+E8</f>
        <v>4178386</v>
      </c>
      <c r="F13" s="1511" t="s">
        <v>90</v>
      </c>
      <c r="G13" s="1512">
        <f>G12+G8</f>
        <v>4057363</v>
      </c>
      <c r="H13" s="1511" t="s">
        <v>90</v>
      </c>
      <c r="I13" s="1512">
        <f>I12+I8</f>
        <v>15443709</v>
      </c>
      <c r="J13" s="1511" t="s">
        <v>90</v>
      </c>
      <c r="K13" s="1512">
        <f>K12+K8</f>
        <v>36059473</v>
      </c>
      <c r="M13" s="1495" t="str">
        <f>FS.PRO!A66</f>
        <v>Travel expenses</v>
      </c>
      <c r="N13" s="1048"/>
      <c r="O13" s="1496">
        <f>_xlfn.XLOOKUP($M13,FS.PRO!$A:$A,FS.PRO!C:C,0,0,1)</f>
        <v>6000</v>
      </c>
      <c r="P13" s="1048"/>
      <c r="Q13" s="1496">
        <f>_xlfn.XLOOKUP($M13,FS.PRO!$A:$A,FS.PRO!E:E,0,0,1)</f>
        <v>6600</v>
      </c>
      <c r="R13" s="1048"/>
      <c r="S13" s="1496">
        <f>_xlfn.XLOOKUP($M13,FS.PRO!$A:$A,FS.PRO!G:G,0,0,1)</f>
        <v>7260</v>
      </c>
      <c r="T13" s="1048"/>
      <c r="U13" s="1496">
        <f>_xlfn.XLOOKUP($M13,FS.PRO!$A:$A,FS.PRO!I:I,0,0,1)</f>
        <v>7986</v>
      </c>
      <c r="V13" s="1048"/>
      <c r="W13" s="1496">
        <f>_xlfn.XLOOKUP($M13,FS.PRO!$A:$A,FS.PRO!K:K,0,0,1)</f>
        <v>8785</v>
      </c>
      <c r="AA13" s="1640" t="s">
        <v>2299</v>
      </c>
      <c r="AB13" s="1514"/>
      <c r="AC13" s="1638">
        <f>FS.PRO!C112</f>
        <v>0</v>
      </c>
      <c r="AD13" s="1638"/>
      <c r="AE13" s="1638">
        <f>FS.PRO!E112</f>
        <v>0</v>
      </c>
      <c r="AF13" s="1638"/>
      <c r="AG13" s="1638">
        <f>FS.PRO!G112</f>
        <v>11765764</v>
      </c>
      <c r="AH13" s="1641"/>
      <c r="AI13" s="1639">
        <f>ROUND(SUM(AC13:AG13),0)</f>
        <v>11765764</v>
      </c>
    </row>
    <row r="14" spans="1:35" x14ac:dyDescent="0.25">
      <c r="A14" s="1500" t="s">
        <v>96</v>
      </c>
      <c r="B14" s="1051"/>
      <c r="C14" s="1501"/>
      <c r="D14" s="1051"/>
      <c r="E14" s="1501"/>
      <c r="F14" s="1051"/>
      <c r="G14" s="1501"/>
      <c r="H14" s="1051"/>
      <c r="I14" s="1501"/>
      <c r="J14" s="1051"/>
      <c r="K14" s="1501"/>
      <c r="M14" s="1495" t="str">
        <f>FS.PRO!A67</f>
        <v>Transfer agent and regulatory expenses</v>
      </c>
      <c r="N14" s="1048"/>
      <c r="O14" s="1496">
        <f>_xlfn.XLOOKUP($M14,FS.PRO!$A:$A,FS.PRO!C:C,0,0,1)</f>
        <v>9000</v>
      </c>
      <c r="P14" s="1048"/>
      <c r="Q14" s="1496">
        <f>_xlfn.XLOOKUP($M14,FS.PRO!$A:$A,FS.PRO!E:E,0,0,1)</f>
        <v>9450</v>
      </c>
      <c r="R14" s="1048"/>
      <c r="S14" s="1496">
        <f>_xlfn.XLOOKUP($M14,FS.PRO!$A:$A,FS.PRO!G:G,0,0,1)</f>
        <v>9923</v>
      </c>
      <c r="T14" s="1048"/>
      <c r="U14" s="1496">
        <f>_xlfn.XLOOKUP($M14,FS.PRO!$A:$A,FS.PRO!I:I,0,0,1)</f>
        <v>10419</v>
      </c>
      <c r="V14" s="1048"/>
      <c r="W14" s="1496">
        <f>_xlfn.XLOOKUP($M14,FS.PRO!$A:$A,FS.PRO!K:K,0,0,1)</f>
        <v>10940</v>
      </c>
      <c r="AA14" s="1642" t="str">
        <f>FS.PRO!A113</f>
        <v>Balance - June 30, 2030</v>
      </c>
      <c r="AB14" s="1643" t="s">
        <v>90</v>
      </c>
      <c r="AC14" s="1636">
        <f>SUM(AC12:AC13)</f>
        <v>8555220</v>
      </c>
      <c r="AD14" s="1637" t="s">
        <v>90</v>
      </c>
      <c r="AE14" s="1636">
        <f>SUM(AE12:AE13)</f>
        <v>308750</v>
      </c>
      <c r="AF14" s="1637" t="s">
        <v>90</v>
      </c>
      <c r="AG14" s="1636">
        <f>SUM(AG12:AG13)</f>
        <v>9644749</v>
      </c>
      <c r="AH14" s="1636" t="s">
        <v>90</v>
      </c>
      <c r="AI14" s="1636">
        <f>SUM(AI12:AI13)</f>
        <v>18508719</v>
      </c>
    </row>
    <row r="15" spans="1:35" x14ac:dyDescent="0.25">
      <c r="A15" s="1500" t="s">
        <v>97</v>
      </c>
      <c r="B15" s="1048"/>
      <c r="C15" s="1496"/>
      <c r="D15" s="1048"/>
      <c r="E15" s="1496"/>
      <c r="F15" s="1048"/>
      <c r="G15" s="1496"/>
      <c r="H15" s="1048"/>
      <c r="I15" s="1496"/>
      <c r="J15" s="1048"/>
      <c r="K15" s="1496"/>
      <c r="M15" s="1495" t="str">
        <f>FS.PRO!A68</f>
        <v>Insurance</v>
      </c>
      <c r="N15" s="1048"/>
      <c r="O15" s="1496">
        <f>_xlfn.XLOOKUP($M15,FS.PRO!$A:$A,FS.PRO!C:C,0,0,1)</f>
        <v>30204</v>
      </c>
      <c r="P15" s="1048"/>
      <c r="Q15" s="1496">
        <f>_xlfn.XLOOKUP($M15,FS.PRO!$A:$A,FS.PRO!E:E,0,0,1)</f>
        <v>31500</v>
      </c>
      <c r="R15" s="1048"/>
      <c r="S15" s="1496">
        <f>_xlfn.XLOOKUP($M15,FS.PRO!$A:$A,FS.PRO!G:G,0,0,1)</f>
        <v>33075</v>
      </c>
      <c r="T15" s="1048"/>
      <c r="U15" s="1496">
        <f>_xlfn.XLOOKUP($M15,FS.PRO!$A:$A,FS.PRO!I:I,0,0,1)</f>
        <v>34729</v>
      </c>
      <c r="V15" s="1048"/>
      <c r="W15" s="1496">
        <f>_xlfn.XLOOKUP($M15,FS.PRO!$A:$A,FS.PRO!K:K,0,0,1)</f>
        <v>36465</v>
      </c>
    </row>
    <row r="16" spans="1:35" x14ac:dyDescent="0.25">
      <c r="A16" s="1495" t="str">
        <f>FS.PRO!A31</f>
        <v>Accrued Warranty Liability</v>
      </c>
      <c r="B16" s="1048"/>
      <c r="C16" s="1496">
        <f>_xlfn.XLOOKUP($A16,FS.PRO!$A:$A,FS.PRO!C:C,0,0,1)</f>
        <v>64506</v>
      </c>
      <c r="D16" s="1048"/>
      <c r="E16" s="1496">
        <f>_xlfn.XLOOKUP($A16,FS.PRO!$A:$A,FS.PRO!E:E,0,0,1)</f>
        <v>176555</v>
      </c>
      <c r="F16" s="1048"/>
      <c r="G16" s="1496">
        <f>_xlfn.XLOOKUP($A16,FS.PRO!$A:$A,FS.PRO!G:G,0,0,1)</f>
        <v>656104</v>
      </c>
      <c r="H16" s="1048"/>
      <c r="I16" s="1496">
        <f>_xlfn.XLOOKUP($A16,FS.PRO!$A:$A,FS.PRO!I:I,0,0,1)</f>
        <v>1856104</v>
      </c>
      <c r="J16" s="1048"/>
      <c r="K16" s="1496">
        <f>_xlfn.XLOOKUP($A16,FS.PRO!$A:$A,FS.PRO!K:K,0,0,1)</f>
        <v>3956104</v>
      </c>
      <c r="M16" s="1495" t="str">
        <f>FS.PRO!A69</f>
        <v>Office expenses</v>
      </c>
      <c r="N16" s="1048"/>
      <c r="O16" s="1496">
        <f>_xlfn.XLOOKUP($M16,FS.PRO!$A:$A,FS.PRO!C:C,0,0,1)</f>
        <v>24589</v>
      </c>
      <c r="P16" s="1048"/>
      <c r="Q16" s="1496">
        <f>_xlfn.XLOOKUP($M16,FS.PRO!$A:$A,FS.PRO!E:E,0,0,1)</f>
        <v>26400</v>
      </c>
      <c r="R16" s="1048"/>
      <c r="S16" s="1496">
        <f>_xlfn.XLOOKUP($M16,FS.PRO!$A:$A,FS.PRO!G:G,0,0,1)</f>
        <v>29040</v>
      </c>
      <c r="T16" s="1048"/>
      <c r="U16" s="1496">
        <f>_xlfn.XLOOKUP($M16,FS.PRO!$A:$A,FS.PRO!I:I,0,0,1)</f>
        <v>31944</v>
      </c>
      <c r="V16" s="1048"/>
      <c r="W16" s="1496">
        <f>_xlfn.XLOOKUP($M16,FS.PRO!$A:$A,FS.PRO!K:K,0,0,1)</f>
        <v>35138</v>
      </c>
      <c r="AA16" s="1542" t="s">
        <v>507</v>
      </c>
      <c r="AC16" s="1644">
        <f>FS.PRO!C105-AC6</f>
        <v>0</v>
      </c>
      <c r="AE16" s="1644">
        <f>FS.PRO!E105-AE6</f>
        <v>0</v>
      </c>
      <c r="AG16" s="1644">
        <f>FS.PRO!G105-AG6</f>
        <v>0</v>
      </c>
      <c r="AI16" s="1644">
        <f>FS.PRO!I105-AI6</f>
        <v>0</v>
      </c>
    </row>
    <row r="17" spans="1:35" x14ac:dyDescent="0.25">
      <c r="A17" s="1495" t="str">
        <f>FS.PRO!A33</f>
        <v>Deferred revenue</v>
      </c>
      <c r="C17" s="1496">
        <f>_xlfn.XLOOKUP($A17,FS.PRO!$A:$A,FS.PRO!C:C,0,0,1)</f>
        <v>0</v>
      </c>
      <c r="E17" s="1496">
        <f>_xlfn.XLOOKUP($A17,FS.PRO!$A:$A,FS.PRO!E:E,0,0,1)</f>
        <v>593750</v>
      </c>
      <c r="G17" s="1496">
        <f>_xlfn.XLOOKUP($A17,FS.PRO!$A:$A,FS.PRO!G:G,0,0,1)</f>
        <v>2656250</v>
      </c>
      <c r="I17" s="1496">
        <f>_xlfn.XLOOKUP($A17,FS.PRO!$A:$A,FS.PRO!I:I,0,0,1)</f>
        <v>6843750</v>
      </c>
      <c r="K17" s="1496">
        <f>_xlfn.XLOOKUP($A17,FS.PRO!$A:$A,FS.PRO!K:K,0,0,1)</f>
        <v>13593750</v>
      </c>
      <c r="M17" s="1495" t="str">
        <f>FS.PRO!A70</f>
        <v>Selling expense</v>
      </c>
      <c r="O17" s="1496">
        <f>_xlfn.XLOOKUP($M17,FS.PRO!$A:$A,FS.PRO!C:C,0,0,1)</f>
        <v>0</v>
      </c>
      <c r="P17" s="1048"/>
      <c r="Q17" s="1496">
        <f>_xlfn.XLOOKUP($M17,FS.PRO!$A:$A,FS.PRO!E:E,0,0,1)</f>
        <v>60000</v>
      </c>
      <c r="R17" s="1048"/>
      <c r="S17" s="1496">
        <f>_xlfn.XLOOKUP($M17,FS.PRO!$A:$A,FS.PRO!G:G,0,0,1)</f>
        <v>1275000</v>
      </c>
      <c r="T17" s="1048"/>
      <c r="U17" s="1496">
        <f>_xlfn.XLOOKUP($M17,FS.PRO!$A:$A,FS.PRO!I:I,0,0,1)</f>
        <v>3000000</v>
      </c>
      <c r="V17" s="1048"/>
      <c r="W17" s="1496">
        <f>_xlfn.XLOOKUP($M17,FS.PRO!$A:$A,FS.PRO!K:K,0,0,1)</f>
        <v>5250000</v>
      </c>
      <c r="AA17" s="1542" t="s">
        <v>507</v>
      </c>
      <c r="AC17" s="1644">
        <f>FS.PRO!C107-AC8</f>
        <v>0</v>
      </c>
      <c r="AE17" s="1644">
        <f>FS.PRO!E107-AE8</f>
        <v>0</v>
      </c>
      <c r="AG17" s="1644">
        <f>FS.PRO!G107-AG8</f>
        <v>0</v>
      </c>
      <c r="AI17" s="1644">
        <f>FS.PRO!I107-AI8</f>
        <v>0</v>
      </c>
    </row>
    <row r="18" spans="1:35" x14ac:dyDescent="0.25">
      <c r="A18" s="1495" t="str">
        <f>FS.PRO!A34</f>
        <v>Due to related parties</v>
      </c>
      <c r="C18" s="1496">
        <f>_xlfn.XLOOKUP($A18,FS.PRO!$A:$A,FS.PRO!C:C,0,0,1)</f>
        <v>900</v>
      </c>
      <c r="E18" s="1496">
        <f>_xlfn.XLOOKUP($A18,FS.PRO!$A:$A,FS.PRO!E:E,0,0,1)</f>
        <v>900</v>
      </c>
      <c r="G18" s="1496">
        <f>_xlfn.XLOOKUP($A18,FS.PRO!$A:$A,FS.PRO!G:G,0,0,1)</f>
        <v>900</v>
      </c>
      <c r="I18" s="1496">
        <f>_xlfn.XLOOKUP($A18,FS.PRO!$A:$A,FS.PRO!I:I,0,0,1)</f>
        <v>900</v>
      </c>
      <c r="K18" s="1496">
        <f>_xlfn.XLOOKUP($A18,FS.PRO!$A:$A,FS.PRO!K:K,0,0,1)</f>
        <v>900</v>
      </c>
      <c r="M18" s="1495" t="str">
        <f>FS.PRO!A71</f>
        <v>Shipping expense</v>
      </c>
      <c r="O18" s="1496">
        <f>_xlfn.XLOOKUP($M18,FS.PRO!$A:$A,FS.PRO!C:C,0,0,1)</f>
        <v>6000</v>
      </c>
      <c r="P18" s="1048"/>
      <c r="Q18" s="1496">
        <f>_xlfn.XLOOKUP($M18,FS.PRO!$A:$A,FS.PRO!E:E,0,0,1)</f>
        <v>142500</v>
      </c>
      <c r="R18" s="1048"/>
      <c r="S18" s="1496">
        <f>_xlfn.XLOOKUP($M18,FS.PRO!$A:$A,FS.PRO!G:G,0,0,1)</f>
        <v>637500</v>
      </c>
      <c r="T18" s="1048"/>
      <c r="U18" s="1496">
        <f>_xlfn.XLOOKUP($M18,FS.PRO!$A:$A,FS.PRO!I:I,0,0,1)</f>
        <v>1500000</v>
      </c>
      <c r="V18" s="1048"/>
      <c r="W18" s="1496">
        <f>_xlfn.XLOOKUP($M18,FS.PRO!$A:$A,FS.PRO!K:K,0,0,1)</f>
        <v>2625000</v>
      </c>
      <c r="AA18" s="1542" t="s">
        <v>507</v>
      </c>
      <c r="AC18" s="1644">
        <f>FS.PRO!C109-AC10</f>
        <v>0</v>
      </c>
      <c r="AE18" s="1644">
        <f>FS.PRO!E109-AE10</f>
        <v>0</v>
      </c>
      <c r="AG18" s="1644">
        <f>FS.PRO!G109-AG10</f>
        <v>0</v>
      </c>
      <c r="AI18" s="1644">
        <f>FS.PRO!I109-AI10</f>
        <v>0</v>
      </c>
    </row>
    <row r="19" spans="1:35" ht="14.4" thickBot="1" x14ac:dyDescent="0.3">
      <c r="A19" s="1497" t="str">
        <f>FS.1!A37</f>
        <v>Non-current liabilities</v>
      </c>
      <c r="B19" s="1498" t="s">
        <v>90</v>
      </c>
      <c r="C19" s="1499">
        <f>SUM(C16:C18)</f>
        <v>65406</v>
      </c>
      <c r="D19" s="1498" t="s">
        <v>90</v>
      </c>
      <c r="E19" s="1499">
        <f>SUM(E16:E18)</f>
        <v>771205</v>
      </c>
      <c r="F19" s="1498" t="s">
        <v>90</v>
      </c>
      <c r="G19" s="1499">
        <f>SUM(G16:G18)</f>
        <v>3313254</v>
      </c>
      <c r="H19" s="1498" t="s">
        <v>90</v>
      </c>
      <c r="I19" s="1499">
        <f>SUM(I16:I18)</f>
        <v>8700754</v>
      </c>
      <c r="J19" s="1498" t="s">
        <v>90</v>
      </c>
      <c r="K19" s="1499">
        <f>SUM(K16:K18)</f>
        <v>17550754</v>
      </c>
      <c r="M19" s="1495" t="str">
        <f>FS.PRO!A72</f>
        <v>Shop supplies</v>
      </c>
      <c r="O19" s="1496">
        <f>_xlfn.XLOOKUP($M19,FS.PRO!$A:$A,FS.PRO!C:C,0,0,1)</f>
        <v>3633</v>
      </c>
      <c r="P19" s="1048"/>
      <c r="Q19" s="1496">
        <f>_xlfn.XLOOKUP($M19,FS.PRO!$A:$A,FS.PRO!E:E,0,0,1)</f>
        <v>86292</v>
      </c>
      <c r="R19" s="1048"/>
      <c r="S19" s="1496">
        <f>_xlfn.XLOOKUP($M19,FS.PRO!$A:$A,FS.PRO!G:G,0,0,1)</f>
        <v>386042</v>
      </c>
      <c r="T19" s="1048"/>
      <c r="U19" s="1496">
        <f>_xlfn.XLOOKUP($M19,FS.PRO!$A:$A,FS.PRO!I:I,0,0,1)</f>
        <v>908333</v>
      </c>
      <c r="V19" s="1048"/>
      <c r="W19" s="1496">
        <f>_xlfn.XLOOKUP($M19,FS.PRO!$A:$A,FS.PRO!K:K,0,0,1)</f>
        <v>1589583</v>
      </c>
      <c r="AA19" s="1542" t="s">
        <v>507</v>
      </c>
      <c r="AC19" s="1644">
        <f>FS.PRO!C111-AC12</f>
        <v>0</v>
      </c>
      <c r="AE19" s="1644">
        <f>FS.PRO!E111-AE12</f>
        <v>0</v>
      </c>
      <c r="AG19" s="1644">
        <f>FS.PRO!G111-AG12</f>
        <v>0</v>
      </c>
      <c r="AI19" s="1644">
        <f>FS.PRO!I111-AI12</f>
        <v>0</v>
      </c>
    </row>
    <row r="20" spans="1:35" x14ac:dyDescent="0.25">
      <c r="A20" s="1627" t="str">
        <f>FS.PRO!A39</f>
        <v>Loans and borrowings</v>
      </c>
      <c r="B20" s="1645"/>
      <c r="C20" s="1628">
        <f>_xlfn.XLOOKUP($A20,FS.PRO!$A:$A,FS.PRO!C:C,0,0,1)</f>
        <v>3000000</v>
      </c>
      <c r="D20" s="1645"/>
      <c r="E20" s="1628">
        <f>_xlfn.XLOOKUP($A20,FS.PRO!$A:$A,FS.PRO!E:E,0,0,1)</f>
        <v>3000000</v>
      </c>
      <c r="F20" s="1645"/>
      <c r="G20" s="1628">
        <f>_xlfn.XLOOKUP($A20,FS.PRO!$A:$A,FS.PRO!G:G,0,0,1)</f>
        <v>0</v>
      </c>
      <c r="H20" s="1645"/>
      <c r="I20" s="1628">
        <f>_xlfn.XLOOKUP($A20,FS.PRO!$A:$A,FS.PRO!I:I,0,0,1)</f>
        <v>0</v>
      </c>
      <c r="J20" s="1645"/>
      <c r="K20" s="1628">
        <f>_xlfn.XLOOKUP($A20,FS.PRO!$A:$A,FS.PRO!K:K,0,0,1)</f>
        <v>0</v>
      </c>
      <c r="M20" s="1495" t="str">
        <f>FS.PRO!A73</f>
        <v>Warranty expense</v>
      </c>
      <c r="O20" s="1496">
        <f>_xlfn.XLOOKUP($M20,FS.PRO!$A:$A,FS.PRO!C:C,0,0,1)</f>
        <v>9756</v>
      </c>
      <c r="P20" s="1048"/>
      <c r="Q20" s="1496">
        <f>_xlfn.XLOOKUP($M20,FS.PRO!$A:$A,FS.PRO!E:E,0,0,1)</f>
        <v>142500</v>
      </c>
      <c r="R20" s="1048"/>
      <c r="S20" s="1496">
        <f>_xlfn.XLOOKUP($M20,FS.PRO!$A:$A,FS.PRO!G:G,0,0,1)</f>
        <v>637500</v>
      </c>
      <c r="T20" s="1048"/>
      <c r="U20" s="1496">
        <f>_xlfn.XLOOKUP($M20,FS.PRO!$A:$A,FS.PRO!I:I,0,0,1)</f>
        <v>1500000</v>
      </c>
      <c r="V20" s="1048"/>
      <c r="W20" s="1496">
        <f>_xlfn.XLOOKUP($M20,FS.PRO!$A:$A,FS.PRO!K:K,0,0,1)</f>
        <v>2625000</v>
      </c>
      <c r="AA20" s="1542" t="s">
        <v>507</v>
      </c>
      <c r="AC20" s="1644">
        <f>FS.PRO!C113-AC14</f>
        <v>0</v>
      </c>
      <c r="AE20" s="1644">
        <f>FS.PRO!E113-AE14</f>
        <v>0</v>
      </c>
      <c r="AG20" s="1644">
        <f>FS.PRO!G113-AG14</f>
        <v>0</v>
      </c>
      <c r="AI20" s="1644">
        <f>FS.PRO!I113-AI14</f>
        <v>0</v>
      </c>
    </row>
    <row r="21" spans="1:35" ht="14.4" thickBot="1" x14ac:dyDescent="0.3">
      <c r="A21" s="1509" t="str">
        <f>FS.1!A39</f>
        <v>Total Liabilities</v>
      </c>
      <c r="B21" s="1511"/>
      <c r="C21" s="1512">
        <f>SUM(C19:C20)</f>
        <v>3065406</v>
      </c>
      <c r="D21" s="1511"/>
      <c r="E21" s="1512">
        <f>SUM(E19:E20)</f>
        <v>3771205</v>
      </c>
      <c r="F21" s="1511"/>
      <c r="G21" s="1512">
        <f>SUM(G19:G20)</f>
        <v>3313254</v>
      </c>
      <c r="H21" s="1511"/>
      <c r="I21" s="1512">
        <f>SUM(I19:I20)</f>
        <v>8700754</v>
      </c>
      <c r="J21" s="1511"/>
      <c r="K21" s="1512">
        <f>SUM(K19:K20)</f>
        <v>17550754</v>
      </c>
      <c r="M21" s="1495" t="str">
        <f>FS.PRO!A74</f>
        <v>Amortization expense</v>
      </c>
      <c r="O21" s="1496">
        <f>_xlfn.XLOOKUP($M21,FS.PRO!$A:$A,FS.PRO!C:C,0,0,1)</f>
        <v>1256364</v>
      </c>
      <c r="P21" s="1048"/>
      <c r="Q21" s="1496">
        <f>_xlfn.XLOOKUP($M21,FS.PRO!$A:$A,FS.PRO!E:E,0,0,1)</f>
        <v>1256364</v>
      </c>
      <c r="R21" s="1048"/>
      <c r="S21" s="1496">
        <f>_xlfn.XLOOKUP($M21,FS.PRO!$A:$A,FS.PRO!G:G,0,0,1)</f>
        <v>1256364</v>
      </c>
      <c r="T21" s="1048"/>
      <c r="U21" s="1496">
        <f>_xlfn.XLOOKUP($M21,FS.PRO!$A:$A,FS.PRO!I:I,0,0,1)</f>
        <v>188259</v>
      </c>
      <c r="V21" s="1048"/>
      <c r="W21" s="1496">
        <f>_xlfn.XLOOKUP($M21,FS.PRO!$A:$A,FS.PRO!K:K,0,0,1)</f>
        <v>0</v>
      </c>
      <c r="AI21" s="1644"/>
    </row>
    <row r="22" spans="1:35" x14ac:dyDescent="0.25">
      <c r="A22" s="1500" t="s">
        <v>1830</v>
      </c>
      <c r="B22" s="1048"/>
      <c r="C22" s="1496"/>
      <c r="D22" s="1048"/>
      <c r="E22" s="1496"/>
      <c r="F22" s="1048"/>
      <c r="G22" s="1496"/>
      <c r="H22" s="1048"/>
      <c r="I22" s="1496"/>
      <c r="J22" s="1048"/>
      <c r="K22" s="1496"/>
      <c r="M22" s="1495" t="str">
        <f>FS.PRO!A75</f>
        <v>Foreign exchange</v>
      </c>
      <c r="O22" s="1496">
        <f>_xlfn.XLOOKUP($M22,FS.PRO!$A:$A,FS.PRO!C:C,0,0,1)</f>
        <v>-69</v>
      </c>
      <c r="P22" s="1048"/>
      <c r="Q22" s="1496">
        <f>_xlfn.XLOOKUP($M22,FS.PRO!$A:$A,FS.PRO!E:E,0,0,1)</f>
        <v>0</v>
      </c>
      <c r="R22" s="1048"/>
      <c r="S22" s="1496">
        <f>_xlfn.XLOOKUP($M22,FS.PRO!$A:$A,FS.PRO!G:G,0,0,1)</f>
        <v>0</v>
      </c>
      <c r="T22" s="1048"/>
      <c r="U22" s="1496">
        <f>_xlfn.XLOOKUP($M22,FS.PRO!$A:$A,FS.PRO!I:I,0,0,1)</f>
        <v>0</v>
      </c>
      <c r="V22" s="1048"/>
      <c r="W22" s="1496">
        <f>_xlfn.XLOOKUP($M22,FS.PRO!$A:$A,FS.PRO!K:K,0,0,1)</f>
        <v>0</v>
      </c>
    </row>
    <row r="23" spans="1:35" x14ac:dyDescent="0.25">
      <c r="A23" s="1495" t="str">
        <f>FS.1!A41</f>
        <v>Share capital</v>
      </c>
      <c r="B23" s="1048" t="s">
        <v>90</v>
      </c>
      <c r="C23" s="1496">
        <f>_xlfn.XLOOKUP($A23,FS.PRO!$A:$A,FS.PRO!C:C,0,0,1)</f>
        <v>8555220</v>
      </c>
      <c r="D23" s="1048" t="s">
        <v>90</v>
      </c>
      <c r="E23" s="1496">
        <f>_xlfn.XLOOKUP($A23,FS.PRO!$A:$A,FS.PRO!E:E,0,0,1)</f>
        <v>8555220</v>
      </c>
      <c r="F23" s="1048" t="s">
        <v>90</v>
      </c>
      <c r="G23" s="1496">
        <f>_xlfn.XLOOKUP($A23,FS.PRO!$A:$A,FS.PRO!G:G,0,0,1)</f>
        <v>8555220</v>
      </c>
      <c r="H23" s="1048" t="s">
        <v>90</v>
      </c>
      <c r="I23" s="1496">
        <f>_xlfn.XLOOKUP($A23,FS.PRO!$A:$A,FS.PRO!I:I,0,0,1)</f>
        <v>8555220</v>
      </c>
      <c r="J23" s="1048" t="s">
        <v>90</v>
      </c>
      <c r="K23" s="1496">
        <f>_xlfn.XLOOKUP($A23,FS.PRO!$A:$A,FS.PRO!K:K,0,0,1)</f>
        <v>8555220</v>
      </c>
      <c r="M23" s="1495" t="str">
        <f>FS.PRO!A76</f>
        <v>Rent</v>
      </c>
      <c r="O23" s="1496">
        <f>_xlfn.XLOOKUP($M23,FS.PRO!$A:$A,FS.PRO!C:C,0,0,1)</f>
        <v>12000</v>
      </c>
      <c r="P23" s="1048"/>
      <c r="Q23" s="1496">
        <f>_xlfn.XLOOKUP($M23,FS.PRO!$A:$A,FS.PRO!E:E,0,0,1)</f>
        <v>63000</v>
      </c>
      <c r="R23" s="1048"/>
      <c r="S23" s="1496">
        <f>_xlfn.XLOOKUP($M23,FS.PRO!$A:$A,FS.PRO!G:G,0,0,1)</f>
        <v>228000</v>
      </c>
      <c r="T23" s="1048"/>
      <c r="U23" s="1496">
        <f>_xlfn.XLOOKUP($M23,FS.PRO!$A:$A,FS.PRO!I:I,0,0,1)</f>
        <v>228000</v>
      </c>
      <c r="V23" s="1048"/>
      <c r="W23" s="1496">
        <f>_xlfn.XLOOKUP($M23,FS.PRO!$A:$A,FS.PRO!K:K,0,0,1)</f>
        <v>228000</v>
      </c>
      <c r="AI23" s="1644"/>
    </row>
    <row r="24" spans="1:35" x14ac:dyDescent="0.25">
      <c r="A24" s="1495" t="str">
        <f>FS.1!A42</f>
        <v>Contributed surplus</v>
      </c>
      <c r="B24" s="1048"/>
      <c r="C24" s="1496">
        <f>_xlfn.XLOOKUP($A24,FS.PRO!$A:$A,FS.PRO!C:C,0,0,1)</f>
        <v>308750</v>
      </c>
      <c r="D24" s="1048"/>
      <c r="E24" s="1496">
        <f>_xlfn.XLOOKUP($A24,FS.PRO!$A:$A,FS.PRO!E:E,0,0,1)</f>
        <v>308750</v>
      </c>
      <c r="F24" s="1048"/>
      <c r="G24" s="1496">
        <f>_xlfn.XLOOKUP($A24,FS.PRO!$A:$A,FS.PRO!G:G,0,0,1)</f>
        <v>308750</v>
      </c>
      <c r="H24" s="1048"/>
      <c r="I24" s="1496">
        <f>_xlfn.XLOOKUP($A24,FS.PRO!$A:$A,FS.PRO!I:I,0,0,1)</f>
        <v>308750</v>
      </c>
      <c r="J24" s="1048"/>
      <c r="K24" s="1496">
        <f>_xlfn.XLOOKUP($A24,FS.PRO!$A:$A,FS.PRO!K:K,0,0,1)</f>
        <v>308750</v>
      </c>
      <c r="M24" s="1495" t="str">
        <f>FS.PRO!A77</f>
        <v>Research and development</v>
      </c>
      <c r="O24" s="1496">
        <f>_xlfn.XLOOKUP($M24,FS.PRO!$A:$A,FS.PRO!C:C,0,0,1)</f>
        <v>0</v>
      </c>
      <c r="P24" s="1048"/>
      <c r="Q24" s="1496">
        <f>_xlfn.XLOOKUP($M24,FS.PRO!$A:$A,FS.PRO!E:E,0,0,1)</f>
        <v>310000</v>
      </c>
      <c r="R24" s="1048"/>
      <c r="S24" s="1496">
        <f>_xlfn.XLOOKUP($M24,FS.PRO!$A:$A,FS.PRO!G:G,0,0,1)</f>
        <v>310000</v>
      </c>
      <c r="T24" s="1048"/>
      <c r="U24" s="1496">
        <f>_xlfn.XLOOKUP($M24,FS.PRO!$A:$A,FS.PRO!I:I,0,0,1)</f>
        <v>310000</v>
      </c>
      <c r="V24" s="1048"/>
      <c r="W24" s="1496">
        <f>_xlfn.XLOOKUP($M24,FS.PRO!$A:$A,FS.PRO!K:K,0,0,1)</f>
        <v>310000</v>
      </c>
    </row>
    <row r="25" spans="1:35" x14ac:dyDescent="0.25">
      <c r="A25" s="1513" t="str">
        <f>FS.1!A43</f>
        <v>Accumulated deficit</v>
      </c>
      <c r="B25" s="1514"/>
      <c r="C25" s="1508">
        <f>_xlfn.XLOOKUP($A25,FS.PRO!$A:$A,FS.PRO!C:C,0,0,1)</f>
        <v>-6808890</v>
      </c>
      <c r="D25" s="1514"/>
      <c r="E25" s="1508">
        <f>_xlfn.XLOOKUP($A25,FS.PRO!$A:$A,FS.PRO!E:E,0,0,1)</f>
        <v>-8456789</v>
      </c>
      <c r="F25" s="1514"/>
      <c r="G25" s="1508">
        <f>_xlfn.XLOOKUP($A25,FS.PRO!$A:$A,FS.PRO!G:G,0,0,1)</f>
        <v>-8119861</v>
      </c>
      <c r="H25" s="1514"/>
      <c r="I25" s="1508">
        <f>_xlfn.XLOOKUP($A25,FS.PRO!$A:$A,FS.PRO!I:I,0,0,1)</f>
        <v>-2121015</v>
      </c>
      <c r="J25" s="1514"/>
      <c r="K25" s="1508">
        <f>_xlfn.XLOOKUP($A25,FS.PRO!$A:$A,FS.PRO!K:K,0,0,1)</f>
        <v>9644749</v>
      </c>
      <c r="M25" s="1502" t="s">
        <v>297</v>
      </c>
      <c r="N25" s="1504" t="s">
        <v>90</v>
      </c>
      <c r="O25" s="1505">
        <f>-SUM(O7:O24)</f>
        <v>-1828302</v>
      </c>
      <c r="P25" s="1504" t="s">
        <v>90</v>
      </c>
      <c r="Q25" s="1505">
        <f>-SUM(Q7:Q24)</f>
        <v>-2942482</v>
      </c>
      <c r="R25" s="1504" t="s">
        <v>90</v>
      </c>
      <c r="S25" s="1505">
        <f>-SUM(S7:S24)</f>
        <v>-6855572</v>
      </c>
      <c r="T25" s="1504" t="s">
        <v>90</v>
      </c>
      <c r="U25" s="1505">
        <f>-SUM(U7:U24)</f>
        <v>-11940321</v>
      </c>
      <c r="V25" s="1504" t="s">
        <v>90</v>
      </c>
      <c r="W25" s="1505">
        <f>-SUM(W7:W24)</f>
        <v>-19774236</v>
      </c>
    </row>
    <row r="26" spans="1:35" ht="14.4" thickBot="1" x14ac:dyDescent="0.3">
      <c r="A26" s="1509" t="s">
        <v>1831</v>
      </c>
      <c r="B26" s="1511" t="s">
        <v>90</v>
      </c>
      <c r="C26" s="1512">
        <f>SUM(C23:C25)</f>
        <v>2055080</v>
      </c>
      <c r="D26" s="1511" t="s">
        <v>90</v>
      </c>
      <c r="E26" s="1512">
        <f>SUM(E23:E25)</f>
        <v>407181</v>
      </c>
      <c r="F26" s="1511" t="s">
        <v>90</v>
      </c>
      <c r="G26" s="1512">
        <f>SUM(G23:G25)</f>
        <v>744109</v>
      </c>
      <c r="H26" s="1511" t="s">
        <v>90</v>
      </c>
      <c r="I26" s="1512">
        <f>SUM(I23:I25)</f>
        <v>6742955</v>
      </c>
      <c r="J26" s="1511" t="s">
        <v>90</v>
      </c>
      <c r="K26" s="1512">
        <f>SUM(K23:K25)</f>
        <v>18508719</v>
      </c>
      <c r="M26" s="1502" t="s">
        <v>2290</v>
      </c>
      <c r="N26" s="1504" t="s">
        <v>90</v>
      </c>
      <c r="O26" s="1505">
        <f>SUM(O5,O25)</f>
        <v>-1700302</v>
      </c>
      <c r="P26" s="1504" t="s">
        <v>90</v>
      </c>
      <c r="Q26" s="1505">
        <f>SUM(Q5,Q25)</f>
        <v>-1287899</v>
      </c>
      <c r="R26" s="1504" t="s">
        <v>90</v>
      </c>
      <c r="S26" s="1505">
        <f>SUM(S5,S25)</f>
        <v>696928</v>
      </c>
      <c r="T26" s="1504" t="s">
        <v>90</v>
      </c>
      <c r="U26" s="1505">
        <f>SUM(U5,U25)</f>
        <v>5998846</v>
      </c>
      <c r="V26" s="1504" t="s">
        <v>90</v>
      </c>
      <c r="W26" s="1505">
        <f>SUM(W5,W25)</f>
        <v>11765764</v>
      </c>
    </row>
    <row r="27" spans="1:35" ht="14.4" thickBot="1" x14ac:dyDescent="0.3">
      <c r="A27" s="1515" t="s">
        <v>693</v>
      </c>
      <c r="B27" s="1517" t="s">
        <v>90</v>
      </c>
      <c r="C27" s="1583">
        <f>C26+C21</f>
        <v>5120486</v>
      </c>
      <c r="D27" s="1517" t="s">
        <v>90</v>
      </c>
      <c r="E27" s="1583">
        <f>E26+E21</f>
        <v>4178386</v>
      </c>
      <c r="F27" s="1517" t="s">
        <v>90</v>
      </c>
      <c r="G27" s="1583">
        <f>G26+G21</f>
        <v>4057363</v>
      </c>
      <c r="H27" s="1517" t="s">
        <v>90</v>
      </c>
      <c r="I27" s="1583">
        <f>I26+I21</f>
        <v>15443709</v>
      </c>
      <c r="J27" s="1517" t="s">
        <v>90</v>
      </c>
      <c r="K27" s="1583">
        <f>K26+K21</f>
        <v>36059473</v>
      </c>
      <c r="M27" s="1500" t="str">
        <f>FS.PRO!A81</f>
        <v>Other income (expenses)</v>
      </c>
      <c r="N27" s="1051"/>
      <c r="O27" s="1501"/>
      <c r="P27" s="1051"/>
      <c r="Q27" s="1501"/>
      <c r="R27" s="1051"/>
      <c r="S27" s="1501"/>
      <c r="T27" s="1051"/>
      <c r="U27" s="1501"/>
      <c r="V27" s="1051"/>
      <c r="W27" s="1501"/>
    </row>
    <row r="28" spans="1:35" x14ac:dyDescent="0.25">
      <c r="M28" s="592" t="s">
        <v>235</v>
      </c>
      <c r="N28" s="1482"/>
      <c r="O28" s="1496">
        <f>_xlfn.XLOOKUP($M28,FS.PRO!$A:$A,FS.PRO!C:C,0,0,1)</f>
        <v>47085</v>
      </c>
      <c r="P28" s="1482"/>
      <c r="Q28" s="1496">
        <f>_xlfn.XLOOKUP($M28,FS.PRO!$A:$A,FS.PRO!E:E,0,0,1)</f>
        <v>0</v>
      </c>
      <c r="R28" s="1482"/>
      <c r="S28" s="1496">
        <f>_xlfn.XLOOKUP($M28,FS.PRO!$A:$A,FS.PRO!G:G,0,0,1)</f>
        <v>0</v>
      </c>
      <c r="T28" s="1482"/>
      <c r="U28" s="1496">
        <f>_xlfn.XLOOKUP($M28,FS.PRO!$A:$A,FS.PRO!I:I,0,0,1)</f>
        <v>0</v>
      </c>
      <c r="V28" s="1482"/>
      <c r="W28" s="1496">
        <f>_xlfn.XLOOKUP($M28,FS.PRO!$A:$A,FS.PRO!K:K,0,0,1)</f>
        <v>0</v>
      </c>
    </row>
    <row r="29" spans="1:35" x14ac:dyDescent="0.25">
      <c r="A29" s="1646" t="s">
        <v>507</v>
      </c>
      <c r="B29" s="1646"/>
      <c r="C29" s="1647">
        <f>FS.PRO!C47-C27</f>
        <v>0</v>
      </c>
      <c r="E29" s="1647">
        <f>FS.PRO!E47-E27</f>
        <v>0</v>
      </c>
      <c r="G29" s="1647">
        <f>FS.PRO!G47-G27</f>
        <v>0</v>
      </c>
      <c r="I29" s="1647">
        <f>FS.PRO!I47-I27</f>
        <v>0</v>
      </c>
      <c r="K29" s="1647">
        <f>FS.PRO!K47-K27</f>
        <v>0</v>
      </c>
      <c r="M29" s="592" t="str">
        <f>FS.PRO!A84</f>
        <v>Net financial expenses</v>
      </c>
      <c r="N29" s="1484"/>
      <c r="O29" s="1496">
        <f>_xlfn.XLOOKUP($M29,FS.PRO!$A:$A,FS.PRO!C:C,0,0,1)</f>
        <v>-36210</v>
      </c>
      <c r="P29" s="1484"/>
      <c r="Q29" s="1496">
        <f>_xlfn.XLOOKUP($M29,FS.PRO!$A:$A,FS.PRO!E:E,0,0,1)</f>
        <v>0</v>
      </c>
      <c r="R29" s="1484"/>
      <c r="S29" s="1496">
        <f>_xlfn.XLOOKUP($M29,FS.PRO!$A:$A,FS.PRO!G:G,0,0,1)</f>
        <v>0</v>
      </c>
      <c r="T29" s="1484"/>
      <c r="U29" s="1496">
        <f>_xlfn.XLOOKUP($M29,FS.PRO!$A:$A,FS.PRO!I:I,0,0,1)</f>
        <v>0</v>
      </c>
      <c r="V29" s="1484"/>
      <c r="W29" s="1496">
        <f>_xlfn.XLOOKUP($M29,FS.PRO!$A:$A,FS.PRO!K:K,0,0,1)</f>
        <v>0</v>
      </c>
    </row>
    <row r="30" spans="1:35" x14ac:dyDescent="0.25">
      <c r="A30" s="1646" t="s">
        <v>507</v>
      </c>
      <c r="C30" s="1647">
        <f>C27-C13</f>
        <v>0</v>
      </c>
      <c r="E30" s="1647">
        <f>E27-E13</f>
        <v>0</v>
      </c>
      <c r="G30" s="1647">
        <f>G27-G13</f>
        <v>0</v>
      </c>
      <c r="I30" s="1647">
        <f>I27-I13</f>
        <v>0</v>
      </c>
      <c r="K30" s="1647">
        <f>K27-K13</f>
        <v>0</v>
      </c>
      <c r="M30" s="592" t="str">
        <f>FS.PRO!A86</f>
        <v>Interest expense</v>
      </c>
      <c r="N30" s="1484"/>
      <c r="O30" s="1496">
        <f>_xlfn.XLOOKUP($M30,FS.PRO!$A:$A,FS.PRO!C:C,0,0,1)</f>
        <v>-141773</v>
      </c>
      <c r="P30" s="1484"/>
      <c r="Q30" s="1496">
        <f>_xlfn.XLOOKUP($M30,FS.PRO!$A:$A,FS.PRO!E:E,0,0,1)</f>
        <v>-360000</v>
      </c>
      <c r="R30" s="1484"/>
      <c r="S30" s="1496">
        <f>_xlfn.XLOOKUP($M30,FS.PRO!$A:$A,FS.PRO!G:G,0,0,1)</f>
        <v>-360000</v>
      </c>
      <c r="T30" s="1484"/>
      <c r="U30" s="1496">
        <f>_xlfn.XLOOKUP($M30,FS.PRO!$A:$A,FS.PRO!I:I,0,0,1)</f>
        <v>0</v>
      </c>
      <c r="V30" s="1484"/>
      <c r="W30" s="1496">
        <f>_xlfn.XLOOKUP($M30,FS.PRO!$A:$A,FS.PRO!K:K,0,0,1)</f>
        <v>0</v>
      </c>
    </row>
    <row r="31" spans="1:35" ht="14.4" thickBot="1" x14ac:dyDescent="0.3">
      <c r="M31" s="1648" t="s">
        <v>2306</v>
      </c>
      <c r="N31" s="1498" t="s">
        <v>90</v>
      </c>
      <c r="O31" s="1499">
        <f>SUM(O26:O30)</f>
        <v>-1831200</v>
      </c>
      <c r="P31" s="1498" t="s">
        <v>90</v>
      </c>
      <c r="Q31" s="1499">
        <f>SUM(Q26:Q30)</f>
        <v>-1647899</v>
      </c>
      <c r="R31" s="1498" t="s">
        <v>90</v>
      </c>
      <c r="S31" s="1499">
        <f>SUM(S26:S30)</f>
        <v>336928</v>
      </c>
      <c r="T31" s="1498" t="s">
        <v>90</v>
      </c>
      <c r="U31" s="1499">
        <f>SUM(U26:U30)</f>
        <v>5998846</v>
      </c>
      <c r="V31" s="1498" t="s">
        <v>90</v>
      </c>
      <c r="W31" s="1499">
        <f>SUM(W26:W30)</f>
        <v>11765764</v>
      </c>
    </row>
    <row r="32" spans="1:35" x14ac:dyDescent="0.25">
      <c r="M32" s="1646" t="s">
        <v>507</v>
      </c>
      <c r="O32" s="1649">
        <f>FS.PRO!C91-O31</f>
        <v>0</v>
      </c>
      <c r="Q32" s="1649">
        <f>FS.PRO!E91-Q31</f>
        <v>0</v>
      </c>
      <c r="S32" s="1649">
        <f>FS.PRO!G91-S31</f>
        <v>0</v>
      </c>
      <c r="U32" s="1649">
        <f>FS.PRO!I91-U31</f>
        <v>0</v>
      </c>
      <c r="W32" s="1649">
        <f>FS.PRO!K91-W31</f>
        <v>0</v>
      </c>
    </row>
  </sheetData>
  <pageMargins left="0.7" right="0.7" top="0.75" bottom="0.75" header="0.3" footer="0.3"/>
  <pageSetup orientation="landscape"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AD8B0-2E3E-4F1C-917A-56062B73889D}">
  <sheetPr>
    <tabColor rgb="FFFFC000"/>
  </sheetPr>
  <dimension ref="A1:AM69"/>
  <sheetViews>
    <sheetView workbookViewId="0"/>
  </sheetViews>
  <sheetFormatPr defaultColWidth="9.109375" defaultRowHeight="13.8" x14ac:dyDescent="0.25"/>
  <cols>
    <col min="1" max="1" width="52.6640625" style="1070" bestFit="1" customWidth="1"/>
    <col min="2" max="2" width="6.88671875" style="1070" customWidth="1"/>
    <col min="3" max="3" width="2" style="1070" bestFit="1" customWidth="1"/>
    <col min="4" max="4" width="11.88671875" style="1070" customWidth="1"/>
    <col min="5" max="5" width="2" style="1070" bestFit="1" customWidth="1"/>
    <col min="6" max="6" width="11.88671875" style="1070" customWidth="1"/>
    <col min="7" max="7" width="48.33203125" style="1070" customWidth="1"/>
    <col min="8" max="8" width="5.6640625" style="1070" bestFit="1" customWidth="1"/>
    <col min="9" max="9" width="2" style="1482" bestFit="1" customWidth="1"/>
    <col min="10" max="10" width="14" style="1070" customWidth="1"/>
    <col min="11" max="11" width="2" style="1482" bestFit="1" customWidth="1"/>
    <col min="12" max="12" width="14" style="1070" customWidth="1"/>
    <col min="13" max="13" width="35.109375" style="1070" customWidth="1"/>
    <col min="14" max="14" width="5.6640625" style="1070" bestFit="1" customWidth="1"/>
    <col min="15" max="15" width="1.6640625" style="1070" bestFit="1" customWidth="1"/>
    <col min="16" max="16" width="11.44140625" style="1070" customWidth="1"/>
    <col min="17" max="17" width="1.6640625" style="1070" bestFit="1" customWidth="1"/>
    <col min="18" max="18" width="11.44140625" style="1070" customWidth="1"/>
    <col min="19" max="19" width="1.6640625" style="1070" bestFit="1" customWidth="1"/>
    <col min="20" max="20" width="11.44140625" style="1070" customWidth="1"/>
    <col min="21" max="21" width="1.6640625" style="1070" bestFit="1" customWidth="1"/>
    <col min="22" max="22" width="11" style="1070" customWidth="1"/>
    <col min="23" max="23" width="42.88671875" style="1070" bestFit="1" customWidth="1"/>
    <col min="24" max="24" width="5.44140625" style="1070" bestFit="1" customWidth="1"/>
    <col min="25" max="25" width="2" style="1070" bestFit="1" customWidth="1"/>
    <col min="26" max="26" width="11.88671875" style="1070" customWidth="1"/>
    <col min="27" max="27" width="2" style="1070" bestFit="1" customWidth="1"/>
    <col min="28" max="28" width="11.88671875" style="1070" customWidth="1"/>
    <col min="29" max="29" width="2" style="1070" bestFit="1" customWidth="1"/>
    <col min="30" max="30" width="11.88671875" style="1070" customWidth="1"/>
    <col min="31" max="31" width="2" style="1070" bestFit="1" customWidth="1"/>
    <col min="32" max="32" width="1.88671875" style="1070" customWidth="1"/>
    <col min="33" max="33" width="17.44140625" style="1070" bestFit="1" customWidth="1"/>
    <col min="34" max="35" width="13.109375" style="1070" bestFit="1" customWidth="1"/>
    <col min="36" max="36" width="10.77734375" style="1070" bestFit="1" customWidth="1"/>
    <col min="37" max="37" width="12.88671875" style="1070" customWidth="1"/>
    <col min="38" max="38" width="11" style="1070" customWidth="1"/>
    <col min="39" max="39" width="12.88671875" style="1070" customWidth="1"/>
    <col min="40" max="16384" width="9.109375" style="1070"/>
  </cols>
  <sheetData>
    <row r="1" spans="1:39" ht="19.649999999999999" customHeight="1" thickBot="1" x14ac:dyDescent="0.3">
      <c r="A1" s="1378" t="s">
        <v>1971</v>
      </c>
      <c r="G1" s="1378" t="s">
        <v>1972</v>
      </c>
      <c r="M1" s="1378" t="s">
        <v>1973</v>
      </c>
      <c r="W1" s="1378" t="s">
        <v>2231</v>
      </c>
      <c r="AG1" s="1378" t="s">
        <v>2232</v>
      </c>
    </row>
    <row r="2" spans="1:39" ht="25.2" thickTop="1" thickBot="1" x14ac:dyDescent="0.3">
      <c r="A2" s="690" t="str">
        <f>"As at"</f>
        <v>As at</v>
      </c>
      <c r="B2" s="691" t="s">
        <v>88</v>
      </c>
      <c r="C2" s="692"/>
      <c r="D2" s="693" t="str">
        <f>FS.1!C10</f>
        <v>June 30, 2025</v>
      </c>
      <c r="E2" s="692"/>
      <c r="F2" s="693" t="str">
        <f>FS.1!E8</f>
        <v>June 30, 2024</v>
      </c>
      <c r="G2" s="694" t="s">
        <v>1969</v>
      </c>
      <c r="H2" s="695" t="s">
        <v>88</v>
      </c>
      <c r="I2" s="696"/>
      <c r="J2" s="1079" t="str">
        <f>FS.1!G53</f>
        <v>June 30, 2025</v>
      </c>
      <c r="K2" s="696"/>
      <c r="L2" s="696" t="str">
        <f>FS.1!I53</f>
        <v>June 30, 2024</v>
      </c>
      <c r="M2" s="695"/>
      <c r="N2" s="695"/>
      <c r="O2" s="1589" t="s">
        <v>1967</v>
      </c>
      <c r="P2" s="1589"/>
      <c r="Q2" s="1589"/>
      <c r="R2" s="1589"/>
      <c r="S2" s="1589" t="s">
        <v>1968</v>
      </c>
      <c r="T2" s="1589"/>
      <c r="U2" s="1589"/>
      <c r="V2" s="1589"/>
      <c r="W2" s="1539" t="s">
        <v>2229</v>
      </c>
      <c r="X2" s="1540" t="s">
        <v>88</v>
      </c>
      <c r="Y2" s="1159"/>
      <c r="Z2" s="1159" t="s">
        <v>2228</v>
      </c>
      <c r="AA2" s="1159"/>
      <c r="AB2" s="1541" t="s">
        <v>2227</v>
      </c>
      <c r="AC2" s="1159"/>
      <c r="AD2" s="1541" t="s">
        <v>2237</v>
      </c>
      <c r="AG2" s="1520" t="s">
        <v>2234</v>
      </c>
      <c r="AH2" s="1520" t="s">
        <v>2235</v>
      </c>
      <c r="AI2" s="1520" t="s">
        <v>2236</v>
      </c>
      <c r="AJ2" s="1520" t="s">
        <v>2239</v>
      </c>
      <c r="AK2" s="1520" t="s">
        <v>2240</v>
      </c>
      <c r="AL2" s="1520" t="s">
        <v>2247</v>
      </c>
      <c r="AM2" s="1520" t="s">
        <v>2233</v>
      </c>
    </row>
    <row r="3" spans="1:39" ht="14.1" customHeight="1" thickBot="1" x14ac:dyDescent="0.3">
      <c r="A3" s="616" t="s">
        <v>8</v>
      </c>
      <c r="B3" s="614"/>
      <c r="C3" s="572"/>
      <c r="D3" s="617"/>
      <c r="E3" s="572"/>
      <c r="F3" s="617"/>
      <c r="G3" s="1500" t="s">
        <v>2208</v>
      </c>
      <c r="H3" s="1072"/>
      <c r="I3" s="1051" t="s">
        <v>90</v>
      </c>
      <c r="J3" s="1501">
        <f>FS.1!G54</f>
        <v>360000</v>
      </c>
      <c r="K3" s="1051" t="s">
        <v>90</v>
      </c>
      <c r="L3" s="1501">
        <f>FS.1!I54</f>
        <v>0</v>
      </c>
      <c r="M3" s="694" t="s">
        <v>1970</v>
      </c>
      <c r="N3" s="695" t="s">
        <v>88</v>
      </c>
      <c r="O3" s="696"/>
      <c r="P3" s="1079" t="str">
        <f>FS.1!C53</f>
        <v>June 30, 2025</v>
      </c>
      <c r="Q3" s="696"/>
      <c r="R3" s="1079" t="str">
        <f>FS.1!E53</f>
        <v>June 30, 2024</v>
      </c>
      <c r="S3" s="696"/>
      <c r="T3" s="1079" t="str">
        <f>FS.1!G53</f>
        <v>June 30, 2025</v>
      </c>
      <c r="U3" s="696"/>
      <c r="V3" s="1079" t="str">
        <f>FS.1!I53</f>
        <v>June 30, 2024</v>
      </c>
      <c r="W3" s="1500" t="s">
        <v>8</v>
      </c>
      <c r="X3" s="1091"/>
      <c r="Y3" s="1048"/>
      <c r="Z3" s="1506"/>
      <c r="AA3" s="1048"/>
      <c r="AB3" s="1506"/>
      <c r="AC3" s="1048"/>
      <c r="AD3" s="1506"/>
      <c r="AG3" s="1544"/>
      <c r="AH3" s="1544"/>
      <c r="AI3" s="1544"/>
      <c r="AJ3" s="1544"/>
      <c r="AK3" s="1544"/>
      <c r="AL3" s="1544"/>
      <c r="AM3" s="1544"/>
    </row>
    <row r="4" spans="1:39" ht="17.100000000000001" customHeight="1" x14ac:dyDescent="0.25">
      <c r="A4" s="616" t="s">
        <v>415</v>
      </c>
      <c r="B4" s="614"/>
      <c r="C4" s="572"/>
      <c r="D4" s="1071"/>
      <c r="E4" s="572"/>
      <c r="F4" s="1071"/>
      <c r="G4" s="1495" t="s">
        <v>44</v>
      </c>
      <c r="H4" s="1091"/>
      <c r="I4" s="1048" t="s">
        <v>90</v>
      </c>
      <c r="J4" s="1496">
        <f>FS.1!G55</f>
        <v>-328158</v>
      </c>
      <c r="K4" s="1048" t="s">
        <v>90</v>
      </c>
      <c r="L4" s="1496">
        <f>FS.1!I55</f>
        <v>0</v>
      </c>
      <c r="M4" s="631"/>
      <c r="N4" s="632"/>
      <c r="O4" s="633"/>
      <c r="P4" s="634"/>
      <c r="Q4" s="633"/>
      <c r="R4" s="634"/>
      <c r="S4" s="633"/>
      <c r="T4" s="634"/>
      <c r="U4" s="633"/>
      <c r="V4" s="634"/>
      <c r="W4" s="1500" t="s">
        <v>415</v>
      </c>
      <c r="X4" s="1091"/>
      <c r="Y4" s="1048"/>
      <c r="Z4" s="1071"/>
      <c r="AA4" s="1048"/>
      <c r="AB4" s="1071"/>
      <c r="AC4" s="1048"/>
      <c r="AD4" s="1071"/>
      <c r="AG4" s="1544"/>
      <c r="AH4" s="1544"/>
      <c r="AI4" s="1544"/>
      <c r="AJ4" s="1544"/>
      <c r="AK4" s="1544"/>
      <c r="AL4" s="1544"/>
      <c r="AM4" s="1544">
        <f>SUM(AG4:AL4)</f>
        <v>0</v>
      </c>
    </row>
    <row r="5" spans="1:39" ht="17.100000000000001" customHeight="1" x14ac:dyDescent="0.25">
      <c r="A5" s="624" t="str">
        <f>FS.1!A13</f>
        <v>Cash</v>
      </c>
      <c r="B5" s="614"/>
      <c r="C5" s="572" t="s">
        <v>90</v>
      </c>
      <c r="D5" s="573">
        <f>_xlfn.XLOOKUP(A5,FS.1!A11:A46,FS.1!C11:C46,0,0,1)</f>
        <v>392</v>
      </c>
      <c r="E5" s="572" t="s">
        <v>90</v>
      </c>
      <c r="F5" s="573">
        <f>_xlfn.XLOOKUP(A5,FS.1!$A$11:$A$46,FS.1!$E$11:$E$46,0,0,1)</f>
        <v>5604</v>
      </c>
      <c r="G5" s="1502" t="s">
        <v>2238</v>
      </c>
      <c r="H5" s="1503"/>
      <c r="I5" s="1504" t="s">
        <v>90</v>
      </c>
      <c r="J5" s="1505">
        <f>SUM(J3:J4)</f>
        <v>31842</v>
      </c>
      <c r="K5" s="1504" t="s">
        <v>90</v>
      </c>
      <c r="L5" s="1505">
        <f>SUM(L3:L4)</f>
        <v>0</v>
      </c>
      <c r="M5" s="616" t="s">
        <v>296</v>
      </c>
      <c r="N5" s="1091"/>
      <c r="O5" s="572"/>
      <c r="P5" s="617"/>
      <c r="Q5" s="572"/>
      <c r="R5" s="617"/>
      <c r="S5" s="572"/>
      <c r="T5" s="617"/>
      <c r="U5" s="572"/>
      <c r="V5" s="617"/>
      <c r="W5" s="1495" t="s">
        <v>451</v>
      </c>
      <c r="X5" s="1091"/>
      <c r="Y5" s="1048" t="s">
        <v>90</v>
      </c>
      <c r="Z5" s="1496">
        <f>F5</f>
        <v>5604</v>
      </c>
      <c r="AA5" s="1048" t="s">
        <v>90</v>
      </c>
      <c r="AB5" s="1496">
        <f>D5</f>
        <v>392</v>
      </c>
      <c r="AC5" s="1048" t="s">
        <v>90</v>
      </c>
      <c r="AD5" s="1496">
        <f>AB5+AM5</f>
        <v>3744</v>
      </c>
      <c r="AG5" s="1544">
        <f>AG46</f>
        <v>1014800</v>
      </c>
      <c r="AH5" s="1544">
        <f>-AH18</f>
        <v>-720000</v>
      </c>
      <c r="AI5" s="1544">
        <f>-AI18</f>
        <v>-280000</v>
      </c>
      <c r="AJ5" s="1544">
        <f>-SUM(AJ47:AJ58)</f>
        <v>-5448</v>
      </c>
      <c r="AK5" s="1544"/>
      <c r="AL5" s="1544">
        <f>-SUM(AL47:AL58)</f>
        <v>-6000</v>
      </c>
      <c r="AM5" s="1544">
        <f>SUM(AG5:AL5)</f>
        <v>3352</v>
      </c>
    </row>
    <row r="6" spans="1:39" ht="17.100000000000001" customHeight="1" x14ac:dyDescent="0.25">
      <c r="A6" s="624" t="s">
        <v>618</v>
      </c>
      <c r="B6" s="614"/>
      <c r="C6" s="572"/>
      <c r="D6" s="573">
        <f>_xlfn.XLOOKUP(A6,FS.1!A12:A47,FS.1!C12:C47,0,0,1)</f>
        <v>37905</v>
      </c>
      <c r="E6" s="572"/>
      <c r="F6" s="573">
        <f>_xlfn.XLOOKUP(A6,FS.1!$A$11:$A$46,FS.1!$E$11:$E$46,0,0,1)</f>
        <v>30450</v>
      </c>
      <c r="G6" s="1500" t="s">
        <v>296</v>
      </c>
      <c r="H6" s="1091"/>
      <c r="I6" s="1048"/>
      <c r="J6" s="1506"/>
      <c r="K6" s="1048"/>
      <c r="L6" s="1506"/>
      <c r="M6" s="624" t="str">
        <f>G7</f>
        <v>General and administration</v>
      </c>
      <c r="N6" s="614">
        <v>13</v>
      </c>
      <c r="O6" s="572" t="s">
        <v>90</v>
      </c>
      <c r="P6" s="573">
        <f>_xlfn.XLOOKUP($M6,FS.1!$A$54:$A$78,FS.1!C$54:C$78,0,0,1)</f>
        <v>0</v>
      </c>
      <c r="Q6" s="572" t="s">
        <v>90</v>
      </c>
      <c r="R6" s="573">
        <f>_xlfn.XLOOKUP($M6,FS.1!$A$54:$A$78,FS.1!E$54:E$78,0,0,1)</f>
        <v>0</v>
      </c>
      <c r="S6" s="572" t="s">
        <v>90</v>
      </c>
      <c r="T6" s="573">
        <f>_xlfn.XLOOKUP($M6,FS.1!$A$54:$A$78,FS.1!G$54:G$78,0,0,1)</f>
        <v>1755445</v>
      </c>
      <c r="U6" s="572" t="s">
        <v>90</v>
      </c>
      <c r="V6" s="573" t="e">
        <f>_xlfn.XLOOKUP($M6,FS.1!$A$54:$A$78,FS.1!I$54:I$78,0,0,1)</f>
        <v>#REF!</v>
      </c>
      <c r="W6" s="1495" t="s">
        <v>618</v>
      </c>
      <c r="X6" s="1091"/>
      <c r="Y6" s="1048"/>
      <c r="Z6" s="1496">
        <f>F6</f>
        <v>30450</v>
      </c>
      <c r="AA6" s="1048"/>
      <c r="AB6" s="1496">
        <f>D6</f>
        <v>37905</v>
      </c>
      <c r="AC6" s="1048"/>
      <c r="AD6" s="1496">
        <f>AB6+AM6</f>
        <v>37905</v>
      </c>
      <c r="AG6" s="1544"/>
      <c r="AH6" s="1544"/>
      <c r="AI6" s="1544"/>
      <c r="AJ6" s="1544"/>
      <c r="AK6" s="1544"/>
      <c r="AL6" s="1544"/>
      <c r="AM6" s="1544">
        <f t="shared" ref="AM6:AM28" si="0">SUM(AG6:AL6)</f>
        <v>0</v>
      </c>
    </row>
    <row r="7" spans="1:39" ht="17.100000000000001" customHeight="1" x14ac:dyDescent="0.25">
      <c r="A7" s="624" t="str">
        <f>FS.1!A17</f>
        <v>Inventory</v>
      </c>
      <c r="B7" s="614">
        <v>8</v>
      </c>
      <c r="C7" s="572"/>
      <c r="D7" s="573">
        <f>_xlfn.XLOOKUP(A7,FS.1!A13:A48,FS.1!C13:C48,0,0,1)</f>
        <v>161256</v>
      </c>
      <c r="E7" s="572"/>
      <c r="F7" s="573">
        <f>_xlfn.XLOOKUP(A7,FS.1!$A$11:$A$46,FS.1!$E$11:$E$46,0,0,1)</f>
        <v>452364</v>
      </c>
      <c r="G7" s="1495" t="str">
        <f>FS.1!A59</f>
        <v>General and administration</v>
      </c>
      <c r="H7" s="1091">
        <v>9</v>
      </c>
      <c r="I7" s="1048" t="s">
        <v>90</v>
      </c>
      <c r="J7" s="1496">
        <f>_xlfn.XLOOKUP(G7,FS.1!$A$54:$A$73,FS.1!$G$54:$G$73,0,0,1)</f>
        <v>1755445</v>
      </c>
      <c r="K7" s="1048" t="s">
        <v>90</v>
      </c>
      <c r="L7" s="1496" t="e">
        <f>_xlfn.XLOOKUP(G7,FS.1!$A$54:$A$73,FS.1!$I$54:$I$73,0,0,1)</f>
        <v>#REF!</v>
      </c>
      <c r="M7" s="1074" t="str">
        <f>G8</f>
        <v>Sales and marketing</v>
      </c>
      <c r="N7" s="1262">
        <v>13</v>
      </c>
      <c r="O7" s="1074"/>
      <c r="P7" s="573">
        <f>_xlfn.XLOOKUP($M7,FS.1!$A$54:$A$78,FS.1!C$54:C$78,0,0,1)</f>
        <v>0</v>
      </c>
      <c r="Q7" s="1074"/>
      <c r="R7" s="573">
        <f>_xlfn.XLOOKUP($M7,FS.1!$A$54:$A$78,FS.1!E$54:E$78,0,0,1)</f>
        <v>0</v>
      </c>
      <c r="S7" s="1074"/>
      <c r="T7" s="573">
        <f>_xlfn.XLOOKUP($M7,FS.1!$A$54:$A$78,FS.1!G$54:G$78,0,0,1)</f>
        <v>70958</v>
      </c>
      <c r="U7" s="1074"/>
      <c r="V7" s="573" t="e">
        <f>_xlfn.XLOOKUP($M7,FS.1!$A$54:$A$78,FS.1!I$54:I$78,0,0,1)</f>
        <v>#REF!</v>
      </c>
      <c r="W7" s="1495" t="s">
        <v>29</v>
      </c>
      <c r="X7" s="1091">
        <v>8</v>
      </c>
      <c r="Y7" s="1048"/>
      <c r="Z7" s="1496">
        <f>F7</f>
        <v>452364</v>
      </c>
      <c r="AA7" s="1048"/>
      <c r="AB7" s="1496">
        <f>D7</f>
        <v>161256</v>
      </c>
      <c r="AC7" s="1048"/>
      <c r="AD7" s="1496">
        <f>AB7+AM7</f>
        <v>141256</v>
      </c>
      <c r="AG7" s="1544"/>
      <c r="AH7" s="1544"/>
      <c r="AI7" s="1544"/>
      <c r="AJ7" s="1544"/>
      <c r="AK7" s="1544">
        <f>-AK55</f>
        <v>-20000</v>
      </c>
      <c r="AL7" s="1544"/>
      <c r="AM7" s="1544">
        <f t="shared" si="0"/>
        <v>-20000</v>
      </c>
    </row>
    <row r="8" spans="1:39" ht="17.100000000000001" customHeight="1" thickBot="1" x14ac:dyDescent="0.3">
      <c r="A8" s="641" t="str">
        <f>FS.1!A20</f>
        <v>Total current assets</v>
      </c>
      <c r="B8" s="1519"/>
      <c r="C8" s="576" t="s">
        <v>90</v>
      </c>
      <c r="D8" s="577">
        <f>SUM(D5:D7)</f>
        <v>199553</v>
      </c>
      <c r="E8" s="576" t="s">
        <v>90</v>
      </c>
      <c r="F8" s="577">
        <f>SUM(F5:F7)</f>
        <v>488418</v>
      </c>
      <c r="G8" s="1074" t="str">
        <f>FS.1!A60</f>
        <v>Sales and marketing</v>
      </c>
      <c r="H8" s="1262"/>
      <c r="I8" s="1483"/>
      <c r="J8" s="1496">
        <f>_xlfn.XLOOKUP(G8,FS.1!$A$54:$A$73,FS.1!$G$54:$G$73,0,0,1)</f>
        <v>70958</v>
      </c>
      <c r="K8" s="1483"/>
      <c r="L8" s="1496" t="e">
        <f>_xlfn.XLOOKUP(G8,FS.1!$A$54:$A$73,FS.1!$I$54:$I$73,0,0,1)</f>
        <v>#REF!</v>
      </c>
      <c r="M8" s="642" t="s">
        <v>1846</v>
      </c>
      <c r="N8" s="1090"/>
      <c r="O8" s="643" t="s">
        <v>90</v>
      </c>
      <c r="P8" s="644">
        <f>-SUM(P6:P7)</f>
        <v>0</v>
      </c>
      <c r="Q8" s="643" t="s">
        <v>90</v>
      </c>
      <c r="R8" s="644">
        <f>-SUM(R6:R7)</f>
        <v>0</v>
      </c>
      <c r="S8" s="643" t="s">
        <v>90</v>
      </c>
      <c r="T8" s="644">
        <f>-SUM(T6:T7)</f>
        <v>-1826403</v>
      </c>
      <c r="U8" s="643" t="s">
        <v>90</v>
      </c>
      <c r="V8" s="644" t="e">
        <f>-SUM(V6:V7)</f>
        <v>#REF!</v>
      </c>
      <c r="W8" s="1497" t="s">
        <v>92</v>
      </c>
      <c r="X8" s="1518"/>
      <c r="Y8" s="1498" t="s">
        <v>90</v>
      </c>
      <c r="Z8" s="577">
        <f>SUM(Z5:Z7)</f>
        <v>488418</v>
      </c>
      <c r="AA8" s="1498" t="s">
        <v>90</v>
      </c>
      <c r="AB8" s="577">
        <f>SUM(AB5:AB7)</f>
        <v>199553</v>
      </c>
      <c r="AC8" s="1498" t="s">
        <v>90</v>
      </c>
      <c r="AD8" s="577">
        <f>SUM(AD5:AD7)</f>
        <v>182905</v>
      </c>
      <c r="AG8" s="1544"/>
      <c r="AH8" s="1544"/>
      <c r="AI8" s="1544"/>
      <c r="AJ8" s="1544"/>
      <c r="AK8" s="1544"/>
      <c r="AL8" s="1544"/>
      <c r="AM8" s="1544">
        <f t="shared" si="0"/>
        <v>0</v>
      </c>
    </row>
    <row r="9" spans="1:39" ht="17.100000000000001" customHeight="1" x14ac:dyDescent="0.25">
      <c r="A9" s="1072"/>
      <c r="B9" s="1091"/>
      <c r="G9" s="1502" t="s">
        <v>2210</v>
      </c>
      <c r="H9" s="1507"/>
      <c r="I9" s="1504" t="s">
        <v>90</v>
      </c>
      <c r="J9" s="1505">
        <f>J5-SUM(J6:J8)</f>
        <v>-1794561</v>
      </c>
      <c r="K9" s="1504" t="s">
        <v>90</v>
      </c>
      <c r="L9" s="1505" t="e">
        <f>L5-SUM(L6:L8)</f>
        <v>#REF!</v>
      </c>
      <c r="N9" s="1263"/>
      <c r="W9" s="1072"/>
      <c r="X9" s="1091"/>
      <c r="AG9" s="1544"/>
      <c r="AH9" s="1544"/>
      <c r="AI9" s="1544"/>
      <c r="AJ9" s="1544"/>
      <c r="AK9" s="1544"/>
      <c r="AL9" s="1544"/>
      <c r="AM9" s="1544">
        <f t="shared" si="0"/>
        <v>0</v>
      </c>
    </row>
    <row r="10" spans="1:39" ht="17.100000000000001" customHeight="1" x14ac:dyDescent="0.25">
      <c r="A10" s="616" t="str">
        <f>FS.1!A21</f>
        <v>Non-current assets</v>
      </c>
      <c r="B10" s="1091"/>
      <c r="G10" s="1500" t="str">
        <f>FS.1!A63</f>
        <v>Other income (expenses)</v>
      </c>
      <c r="H10" s="1091"/>
      <c r="I10" s="1051"/>
      <c r="J10" s="1501"/>
      <c r="K10" s="1051"/>
      <c r="L10" s="1501"/>
      <c r="M10" s="616" t="str">
        <f>G10</f>
        <v>Other income (expenses)</v>
      </c>
      <c r="N10" s="614"/>
      <c r="O10" s="625"/>
      <c r="P10" s="626"/>
      <c r="Q10" s="625"/>
      <c r="R10" s="626"/>
      <c r="S10" s="625"/>
      <c r="T10" s="626"/>
      <c r="U10" s="625"/>
      <c r="V10" s="626"/>
      <c r="W10" s="1500" t="s">
        <v>93</v>
      </c>
      <c r="X10" s="1091"/>
      <c r="AG10" s="1544"/>
      <c r="AH10" s="1544"/>
      <c r="AI10" s="1544"/>
      <c r="AJ10" s="1544"/>
      <c r="AK10" s="1544"/>
      <c r="AL10" s="1544"/>
      <c r="AM10" s="1544">
        <f t="shared" si="0"/>
        <v>0</v>
      </c>
    </row>
    <row r="11" spans="1:39" ht="17.100000000000001" customHeight="1" x14ac:dyDescent="0.25">
      <c r="A11" s="592" t="str">
        <f>FS.1!A23</f>
        <v>Equipment</v>
      </c>
      <c r="B11" s="1091"/>
      <c r="D11" s="573">
        <f>_xlfn.XLOOKUP(A11,FS.1!A18:A53,FS.1!C18:C53,0,0,1)</f>
        <v>5341</v>
      </c>
      <c r="F11" s="573">
        <f>_xlfn.XLOOKUP(A11,FS.1!$A$11:$A$46,FS.1!$E$11:$E$46,0,0,1)</f>
        <v>5341</v>
      </c>
      <c r="G11" s="592" t="str">
        <f>FS.1!A64</f>
        <v xml:space="preserve">Other income </v>
      </c>
      <c r="J11" s="1496">
        <f>_xlfn.XLOOKUP(G11,FS.1!$A$54:$A$73,FS.1!$G$54:$G$73,0,0,1)</f>
        <v>0</v>
      </c>
      <c r="K11" s="1484"/>
      <c r="L11" s="1496">
        <f>_xlfn.XLOOKUP(G11,FS.1!$A$54:$A$73,FS.1!$I$54:$I$73,0,0,1)</f>
        <v>3150</v>
      </c>
      <c r="M11" s="592" t="str">
        <f>G12</f>
        <v>Interest income</v>
      </c>
      <c r="N11" s="609"/>
      <c r="O11" s="592"/>
      <c r="P11" s="573">
        <f>_xlfn.XLOOKUP($M11,FS.1!$A$54:$A$78,FS.1!C$54:C$78,0,0,1)</f>
        <v>0</v>
      </c>
      <c r="Q11" s="592"/>
      <c r="R11" s="573">
        <f>_xlfn.XLOOKUP($M11,FS.1!$A$54:$A$78,FS.1!E$54:E$78,0,0,1)</f>
        <v>0</v>
      </c>
      <c r="S11" s="592"/>
      <c r="T11" s="573">
        <f>_xlfn.XLOOKUP($M11,FS.1!$A$54:$A$78,FS.1!G$54:G$78,0,0,1)</f>
        <v>14</v>
      </c>
      <c r="U11" s="592"/>
      <c r="V11" s="573" t="e">
        <f>_xlfn.XLOOKUP($M11,FS.1!$A$54:$A$78,FS.1!I$54:I$78,0,0,1)</f>
        <v>#REF!</v>
      </c>
      <c r="W11" s="592" t="s">
        <v>616</v>
      </c>
      <c r="X11" s="1091"/>
      <c r="Z11" s="1496">
        <f>F11</f>
        <v>5341</v>
      </c>
      <c r="AB11" s="1496">
        <f>D11</f>
        <v>5341</v>
      </c>
      <c r="AD11" s="1496">
        <f>AB11+AM11</f>
        <v>5341</v>
      </c>
      <c r="AG11" s="1544"/>
      <c r="AH11" s="1544"/>
      <c r="AI11" s="1544"/>
      <c r="AJ11" s="1544"/>
      <c r="AK11" s="1544"/>
      <c r="AL11" s="1544"/>
      <c r="AM11" s="1544">
        <f t="shared" si="0"/>
        <v>0</v>
      </c>
    </row>
    <row r="12" spans="1:39" ht="17.100000000000001" customHeight="1" x14ac:dyDescent="0.25">
      <c r="A12" s="1074" t="str">
        <f>FS.1!A24</f>
        <v>Intangible assets</v>
      </c>
      <c r="B12" s="1092" t="s">
        <v>2219</v>
      </c>
      <c r="C12" s="1073"/>
      <c r="D12" s="575">
        <f>_xlfn.XLOOKUP(A12,FS.1!A19:A54,FS.1!C19:C54,0,0,1)</f>
        <v>4271442</v>
      </c>
      <c r="E12" s="1073"/>
      <c r="F12" s="575">
        <f>_xlfn.XLOOKUP(A12,FS.1!$A$11:$A$46,FS.1!$E$11:$E$46,0,0,1)</f>
        <v>5527806</v>
      </c>
      <c r="G12" s="592" t="str">
        <f>FS.1!A65</f>
        <v>Interest income</v>
      </c>
      <c r="H12" s="609"/>
      <c r="I12" s="1484"/>
      <c r="J12" s="1496">
        <f>_xlfn.XLOOKUP(G12,FS.1!$A$54:$A$73,FS.1!$G$54:$G$73,0,0,1)</f>
        <v>14</v>
      </c>
      <c r="K12" s="1484"/>
      <c r="L12" s="1496" t="e">
        <f>_xlfn.XLOOKUP(G12,FS.1!$A$54:$A$73,FS.1!$I$54:$I$73,0,0,1)</f>
        <v>#REF!</v>
      </c>
      <c r="M12" s="592" t="str">
        <f>G13</f>
        <v>Net financial expenses</v>
      </c>
      <c r="N12" s="609">
        <v>10</v>
      </c>
      <c r="O12" s="592"/>
      <c r="P12" s="573">
        <f>_xlfn.XLOOKUP($M12,FS.1!$A$54:$A$78,FS.1!C$54:C$78,0,0,1)</f>
        <v>0</v>
      </c>
      <c r="Q12" s="592"/>
      <c r="R12" s="573">
        <f>_xlfn.XLOOKUP($M12,FS.1!$A$54:$A$78,FS.1!E$54:E$78,0,0,1)</f>
        <v>0</v>
      </c>
      <c r="S12" s="592"/>
      <c r="T12" s="573">
        <f>_xlfn.XLOOKUP($M12,FS.1!$A$54:$A$78,FS.1!G$54:G$78,0,0,1)</f>
        <v>-31957</v>
      </c>
      <c r="U12" s="592"/>
      <c r="V12" s="573">
        <f>_xlfn.XLOOKUP($M12,FS.1!$A$54:$A$78,FS.1!I$54:I$78,0,0,1)</f>
        <v>50062</v>
      </c>
      <c r="W12" s="1074" t="s">
        <v>732</v>
      </c>
      <c r="X12" s="1092" t="s">
        <v>2219</v>
      </c>
      <c r="Y12" s="1073"/>
      <c r="Z12" s="1508">
        <f>F12</f>
        <v>5527806</v>
      </c>
      <c r="AA12" s="1073"/>
      <c r="AB12" s="1508">
        <f>D12</f>
        <v>4271442</v>
      </c>
      <c r="AC12" s="1073"/>
      <c r="AD12" s="1508">
        <f>AB12+AM12</f>
        <v>3015078</v>
      </c>
      <c r="AG12" s="1544"/>
      <c r="AH12" s="1544"/>
      <c r="AI12" s="1544"/>
      <c r="AJ12" s="1544"/>
      <c r="AK12" s="1544">
        <f>-AK50</f>
        <v>-1256364</v>
      </c>
      <c r="AL12" s="1544"/>
      <c r="AM12" s="1544">
        <f t="shared" si="0"/>
        <v>-1256364</v>
      </c>
    </row>
    <row r="13" spans="1:39" ht="17.100000000000001" customHeight="1" thickBot="1" x14ac:dyDescent="0.3">
      <c r="A13" s="620" t="str">
        <f>FS.1!A26</f>
        <v>Total non-current assets</v>
      </c>
      <c r="B13" s="621"/>
      <c r="C13" s="622" t="s">
        <v>90</v>
      </c>
      <c r="D13" s="623">
        <f>SUM(D11:D12)</f>
        <v>4276783</v>
      </c>
      <c r="E13" s="622" t="s">
        <v>90</v>
      </c>
      <c r="F13" s="623">
        <f>SUM(F11:F12)</f>
        <v>5533147</v>
      </c>
      <c r="G13" s="592" t="s">
        <v>233</v>
      </c>
      <c r="H13" s="609">
        <v>10</v>
      </c>
      <c r="I13" s="1484"/>
      <c r="J13" s="1496">
        <f>_xlfn.XLOOKUP(G13,FS.1!$A$54:$A$73,FS.1!$G$54:$G$73,0,0,1)</f>
        <v>-31957</v>
      </c>
      <c r="K13" s="1484"/>
      <c r="L13" s="1496">
        <f>_xlfn.XLOOKUP(G13,FS.1!$A$54:$A$73,FS.1!$I$54:$I$73,0,0,1)</f>
        <v>50062</v>
      </c>
      <c r="M13" s="1074" t="str">
        <f>G14</f>
        <v>Interest expense</v>
      </c>
      <c r="N13" s="1262">
        <v>10</v>
      </c>
      <c r="O13" s="1074"/>
      <c r="P13" s="575">
        <f>_xlfn.XLOOKUP($M13,FS.1!$A$54:$A$78,FS.1!C$54:C$78,0,0,1)</f>
        <v>0</v>
      </c>
      <c r="Q13" s="1074"/>
      <c r="R13" s="575">
        <f>_xlfn.XLOOKUP($M13,FS.1!$A$54:$A$78,FS.1!E$54:E$78,0,0,1)</f>
        <v>0</v>
      </c>
      <c r="S13" s="1074"/>
      <c r="T13" s="575">
        <f>_xlfn.XLOOKUP($M13,FS.1!$A$54:$A$78,FS.1!G$54:G$78,0,0,1)</f>
        <v>-45232</v>
      </c>
      <c r="U13" s="1074"/>
      <c r="V13" s="575">
        <f>_xlfn.XLOOKUP($M13,FS.1!$A$54:$A$78,FS.1!I$54:I$78,0,0,1)</f>
        <v>-33787</v>
      </c>
      <c r="W13" s="1509" t="s">
        <v>95</v>
      </c>
      <c r="X13" s="1510"/>
      <c r="Y13" s="1511" t="s">
        <v>90</v>
      </c>
      <c r="Z13" s="623">
        <f>SUM(Z11:Z12)</f>
        <v>5533147</v>
      </c>
      <c r="AA13" s="1511" t="s">
        <v>90</v>
      </c>
      <c r="AB13" s="623">
        <f>SUM(AB11:AB12)</f>
        <v>4276783</v>
      </c>
      <c r="AC13" s="1511" t="s">
        <v>90</v>
      </c>
      <c r="AD13" s="623">
        <f>SUM(AD11:AD12)</f>
        <v>3020419</v>
      </c>
      <c r="AG13" s="1544"/>
      <c r="AH13" s="1544"/>
      <c r="AI13" s="1544"/>
      <c r="AJ13" s="1544"/>
      <c r="AK13" s="1544"/>
      <c r="AL13" s="1544"/>
      <c r="AM13" s="1544">
        <f t="shared" si="0"/>
        <v>0</v>
      </c>
    </row>
    <row r="14" spans="1:39" ht="17.100000000000001" customHeight="1" thickBot="1" x14ac:dyDescent="0.3">
      <c r="A14" s="620" t="str">
        <f>FS.1!A27</f>
        <v>Total Assets</v>
      </c>
      <c r="B14" s="621"/>
      <c r="C14" s="622" t="s">
        <v>90</v>
      </c>
      <c r="D14" s="623">
        <f>D13+D8</f>
        <v>4476336</v>
      </c>
      <c r="E14" s="622" t="s">
        <v>90</v>
      </c>
      <c r="F14" s="623">
        <f>F13+F8</f>
        <v>6021565</v>
      </c>
      <c r="G14" s="1074" t="str">
        <f>FS.1!A68</f>
        <v>Interest expense</v>
      </c>
      <c r="H14" s="1262">
        <v>7</v>
      </c>
      <c r="I14" s="1483"/>
      <c r="J14" s="1508">
        <f>_xlfn.XLOOKUP(G14,FS.1!$A$54:$A$73,FS.1!$G$54:$G$73,0,0,1)</f>
        <v>-45232</v>
      </c>
      <c r="K14" s="1483"/>
      <c r="L14" s="1508">
        <f>_xlfn.XLOOKUP(G14,FS.1!$A$54:$A$73,FS.1!$I$54:$I$73,0,0,1)</f>
        <v>-33787</v>
      </c>
      <c r="M14" s="620" t="s">
        <v>1849</v>
      </c>
      <c r="N14" s="621"/>
      <c r="O14" s="622" t="s">
        <v>90</v>
      </c>
      <c r="P14" s="623">
        <f>SUM(P8:P13)</f>
        <v>0</v>
      </c>
      <c r="Q14" s="622" t="s">
        <v>90</v>
      </c>
      <c r="R14" s="623">
        <f>SUM(R8:R13)</f>
        <v>0</v>
      </c>
      <c r="S14" s="622" t="s">
        <v>90</v>
      </c>
      <c r="T14" s="623">
        <f>SUM(T8:T13)</f>
        <v>-1903578</v>
      </c>
      <c r="U14" s="622" t="s">
        <v>90</v>
      </c>
      <c r="V14" s="623" t="e">
        <f>SUM(V8:V13)</f>
        <v>#REF!</v>
      </c>
      <c r="W14" s="1509" t="s">
        <v>314</v>
      </c>
      <c r="X14" s="1510"/>
      <c r="Y14" s="1511" t="s">
        <v>90</v>
      </c>
      <c r="Z14" s="623">
        <f>Z13+Z8</f>
        <v>6021565</v>
      </c>
      <c r="AA14" s="1511" t="s">
        <v>90</v>
      </c>
      <c r="AB14" s="623">
        <f>AB13+AB8</f>
        <v>4476336</v>
      </c>
      <c r="AC14" s="1511" t="s">
        <v>90</v>
      </c>
      <c r="AD14" s="623">
        <f>AD13+AD8</f>
        <v>3203324</v>
      </c>
      <c r="AG14" s="1544"/>
      <c r="AH14" s="1544"/>
      <c r="AI14" s="1544"/>
      <c r="AJ14" s="1544"/>
      <c r="AK14" s="1544"/>
      <c r="AL14" s="1544"/>
      <c r="AM14" s="1544">
        <f t="shared" si="0"/>
        <v>0</v>
      </c>
    </row>
    <row r="15" spans="1:39" ht="17.100000000000001" customHeight="1" thickBot="1" x14ac:dyDescent="0.3">
      <c r="A15" s="624"/>
      <c r="B15" s="614"/>
      <c r="C15" s="625"/>
      <c r="D15" s="626"/>
      <c r="E15" s="625"/>
      <c r="F15" s="626"/>
      <c r="G15" s="1509" t="s">
        <v>2211</v>
      </c>
      <c r="H15" s="1510"/>
      <c r="I15" s="1511" t="s">
        <v>90</v>
      </c>
      <c r="J15" s="1512">
        <f>SUM(J9:J14)</f>
        <v>-1871736</v>
      </c>
      <c r="K15" s="1511" t="s">
        <v>90</v>
      </c>
      <c r="L15" s="1512" t="e">
        <f>SUM(L9:L14)</f>
        <v>#REF!</v>
      </c>
      <c r="M15" s="592"/>
      <c r="N15" s="609"/>
      <c r="O15" s="592"/>
      <c r="P15" s="592"/>
      <c r="Q15" s="592"/>
      <c r="R15" s="592"/>
      <c r="S15" s="592"/>
      <c r="T15" s="592"/>
      <c r="U15" s="592"/>
      <c r="V15" s="592"/>
      <c r="W15" s="1495"/>
      <c r="X15" s="1091"/>
      <c r="Y15" s="1051"/>
      <c r="Z15" s="1501"/>
      <c r="AA15" s="1051"/>
      <c r="AB15" s="1501"/>
      <c r="AC15" s="1051"/>
      <c r="AD15" s="1501"/>
      <c r="AG15" s="1544"/>
      <c r="AH15" s="1544"/>
      <c r="AI15" s="1544"/>
      <c r="AJ15" s="1544"/>
      <c r="AK15" s="1544"/>
      <c r="AL15" s="1544"/>
      <c r="AM15" s="1544">
        <f t="shared" si="0"/>
        <v>0</v>
      </c>
    </row>
    <row r="16" spans="1:39" x14ac:dyDescent="0.25">
      <c r="A16" s="616" t="s">
        <v>96</v>
      </c>
      <c r="B16" s="614"/>
      <c r="C16" s="625"/>
      <c r="D16" s="626"/>
      <c r="E16" s="625"/>
      <c r="F16" s="626"/>
      <c r="G16" s="592"/>
      <c r="H16" s="609"/>
      <c r="I16" s="1484"/>
      <c r="J16" s="592"/>
      <c r="K16" s="1484"/>
      <c r="L16" s="592"/>
      <c r="M16" s="624" t="s">
        <v>420</v>
      </c>
      <c r="N16" s="614"/>
      <c r="O16" s="625" t="s">
        <v>90</v>
      </c>
      <c r="P16" s="635">
        <f>P14/P17</f>
        <v>0</v>
      </c>
      <c r="Q16" s="625" t="s">
        <v>90</v>
      </c>
      <c r="R16" s="635">
        <f>R14/R17</f>
        <v>0</v>
      </c>
      <c r="S16" s="625" t="s">
        <v>90</v>
      </c>
      <c r="T16" s="635">
        <f>T14/T17</f>
        <v>-6.1135383198700426E-2</v>
      </c>
      <c r="U16" s="625" t="s">
        <v>90</v>
      </c>
      <c r="V16" s="635" t="e">
        <f>V14/V17</f>
        <v>#REF!</v>
      </c>
      <c r="W16" s="1500" t="s">
        <v>96</v>
      </c>
      <c r="X16" s="1091"/>
      <c r="Y16" s="1051"/>
      <c r="Z16" s="1501"/>
      <c r="AA16" s="1051"/>
      <c r="AB16" s="1501"/>
      <c r="AC16" s="1051"/>
      <c r="AD16" s="1501"/>
      <c r="AG16" s="1544"/>
      <c r="AH16" s="1544"/>
      <c r="AI16" s="1544"/>
      <c r="AJ16" s="1544"/>
      <c r="AK16" s="1544"/>
      <c r="AL16" s="1544"/>
      <c r="AM16" s="1544">
        <f t="shared" si="0"/>
        <v>0</v>
      </c>
    </row>
    <row r="17" spans="1:39" ht="23.4" thickBot="1" x14ac:dyDescent="0.3">
      <c r="A17" s="616" t="s">
        <v>97</v>
      </c>
      <c r="B17" s="614"/>
      <c r="C17" s="572"/>
      <c r="D17" s="573"/>
      <c r="E17" s="572"/>
      <c r="F17" s="573"/>
      <c r="G17" s="1078" t="s">
        <v>507</v>
      </c>
      <c r="H17" s="1078"/>
      <c r="I17" s="1078"/>
      <c r="J17" s="1078">
        <f>FS.1!G73-J15</f>
        <v>0</v>
      </c>
      <c r="K17" s="1078"/>
      <c r="L17" s="1078" t="e">
        <f>FS.1!I73-L15</f>
        <v>#REF!</v>
      </c>
      <c r="M17" s="636" t="s">
        <v>1847</v>
      </c>
      <c r="N17" s="637"/>
      <c r="O17" s="638"/>
      <c r="P17" s="639">
        <f>FS.1!C78</f>
        <v>31912501</v>
      </c>
      <c r="Q17" s="638"/>
      <c r="R17" s="639">
        <f>FS.1!E78</f>
        <v>6542479.0219780216</v>
      </c>
      <c r="S17" s="638"/>
      <c r="T17" s="639">
        <f>FS.1!G78</f>
        <v>31137091.163934425</v>
      </c>
      <c r="U17" s="638"/>
      <c r="V17" s="639">
        <f>FS.1!I78</f>
        <v>6486787.3387978142</v>
      </c>
      <c r="W17" s="1500" t="s">
        <v>97</v>
      </c>
      <c r="X17" s="1091"/>
      <c r="Y17" s="1048"/>
      <c r="Z17" s="1496"/>
      <c r="AA17" s="1048"/>
      <c r="AB17" s="1496"/>
      <c r="AC17" s="1048"/>
      <c r="AD17" s="1496"/>
      <c r="AG17" s="1544"/>
      <c r="AH17" s="1544"/>
      <c r="AI17" s="1544"/>
      <c r="AJ17" s="1544"/>
      <c r="AK17" s="1544"/>
      <c r="AL17" s="1544"/>
      <c r="AM17" s="1544">
        <f t="shared" si="0"/>
        <v>0</v>
      </c>
    </row>
    <row r="18" spans="1:39" ht="17.100000000000001" customHeight="1" thickTop="1" x14ac:dyDescent="0.25">
      <c r="A18" s="624" t="str">
        <f>FS.1!A30</f>
        <v>Accounts payables and accrued liabilities</v>
      </c>
      <c r="B18" s="614"/>
      <c r="C18" s="572" t="s">
        <v>90</v>
      </c>
      <c r="D18" s="573">
        <f>_xlfn.XLOOKUP(A18,FS.1!A25:A60,FS.1!C25:C60,0,0,1)</f>
        <v>603276</v>
      </c>
      <c r="E18" s="572" t="s">
        <v>90</v>
      </c>
      <c r="F18" s="573">
        <f>_xlfn.XLOOKUP(A18,FS.1!$A$11:$A$46,FS.1!$E$11:$E$46,0,0,1)</f>
        <v>349791</v>
      </c>
      <c r="M18" s="592"/>
      <c r="N18" s="592"/>
      <c r="O18" s="592"/>
      <c r="P18" s="592"/>
      <c r="Q18" s="592"/>
      <c r="R18" s="592"/>
      <c r="W18" s="1495" t="s">
        <v>308</v>
      </c>
      <c r="X18" s="1091"/>
      <c r="Y18" s="1048" t="s">
        <v>90</v>
      </c>
      <c r="Z18" s="1496">
        <f>F18</f>
        <v>349791</v>
      </c>
      <c r="AA18" s="1048" t="s">
        <v>90</v>
      </c>
      <c r="AB18" s="1496">
        <f>D18</f>
        <v>603276</v>
      </c>
      <c r="AC18" s="1048" t="s">
        <v>90</v>
      </c>
      <c r="AD18" s="1496">
        <f>AB18-AM18</f>
        <v>656276</v>
      </c>
      <c r="AG18" s="1544">
        <f>-SUM(AG47:AG51)</f>
        <v>-1053000</v>
      </c>
      <c r="AH18" s="1544">
        <f>AG47</f>
        <v>720000</v>
      </c>
      <c r="AI18" s="1544">
        <v>280000</v>
      </c>
      <c r="AJ18" s="1545"/>
      <c r="AK18" s="1545"/>
      <c r="AL18" s="1544"/>
      <c r="AM18" s="1544">
        <f t="shared" si="0"/>
        <v>-53000</v>
      </c>
    </row>
    <row r="19" spans="1:39" ht="17.100000000000001" customHeight="1" x14ac:dyDescent="0.25">
      <c r="A19" s="624" t="str">
        <f>FS.1!A32</f>
        <v>Convertible debt</v>
      </c>
      <c r="B19" s="614">
        <v>7</v>
      </c>
      <c r="C19" s="572"/>
      <c r="D19" s="573">
        <f>_xlfn.XLOOKUP(A19,FS.1!A26:A61,FS.1!C26:C61,0,0,1)</f>
        <v>274099</v>
      </c>
      <c r="E19" s="572"/>
      <c r="F19" s="573">
        <f>_xlfn.XLOOKUP(A19,FS.1!$A$11:$A$46,FS.1!$E$11:$E$46,0,0,1)</f>
        <v>204577</v>
      </c>
      <c r="G19" s="592"/>
      <c r="H19" s="609"/>
      <c r="I19" s="1484"/>
      <c r="J19" s="592"/>
      <c r="K19" s="1484"/>
      <c r="L19" s="592"/>
      <c r="M19" s="1078" t="s">
        <v>507</v>
      </c>
      <c r="N19" s="1078"/>
      <c r="O19" s="1078"/>
      <c r="P19" s="1078">
        <f>P14-FS.1!C73</f>
        <v>0</v>
      </c>
      <c r="Q19" s="1078"/>
      <c r="R19" s="1078">
        <f>R14-FS.1!E73</f>
        <v>0</v>
      </c>
      <c r="T19" s="1078">
        <f>T14-FS.1!G73</f>
        <v>-31842</v>
      </c>
      <c r="V19" s="1078" t="e">
        <f>V14-FS.1!I73</f>
        <v>#REF!</v>
      </c>
      <c r="W19" s="1495" t="s">
        <v>677</v>
      </c>
      <c r="X19" s="1091">
        <v>7</v>
      </c>
      <c r="Y19" s="1048"/>
      <c r="Z19" s="1496">
        <f>F19</f>
        <v>204577</v>
      </c>
      <c r="AA19" s="1048"/>
      <c r="AB19" s="1496">
        <f>D19</f>
        <v>274099</v>
      </c>
      <c r="AC19" s="1048"/>
      <c r="AD19" s="1496">
        <f>AB19-AM19</f>
        <v>313016.31584761076</v>
      </c>
      <c r="AG19" s="1544">
        <f>-SUM(AG57:AG58)</f>
        <v>-38917.315847610778</v>
      </c>
      <c r="AH19" s="1544"/>
      <c r="AI19" s="1544"/>
      <c r="AJ19" s="1545"/>
      <c r="AK19" s="1545"/>
      <c r="AL19" s="1544"/>
      <c r="AM19" s="1544">
        <f t="shared" si="0"/>
        <v>-38917.315847610778</v>
      </c>
    </row>
    <row r="20" spans="1:39" ht="17.100000000000001" customHeight="1" x14ac:dyDescent="0.25">
      <c r="A20" s="618" t="str">
        <f>FS.1!A35</f>
        <v>Due to related parties</v>
      </c>
      <c r="B20" s="619"/>
      <c r="C20" s="574"/>
      <c r="D20" s="575">
        <f>_xlfn.XLOOKUP(A20,FS.1!A28:A63,FS.1!C28:C63,0,0,1)</f>
        <v>5338</v>
      </c>
      <c r="E20" s="574"/>
      <c r="F20" s="575">
        <f>_xlfn.XLOOKUP(A20,FS.1!$A$11:$A$46,FS.1!$E$11:$E$46,0,0,1)</f>
        <v>1838</v>
      </c>
      <c r="G20" s="592"/>
      <c r="H20" s="592"/>
      <c r="I20" s="1484"/>
      <c r="J20" s="592"/>
      <c r="K20" s="1484"/>
      <c r="L20" s="592"/>
      <c r="W20" s="1513" t="s">
        <v>100</v>
      </c>
      <c r="X20" s="1092"/>
      <c r="Y20" s="1514"/>
      <c r="Z20" s="1508">
        <f>F20</f>
        <v>1838</v>
      </c>
      <c r="AA20" s="1514"/>
      <c r="AB20" s="1508">
        <f>D20</f>
        <v>5338</v>
      </c>
      <c r="AC20" s="1514"/>
      <c r="AD20" s="1508">
        <f>AB20+AM20</f>
        <v>5338</v>
      </c>
      <c r="AG20" s="1544"/>
      <c r="AH20" s="1544"/>
      <c r="AI20" s="1544"/>
      <c r="AJ20" s="1544"/>
      <c r="AK20" s="1544"/>
      <c r="AL20" s="1544"/>
      <c r="AM20" s="1544">
        <f t="shared" si="0"/>
        <v>0</v>
      </c>
    </row>
    <row r="21" spans="1:39" ht="17.100000000000001" customHeight="1" thickBot="1" x14ac:dyDescent="0.3">
      <c r="A21" s="620" t="s">
        <v>417</v>
      </c>
      <c r="B21" s="621"/>
      <c r="C21" s="622" t="s">
        <v>90</v>
      </c>
      <c r="D21" s="623">
        <f>SUM(D18:D20)</f>
        <v>882713</v>
      </c>
      <c r="E21" s="622" t="s">
        <v>90</v>
      </c>
      <c r="F21" s="623">
        <f>SUM(F18:F20)</f>
        <v>556206</v>
      </c>
      <c r="W21" s="1509" t="s">
        <v>417</v>
      </c>
      <c r="X21" s="1510"/>
      <c r="Y21" s="1511" t="s">
        <v>90</v>
      </c>
      <c r="Z21" s="623">
        <f>SUM(Z18:Z20)</f>
        <v>556206</v>
      </c>
      <c r="AA21" s="1511" t="s">
        <v>90</v>
      </c>
      <c r="AB21" s="623">
        <f>SUM(AB18:AB20)</f>
        <v>882713</v>
      </c>
      <c r="AC21" s="1511" t="s">
        <v>90</v>
      </c>
      <c r="AD21" s="623">
        <f>SUM(AD18:AD20)</f>
        <v>974630.31584761082</v>
      </c>
      <c r="AG21" s="1544"/>
      <c r="AH21" s="1544"/>
      <c r="AI21" s="1544"/>
      <c r="AJ21" s="1544"/>
      <c r="AK21" s="1544"/>
      <c r="AL21" s="1544"/>
      <c r="AM21" s="1544">
        <f t="shared" si="0"/>
        <v>0</v>
      </c>
    </row>
    <row r="22" spans="1:39" x14ac:dyDescent="0.25">
      <c r="A22" s="624"/>
      <c r="B22" s="614"/>
      <c r="C22" s="572"/>
      <c r="D22" s="573"/>
      <c r="E22" s="572"/>
      <c r="F22" s="573"/>
      <c r="W22" s="1495"/>
      <c r="X22" s="1091"/>
      <c r="Y22" s="1048"/>
      <c r="Z22" s="1496"/>
      <c r="AA22" s="1048"/>
      <c r="AB22" s="1496"/>
      <c r="AC22" s="1048"/>
      <c r="AD22" s="1496"/>
      <c r="AG22" s="1544"/>
      <c r="AH22" s="1544"/>
      <c r="AI22" s="1544"/>
      <c r="AJ22" s="1544"/>
      <c r="AK22" s="1544"/>
      <c r="AL22" s="1544"/>
      <c r="AM22" s="1544">
        <f t="shared" si="0"/>
        <v>0</v>
      </c>
    </row>
    <row r="23" spans="1:39" ht="17.100000000000001" customHeight="1" x14ac:dyDescent="0.25">
      <c r="A23" s="616" t="s">
        <v>1830</v>
      </c>
      <c r="B23" s="614"/>
      <c r="C23" s="572"/>
      <c r="D23" s="573"/>
      <c r="E23" s="572"/>
      <c r="F23" s="573"/>
      <c r="W23" s="1500" t="s">
        <v>1830</v>
      </c>
      <c r="X23" s="1091"/>
      <c r="Y23" s="1048"/>
      <c r="Z23" s="1496"/>
      <c r="AA23" s="1048"/>
      <c r="AB23" s="1496"/>
      <c r="AC23" s="1048"/>
      <c r="AD23" s="1496"/>
      <c r="AG23" s="1544"/>
      <c r="AH23" s="1544"/>
      <c r="AI23" s="1544"/>
      <c r="AJ23" s="1544"/>
      <c r="AK23" s="1544"/>
      <c r="AL23" s="1544"/>
      <c r="AM23" s="1544">
        <f t="shared" si="0"/>
        <v>0</v>
      </c>
    </row>
    <row r="24" spans="1:39" ht="17.100000000000001" customHeight="1" x14ac:dyDescent="0.25">
      <c r="A24" s="624" t="str">
        <f>FS.1!A41</f>
        <v>Share capital</v>
      </c>
      <c r="B24" s="614">
        <v>8</v>
      </c>
      <c r="C24" s="572" t="s">
        <v>90</v>
      </c>
      <c r="D24" s="573">
        <f>_xlfn.XLOOKUP(A24,FS.1!A32:A69,FS.1!C32:C69,0,0,1)</f>
        <v>8224099</v>
      </c>
      <c r="E24" s="572" t="s">
        <v>90</v>
      </c>
      <c r="F24" s="573">
        <f>_xlfn.XLOOKUP(A24,FS.1!$A$11:$A$46,FS.1!$E$11:$E$46,0,0,1)</f>
        <v>8224099</v>
      </c>
      <c r="W24" s="1495" t="s">
        <v>5</v>
      </c>
      <c r="X24" s="1091">
        <v>8</v>
      </c>
      <c r="Y24" s="1048" t="s">
        <v>90</v>
      </c>
      <c r="Z24" s="1496">
        <f>F24</f>
        <v>8224099</v>
      </c>
      <c r="AA24" s="1048" t="s">
        <v>90</v>
      </c>
      <c r="AB24" s="1496">
        <f>D24</f>
        <v>8224099</v>
      </c>
      <c r="AC24" s="1048" t="s">
        <v>90</v>
      </c>
      <c r="AD24" s="1496">
        <f>AB24+AM24</f>
        <v>8224099</v>
      </c>
      <c r="AG24" s="1544"/>
      <c r="AH24" s="1544"/>
      <c r="AI24" s="1544"/>
      <c r="AJ24" s="1544"/>
      <c r="AK24" s="1544"/>
      <c r="AL24" s="1544"/>
      <c r="AM24" s="1544">
        <f t="shared" si="0"/>
        <v>0</v>
      </c>
    </row>
    <row r="25" spans="1:39" ht="17.100000000000001" customHeight="1" x14ac:dyDescent="0.25">
      <c r="A25" s="624" t="str">
        <f>FS.1!A42</f>
        <v>Contributed surplus</v>
      </c>
      <c r="B25" s="614"/>
      <c r="C25" s="572"/>
      <c r="D25" s="573">
        <f>_xlfn.XLOOKUP(A25,FS.1!A33:A70,FS.1!C33:C70,0,0,1)</f>
        <v>308750</v>
      </c>
      <c r="E25" s="572"/>
      <c r="F25" s="573">
        <f>_xlfn.XLOOKUP(A25,FS.1!$A$11:$A$46,FS.1!$E$11:$E$46,0,0,1)</f>
        <v>308750</v>
      </c>
      <c r="W25" s="1495" t="s">
        <v>6</v>
      </c>
      <c r="X25" s="1091"/>
      <c r="Y25" s="1048"/>
      <c r="Z25" s="1496">
        <f>F25</f>
        <v>308750</v>
      </c>
      <c r="AA25" s="1048"/>
      <c r="AB25" s="1496">
        <f>D25</f>
        <v>308750</v>
      </c>
      <c r="AC25" s="1048"/>
      <c r="AD25" s="1496">
        <f>AB25+AM25</f>
        <v>308750</v>
      </c>
      <c r="AG25" s="1544"/>
      <c r="AH25" s="1544"/>
      <c r="AI25" s="1544"/>
      <c r="AJ25" s="1544"/>
      <c r="AK25" s="1544"/>
      <c r="AL25" s="1544"/>
      <c r="AM25" s="1544">
        <f t="shared" si="0"/>
        <v>0</v>
      </c>
    </row>
    <row r="26" spans="1:39" ht="17.100000000000001" customHeight="1" x14ac:dyDescent="0.25">
      <c r="A26" s="618" t="str">
        <f>FS.1!A43</f>
        <v>Accumulated deficit</v>
      </c>
      <c r="B26" s="619"/>
      <c r="C26" s="574"/>
      <c r="D26" s="575">
        <f>_xlfn.XLOOKUP(A26,FS.1!A34:A71,FS.1!C34:C71,0,0,1)</f>
        <v>-4939226</v>
      </c>
      <c r="E26" s="574"/>
      <c r="F26" s="575" t="e">
        <f>_xlfn.XLOOKUP(A26,FS.1!$A$11:$A$46,FS.1!$E$11:$E$46,0,0,1)</f>
        <v>#REF!</v>
      </c>
      <c r="W26" s="1513" t="s">
        <v>403</v>
      </c>
      <c r="X26" s="1092"/>
      <c r="Y26" s="1514"/>
      <c r="Z26" s="1508" t="e">
        <f>F26</f>
        <v>#REF!</v>
      </c>
      <c r="AA26" s="1514"/>
      <c r="AB26" s="1508">
        <f>D26</f>
        <v>-4939226</v>
      </c>
      <c r="AC26" s="1514"/>
      <c r="AD26" s="1508">
        <f>AB26+AM26</f>
        <v>-3574296.6841523889</v>
      </c>
      <c r="AG26" s="1544">
        <f>-AG5-AG18-AG19</f>
        <v>77117.315847610778</v>
      </c>
      <c r="AH26" s="1544"/>
      <c r="AI26" s="1544"/>
      <c r="AJ26" s="1544">
        <f>-AJ5</f>
        <v>5448</v>
      </c>
      <c r="AK26" s="1544">
        <f>-AK7-AK12</f>
        <v>1276364</v>
      </c>
      <c r="AL26" s="1544">
        <f>-AL5</f>
        <v>6000</v>
      </c>
      <c r="AM26" s="1544">
        <f t="shared" si="0"/>
        <v>1364929.3158476108</v>
      </c>
    </row>
    <row r="27" spans="1:39" ht="17.100000000000001" customHeight="1" thickBot="1" x14ac:dyDescent="0.3">
      <c r="A27" s="620" t="s">
        <v>1831</v>
      </c>
      <c r="B27" s="621"/>
      <c r="C27" s="622" t="s">
        <v>90</v>
      </c>
      <c r="D27" s="623">
        <f>SUM(D24:D26)</f>
        <v>3593623</v>
      </c>
      <c r="E27" s="622" t="s">
        <v>90</v>
      </c>
      <c r="F27" s="623" t="e">
        <f>SUM(F24:F26)</f>
        <v>#REF!</v>
      </c>
      <c r="W27" s="1509" t="s">
        <v>1831</v>
      </c>
      <c r="X27" s="1510"/>
      <c r="Y27" s="1511" t="s">
        <v>90</v>
      </c>
      <c r="Z27" s="623" t="e">
        <f>SUM(Z24:Z26)</f>
        <v>#REF!</v>
      </c>
      <c r="AA27" s="1511" t="s">
        <v>90</v>
      </c>
      <c r="AB27" s="623">
        <f>SUM(AB24:AB26)</f>
        <v>3593623</v>
      </c>
      <c r="AC27" s="1511" t="s">
        <v>90</v>
      </c>
      <c r="AD27" s="623">
        <f>SUM(AD24:AD26)</f>
        <v>4958552.3158476111</v>
      </c>
      <c r="AG27" s="1544"/>
      <c r="AH27" s="1544"/>
      <c r="AI27" s="1544"/>
      <c r="AJ27" s="1544"/>
      <c r="AK27" s="1544"/>
      <c r="AL27" s="1544"/>
      <c r="AM27" s="1544">
        <f t="shared" si="0"/>
        <v>0</v>
      </c>
    </row>
    <row r="28" spans="1:39" ht="17.100000000000001" customHeight="1" thickBot="1" x14ac:dyDescent="0.3">
      <c r="A28" s="627" t="s">
        <v>693</v>
      </c>
      <c r="B28" s="628"/>
      <c r="C28" s="629" t="s">
        <v>90</v>
      </c>
      <c r="D28" s="630">
        <f>D27+D21</f>
        <v>4476336</v>
      </c>
      <c r="E28" s="629" t="s">
        <v>90</v>
      </c>
      <c r="F28" s="630" t="e">
        <f>F27+F21</f>
        <v>#REF!</v>
      </c>
      <c r="W28" s="1515" t="s">
        <v>693</v>
      </c>
      <c r="X28" s="1516"/>
      <c r="Y28" s="1517" t="s">
        <v>90</v>
      </c>
      <c r="Z28" s="630" t="e">
        <f>Z27+Z21</f>
        <v>#REF!</v>
      </c>
      <c r="AA28" s="1517" t="s">
        <v>90</v>
      </c>
      <c r="AB28" s="630">
        <f>AB27+AB21</f>
        <v>4476336</v>
      </c>
      <c r="AC28" s="1517" t="s">
        <v>90</v>
      </c>
      <c r="AD28" s="630">
        <f>AD27+AD21</f>
        <v>5933182.6316952221</v>
      </c>
      <c r="AG28" s="1544"/>
      <c r="AH28" s="1544"/>
      <c r="AI28" s="1544"/>
      <c r="AJ28" s="1544"/>
      <c r="AK28" s="1544"/>
      <c r="AL28" s="1544"/>
      <c r="AM28" s="1544">
        <f t="shared" si="0"/>
        <v>0</v>
      </c>
    </row>
    <row r="29" spans="1:39" ht="17.100000000000001" customHeight="1" x14ac:dyDescent="0.25">
      <c r="AG29" s="1521">
        <f>SUM(AG3:AG28)</f>
        <v>0</v>
      </c>
      <c r="AH29" s="1521">
        <f t="shared" ref="AH29:AM29" si="1">SUM(AH3:AH28)</f>
        <v>0</v>
      </c>
      <c r="AI29" s="1521">
        <f t="shared" si="1"/>
        <v>0</v>
      </c>
      <c r="AJ29" s="1521">
        <f t="shared" si="1"/>
        <v>0</v>
      </c>
      <c r="AK29" s="1521">
        <f t="shared" si="1"/>
        <v>0</v>
      </c>
      <c r="AL29" s="1521">
        <f t="shared" si="1"/>
        <v>0</v>
      </c>
      <c r="AM29" s="1521">
        <f t="shared" si="1"/>
        <v>0</v>
      </c>
    </row>
    <row r="30" spans="1:39" ht="17.100000000000001" customHeight="1" x14ac:dyDescent="0.25"/>
    <row r="31" spans="1:39" ht="58.5" customHeight="1" x14ac:dyDescent="0.25">
      <c r="A31" s="1075" t="s">
        <v>1295</v>
      </c>
      <c r="B31" s="1076"/>
      <c r="C31" s="1076"/>
      <c r="D31" s="1077">
        <f>D28-D14</f>
        <v>0</v>
      </c>
      <c r="E31" s="1076"/>
      <c r="F31" s="1077" t="e">
        <f>F28-F14</f>
        <v>#REF!</v>
      </c>
    </row>
    <row r="32" spans="1:39" x14ac:dyDescent="0.25">
      <c r="A32" s="1075" t="s">
        <v>1296</v>
      </c>
      <c r="B32" s="1076"/>
      <c r="C32" s="1076"/>
      <c r="D32" s="1077">
        <f>D28-FS.1!C46</f>
        <v>0</v>
      </c>
      <c r="E32" s="1076"/>
      <c r="F32" s="1077" t="e">
        <f>F28-FS.1!E46</f>
        <v>#REF!</v>
      </c>
    </row>
    <row r="33" spans="9:39" s="592" customFormat="1" ht="11.4" x14ac:dyDescent="0.2">
      <c r="I33" s="1484"/>
      <c r="K33" s="1484"/>
    </row>
    <row r="34" spans="9:39" s="592" customFormat="1" ht="11.4" x14ac:dyDescent="0.2">
      <c r="I34" s="1484"/>
      <c r="K34" s="1484"/>
    </row>
    <row r="44" spans="9:39" x14ac:dyDescent="0.25">
      <c r="W44" s="1378" t="s">
        <v>2230</v>
      </c>
    </row>
    <row r="45" spans="9:39" ht="24.6" thickBot="1" x14ac:dyDescent="0.3">
      <c r="W45" s="694" t="s">
        <v>1969</v>
      </c>
      <c r="X45" s="695" t="s">
        <v>88</v>
      </c>
      <c r="Y45" s="696"/>
      <c r="Z45" s="696" t="s">
        <v>2228</v>
      </c>
      <c r="AA45" s="696"/>
      <c r="AB45" s="1079" t="s">
        <v>2227</v>
      </c>
      <c r="AC45" s="696"/>
      <c r="AD45" s="1079" t="s">
        <v>2237</v>
      </c>
      <c r="AG45" s="1520" t="s">
        <v>2234</v>
      </c>
      <c r="AH45" s="1520" t="s">
        <v>2235</v>
      </c>
      <c r="AI45" s="1520" t="s">
        <v>2236</v>
      </c>
      <c r="AJ45" s="1520" t="s">
        <v>2239</v>
      </c>
      <c r="AK45" s="1520" t="s">
        <v>2240</v>
      </c>
      <c r="AL45" s="1520" t="s">
        <v>2247</v>
      </c>
      <c r="AM45" s="1520" t="s">
        <v>2233</v>
      </c>
    </row>
    <row r="46" spans="9:39" x14ac:dyDescent="0.25">
      <c r="W46" s="1500" t="s">
        <v>2208</v>
      </c>
      <c r="X46" s="1072"/>
      <c r="Y46" s="1051" t="s">
        <v>90</v>
      </c>
      <c r="Z46" s="1501">
        <f>L3</f>
        <v>0</v>
      </c>
      <c r="AA46" s="1051" t="s">
        <v>90</v>
      </c>
      <c r="AB46" s="1501">
        <f>J3</f>
        <v>360000</v>
      </c>
      <c r="AC46" s="1051" t="s">
        <v>90</v>
      </c>
      <c r="AD46" s="1501">
        <f>AM46</f>
        <v>1014800</v>
      </c>
      <c r="AG46" s="1544">
        <f>570800+(222000+222000)</f>
        <v>1014800</v>
      </c>
      <c r="AH46" s="1544"/>
      <c r="AI46" s="1544"/>
      <c r="AJ46" s="1544"/>
      <c r="AK46" s="1544"/>
      <c r="AL46" s="1544"/>
      <c r="AM46" s="1544">
        <f>SUM(AG46:AL46)</f>
        <v>1014800</v>
      </c>
    </row>
    <row r="47" spans="9:39" x14ac:dyDescent="0.25">
      <c r="W47" s="1495" t="s">
        <v>44</v>
      </c>
      <c r="X47" s="1091"/>
      <c r="Y47" s="1048" t="s">
        <v>90</v>
      </c>
      <c r="Z47" s="1496">
        <f>L4</f>
        <v>0</v>
      </c>
      <c r="AA47" s="1048" t="s">
        <v>90</v>
      </c>
      <c r="AB47" s="1496">
        <f>J4</f>
        <v>-328158</v>
      </c>
      <c r="AC47" s="1048" t="s">
        <v>90</v>
      </c>
      <c r="AD47" s="1496">
        <f>-AM47</f>
        <v>-814500</v>
      </c>
      <c r="AG47" s="1544">
        <f>80000*(5+4)</f>
        <v>720000</v>
      </c>
      <c r="AH47" s="1544">
        <f>-AH50</f>
        <v>94500</v>
      </c>
      <c r="AI47" s="1544"/>
      <c r="AJ47" s="1544"/>
      <c r="AK47" s="1544"/>
      <c r="AL47" s="1544"/>
      <c r="AM47" s="1544">
        <f t="shared" ref="AM47:AM56" si="2">SUM(AG47:AL47)</f>
        <v>814500</v>
      </c>
    </row>
    <row r="48" spans="9:39" x14ac:dyDescent="0.25">
      <c r="W48" s="1502" t="s">
        <v>2238</v>
      </c>
      <c r="X48" s="1503"/>
      <c r="Y48" s="1504" t="s">
        <v>90</v>
      </c>
      <c r="Z48" s="1505">
        <f>SUM(Z46:Z47)</f>
        <v>0</v>
      </c>
      <c r="AA48" s="1504" t="s">
        <v>90</v>
      </c>
      <c r="AB48" s="1505">
        <f>SUM(AB46:AB47)</f>
        <v>31842</v>
      </c>
      <c r="AC48" s="1504" t="s">
        <v>90</v>
      </c>
      <c r="AD48" s="1505">
        <f>SUM(AD46:AD47)</f>
        <v>200300</v>
      </c>
      <c r="AG48" s="1544"/>
      <c r="AH48" s="1544"/>
      <c r="AI48" s="1544"/>
      <c r="AJ48" s="1544"/>
      <c r="AK48" s="1544"/>
      <c r="AL48" s="1544"/>
      <c r="AM48" s="1544">
        <f t="shared" si="2"/>
        <v>0</v>
      </c>
    </row>
    <row r="49" spans="23:39" x14ac:dyDescent="0.25">
      <c r="W49" s="1500" t="s">
        <v>296</v>
      </c>
      <c r="X49" s="1091"/>
      <c r="Y49" s="1048"/>
      <c r="Z49" s="1506"/>
      <c r="AA49" s="1048"/>
      <c r="AB49" s="1506"/>
      <c r="AC49" s="1048"/>
      <c r="AD49" s="1506"/>
      <c r="AG49" s="1544"/>
      <c r="AH49" s="1544"/>
      <c r="AI49" s="1544"/>
      <c r="AJ49" s="1544"/>
      <c r="AK49" s="1544"/>
      <c r="AL49" s="1544"/>
      <c r="AM49" s="1544">
        <f t="shared" si="2"/>
        <v>0</v>
      </c>
    </row>
    <row r="50" spans="23:39" x14ac:dyDescent="0.25">
      <c r="W50" s="1495" t="s">
        <v>35</v>
      </c>
      <c r="X50" s="1091">
        <v>9</v>
      </c>
      <c r="Y50" s="1048" t="s">
        <v>90</v>
      </c>
      <c r="Z50" s="1496" t="e">
        <f>L7</f>
        <v>#REF!</v>
      </c>
      <c r="AA50" s="1048" t="s">
        <v>90</v>
      </c>
      <c r="AB50" s="1496">
        <f>J7</f>
        <v>1755445</v>
      </c>
      <c r="AC50" s="1048" t="s">
        <v>90</v>
      </c>
      <c r="AD50" s="1496">
        <f>AM50</f>
        <v>1466312</v>
      </c>
      <c r="AG50" s="1544">
        <f>((10000+10000)*12)+(6000*6)+(3000*6)</f>
        <v>294000</v>
      </c>
      <c r="AH50" s="1544">
        <f>-((10000*7*0.75)+(6000*7))</f>
        <v>-94500</v>
      </c>
      <c r="AI50" s="1544"/>
      <c r="AJ50" s="1544">
        <f>2000+(154*12)+(50*12)</f>
        <v>4448</v>
      </c>
      <c r="AK50" s="1544">
        <f>'IA.1 - Intangible'!AP13</f>
        <v>1256364</v>
      </c>
      <c r="AL50" s="1544">
        <f>5000+1000</f>
        <v>6000</v>
      </c>
      <c r="AM50" s="1544">
        <f t="shared" si="2"/>
        <v>1466312</v>
      </c>
    </row>
    <row r="51" spans="23:39" x14ac:dyDescent="0.25">
      <c r="W51" s="1074" t="s">
        <v>36</v>
      </c>
      <c r="X51" s="1262"/>
      <c r="Y51" s="1483"/>
      <c r="Z51" s="1496" t="e">
        <f>L8</f>
        <v>#REF!</v>
      </c>
      <c r="AA51" s="1483"/>
      <c r="AB51" s="1496">
        <f>J8</f>
        <v>70958</v>
      </c>
      <c r="AC51" s="1483"/>
      <c r="AD51" s="1496">
        <f>AM51</f>
        <v>39000</v>
      </c>
      <c r="AG51" s="1544">
        <f>6500*6</f>
        <v>39000</v>
      </c>
      <c r="AH51" s="1544"/>
      <c r="AI51" s="1544"/>
      <c r="AJ51" s="1544"/>
      <c r="AK51" s="1544"/>
      <c r="AL51" s="1544"/>
      <c r="AM51" s="1544">
        <f t="shared" si="2"/>
        <v>39000</v>
      </c>
    </row>
    <row r="52" spans="23:39" x14ac:dyDescent="0.25">
      <c r="W52" s="1502" t="s">
        <v>2210</v>
      </c>
      <c r="X52" s="1507"/>
      <c r="Y52" s="1504" t="s">
        <v>90</v>
      </c>
      <c r="Z52" s="1505" t="e">
        <f>Z48-SUM(Z49:Z51)</f>
        <v>#REF!</v>
      </c>
      <c r="AA52" s="1504" t="s">
        <v>90</v>
      </c>
      <c r="AB52" s="1505">
        <f>AB48-SUM(AB49:AB51)</f>
        <v>-1794561</v>
      </c>
      <c r="AC52" s="1504" t="s">
        <v>90</v>
      </c>
      <c r="AD52" s="1505">
        <f>AD48-SUM(AD49:AD51)</f>
        <v>-1305012</v>
      </c>
      <c r="AG52" s="1544"/>
      <c r="AH52" s="1544"/>
      <c r="AI52" s="1544"/>
      <c r="AJ52" s="1544"/>
      <c r="AK52" s="1544"/>
      <c r="AL52" s="1544"/>
      <c r="AM52" s="1544">
        <f t="shared" si="2"/>
        <v>0</v>
      </c>
    </row>
    <row r="53" spans="23:39" x14ac:dyDescent="0.25">
      <c r="W53" s="1500" t="s">
        <v>105</v>
      </c>
      <c r="X53" s="1091"/>
      <c r="Y53" s="1051"/>
      <c r="Z53" s="1501"/>
      <c r="AA53" s="1051"/>
      <c r="AB53" s="1501"/>
      <c r="AC53" s="1051"/>
      <c r="AD53" s="1501"/>
      <c r="AG53" s="1544"/>
      <c r="AH53" s="1544"/>
      <c r="AI53" s="1544"/>
      <c r="AJ53" s="1544"/>
      <c r="AK53" s="1544"/>
      <c r="AL53" s="1544"/>
      <c r="AM53" s="1544">
        <f t="shared" si="2"/>
        <v>0</v>
      </c>
    </row>
    <row r="54" spans="23:39" x14ac:dyDescent="0.25">
      <c r="W54" s="592" t="s">
        <v>235</v>
      </c>
      <c r="Y54" s="1484"/>
      <c r="Z54" s="1496">
        <f>L11</f>
        <v>3150</v>
      </c>
      <c r="AA54" s="1482"/>
      <c r="AB54" s="1496">
        <f>J11</f>
        <v>0</v>
      </c>
      <c r="AC54" s="1482"/>
      <c r="AD54" s="1496">
        <f>-AM54</f>
        <v>0</v>
      </c>
      <c r="AG54" s="1544"/>
      <c r="AH54" s="1544"/>
      <c r="AI54" s="1544"/>
      <c r="AJ54" s="1544"/>
      <c r="AK54" s="1544"/>
      <c r="AL54" s="1544"/>
      <c r="AM54" s="1544">
        <f t="shared" si="2"/>
        <v>0</v>
      </c>
    </row>
    <row r="55" spans="23:39" x14ac:dyDescent="0.25">
      <c r="W55" s="592" t="s">
        <v>2248</v>
      </c>
      <c r="Y55" s="1484"/>
      <c r="Z55" s="1496">
        <v>0</v>
      </c>
      <c r="AA55" s="1482"/>
      <c r="AB55" s="1496">
        <v>0</v>
      </c>
      <c r="AC55" s="1482"/>
      <c r="AD55" s="1496">
        <f>-AM55</f>
        <v>-20000</v>
      </c>
      <c r="AG55" s="1544"/>
      <c r="AH55" s="1544"/>
      <c r="AI55" s="1544"/>
      <c r="AJ55" s="1544"/>
      <c r="AK55" s="1544">
        <v>20000</v>
      </c>
      <c r="AL55" s="1544"/>
      <c r="AM55" s="1544">
        <f t="shared" si="2"/>
        <v>20000</v>
      </c>
    </row>
    <row r="56" spans="23:39" x14ac:dyDescent="0.25">
      <c r="W56" s="592" t="s">
        <v>37</v>
      </c>
      <c r="X56" s="609"/>
      <c r="Y56" s="1484"/>
      <c r="Z56" s="1496" t="e">
        <f>L12</f>
        <v>#REF!</v>
      </c>
      <c r="AA56" s="1484"/>
      <c r="AB56" s="1496">
        <f>J12</f>
        <v>14</v>
      </c>
      <c r="AC56" s="1484"/>
      <c r="AD56" s="1496">
        <f t="shared" ref="AD56:AD58" si="3">-AM56</f>
        <v>0</v>
      </c>
      <c r="AM56" s="1544">
        <f t="shared" si="2"/>
        <v>0</v>
      </c>
    </row>
    <row r="57" spans="23:39" x14ac:dyDescent="0.25">
      <c r="W57" s="592" t="s">
        <v>233</v>
      </c>
      <c r="X57" s="609">
        <v>10</v>
      </c>
      <c r="Y57" s="1484"/>
      <c r="Z57" s="1496">
        <f>L13</f>
        <v>50062</v>
      </c>
      <c r="AA57" s="1484"/>
      <c r="AB57" s="1496">
        <f>J13</f>
        <v>-31957</v>
      </c>
      <c r="AC57" s="1484"/>
      <c r="AD57" s="1496">
        <f t="shared" si="3"/>
        <v>-18105.072145005313</v>
      </c>
      <c r="AG57" s="1544">
        <f>SUM('[1]COV.DEBT - AMEND'!$D$52:$D$57)</f>
        <v>18105.072145005313</v>
      </c>
      <c r="AH57" s="1544"/>
      <c r="AI57" s="1544"/>
      <c r="AJ57" s="1544"/>
      <c r="AK57" s="1544"/>
      <c r="AL57" s="1544"/>
      <c r="AM57" s="1544">
        <f>SUM(AG57:AL57)</f>
        <v>18105.072145005313</v>
      </c>
    </row>
    <row r="58" spans="23:39" x14ac:dyDescent="0.25">
      <c r="W58" s="1074" t="s">
        <v>26</v>
      </c>
      <c r="X58" s="1262">
        <v>7</v>
      </c>
      <c r="Y58" s="1483"/>
      <c r="Z58" s="1508">
        <f>L14</f>
        <v>-33787</v>
      </c>
      <c r="AA58" s="1483"/>
      <c r="AB58" s="1508">
        <f>J14</f>
        <v>-45232</v>
      </c>
      <c r="AC58" s="1483"/>
      <c r="AD58" s="1508">
        <f t="shared" si="3"/>
        <v>-21812.243702605461</v>
      </c>
      <c r="AG58" s="1544">
        <f>-SUM('[1]COV.DEBT - AMEND'!$E$52:$E$57)</f>
        <v>20812.243702605461</v>
      </c>
      <c r="AH58" s="1544"/>
      <c r="AI58" s="1544"/>
      <c r="AJ58" s="1544">
        <v>1000</v>
      </c>
      <c r="AK58" s="1544"/>
      <c r="AL58" s="1544"/>
      <c r="AM58" s="1544">
        <f>SUM(AG58:AL58)</f>
        <v>21812.243702605461</v>
      </c>
    </row>
    <row r="59" spans="23:39" ht="14.4" thickBot="1" x14ac:dyDescent="0.3">
      <c r="W59" s="1509" t="s">
        <v>2211</v>
      </c>
      <c r="X59" s="1510"/>
      <c r="Y59" s="1511" t="s">
        <v>90</v>
      </c>
      <c r="Z59" s="1512" t="e">
        <f>SUM(Z52:Z58)</f>
        <v>#REF!</v>
      </c>
      <c r="AA59" s="1511" t="s">
        <v>90</v>
      </c>
      <c r="AB59" s="1512">
        <f>SUM(AB52:AB58)</f>
        <v>-1871736</v>
      </c>
      <c r="AC59" s="1511" t="s">
        <v>90</v>
      </c>
      <c r="AD59" s="1512">
        <f>SUM(AD52:AD58)</f>
        <v>-1364929.3158476106</v>
      </c>
    </row>
    <row r="60" spans="23:39" x14ac:dyDescent="0.25">
      <c r="AG60" s="1546">
        <f t="shared" ref="AG60:AM60" si="4">AG46-SUM(AG47:AG58)</f>
        <v>-77117.315847610589</v>
      </c>
      <c r="AH60" s="1546">
        <f t="shared" si="4"/>
        <v>0</v>
      </c>
      <c r="AI60" s="1546">
        <f t="shared" si="4"/>
        <v>0</v>
      </c>
      <c r="AJ60" s="1546">
        <f t="shared" si="4"/>
        <v>-5448</v>
      </c>
      <c r="AK60" s="1546">
        <f t="shared" si="4"/>
        <v>-1276364</v>
      </c>
      <c r="AL60" s="1546">
        <f t="shared" si="4"/>
        <v>-6000</v>
      </c>
      <c r="AM60" s="1546">
        <f t="shared" si="4"/>
        <v>-1364929.3158476106</v>
      </c>
    </row>
    <row r="62" spans="23:39" x14ac:dyDescent="0.25">
      <c r="AL62" s="1542" t="s">
        <v>507</v>
      </c>
      <c r="AM62" s="1543">
        <f>AM26+AM60</f>
        <v>0</v>
      </c>
    </row>
    <row r="64" spans="23:39" x14ac:dyDescent="0.25">
      <c r="AG64" s="1547" t="s">
        <v>2242</v>
      </c>
    </row>
    <row r="65" spans="1:33" x14ac:dyDescent="0.25">
      <c r="AG65" s="1547" t="s">
        <v>2243</v>
      </c>
    </row>
    <row r="66" spans="1:33" x14ac:dyDescent="0.25">
      <c r="A66" s="1481">
        <f>C90</f>
        <v>0</v>
      </c>
      <c r="AG66" s="1547" t="s">
        <v>2244</v>
      </c>
    </row>
    <row r="67" spans="1:33" x14ac:dyDescent="0.25">
      <c r="W67" s="1070" t="s">
        <v>643</v>
      </c>
      <c r="AG67" s="1547" t="s">
        <v>2245</v>
      </c>
    </row>
    <row r="68" spans="1:33" x14ac:dyDescent="0.25">
      <c r="AG68" s="1547" t="s">
        <v>2246</v>
      </c>
    </row>
    <row r="69" spans="1:33" x14ac:dyDescent="0.25">
      <c r="AG69" s="1547" t="s">
        <v>2241</v>
      </c>
    </row>
  </sheetData>
  <mergeCells count="2">
    <mergeCell ref="O2:R2"/>
    <mergeCell ref="S2:V2"/>
  </mergeCells>
  <phoneticPr fontId="42" type="noConversion"/>
  <pageMargins left="0.59055118110236227" right="0.51181102362204722" top="0.98425196850393704" bottom="0.98425196850393704" header="0.31496062992125984" footer="0.31496062992125984"/>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B5088-D0A7-4E29-9CD6-EBF5232F7493}">
  <sheetPr>
    <tabColor rgb="FFFFC000"/>
  </sheetPr>
  <dimension ref="A2:T14"/>
  <sheetViews>
    <sheetView view="pageLayout" zoomScaleNormal="100" workbookViewId="0">
      <selection activeCell="A2" sqref="A2:J9"/>
    </sheetView>
  </sheetViews>
  <sheetFormatPr defaultColWidth="9.109375" defaultRowHeight="14.4" x14ac:dyDescent="0.3"/>
  <cols>
    <col min="1" max="1" width="49.44140625" customWidth="1"/>
    <col min="2" max="2" width="6" bestFit="1" customWidth="1"/>
    <col min="3" max="3" width="2.5546875" bestFit="1" customWidth="1"/>
    <col min="4" max="4" width="11.44140625" customWidth="1"/>
    <col min="5" max="5" width="2.5546875" bestFit="1" customWidth="1"/>
    <col min="6" max="6" width="11.44140625" customWidth="1"/>
    <col min="7" max="7" width="2.5546875" bestFit="1" customWidth="1"/>
    <col min="8" max="8" width="12.33203125" customWidth="1"/>
    <col min="9" max="9" width="2.5546875" bestFit="1" customWidth="1"/>
    <col min="10" max="10" width="11.44140625" customWidth="1"/>
    <col min="11" max="11" width="41.21875" bestFit="1" customWidth="1"/>
    <col min="13" max="13" width="2" bestFit="1" customWidth="1"/>
    <col min="14" max="14" width="10.44140625" bestFit="1" customWidth="1"/>
    <col min="15" max="15" width="3.109375" bestFit="1" customWidth="1"/>
    <col min="16" max="16" width="10.44140625" bestFit="1" customWidth="1"/>
    <col min="17" max="17" width="3.109375" bestFit="1" customWidth="1"/>
    <col min="18" max="18" width="11.109375" bestFit="1" customWidth="1"/>
    <col min="19" max="19" width="3.109375" bestFit="1" customWidth="1"/>
    <col min="20" max="20" width="11.109375" bestFit="1" customWidth="1"/>
  </cols>
  <sheetData>
    <row r="2" spans="1:20" ht="36.6" x14ac:dyDescent="0.3">
      <c r="A2" s="653"/>
      <c r="B2" s="654" t="s">
        <v>88</v>
      </c>
      <c r="C2" s="685"/>
      <c r="D2" s="656" t="s">
        <v>513</v>
      </c>
      <c r="E2" s="656"/>
      <c r="F2" s="656" t="s">
        <v>328</v>
      </c>
      <c r="G2" s="656"/>
      <c r="H2" s="656" t="s">
        <v>288</v>
      </c>
      <c r="I2" s="656"/>
      <c r="J2" s="697" t="s">
        <v>512</v>
      </c>
      <c r="K2" s="653"/>
      <c r="L2" s="654" t="s">
        <v>88</v>
      </c>
      <c r="M2" s="685"/>
      <c r="N2" s="656" t="s">
        <v>513</v>
      </c>
      <c r="O2" s="656"/>
      <c r="P2" s="656" t="s">
        <v>328</v>
      </c>
      <c r="Q2" s="656"/>
      <c r="R2" s="656" t="s">
        <v>288</v>
      </c>
      <c r="S2" s="656"/>
      <c r="T2" s="697" t="s">
        <v>512</v>
      </c>
    </row>
    <row r="3" spans="1:20" x14ac:dyDescent="0.3">
      <c r="A3" s="677" t="str">
        <f>FS.1!A86</f>
        <v>Balance - June 30, 2023</v>
      </c>
      <c r="B3" s="683"/>
      <c r="C3" s="679" t="s">
        <v>90</v>
      </c>
      <c r="D3" s="680">
        <f>FS.1!C86</f>
        <v>1774099</v>
      </c>
      <c r="E3" s="680" t="s">
        <v>90</v>
      </c>
      <c r="F3" s="680">
        <f>FS.1!E86</f>
        <v>308750</v>
      </c>
      <c r="G3" s="680" t="s">
        <v>90</v>
      </c>
      <c r="H3" s="680">
        <f>FS.1!G86</f>
        <v>-1474472</v>
      </c>
      <c r="I3" s="680" t="s">
        <v>90</v>
      </c>
      <c r="J3" s="681">
        <f>ROUND(SUM(D3:H3),0)</f>
        <v>608377</v>
      </c>
      <c r="K3" s="677" t="s">
        <v>1299</v>
      </c>
      <c r="L3" s="683"/>
      <c r="M3" s="679" t="s">
        <v>90</v>
      </c>
      <c r="N3" s="680">
        <f>FS.1!C86</f>
        <v>1774099</v>
      </c>
      <c r="O3" s="680" t="s">
        <v>90</v>
      </c>
      <c r="P3" s="680">
        <f>FS.1!E86</f>
        <v>308750</v>
      </c>
      <c r="Q3" s="680" t="s">
        <v>90</v>
      </c>
      <c r="R3" s="680">
        <f>FS.1!G86</f>
        <v>-1474472</v>
      </c>
      <c r="S3" s="680" t="s">
        <v>90</v>
      </c>
      <c r="T3" s="681">
        <f>ROUND(SUM(N3:R3),0)</f>
        <v>608377</v>
      </c>
    </row>
    <row r="4" spans="1:20" x14ac:dyDescent="0.3">
      <c r="A4" s="4" t="str">
        <f>FS.1!A87</f>
        <v>Shares issued on acquisition of Hallor Industries Inc.</v>
      </c>
      <c r="B4" s="426">
        <v>4</v>
      </c>
      <c r="C4" s="9"/>
      <c r="D4" s="11">
        <f>FS.1!C87</f>
        <v>6000000</v>
      </c>
      <c r="E4" s="11"/>
      <c r="F4" s="11">
        <f>FS.1!E87</f>
        <v>0</v>
      </c>
      <c r="G4" s="11"/>
      <c r="H4" s="11">
        <f>FS.1!G87</f>
        <v>0</v>
      </c>
      <c r="I4" s="11"/>
      <c r="J4" s="698">
        <f>ROUND(SUM(D4:H4),0)</f>
        <v>6000000</v>
      </c>
      <c r="K4" s="4" t="s">
        <v>1216</v>
      </c>
      <c r="L4" s="426">
        <v>5</v>
      </c>
      <c r="M4" s="9"/>
      <c r="N4" s="11">
        <f>FS.1!C87</f>
        <v>6000000</v>
      </c>
      <c r="O4" s="11"/>
      <c r="P4" s="11">
        <f>FS.1!E87</f>
        <v>0</v>
      </c>
      <c r="Q4" s="11"/>
      <c r="R4" s="11">
        <f>FS.1!G87</f>
        <v>0</v>
      </c>
      <c r="S4" s="11"/>
      <c r="T4" s="698">
        <f>ROUND(SUM(N4:R4),0)</f>
        <v>6000000</v>
      </c>
    </row>
    <row r="5" spans="1:20" x14ac:dyDescent="0.3">
      <c r="A5" s="4" t="s">
        <v>506</v>
      </c>
      <c r="B5" s="426">
        <v>4</v>
      </c>
      <c r="C5" s="9"/>
      <c r="D5" s="11">
        <f>FS.1!C88</f>
        <v>450000</v>
      </c>
      <c r="E5" s="11"/>
      <c r="F5" s="11">
        <f>FS.1!E88</f>
        <v>0</v>
      </c>
      <c r="G5" s="11"/>
      <c r="H5" s="11">
        <f>FS.1!G88</f>
        <v>0</v>
      </c>
      <c r="I5" s="11"/>
      <c r="J5" s="698">
        <f t="shared" ref="J5:J6" si="0">ROUND(SUM(D5:H5),0)</f>
        <v>450000</v>
      </c>
      <c r="K5" s="4" t="s">
        <v>506</v>
      </c>
      <c r="L5" s="426">
        <v>5</v>
      </c>
      <c r="M5" s="9"/>
      <c r="N5" s="11">
        <f>FS.1!C88</f>
        <v>450000</v>
      </c>
      <c r="O5" s="11"/>
      <c r="P5" s="11">
        <f>FS.1!E88</f>
        <v>0</v>
      </c>
      <c r="Q5" s="11"/>
      <c r="R5" s="11">
        <f>FS.1!G88</f>
        <v>0</v>
      </c>
      <c r="S5" s="11"/>
      <c r="T5" s="698">
        <f t="shared" ref="T5:T6" si="1">ROUND(SUM(N5:R5),0)</f>
        <v>450000</v>
      </c>
    </row>
    <row r="6" spans="1:20" x14ac:dyDescent="0.3">
      <c r="A6" s="4" t="s">
        <v>110</v>
      </c>
      <c r="B6" s="10"/>
      <c r="C6" s="9"/>
      <c r="D6" s="11">
        <f>FS.1!C89</f>
        <v>0</v>
      </c>
      <c r="E6" s="11"/>
      <c r="F6" s="11">
        <f>FS.1!E89</f>
        <v>0</v>
      </c>
      <c r="G6" s="11"/>
      <c r="H6" s="11" t="e">
        <f>FS.1!G89</f>
        <v>#REF!</v>
      </c>
      <c r="I6" s="11"/>
      <c r="J6" s="698" t="e">
        <f t="shared" si="0"/>
        <v>#REF!</v>
      </c>
      <c r="K6" s="4" t="s">
        <v>42</v>
      </c>
      <c r="L6" s="10"/>
      <c r="M6" s="9"/>
      <c r="N6" s="11">
        <f>FS.1!C89</f>
        <v>0</v>
      </c>
      <c r="O6" s="11"/>
      <c r="P6" s="11">
        <f>FS.1!E89</f>
        <v>0</v>
      </c>
      <c r="Q6" s="11"/>
      <c r="R6" s="11" t="e">
        <f>FS.1!G89</f>
        <v>#REF!</v>
      </c>
      <c r="S6" s="11"/>
      <c r="T6" s="698" t="e">
        <f t="shared" si="1"/>
        <v>#REF!</v>
      </c>
    </row>
    <row r="7" spans="1:20" x14ac:dyDescent="0.3">
      <c r="A7" s="677" t="str">
        <f>FS.1!A90</f>
        <v>Balance - June 30, 2024</v>
      </c>
      <c r="B7" s="678"/>
      <c r="C7" s="679" t="s">
        <v>90</v>
      </c>
      <c r="D7" s="680">
        <f>ROUND(SUM(D3:D6),0)</f>
        <v>8224099</v>
      </c>
      <c r="E7" s="680" t="s">
        <v>90</v>
      </c>
      <c r="F7" s="680">
        <f>ROUND(SUM(F3:F6),0)</f>
        <v>308750</v>
      </c>
      <c r="G7" s="680" t="s">
        <v>90</v>
      </c>
      <c r="H7" s="680" t="e">
        <f>ROUND(SUM(H3:H6),0)</f>
        <v>#REF!</v>
      </c>
      <c r="I7" s="680" t="s">
        <v>90</v>
      </c>
      <c r="J7" s="680" t="e">
        <f>ROUND(SUM(J3:J6),0)</f>
        <v>#REF!</v>
      </c>
      <c r="K7" s="677" t="s">
        <v>2212</v>
      </c>
      <c r="L7" s="678"/>
      <c r="M7" s="679" t="s">
        <v>90</v>
      </c>
      <c r="N7" s="680">
        <f>ROUND(SUM(N3:N6),0)</f>
        <v>8224099</v>
      </c>
      <c r="O7" s="680" t="s">
        <v>90</v>
      </c>
      <c r="P7" s="680">
        <f>ROUND(SUM(P3:P6),0)</f>
        <v>308750</v>
      </c>
      <c r="Q7" s="680" t="s">
        <v>90</v>
      </c>
      <c r="R7" s="680" t="e">
        <f>ROUND(SUM(R3:R6),0)</f>
        <v>#REF!</v>
      </c>
      <c r="S7" s="680" t="s">
        <v>90</v>
      </c>
      <c r="T7" s="680" t="e">
        <f>ROUND(SUM(T3:T6),0)</f>
        <v>#REF!</v>
      </c>
    </row>
    <row r="8" spans="1:20" x14ac:dyDescent="0.3">
      <c r="A8" s="206" t="s">
        <v>2214</v>
      </c>
      <c r="B8" s="570"/>
      <c r="C8" s="675"/>
      <c r="D8" s="11">
        <f>FS.1!C95</f>
        <v>0</v>
      </c>
      <c r="E8" s="11"/>
      <c r="F8" s="11">
        <f>FS.1!E95</f>
        <v>0</v>
      </c>
      <c r="G8" s="11"/>
      <c r="H8" s="11">
        <f>FS.1!G95</f>
        <v>-1871736</v>
      </c>
      <c r="I8" s="676"/>
      <c r="J8" s="698">
        <f>ROUND(SUM(D8:H8),0)</f>
        <v>-1871736</v>
      </c>
      <c r="K8" s="4"/>
      <c r="L8" s="10"/>
      <c r="M8" s="9"/>
      <c r="N8" s="11"/>
      <c r="O8" s="11"/>
      <c r="P8" s="11"/>
      <c r="Q8" s="11"/>
      <c r="R8" s="11"/>
      <c r="S8" s="11"/>
      <c r="T8" s="698"/>
    </row>
    <row r="9" spans="1:20" x14ac:dyDescent="0.3">
      <c r="A9" s="682" t="str">
        <f>FS.1!A96</f>
        <v>Balance - June 30, 2025</v>
      </c>
      <c r="B9" s="683"/>
      <c r="C9" s="684" t="s">
        <v>90</v>
      </c>
      <c r="D9" s="680">
        <f>SUM(D7:D8)</f>
        <v>8224099</v>
      </c>
      <c r="E9" s="681" t="s">
        <v>90</v>
      </c>
      <c r="F9" s="680">
        <f>SUM(F7:F8)</f>
        <v>308750</v>
      </c>
      <c r="G9" s="681" t="s">
        <v>90</v>
      </c>
      <c r="H9" s="680" t="e">
        <f>SUM(H7:H8)</f>
        <v>#REF!</v>
      </c>
      <c r="I9" s="680" t="s">
        <v>90</v>
      </c>
      <c r="J9" s="680" t="e">
        <f>SUM(J7:J8)</f>
        <v>#REF!</v>
      </c>
      <c r="K9" s="677" t="s">
        <v>2207</v>
      </c>
      <c r="L9" s="678"/>
      <c r="M9" s="679" t="s">
        <v>90</v>
      </c>
      <c r="N9" s="680">
        <f>FS.1!C92</f>
        <v>8224099</v>
      </c>
      <c r="O9" s="680" t="s">
        <v>90</v>
      </c>
      <c r="P9" s="680">
        <f>FS.1!E92</f>
        <v>308750</v>
      </c>
      <c r="Q9" s="680" t="s">
        <v>90</v>
      </c>
      <c r="R9" s="680" t="e">
        <f>FS.1!G92</f>
        <v>#REF!</v>
      </c>
      <c r="S9" s="680" t="s">
        <v>90</v>
      </c>
      <c r="T9" s="681" t="e">
        <f>ROUND(SUM(N9:R9),0)</f>
        <v>#REF!</v>
      </c>
    </row>
    <row r="10" spans="1:20" x14ac:dyDescent="0.3">
      <c r="K10" s="206" t="s">
        <v>317</v>
      </c>
      <c r="L10" s="570"/>
      <c r="M10" s="675"/>
      <c r="N10" s="11">
        <f>FS.1!C95</f>
        <v>0</v>
      </c>
      <c r="O10" s="11"/>
      <c r="P10" s="11">
        <f>FS.1!E95</f>
        <v>0</v>
      </c>
      <c r="Q10" s="11"/>
      <c r="R10" s="11">
        <f>FS.1!G95</f>
        <v>-1871736</v>
      </c>
      <c r="S10" s="676"/>
      <c r="T10" s="698">
        <f>ROUND(SUM(N10:R10),0)</f>
        <v>-1871736</v>
      </c>
    </row>
    <row r="11" spans="1:20" x14ac:dyDescent="0.3">
      <c r="A11" s="699" t="s">
        <v>507</v>
      </c>
      <c r="D11" s="700">
        <f>D7-FS.1!C90</f>
        <v>0</v>
      </c>
      <c r="E11" s="209"/>
      <c r="F11" s="700">
        <f>FS.1!E90-F7</f>
        <v>0</v>
      </c>
      <c r="G11" s="209"/>
      <c r="H11" s="700" t="e">
        <f>H7-FS.1!G90</f>
        <v>#REF!</v>
      </c>
      <c r="I11" s="209"/>
      <c r="J11" s="700" t="e">
        <f>J7-FS.1!I90</f>
        <v>#REF!</v>
      </c>
      <c r="K11" s="682" t="s">
        <v>2213</v>
      </c>
      <c r="L11" s="683"/>
      <c r="M11" s="684" t="s">
        <v>90</v>
      </c>
      <c r="N11" s="680">
        <f>ROUND(SUM(N9:N10),0)</f>
        <v>8224099</v>
      </c>
      <c r="O11" s="681" t="s">
        <v>90</v>
      </c>
      <c r="P11" s="680">
        <f>ROUND(SUM(P9:P10),0)</f>
        <v>308750</v>
      </c>
      <c r="Q11" s="681" t="s">
        <v>90</v>
      </c>
      <c r="R11" s="680" t="e">
        <f>ROUND(SUM(R9:R10),0)</f>
        <v>#REF!</v>
      </c>
      <c r="S11" s="680" t="s">
        <v>90</v>
      </c>
      <c r="T11" s="680" t="e">
        <f>ROUND(SUM(T9:T10),0)</f>
        <v>#REF!</v>
      </c>
    </row>
    <row r="12" spans="1:20" x14ac:dyDescent="0.3">
      <c r="A12" s="699" t="s">
        <v>507</v>
      </c>
      <c r="B12" s="209"/>
      <c r="C12" s="209"/>
      <c r="D12" s="700">
        <f>D9-FS.1!C41</f>
        <v>0</v>
      </c>
      <c r="E12" s="209"/>
      <c r="F12" s="700">
        <f>F9-FS.1!C42</f>
        <v>0</v>
      </c>
      <c r="G12" s="209"/>
      <c r="H12" s="700" t="e">
        <f>H9-FS.1!C43</f>
        <v>#REF!</v>
      </c>
      <c r="I12" s="209"/>
      <c r="J12" s="700" t="e">
        <f>J9-FS.1!C44</f>
        <v>#REF!</v>
      </c>
    </row>
    <row r="13" spans="1:20" x14ac:dyDescent="0.3">
      <c r="K13" s="699" t="s">
        <v>507</v>
      </c>
      <c r="N13" s="700">
        <f>FS.1!C90-N7</f>
        <v>0</v>
      </c>
      <c r="O13" s="209"/>
      <c r="P13" s="700">
        <f>FS.1!E90-P7</f>
        <v>0</v>
      </c>
      <c r="Q13" s="209"/>
      <c r="R13" s="700" t="e">
        <f>FS.1!G90-R7</f>
        <v>#REF!</v>
      </c>
      <c r="S13" s="209"/>
      <c r="T13" s="700" t="e">
        <f>FS.1!I90-T7</f>
        <v>#REF!</v>
      </c>
    </row>
    <row r="14" spans="1:20" x14ac:dyDescent="0.3">
      <c r="K14" s="699" t="s">
        <v>507</v>
      </c>
      <c r="L14" s="209"/>
      <c r="M14" s="209"/>
      <c r="N14" s="700">
        <f>FS.1!C41-N11</f>
        <v>0</v>
      </c>
      <c r="O14" s="209"/>
      <c r="P14" s="700">
        <f>FS.1!C42-P11</f>
        <v>0</v>
      </c>
      <c r="Q14" s="209"/>
      <c r="R14" s="700" t="e">
        <f>FS.1!C43-R11</f>
        <v>#REF!</v>
      </c>
      <c r="S14" s="209"/>
      <c r="T14" s="700" t="e">
        <f>FS.1!C44-T11</f>
        <v>#REF!</v>
      </c>
    </row>
  </sheetData>
  <pageMargins left="1" right="1" top="0.5" bottom="1" header="0.31496062992125984" footer="0.31496062992125984"/>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62501-FE0D-457D-AB85-9BFA7DCFE89F}">
  <sheetPr>
    <tabColor rgb="FFFFC000"/>
  </sheetPr>
  <dimension ref="A1:E41"/>
  <sheetViews>
    <sheetView workbookViewId="0"/>
  </sheetViews>
  <sheetFormatPr defaultColWidth="9.109375" defaultRowHeight="14.4" x14ac:dyDescent="0.3"/>
  <cols>
    <col min="1" max="1" width="55" customWidth="1"/>
    <col min="2" max="2" width="2.5546875" bestFit="1" customWidth="1"/>
    <col min="3" max="3" width="13" customWidth="1"/>
    <col min="4" max="4" width="2.5546875" bestFit="1" customWidth="1"/>
    <col min="5" max="5" width="13" customWidth="1"/>
  </cols>
  <sheetData>
    <row r="1" spans="1:5" x14ac:dyDescent="0.3">
      <c r="A1" s="175" t="s">
        <v>452</v>
      </c>
    </row>
    <row r="2" spans="1:5" ht="24.6" x14ac:dyDescent="0.3">
      <c r="A2" s="701" t="s">
        <v>2215</v>
      </c>
      <c r="B2" s="702"/>
      <c r="C2" s="702" t="s">
        <v>2254</v>
      </c>
      <c r="D2" s="702"/>
      <c r="E2" s="702" t="s">
        <v>2228</v>
      </c>
    </row>
    <row r="3" spans="1:5" ht="14.1" customHeight="1" x14ac:dyDescent="0.3">
      <c r="A3" s="616" t="s">
        <v>421</v>
      </c>
      <c r="B3" s="572"/>
      <c r="C3" s="617"/>
      <c r="D3" s="572"/>
      <c r="E3" s="617"/>
    </row>
    <row r="4" spans="1:5" ht="14.1" customHeight="1" x14ac:dyDescent="0.3">
      <c r="A4" s="616"/>
      <c r="B4" s="572"/>
      <c r="C4" s="617"/>
      <c r="D4" s="572"/>
      <c r="E4" s="617"/>
    </row>
    <row r="5" spans="1:5" ht="14.1" customHeight="1" x14ac:dyDescent="0.3">
      <c r="A5" s="616" t="s">
        <v>113</v>
      </c>
      <c r="B5" s="572"/>
      <c r="C5" s="617"/>
      <c r="D5" s="572"/>
      <c r="E5" s="617"/>
    </row>
    <row r="6" spans="1:5" ht="14.1" customHeight="1" x14ac:dyDescent="0.3">
      <c r="A6" s="624" t="s">
        <v>42</v>
      </c>
      <c r="B6" s="572" t="s">
        <v>90</v>
      </c>
      <c r="C6" s="573">
        <f>FS.1!C105</f>
        <v>-1871736</v>
      </c>
      <c r="D6" s="572" t="s">
        <v>90</v>
      </c>
      <c r="E6" s="573" t="e">
        <f>FS.1!E105</f>
        <v>#REF!</v>
      </c>
    </row>
    <row r="7" spans="1:5" ht="14.1" customHeight="1" x14ac:dyDescent="0.3">
      <c r="A7" s="624"/>
      <c r="B7" s="572"/>
      <c r="C7" s="573"/>
      <c r="D7" s="572"/>
      <c r="E7" s="573"/>
    </row>
    <row r="8" spans="1:5" ht="14.1" customHeight="1" x14ac:dyDescent="0.3">
      <c r="A8" s="640" t="s">
        <v>68</v>
      </c>
      <c r="B8" s="572"/>
      <c r="C8" s="573"/>
      <c r="D8" s="572"/>
      <c r="E8" s="573"/>
    </row>
    <row r="9" spans="1:5" ht="14.1" customHeight="1" x14ac:dyDescent="0.3">
      <c r="A9" s="624" t="str">
        <f>FS.1!A108</f>
        <v>Depreciation and amortization</v>
      </c>
      <c r="B9" s="572"/>
      <c r="C9" s="573">
        <f>_xlfn.XLOOKUP(A9,FS.1!$A$104:$A$138,FS.1!$C$104:$C$138,0,0,1)</f>
        <v>1256364</v>
      </c>
      <c r="D9" s="572"/>
      <c r="E9" s="573" t="e">
        <f>_xlfn.XLOOKUP(A9,FS.1!$A$104:$A$138,FS.1!$E$104:$E$138)</f>
        <v>#REF!</v>
      </c>
    </row>
    <row r="10" spans="1:5" ht="14.1" customHeight="1" x14ac:dyDescent="0.3">
      <c r="A10" s="624" t="str">
        <f>FS.1!A110</f>
        <v>Accretion expense</v>
      </c>
      <c r="B10" s="572"/>
      <c r="C10" s="573">
        <f>_xlfn.XLOOKUP(A10,FS.1!$A$104:$A$138,FS.1!$C$104:$C$138,0,0,1)</f>
        <v>31957</v>
      </c>
      <c r="D10" s="572"/>
      <c r="E10" s="573">
        <f>_xlfn.XLOOKUP(A10,FS.1!$A$104:$A$138,FS.1!$E$104:$E$138)</f>
        <v>24938</v>
      </c>
    </row>
    <row r="11" spans="1:5" ht="14.1" customHeight="1" x14ac:dyDescent="0.3">
      <c r="A11" s="624" t="str">
        <f>FS.1!A111</f>
        <v>Interest expense</v>
      </c>
      <c r="B11" s="572"/>
      <c r="C11" s="573">
        <f>_xlfn.XLOOKUP(A11,FS.1!$A$104:$A$138,FS.1!$C$104:$C$138,0,0,1)</f>
        <v>37565</v>
      </c>
      <c r="D11" s="572"/>
      <c r="E11" s="573">
        <f>_xlfn.XLOOKUP(A11,FS.1!$A$104:$A$138,FS.1!$E$104:$E$138)</f>
        <v>30800</v>
      </c>
    </row>
    <row r="12" spans="1:5" ht="13.2" customHeight="1" x14ac:dyDescent="0.3">
      <c r="A12" s="624" t="str">
        <f>FS.1!A112</f>
        <v>Gain on re-measurement of derivative liability</v>
      </c>
      <c r="B12" s="572"/>
      <c r="C12" s="573">
        <f>_xlfn.XLOOKUP(A12,FS.1!$A$104:$A$138,FS.1!$C$104:$C$138,0,0,1)</f>
        <v>0</v>
      </c>
      <c r="D12" s="572"/>
      <c r="E12" s="573">
        <f>_xlfn.XLOOKUP(A12,FS.1!$A$104:$A$138,FS.1!$E$104:$E$138)</f>
        <v>-75000</v>
      </c>
    </row>
    <row r="13" spans="1:5" ht="14.1" customHeight="1" x14ac:dyDescent="0.3">
      <c r="A13" s="624"/>
      <c r="B13" s="572"/>
      <c r="C13" s="573"/>
      <c r="D13" s="572"/>
      <c r="E13" s="573"/>
    </row>
    <row r="14" spans="1:5" ht="14.1" customHeight="1" x14ac:dyDescent="0.3">
      <c r="A14" s="624"/>
      <c r="B14" s="572"/>
      <c r="C14" s="573"/>
      <c r="D14" s="572"/>
      <c r="E14" s="573"/>
    </row>
    <row r="15" spans="1:5" ht="14.1" customHeight="1" x14ac:dyDescent="0.3">
      <c r="A15" s="640" t="s">
        <v>114</v>
      </c>
      <c r="B15" s="572"/>
      <c r="C15" s="573"/>
      <c r="D15" s="572"/>
      <c r="E15" s="573"/>
    </row>
    <row r="16" spans="1:5" ht="14.1" customHeight="1" x14ac:dyDescent="0.3">
      <c r="A16" s="624" t="str">
        <f>FS.1!A115</f>
        <v>Receivables</v>
      </c>
      <c r="B16" s="572"/>
      <c r="C16" s="573">
        <f>_xlfn.XLOOKUP(A16,FS.1!$A$104:$A$138,FS.1!$C$104:$C$138,0,0,1)</f>
        <v>0</v>
      </c>
      <c r="D16" s="572"/>
      <c r="E16" s="573">
        <f>_xlfn.XLOOKUP(A16,FS.1!$A$104:$A$138,FS.1!$E$104:$E$138)</f>
        <v>12375</v>
      </c>
    </row>
    <row r="17" spans="1:5" ht="14.1" customHeight="1" x14ac:dyDescent="0.3">
      <c r="A17" s="624" t="str">
        <f>FS.1!A116</f>
        <v>Prepaid expenses</v>
      </c>
      <c r="B17" s="572"/>
      <c r="C17" s="573">
        <f>_xlfn.XLOOKUP(A17,FS.1!$A$104:$A$138,FS.1!$C$104:$C$138,0,0,1)</f>
        <v>0</v>
      </c>
      <c r="D17" s="572"/>
      <c r="E17" s="573">
        <f>_xlfn.XLOOKUP(A17,FS.1!$A$104:$A$138,FS.1!$E$104:$E$138)</f>
        <v>2240</v>
      </c>
    </row>
    <row r="18" spans="1:5" ht="14.1" customHeight="1" x14ac:dyDescent="0.3">
      <c r="A18" s="624" t="str">
        <f>FS.1!A117</f>
        <v>Sales tax receivable</v>
      </c>
      <c r="B18" s="572"/>
      <c r="C18" s="573">
        <f>_xlfn.XLOOKUP(A18,FS.1!$A$104:$A$138,FS.1!$C$104:$C$138,0,0,1)</f>
        <v>-7455</v>
      </c>
      <c r="D18" s="572"/>
      <c r="E18" s="573">
        <f>_xlfn.XLOOKUP(A18,FS.1!$A$104:$A$138,FS.1!$E$104:$E$138)</f>
        <v>-4177</v>
      </c>
    </row>
    <row r="19" spans="1:5" ht="14.1" customHeight="1" x14ac:dyDescent="0.3">
      <c r="A19" s="624" t="str">
        <f>FS.1!A118</f>
        <v>Inventory</v>
      </c>
      <c r="B19" s="572"/>
      <c r="C19" s="573">
        <f>_xlfn.XLOOKUP(A19,FS.1!$A$104:$A$138,FS.1!$C$104:$C$138,0,0,1)</f>
        <v>291108</v>
      </c>
      <c r="D19" s="572"/>
      <c r="E19" s="573">
        <f>_xlfn.XLOOKUP(A19,FS.1!$A$104:$A$138,FS.1!$E$104:$E$138)</f>
        <v>-54914</v>
      </c>
    </row>
    <row r="20" spans="1:5" ht="14.1" customHeight="1" x14ac:dyDescent="0.3">
      <c r="A20" s="624" t="str">
        <f>FS.1!A119</f>
        <v>Accounts payables and accrued liabilities</v>
      </c>
      <c r="B20" s="572"/>
      <c r="C20" s="573">
        <f>_xlfn.XLOOKUP(A20,FS.1!$A$104:$A$138,FS.1!$C$104:$C$138,0,0,1)</f>
        <v>253485</v>
      </c>
      <c r="D20" s="572"/>
      <c r="E20" s="573">
        <f>_xlfn.XLOOKUP(A20,FS.1!$A$104:$A$138,FS.1!$E$104:$E$138)</f>
        <v>102329</v>
      </c>
    </row>
    <row r="21" spans="1:5" ht="14.1" customHeight="1" x14ac:dyDescent="0.3">
      <c r="A21" s="624" t="str">
        <f>FS.1!A121</f>
        <v>Due to related parties</v>
      </c>
      <c r="B21" s="572"/>
      <c r="C21" s="573">
        <f>_xlfn.XLOOKUP(A21,FS.1!$A$104:$A$138,FS.1!$C$104:$C$138,0,0,1)</f>
        <v>3500</v>
      </c>
      <c r="D21" s="572"/>
      <c r="E21" s="573">
        <f>_xlfn.XLOOKUP(A21,FS.1!$A$104:$A$138,FS.1!$E$104:$E$138)</f>
        <v>938</v>
      </c>
    </row>
    <row r="22" spans="1:5" ht="14.1" customHeight="1" thickBot="1" x14ac:dyDescent="0.35">
      <c r="A22" s="641" t="s">
        <v>11</v>
      </c>
      <c r="B22" s="576" t="s">
        <v>90</v>
      </c>
      <c r="C22" s="577">
        <f>SUM(C6:C21)</f>
        <v>-5212</v>
      </c>
      <c r="D22" s="576" t="s">
        <v>90</v>
      </c>
      <c r="E22" s="577" t="e">
        <f>SUM(E6:E21)</f>
        <v>#REF!</v>
      </c>
    </row>
    <row r="23" spans="1:5" ht="14.1" customHeight="1" x14ac:dyDescent="0.3">
      <c r="A23" s="624"/>
      <c r="B23" s="572"/>
      <c r="C23" s="617"/>
      <c r="D23" s="572"/>
      <c r="E23" s="617"/>
    </row>
    <row r="24" spans="1:5" ht="14.1" customHeight="1" x14ac:dyDescent="0.3">
      <c r="A24" s="616" t="s">
        <v>115</v>
      </c>
      <c r="B24" s="572"/>
      <c r="C24" s="617"/>
      <c r="D24" s="572"/>
      <c r="E24" s="617"/>
    </row>
    <row r="25" spans="1:5" ht="14.1" customHeight="1" x14ac:dyDescent="0.3">
      <c r="A25" s="624" t="str">
        <f>FS.1!A125</f>
        <v>Purchase of equipment</v>
      </c>
      <c r="B25" s="572" t="s">
        <v>90</v>
      </c>
      <c r="C25" s="573">
        <f>_xlfn.XLOOKUP(A25,FS.1!$A$104:$A$138,FS.1!$C$104:$C$138,0,0,1)</f>
        <v>0</v>
      </c>
      <c r="D25" s="572" t="s">
        <v>90</v>
      </c>
      <c r="E25" s="573" t="e">
        <f>_xlfn.XLOOKUP(A25,FS.1!$A$104:$A$138,FS.1!$E$104:$E$138)</f>
        <v>#REF!</v>
      </c>
    </row>
    <row r="26" spans="1:5" ht="14.1" customHeight="1" x14ac:dyDescent="0.3">
      <c r="A26" s="624" t="str">
        <f>FS.1!A126</f>
        <v>Cash received on acquisition of Hallor Industries Inc.</v>
      </c>
      <c r="B26" s="572"/>
      <c r="C26" s="573">
        <f>_xlfn.XLOOKUP(A26,FS.1!$A$104:$A$138,FS.1!$C$104:$C$138,0,0,1)</f>
        <v>0</v>
      </c>
      <c r="D26" s="572"/>
      <c r="E26" s="573">
        <f>_xlfn.XLOOKUP(A26,FS.1!$A$104:$A$138,FS.1!$E$104:$E$138)</f>
        <v>21130</v>
      </c>
    </row>
    <row r="27" spans="1:5" ht="14.1" customHeight="1" thickBot="1" x14ac:dyDescent="0.35">
      <c r="A27" s="641" t="s">
        <v>2255</v>
      </c>
      <c r="B27" s="576" t="s">
        <v>90</v>
      </c>
      <c r="C27" s="577">
        <f>SUM(C25:C26)</f>
        <v>0</v>
      </c>
      <c r="D27" s="576" t="s">
        <v>90</v>
      </c>
      <c r="E27" s="577" t="e">
        <f>SUM(E25:E26)</f>
        <v>#REF!</v>
      </c>
    </row>
    <row r="28" spans="1:5" ht="14.1" customHeight="1" x14ac:dyDescent="0.3">
      <c r="A28" s="616"/>
      <c r="B28" s="625"/>
      <c r="C28" s="626"/>
      <c r="D28" s="625"/>
      <c r="E28" s="626"/>
    </row>
    <row r="29" spans="1:5" ht="14.1" customHeight="1" x14ac:dyDescent="0.3">
      <c r="A29" s="616" t="s">
        <v>116</v>
      </c>
      <c r="B29" s="572"/>
      <c r="C29" s="617"/>
      <c r="D29" s="572"/>
      <c r="E29" s="617"/>
    </row>
    <row r="30" spans="1:5" ht="14.1" customHeight="1" x14ac:dyDescent="0.3">
      <c r="A30" s="624" t="str">
        <f>FS.1!A131</f>
        <v>Proceeds from convertibles notes, net of transaction costs</v>
      </c>
      <c r="B30" s="572" t="s">
        <v>90</v>
      </c>
      <c r="C30" s="573">
        <f>_xlfn.XLOOKUP(A30,FS.1!$A$104:$A$138,FS.1!$C$104:$C$138,0,0,1)</f>
        <v>0</v>
      </c>
      <c r="D30" s="572" t="s">
        <v>90</v>
      </c>
      <c r="E30" s="573">
        <f>_xlfn.XLOOKUP(A30,FS.1!$A$104:$A$138,FS.1!$E$104:$E$138)</f>
        <v>225000</v>
      </c>
    </row>
    <row r="31" spans="1:5" ht="14.1" customHeight="1" thickBot="1" x14ac:dyDescent="0.35">
      <c r="A31" s="641" t="s">
        <v>16</v>
      </c>
      <c r="B31" s="576" t="s">
        <v>90</v>
      </c>
      <c r="C31" s="577">
        <f>SUM(C30:C30)</f>
        <v>0</v>
      </c>
      <c r="D31" s="576" t="s">
        <v>90</v>
      </c>
      <c r="E31" s="577">
        <f>SUM(E30:E30)</f>
        <v>225000</v>
      </c>
    </row>
    <row r="32" spans="1:5" ht="14.1" customHeight="1" x14ac:dyDescent="0.3">
      <c r="A32" s="624"/>
      <c r="B32" s="572"/>
      <c r="C32" s="617"/>
      <c r="D32" s="572"/>
      <c r="E32" s="617"/>
    </row>
    <row r="33" spans="1:5" ht="14.1" customHeight="1" x14ac:dyDescent="0.3">
      <c r="A33" s="618" t="s">
        <v>2256</v>
      </c>
      <c r="B33" s="574" t="s">
        <v>90</v>
      </c>
      <c r="C33" s="575">
        <f>SUM(C22,C27,C31)</f>
        <v>-5212</v>
      </c>
      <c r="D33" s="574" t="s">
        <v>90</v>
      </c>
      <c r="E33" s="575" t="e">
        <f>SUM(E22,E27,E31)</f>
        <v>#REF!</v>
      </c>
    </row>
    <row r="34" spans="1:5" ht="14.1" customHeight="1" x14ac:dyDescent="0.3">
      <c r="A34" s="642" t="s">
        <v>2252</v>
      </c>
      <c r="B34" s="643" t="s">
        <v>90</v>
      </c>
      <c r="C34" s="644">
        <f>FS.1!E13</f>
        <v>5604</v>
      </c>
      <c r="D34" s="643" t="s">
        <v>90</v>
      </c>
      <c r="E34" s="644">
        <f>FS.1!E137</f>
        <v>108180</v>
      </c>
    </row>
    <row r="35" spans="1:5" ht="14.1" customHeight="1" thickBot="1" x14ac:dyDescent="0.35">
      <c r="A35" s="641" t="s">
        <v>2253</v>
      </c>
      <c r="B35" s="576" t="s">
        <v>90</v>
      </c>
      <c r="C35" s="577">
        <f>C33+C34</f>
        <v>392</v>
      </c>
      <c r="D35" s="576" t="s">
        <v>90</v>
      </c>
      <c r="E35" s="577" t="e">
        <f>E33+E34</f>
        <v>#REF!</v>
      </c>
    </row>
    <row r="36" spans="1:5" ht="14.1" customHeight="1" x14ac:dyDescent="0.3"/>
    <row r="37" spans="1:5" ht="14.1" customHeight="1" x14ac:dyDescent="0.3">
      <c r="A37" s="209" t="s">
        <v>1300</v>
      </c>
      <c r="B37" s="209"/>
      <c r="C37" s="709">
        <f>FS.1!C13-C35</f>
        <v>0</v>
      </c>
      <c r="D37" s="209"/>
      <c r="E37" s="709" t="e">
        <f>FS.1!E13-E35</f>
        <v>#REF!</v>
      </c>
    </row>
    <row r="38" spans="1:5" ht="14.1" customHeight="1" x14ac:dyDescent="0.3"/>
    <row r="39" spans="1:5" ht="14.1" customHeight="1" x14ac:dyDescent="0.3"/>
    <row r="40" spans="1:5" ht="14.1" customHeight="1" x14ac:dyDescent="0.3"/>
    <row r="41" spans="1:5" ht="14.1" customHeight="1" x14ac:dyDescent="0.3"/>
  </sheetData>
  <pageMargins left="0.5" right="0.5" top="0.5" bottom="0.5" header="0.31496062992125984" footer="0.3149606299212598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4322-7B06-4C08-AACB-5AC770DA8414}">
  <sheetPr>
    <tabColor rgb="FFFFC000"/>
  </sheetPr>
  <dimension ref="A1:AF81"/>
  <sheetViews>
    <sheetView workbookViewId="0"/>
  </sheetViews>
  <sheetFormatPr defaultColWidth="9.109375" defaultRowHeight="14.4" x14ac:dyDescent="0.3"/>
  <cols>
    <col min="1" max="1" width="51.5546875" customWidth="1"/>
    <col min="2" max="2" width="2.5546875" bestFit="1" customWidth="1"/>
    <col min="3" max="3" width="12.44140625" customWidth="1"/>
    <col min="4" max="4" width="2.5546875" bestFit="1" customWidth="1"/>
    <col min="5" max="5" width="12.44140625" customWidth="1"/>
    <col min="6" max="6" width="34.6640625" customWidth="1"/>
    <col min="7" max="7" width="13.44140625" customWidth="1"/>
    <col min="8" max="9" width="12" customWidth="1"/>
    <col min="10" max="10" width="11" customWidth="1"/>
    <col min="11" max="11" width="12" customWidth="1"/>
    <col min="12" max="12" width="38.5546875" customWidth="1"/>
    <col min="13" max="13" width="2.5546875" bestFit="1" customWidth="1"/>
    <col min="14" max="14" width="14" customWidth="1"/>
    <col min="15" max="15" width="2.5546875" bestFit="1" customWidth="1"/>
    <col min="16" max="16" width="14" customWidth="1"/>
    <col min="17" max="17" width="2.5546875" bestFit="1" customWidth="1"/>
    <col min="18" max="18" width="14" customWidth="1"/>
    <col min="20" max="20" width="59" customWidth="1"/>
    <col min="21" max="21" width="11.33203125" bestFit="1" customWidth="1"/>
    <col min="22" max="22" width="2.5546875" bestFit="1" customWidth="1"/>
    <col min="23" max="23" width="13.109375" bestFit="1" customWidth="1"/>
    <col min="24" max="24" width="40.109375" customWidth="1"/>
    <col min="25" max="25" width="2.5546875" bestFit="1" customWidth="1"/>
    <col min="26" max="26" width="10.109375" customWidth="1"/>
    <col min="27" max="27" width="2.5546875" bestFit="1" customWidth="1"/>
    <col min="29" max="29" width="2.5546875" bestFit="1" customWidth="1"/>
    <col min="30" max="30" width="9.6640625" bestFit="1" customWidth="1"/>
    <col min="31" max="31" width="2.5546875" bestFit="1" customWidth="1"/>
  </cols>
  <sheetData>
    <row r="1" spans="1:32" ht="17.399999999999999" thickBot="1" x14ac:dyDescent="0.35">
      <c r="A1" s="207" t="s">
        <v>218</v>
      </c>
      <c r="F1" s="175" t="s">
        <v>452</v>
      </c>
      <c r="L1" s="1037" t="s">
        <v>29</v>
      </c>
      <c r="M1" s="380"/>
      <c r="T1" s="1037" t="s">
        <v>513</v>
      </c>
      <c r="X1" s="207" t="s">
        <v>218</v>
      </c>
    </row>
    <row r="2" spans="1:32" ht="37.799999999999997" thickTop="1" thickBot="1" x14ac:dyDescent="0.35">
      <c r="A2" s="703"/>
      <c r="B2" s="704"/>
      <c r="C2" s="704" t="str">
        <f>FS.1!C53</f>
        <v>June 30, 2025</v>
      </c>
      <c r="D2" s="704"/>
      <c r="E2" s="704" t="str">
        <f>FS.1!E53</f>
        <v>June 30, 2024</v>
      </c>
      <c r="F2" s="1590"/>
      <c r="G2" s="705" t="s">
        <v>76</v>
      </c>
      <c r="H2" s="705" t="s">
        <v>77</v>
      </c>
      <c r="I2" s="705" t="s">
        <v>78</v>
      </c>
      <c r="J2" s="705" t="s">
        <v>79</v>
      </c>
      <c r="K2" s="705" t="s">
        <v>80</v>
      </c>
      <c r="L2" s="1038"/>
      <c r="M2" s="1039"/>
      <c r="N2" s="1040" t="s">
        <v>1286</v>
      </c>
      <c r="O2" s="1159"/>
      <c r="P2" s="1040" t="s">
        <v>1287</v>
      </c>
      <c r="Q2" s="1040"/>
      <c r="R2" s="1040" t="s">
        <v>71</v>
      </c>
      <c r="T2" s="1112" t="s">
        <v>1326</v>
      </c>
      <c r="U2" s="1110" t="s">
        <v>1327</v>
      </c>
      <c r="V2" s="1111"/>
      <c r="W2" s="1110" t="s">
        <v>253</v>
      </c>
      <c r="X2" s="1255"/>
      <c r="Y2" s="1592" t="s">
        <v>1298</v>
      </c>
      <c r="Z2" s="1592"/>
      <c r="AA2" s="1592"/>
      <c r="AB2" s="1592"/>
      <c r="AC2" s="1593" t="s">
        <v>1812</v>
      </c>
      <c r="AD2" s="1593"/>
      <c r="AE2" s="1593"/>
      <c r="AF2" s="1593"/>
    </row>
    <row r="3" spans="1:32" ht="33.75" customHeight="1" thickTop="1" thickBot="1" x14ac:dyDescent="0.35">
      <c r="A3" s="1495" t="str">
        <f>'Note Disclosures'!A248</f>
        <v>Bank fees</v>
      </c>
      <c r="B3" s="1048" t="s">
        <v>90</v>
      </c>
      <c r="C3" s="1496">
        <f>_xlfn.XLOOKUP(A3,'Note Disclosures'!$A$248:$A$262,'Note Disclosures'!$E$248:$E$262,0,0,1)</f>
        <v>2281</v>
      </c>
      <c r="D3" s="1048" t="s">
        <v>90</v>
      </c>
      <c r="E3" s="1496">
        <f>_xlfn.XLOOKUP(A3,'Note Disclosures'!$A$248:$A$262,'Note Disclosures'!$F$248:$F$262,0,0,1)</f>
        <v>2282</v>
      </c>
      <c r="F3" s="1591"/>
      <c r="G3" s="1083" t="s">
        <v>90</v>
      </c>
      <c r="H3" s="1083" t="s">
        <v>90</v>
      </c>
      <c r="I3" s="1083" t="s">
        <v>90</v>
      </c>
      <c r="J3" s="1083" t="s">
        <v>90</v>
      </c>
      <c r="K3" s="1083" t="s">
        <v>90</v>
      </c>
      <c r="L3" s="1044" t="s">
        <v>1823</v>
      </c>
      <c r="M3" s="1045" t="s">
        <v>90</v>
      </c>
      <c r="N3" s="1046">
        <v>0</v>
      </c>
      <c r="O3" s="1045" t="s">
        <v>90</v>
      </c>
      <c r="P3" s="1046">
        <v>0</v>
      </c>
      <c r="Q3" s="1045" t="s">
        <v>90</v>
      </c>
      <c r="R3" s="1046">
        <f>SUM(N3,P3)</f>
        <v>0</v>
      </c>
      <c r="T3" s="1115" t="s">
        <v>1826</v>
      </c>
      <c r="U3" s="1113">
        <v>19012501</v>
      </c>
      <c r="V3" s="622" t="s">
        <v>90</v>
      </c>
      <c r="W3" s="1114">
        <v>1774099</v>
      </c>
      <c r="X3" s="1248"/>
      <c r="Y3" s="1249"/>
      <c r="Z3" s="1249" t="str">
        <f>'Note Disclosures'!C247</f>
        <v>June 30, 2025</v>
      </c>
      <c r="AA3" s="1249"/>
      <c r="AB3" s="1249" t="str">
        <f>'Note Disclosures'!D247</f>
        <v>June 30, 2023</v>
      </c>
      <c r="AC3" s="1249"/>
      <c r="AD3" s="1249" t="str">
        <f>'Note Disclosures'!E247</f>
        <v>June 30, 2025</v>
      </c>
      <c r="AE3" s="1249"/>
      <c r="AF3" s="1249" t="str">
        <f>'Note Disclosures'!F247</f>
        <v>June 30, 2023</v>
      </c>
    </row>
    <row r="4" spans="1:32" x14ac:dyDescent="0.3">
      <c r="A4" s="1495" t="str">
        <f>'Note Disclosures'!A249</f>
        <v>Professional fees</v>
      </c>
      <c r="B4" s="1048"/>
      <c r="C4" s="1496">
        <f>_xlfn.XLOOKUP(A4,'Note Disclosures'!$A$248:$A$262,'Note Disclosures'!$E$248:$E$262,0,0,1)</f>
        <v>133726</v>
      </c>
      <c r="D4" s="1048"/>
      <c r="E4" s="1496" t="e">
        <f>_xlfn.XLOOKUP(A4,'Note Disclosures'!$A$248:$A$262,'Note Disclosures'!$F$248:$F$262,0,0,1)</f>
        <v>#REF!</v>
      </c>
      <c r="F4" s="592" t="str">
        <f>FS.1!A30</f>
        <v>Accounts payables and accrued liabilities</v>
      </c>
      <c r="G4" s="597">
        <f>FS.1!C30</f>
        <v>603276</v>
      </c>
      <c r="H4" s="597">
        <f>G4</f>
        <v>603276</v>
      </c>
      <c r="I4" s="597">
        <f>G4</f>
        <v>603276</v>
      </c>
      <c r="J4" s="597">
        <v>0</v>
      </c>
      <c r="K4" s="597">
        <v>0</v>
      </c>
      <c r="L4" s="1047" t="s">
        <v>1321</v>
      </c>
      <c r="M4" s="1048"/>
      <c r="N4" s="1049">
        <f>'TB.3 - Acq TB'!S4</f>
        <v>101516</v>
      </c>
      <c r="O4" s="1053"/>
      <c r="P4" s="1049">
        <f>'TB.3 - Acq TB'!S5+1</f>
        <v>295934</v>
      </c>
      <c r="Q4" s="1053"/>
      <c r="R4" s="1049">
        <f>SUM(N4,P4)</f>
        <v>397450</v>
      </c>
      <c r="T4" s="645" t="s">
        <v>2224</v>
      </c>
      <c r="U4" s="1049">
        <v>12000000</v>
      </c>
      <c r="V4" s="1049"/>
      <c r="W4" s="1049">
        <v>6000000</v>
      </c>
      <c r="X4" s="1242" t="str">
        <f>'Note Disclosures'!A248</f>
        <v>Bank fees</v>
      </c>
      <c r="Y4" s="1250" t="s">
        <v>90</v>
      </c>
      <c r="Z4" s="1251">
        <f>_xlfn.XLOOKUP(X4,'Note Disclosures'!$A$248:$A$262,'Note Disclosures'!$C$248:$C$262,0,0,1)</f>
        <v>367</v>
      </c>
      <c r="AA4" s="1250" t="s">
        <v>90</v>
      </c>
      <c r="AB4" s="1251">
        <f>_xlfn.XLOOKUP(X4,'Note Disclosures'!$A$248:$A$262,'Note Disclosures'!$D$248:$D$262,0,0,1)</f>
        <v>0</v>
      </c>
      <c r="AC4" s="1250" t="s">
        <v>90</v>
      </c>
      <c r="AD4" s="1251">
        <f>'Note Disclosures'!E248</f>
        <v>2281</v>
      </c>
      <c r="AE4" s="1250" t="s">
        <v>90</v>
      </c>
      <c r="AF4" s="1251">
        <f>'Note Disclosures'!F248</f>
        <v>2282</v>
      </c>
    </row>
    <row r="5" spans="1:32" ht="15" thickBot="1" x14ac:dyDescent="0.35">
      <c r="A5" s="1495" t="str">
        <f>'Note Disclosures'!A250</f>
        <v>Consulting expense</v>
      </c>
      <c r="B5" s="1048"/>
      <c r="C5" s="1496">
        <f>_xlfn.XLOOKUP(A5,'Note Disclosures'!$A$248:$A$262,'Note Disclosures'!$E$248:$E$262,0,0,1)</f>
        <v>318291</v>
      </c>
      <c r="D5" s="1048"/>
      <c r="E5" s="1496">
        <f>_xlfn.XLOOKUP(A5,'Note Disclosures'!$A$248:$A$262,'Note Disclosures'!$F$248:$F$262,0,0,1)</f>
        <v>134140</v>
      </c>
      <c r="F5" s="592" t="s">
        <v>677</v>
      </c>
      <c r="G5" s="597">
        <f>FS.1!C32</f>
        <v>274099</v>
      </c>
      <c r="H5" s="597">
        <f>'COV.DEBT'!F33-'COV.DEBT'!E35</f>
        <v>237708.30007705319</v>
      </c>
      <c r="I5" s="597">
        <f>H5</f>
        <v>237708.30007705319</v>
      </c>
      <c r="J5" s="597">
        <v>0</v>
      </c>
      <c r="K5" s="597">
        <v>0</v>
      </c>
      <c r="L5" s="1047" t="s">
        <v>1304</v>
      </c>
      <c r="M5" s="1048"/>
      <c r="N5" s="1049">
        <f>ROUND((SUM('GL 5510'!G81:G126)+SUM('GL 5510'!G72:G79)),0)</f>
        <v>33605</v>
      </c>
      <c r="O5" s="1053"/>
      <c r="P5" s="1049">
        <f>ROUND((SUM('GL 5515'!I18:I24)+SUM('GL 5520'!I14:I21)+'GL 6016'!H34),0)-1</f>
        <v>39825</v>
      </c>
      <c r="Q5" s="1053"/>
      <c r="R5" s="1049">
        <f>SUM(N5,P5)</f>
        <v>73430</v>
      </c>
      <c r="T5" s="645" t="s">
        <v>2225</v>
      </c>
      <c r="U5" s="1049">
        <v>900000</v>
      </c>
      <c r="V5" s="1049"/>
      <c r="W5" s="1049">
        <v>450000</v>
      </c>
      <c r="X5" s="1242" t="str">
        <f>'Note Disclosures'!A249</f>
        <v>Professional fees</v>
      </c>
      <c r="Y5" s="1250"/>
      <c r="Z5" s="1251">
        <f>_xlfn.XLOOKUP(X5,'Note Disclosures'!$A$248:$A$262,'Note Disclosures'!$C$248:$C$262,0,0,1)</f>
        <v>54025</v>
      </c>
      <c r="AA5" s="1250"/>
      <c r="AB5" s="1251">
        <f>_xlfn.XLOOKUP(X5,'Note Disclosures'!$A$248:$A$262,'Note Disclosures'!$D$248:$D$262,0,0,1)</f>
        <v>5600</v>
      </c>
      <c r="AC5" s="1250"/>
      <c r="AD5" s="1251">
        <f>'Note Disclosures'!E249</f>
        <v>133726</v>
      </c>
      <c r="AE5" s="1250"/>
      <c r="AF5" s="1251" t="e">
        <f>'Note Disclosures'!F249</f>
        <v>#REF!</v>
      </c>
    </row>
    <row r="6" spans="1:32" ht="15" thickBot="1" x14ac:dyDescent="0.35">
      <c r="A6" s="1495" t="str">
        <f>'Note Disclosures'!A251</f>
        <v>Dues, licenses, and permits</v>
      </c>
      <c r="B6" s="1048"/>
      <c r="C6" s="1496">
        <f>_xlfn.XLOOKUP(A6,'Note Disclosures'!$A$248:$A$262,'Note Disclosures'!$E$248:$E$262,0,0,1)</f>
        <v>1742</v>
      </c>
      <c r="D6" s="1048"/>
      <c r="E6" s="1496">
        <f>_xlfn.XLOOKUP(A6,'Note Disclosures'!$A$248:$A$262,'Note Disclosures'!$F$248:$F$262,0,0,1)</f>
        <v>1253</v>
      </c>
      <c r="F6" s="592" t="str">
        <f>FS.1!A35</f>
        <v>Due to related parties</v>
      </c>
      <c r="G6" s="597">
        <f>FS.1!C35</f>
        <v>5338</v>
      </c>
      <c r="H6" s="597">
        <f>G6</f>
        <v>5338</v>
      </c>
      <c r="I6" s="597">
        <f>G6</f>
        <v>5338</v>
      </c>
      <c r="J6" s="597">
        <v>0</v>
      </c>
      <c r="K6" s="597">
        <v>0</v>
      </c>
      <c r="L6" s="1047" t="s">
        <v>1373</v>
      </c>
      <c r="M6" s="380"/>
      <c r="N6" s="1049">
        <v>-63201</v>
      </c>
      <c r="O6" s="583"/>
      <c r="P6" s="1049">
        <f>-N6</f>
        <v>63201</v>
      </c>
      <c r="Q6" s="733"/>
      <c r="R6" s="1049">
        <f>SUM(N6,P6)</f>
        <v>0</v>
      </c>
      <c r="T6" s="1115" t="s">
        <v>2223</v>
      </c>
      <c r="U6" s="1116">
        <f>SUM(U3:U5)</f>
        <v>31912501</v>
      </c>
      <c r="V6" s="629" t="s">
        <v>90</v>
      </c>
      <c r="W6" s="1116">
        <f>SUM(W3:W5)</f>
        <v>8224099</v>
      </c>
      <c r="X6" s="1242" t="str">
        <f>'Note Disclosures'!A250</f>
        <v>Consulting expense</v>
      </c>
      <c r="Y6" s="1250"/>
      <c r="Z6" s="1251">
        <f>_xlfn.XLOOKUP(X6,'Note Disclosures'!$A$248:$A$262,'Note Disclosures'!$C$248:$C$262,0,0,1)</f>
        <v>78800</v>
      </c>
      <c r="AA6" s="1250"/>
      <c r="AB6" s="1251">
        <f>_xlfn.XLOOKUP(X6,'Note Disclosures'!$A$248:$A$262,'Note Disclosures'!$D$248:$D$262,0,0,1)</f>
        <v>10000</v>
      </c>
      <c r="AC6" s="1250"/>
      <c r="AD6" s="1251">
        <f>'Note Disclosures'!E250</f>
        <v>318291</v>
      </c>
      <c r="AE6" s="1250"/>
      <c r="AF6" s="1251">
        <f>'Note Disclosures'!F250</f>
        <v>134140</v>
      </c>
    </row>
    <row r="7" spans="1:32" ht="15" thickBot="1" x14ac:dyDescent="0.35">
      <c r="A7" s="1495" t="str">
        <f>'Note Disclosures'!A252</f>
        <v>Other miscellaneous</v>
      </c>
      <c r="B7" s="1048"/>
      <c r="C7" s="1496">
        <f>_xlfn.XLOOKUP(A7,'Note Disclosures'!$A$248:$A$262,'Note Disclosures'!$E$248:$E$262,0,0,1)</f>
        <v>8370</v>
      </c>
      <c r="D7" s="1048"/>
      <c r="E7" s="1496" t="e">
        <f>_xlfn.XLOOKUP(A7,'Note Disclosures'!$A$248:$A$262,'Note Disclosures'!$F$248:$F$262,0,0,1)</f>
        <v>#REF!</v>
      </c>
      <c r="F7" s="1084" t="s">
        <v>71</v>
      </c>
      <c r="G7" s="1085">
        <f>SUM(G4:G6)</f>
        <v>882713</v>
      </c>
      <c r="H7" s="1085">
        <f>SUM(H4:H6)</f>
        <v>846322.30007705325</v>
      </c>
      <c r="I7" s="1085">
        <f>SUM(I4:I6)</f>
        <v>846322.30007705325</v>
      </c>
      <c r="J7" s="1085">
        <f>SUM(J4:J6)</f>
        <v>0</v>
      </c>
      <c r="K7" s="1085">
        <f>SUM(K4:K6)</f>
        <v>0</v>
      </c>
      <c r="L7" s="1044" t="str">
        <f>"As at "&amp;TEXT(currentperiod_end_date,"MMMM DD, YYYY")</f>
        <v>As at June 30, 2025</v>
      </c>
      <c r="M7" s="1045" t="s">
        <v>90</v>
      </c>
      <c r="N7" s="1046">
        <f>SUM(N3:N6)</f>
        <v>71920</v>
      </c>
      <c r="O7" s="1045" t="s">
        <v>90</v>
      </c>
      <c r="P7" s="1046">
        <f>SUM(P3:P6)</f>
        <v>398960</v>
      </c>
      <c r="Q7" s="1045" t="s">
        <v>90</v>
      </c>
      <c r="R7" s="1046">
        <f>SUM(R3:R6)</f>
        <v>470880</v>
      </c>
      <c r="T7" s="645"/>
      <c r="U7" s="1049"/>
      <c r="V7" s="1049"/>
      <c r="W7" s="1049"/>
      <c r="X7" s="1242" t="str">
        <f>'Note Disclosures'!A251</f>
        <v>Dues, licenses, and permits</v>
      </c>
      <c r="Y7" s="1250"/>
      <c r="Z7" s="1251">
        <f>_xlfn.XLOOKUP(X7,'Note Disclosures'!$A$248:$A$262,'Note Disclosures'!$C$248:$C$262,0,0,1)</f>
        <v>191</v>
      </c>
      <c r="AA7" s="1250"/>
      <c r="AB7" s="1251">
        <f>_xlfn.XLOOKUP(X7,'Note Disclosures'!$A$248:$A$262,'Note Disclosures'!$D$248:$D$262,0,0,1)</f>
        <v>0</v>
      </c>
      <c r="AC7" s="1250"/>
      <c r="AD7" s="1251">
        <f>'Note Disclosures'!E251</f>
        <v>1742</v>
      </c>
      <c r="AE7" s="1250"/>
      <c r="AF7" s="1251">
        <f>'Note Disclosures'!F251</f>
        <v>1253</v>
      </c>
    </row>
    <row r="8" spans="1:32" x14ac:dyDescent="0.3">
      <c r="A8" s="1495" t="str">
        <f>'Note Disclosures'!A253</f>
        <v>Office expenses</v>
      </c>
      <c r="B8" s="1048"/>
      <c r="C8" s="1496">
        <f>_xlfn.XLOOKUP(A8,'Note Disclosures'!$A$248:$A$262,'Note Disclosures'!$E$248:$E$262,0,0,1)</f>
        <v>2747</v>
      </c>
      <c r="D8" s="1048"/>
      <c r="E8" s="1496" t="e">
        <f>_xlfn.XLOOKUP(A8,'Note Disclosures'!$A$248:$A$262,'Note Disclosures'!$F$248:$F$262,0,0,1)</f>
        <v>#REF!</v>
      </c>
      <c r="H8" s="586"/>
      <c r="I8" s="588"/>
      <c r="L8" s="1047"/>
      <c r="M8" s="1048"/>
      <c r="N8" s="1049"/>
      <c r="O8" s="1048"/>
      <c r="P8" s="1049"/>
      <c r="R8" s="1049"/>
      <c r="T8" s="315" t="s">
        <v>507</v>
      </c>
      <c r="U8" s="315"/>
      <c r="V8" s="315"/>
      <c r="W8" s="315">
        <f>FS.1!C41-W6</f>
        <v>0</v>
      </c>
      <c r="X8" s="1242" t="str">
        <f>'Note Disclosures'!A252</f>
        <v>Other miscellaneous</v>
      </c>
      <c r="Y8" s="1250"/>
      <c r="Z8" s="1251">
        <f>_xlfn.XLOOKUP(X8,'Note Disclosures'!$A$248:$A$262,'Note Disclosures'!$C$248:$C$262,0,0,1)</f>
        <v>1460</v>
      </c>
      <c r="AA8" s="1250"/>
      <c r="AB8" s="1251">
        <f>_xlfn.XLOOKUP(X8,'Note Disclosures'!$A$248:$A$262,'Note Disclosures'!$D$248:$D$262,0,0,1)</f>
        <v>0</v>
      </c>
      <c r="AC8" s="1250"/>
      <c r="AD8" s="1251">
        <f>'Note Disclosures'!E252</f>
        <v>8370</v>
      </c>
      <c r="AE8" s="1250"/>
      <c r="AF8" s="1251" t="e">
        <f>'Note Disclosures'!F252</f>
        <v>#REF!</v>
      </c>
    </row>
    <row r="9" spans="1:32" x14ac:dyDescent="0.3">
      <c r="A9" s="1495" t="str">
        <f>'Note Disclosures'!A254</f>
        <v>Meals and entertainment</v>
      </c>
      <c r="B9" s="1048"/>
      <c r="C9" s="1496">
        <f>_xlfn.XLOOKUP(A9,'Note Disclosures'!$A$248:$A$262,'Note Disclosures'!$E$248:$E$262,0,0,1)</f>
        <v>934</v>
      </c>
      <c r="D9" s="1048"/>
      <c r="E9" s="1496" t="e">
        <f>_xlfn.XLOOKUP(A9,'Note Disclosures'!$A$248:$A$262,'Note Disclosures'!$F$248:$F$262,0,0,1)+1</f>
        <v>#REF!</v>
      </c>
      <c r="F9" s="209" t="s">
        <v>507</v>
      </c>
      <c r="G9" s="706">
        <f>G7-SUM(FS.1!C30,FS.1!C32,FS.1!C35)</f>
        <v>0</v>
      </c>
      <c r="H9" s="591"/>
      <c r="I9" s="590"/>
      <c r="L9" s="1088" t="s">
        <v>507</v>
      </c>
      <c r="M9" s="1088"/>
      <c r="N9" s="1089"/>
      <c r="O9" s="1088"/>
      <c r="P9" s="1089"/>
      <c r="Q9" s="1088"/>
      <c r="R9" s="1089">
        <f>FS.1!C17</f>
        <v>161256</v>
      </c>
      <c r="T9" s="645"/>
      <c r="U9" s="1049"/>
      <c r="V9" s="1049"/>
      <c r="W9" s="1049"/>
      <c r="X9" s="1242" t="str">
        <f>'Note Disclosures'!A253</f>
        <v>Office expenses</v>
      </c>
      <c r="Y9" s="1250"/>
      <c r="Z9" s="1251">
        <f>_xlfn.XLOOKUP(X9,'Note Disclosures'!$A$248:$A$262,'Note Disclosures'!$C$248:$C$262,0,0,1)</f>
        <v>531</v>
      </c>
      <c r="AA9" s="1250"/>
      <c r="AB9" s="1251">
        <f>_xlfn.XLOOKUP(X9,'Note Disclosures'!$A$248:$A$262,'Note Disclosures'!$D$248:$D$262,0,0,1)</f>
        <v>1875</v>
      </c>
      <c r="AC9" s="1250"/>
      <c r="AD9" s="1251">
        <f>'Note Disclosures'!E253</f>
        <v>2747</v>
      </c>
      <c r="AE9" s="1250"/>
      <c r="AF9" s="1251" t="e">
        <f>'Note Disclosures'!F253</f>
        <v>#REF!</v>
      </c>
    </row>
    <row r="10" spans="1:32" x14ac:dyDescent="0.3">
      <c r="A10" s="1495" t="str">
        <f>'Note Disclosures'!A255</f>
        <v>Travel expenses</v>
      </c>
      <c r="B10" s="1048"/>
      <c r="C10" s="1496">
        <f>_xlfn.XLOOKUP(A10,'Note Disclosures'!$A$248:$A$262,'Note Disclosures'!$E$248:$E$262,0,0,1)</f>
        <v>4524</v>
      </c>
      <c r="D10" s="1048"/>
      <c r="E10" s="1496" t="e">
        <f>_xlfn.XLOOKUP(A10,'Note Disclosures'!$A$248:$A$262,'Note Disclosures'!$F$248:$F$262,0,0,1)-1</f>
        <v>#REF!</v>
      </c>
      <c r="F10" s="589"/>
      <c r="G10" s="590"/>
      <c r="H10" s="591"/>
      <c r="I10" s="590"/>
      <c r="L10" s="1080"/>
      <c r="M10" s="1081"/>
      <c r="N10" s="1082"/>
      <c r="O10" s="1081"/>
      <c r="P10" s="1082"/>
      <c r="Q10" s="1081"/>
      <c r="R10" s="1082"/>
      <c r="X10" s="1242" t="str">
        <f>'Note Disclosures'!A254</f>
        <v>Meals and entertainment</v>
      </c>
      <c r="Y10" s="1250"/>
      <c r="Z10" s="1251">
        <f>_xlfn.XLOOKUP(X10,'Note Disclosures'!$A$248:$A$262,'Note Disclosures'!$C$248:$C$262,0,0,1)</f>
        <v>619</v>
      </c>
      <c r="AA10" s="1250"/>
      <c r="AB10" s="1251">
        <f>_xlfn.XLOOKUP(X10,'Note Disclosures'!$A$248:$A$262,'Note Disclosures'!$D$248:$D$262,0,0,1)</f>
        <v>0</v>
      </c>
      <c r="AC10" s="1250"/>
      <c r="AD10" s="1251">
        <f>'Note Disclosures'!E254</f>
        <v>934</v>
      </c>
      <c r="AE10" s="1250"/>
      <c r="AF10" s="1251" t="e">
        <f>'Note Disclosures'!F254</f>
        <v>#REF!</v>
      </c>
    </row>
    <row r="11" spans="1:32" x14ac:dyDescent="0.3">
      <c r="A11" s="1495" t="str">
        <f>'Note Disclosures'!A256</f>
        <v>Transfer agent and regulatory expenses</v>
      </c>
      <c r="B11" s="1048"/>
      <c r="C11" s="1496">
        <f>_xlfn.XLOOKUP(A11,'Note Disclosures'!$A$248:$A$262,'Note Disclosures'!$E$248:$E$262,0,0,1)</f>
        <v>0</v>
      </c>
      <c r="D11" s="1048"/>
      <c r="E11" s="1496">
        <f>_xlfn.XLOOKUP(A11,'Note Disclosures'!$A$248:$A$262,'Note Disclosures'!$F$248:$F$262,0,0,1)</f>
        <v>10700</v>
      </c>
      <c r="F11" s="589"/>
      <c r="G11" s="590"/>
      <c r="H11" s="591"/>
      <c r="I11" s="590"/>
      <c r="L11" s="1080"/>
      <c r="M11" s="1081"/>
      <c r="N11" s="1082"/>
      <c r="O11" s="1081"/>
      <c r="P11" s="1082"/>
      <c r="Q11" s="1081"/>
      <c r="R11" s="1082"/>
      <c r="X11" s="1242" t="str">
        <f>'Note Disclosures'!A255</f>
        <v>Travel expenses</v>
      </c>
      <c r="Y11" s="1250"/>
      <c r="Z11" s="1251">
        <f>_xlfn.XLOOKUP(X11,'Note Disclosures'!$A$248:$A$262,'Note Disclosures'!$C$248:$C$262,0,0,1)</f>
        <v>985</v>
      </c>
      <c r="AA11" s="1250"/>
      <c r="AB11" s="1251">
        <f>_xlfn.XLOOKUP(X11,'Note Disclosures'!$A$248:$A$262,'Note Disclosures'!$D$248:$D$262,0,0,1)</f>
        <v>0</v>
      </c>
      <c r="AC11" s="1250"/>
      <c r="AD11" s="1251">
        <f>'Note Disclosures'!E255</f>
        <v>4524</v>
      </c>
      <c r="AE11" s="1250"/>
      <c r="AF11" s="1251" t="e">
        <f>'Note Disclosures'!F255</f>
        <v>#REF!</v>
      </c>
    </row>
    <row r="12" spans="1:32" x14ac:dyDescent="0.3">
      <c r="A12" s="1495" t="str">
        <f>'Note Disclosures'!A257</f>
        <v>Insurance</v>
      </c>
      <c r="B12" s="1048"/>
      <c r="C12" s="1496">
        <f>_xlfn.XLOOKUP(A12,'Note Disclosures'!$A$248:$A$262,'Note Disclosures'!$E$248:$E$262,0,0,1)</f>
        <v>26182</v>
      </c>
      <c r="D12" s="1048"/>
      <c r="E12" s="1496" t="e">
        <f>_xlfn.XLOOKUP(A12,'Note Disclosures'!$A$248:$A$262,'Note Disclosures'!$F$248:$F$262,0,0,1)</f>
        <v>#REF!</v>
      </c>
      <c r="F12" s="589"/>
      <c r="G12" s="590"/>
      <c r="H12" s="591"/>
      <c r="I12" s="590"/>
      <c r="L12" s="1080"/>
      <c r="M12" s="1081"/>
      <c r="N12" s="1082"/>
      <c r="O12" s="1081"/>
      <c r="P12" s="1082"/>
      <c r="Q12" s="1081"/>
      <c r="R12" s="1082"/>
      <c r="X12" s="1242" t="str">
        <f>'Note Disclosures'!A256</f>
        <v>Transfer agent and regulatory expenses</v>
      </c>
      <c r="Y12" s="1250"/>
      <c r="Z12" s="1251">
        <f>_xlfn.XLOOKUP(X12,'Note Disclosures'!$A$248:$A$262,'Note Disclosures'!$C$248:$C$262,0,0,1)</f>
        <v>5250</v>
      </c>
      <c r="AA12" s="1250"/>
      <c r="AB12" s="1251">
        <f>_xlfn.XLOOKUP(X12,'Note Disclosures'!$A$248:$A$262,'Note Disclosures'!$D$248:$D$262,0,0,1)</f>
        <v>0</v>
      </c>
      <c r="AC12" s="1250"/>
      <c r="AD12" s="1251">
        <f>'Note Disclosures'!E256</f>
        <v>0</v>
      </c>
      <c r="AE12" s="1250"/>
      <c r="AF12" s="1251">
        <f>'Note Disclosures'!F256</f>
        <v>10700</v>
      </c>
    </row>
    <row r="13" spans="1:32" x14ac:dyDescent="0.3">
      <c r="A13" s="1495" t="str">
        <f>'Note Disclosures'!A258</f>
        <v>Shipping expense</v>
      </c>
      <c r="B13" s="1048"/>
      <c r="C13" s="1496">
        <f>_xlfn.XLOOKUP(A13,'Note Disclosures'!$A$248:$A$262,'Note Disclosures'!$E$248:$E$262,0,0,1)</f>
        <v>0</v>
      </c>
      <c r="D13" s="1048"/>
      <c r="E13" s="1496" t="e">
        <f>_xlfn.XLOOKUP(A13,'Note Disclosures'!$A$248:$A$262,'Note Disclosures'!$F$248:$F$262,0,0,1)</f>
        <v>#REF!</v>
      </c>
      <c r="F13" s="589"/>
      <c r="G13" s="590"/>
      <c r="H13" s="591"/>
      <c r="I13" s="590"/>
      <c r="L13" s="1080"/>
      <c r="M13" s="1081"/>
      <c r="N13" s="1082"/>
      <c r="O13" s="1081"/>
      <c r="P13" s="1082"/>
      <c r="Q13" s="1081"/>
      <c r="R13" s="1082"/>
      <c r="X13" s="1242" t="str">
        <f>'Note Disclosures'!A257</f>
        <v>Insurance</v>
      </c>
      <c r="Y13" s="1250"/>
      <c r="Z13" s="1251">
        <f>_xlfn.XLOOKUP(X13,'Note Disclosures'!$A$248:$A$262,'Note Disclosures'!$C$248:$C$262,0,0,1)</f>
        <v>9696</v>
      </c>
      <c r="AA13" s="1250"/>
      <c r="AB13" s="1251">
        <f>_xlfn.XLOOKUP(X13,'Note Disclosures'!$A$248:$A$262,'Note Disclosures'!$D$248:$D$262,0,0,1)</f>
        <v>0</v>
      </c>
      <c r="AC13" s="1250"/>
      <c r="AD13" s="1251">
        <f>'Note Disclosures'!E257</f>
        <v>26182</v>
      </c>
      <c r="AE13" s="1250"/>
      <c r="AF13" s="1251" t="e">
        <f>'Note Disclosures'!F257</f>
        <v>#REF!</v>
      </c>
    </row>
    <row r="14" spans="1:32" x14ac:dyDescent="0.3">
      <c r="A14" s="1495" t="str">
        <f>'Note Disclosures'!A259</f>
        <v>Shop supplies</v>
      </c>
      <c r="B14" s="1048"/>
      <c r="C14" s="1496">
        <f>_xlfn.XLOOKUP(A14,'Note Disclosures'!$A$248:$A$262,'Note Disclosures'!$E$248:$E$262,0,0,1)</f>
        <v>241</v>
      </c>
      <c r="D14" s="1048"/>
      <c r="E14" s="1496" t="e">
        <f>_xlfn.XLOOKUP(A14,'Note Disclosures'!$A$248:$A$262,'Note Disclosures'!$F$248:$F$262,0,0,1)</f>
        <v>#REF!</v>
      </c>
      <c r="F14" s="589"/>
      <c r="G14" s="590"/>
      <c r="H14" s="591"/>
      <c r="I14" s="590"/>
      <c r="L14" s="1080"/>
      <c r="M14" s="1081"/>
      <c r="N14" s="1082"/>
      <c r="O14" s="1081"/>
      <c r="P14" s="1082"/>
      <c r="Q14" s="1081"/>
      <c r="R14" s="1082"/>
      <c r="X14" s="1242" t="str">
        <f>'Note Disclosures'!A258</f>
        <v>Shipping expense</v>
      </c>
      <c r="Y14" s="1250"/>
      <c r="Z14" s="1251">
        <f>_xlfn.XLOOKUP(X14,'Note Disclosures'!$A$248:$A$262,'Note Disclosures'!$C$248:$C$262,0,0,1)</f>
        <v>5494</v>
      </c>
      <c r="AA14" s="1250"/>
      <c r="AB14" s="1251">
        <f>_xlfn.XLOOKUP(X14,'Note Disclosures'!$A$248:$A$262,'Note Disclosures'!$D$248:$D$262,0,0,1)</f>
        <v>0</v>
      </c>
      <c r="AC14" s="1250"/>
      <c r="AD14" s="1251">
        <f>'Note Disclosures'!E258</f>
        <v>0</v>
      </c>
      <c r="AE14" s="1250"/>
      <c r="AF14" s="1251" t="e">
        <f>'Note Disclosures'!F258</f>
        <v>#REF!</v>
      </c>
    </row>
    <row r="15" spans="1:32" x14ac:dyDescent="0.3">
      <c r="A15" s="1495" t="str">
        <f>'Note Disclosures'!A260</f>
        <v>Depreciation and amortization</v>
      </c>
      <c r="B15" s="1048"/>
      <c r="C15" s="1496">
        <f>_xlfn.XLOOKUP(A15,'Note Disclosures'!$A$248:$A$262,'Note Disclosures'!$E$248:$E$262,0,0,1)</f>
        <v>1256364</v>
      </c>
      <c r="D15" s="1048"/>
      <c r="E15" s="1496" t="e">
        <f>_xlfn.XLOOKUP(A15,'Note Disclosures'!$A$248:$A$262,'Note Disclosures'!$F$248:$F$262,0,0,1)</f>
        <v>#REF!</v>
      </c>
      <c r="F15" s="589"/>
      <c r="G15" s="590"/>
      <c r="H15" s="591"/>
      <c r="I15" s="590"/>
      <c r="L15" s="1080"/>
      <c r="M15" s="1081"/>
      <c r="N15" s="1082"/>
      <c r="O15" s="1081"/>
      <c r="P15" s="1082"/>
      <c r="Q15" s="1081"/>
      <c r="R15" s="1082"/>
      <c r="X15" s="1242" t="str">
        <f>'Note Disclosures'!A259</f>
        <v>Shop supplies</v>
      </c>
      <c r="Y15" s="1250"/>
      <c r="Z15" s="1251">
        <f>_xlfn.XLOOKUP(X15,'Note Disclosures'!$A$248:$A$262,'Note Disclosures'!$C$248:$C$262,0,0,1)</f>
        <v>2728</v>
      </c>
      <c r="AA15" s="1250"/>
      <c r="AB15" s="1251">
        <f>_xlfn.XLOOKUP(X15,'Note Disclosures'!$A$248:$A$262,'Note Disclosures'!$D$248:$D$262,0,0,1)</f>
        <v>0</v>
      </c>
      <c r="AC15" s="1250"/>
      <c r="AD15" s="1251">
        <f>'Note Disclosures'!E259</f>
        <v>241</v>
      </c>
      <c r="AE15" s="1250"/>
      <c r="AF15" s="1251" t="e">
        <f>'Note Disclosures'!F259</f>
        <v>#REF!</v>
      </c>
    </row>
    <row r="16" spans="1:32" x14ac:dyDescent="0.3">
      <c r="A16" s="1495" t="str">
        <f>'Note Disclosures'!A261</f>
        <v>Foreign exchange</v>
      </c>
      <c r="B16" s="1048"/>
      <c r="C16" s="1496">
        <f>_xlfn.XLOOKUP(A16,'Note Disclosures'!$A$248:$A$262,'Note Disclosures'!$E$248:$E$262,0,0,1)</f>
        <v>43</v>
      </c>
      <c r="D16" s="1048"/>
      <c r="E16" s="1496" t="e">
        <f>_xlfn.XLOOKUP(A16,'Note Disclosures'!$A$248:$A$262,'Note Disclosures'!$F$248:$F$262,0,0,1)</f>
        <v>#REF!</v>
      </c>
      <c r="F16" s="589"/>
      <c r="G16" s="590"/>
      <c r="H16" s="591"/>
      <c r="I16" s="590"/>
      <c r="L16" s="1080"/>
      <c r="M16" s="1081"/>
      <c r="N16" s="1082"/>
      <c r="O16" s="1081"/>
      <c r="P16" s="1082"/>
      <c r="Q16" s="1081"/>
      <c r="R16" s="1082"/>
      <c r="X16" s="1242" t="str">
        <f>'Note Disclosures'!A260</f>
        <v>Depreciation and amortization</v>
      </c>
      <c r="Y16" s="1250"/>
      <c r="Z16" s="1251">
        <f>_xlfn.XLOOKUP(X16,'Note Disclosures'!$A$248:$A$262,'Note Disclosures'!$C$248:$C$262,0,0,1)</f>
        <v>509</v>
      </c>
      <c r="AA16" s="1250"/>
      <c r="AB16" s="1251">
        <f>_xlfn.XLOOKUP(X16,'Note Disclosures'!$A$248:$A$262,'Note Disclosures'!$D$248:$D$262,0,0,1)</f>
        <v>0</v>
      </c>
      <c r="AC16" s="1250"/>
      <c r="AD16" s="1251">
        <f>'Note Disclosures'!E260</f>
        <v>1256364</v>
      </c>
      <c r="AE16" s="1250"/>
      <c r="AF16" s="1251" t="e">
        <f>'Note Disclosures'!F260</f>
        <v>#REF!</v>
      </c>
    </row>
    <row r="17" spans="1:32" ht="15" thickBot="1" x14ac:dyDescent="0.35">
      <c r="A17" s="1497" t="s">
        <v>2226</v>
      </c>
      <c r="B17" s="1498" t="s">
        <v>90</v>
      </c>
      <c r="C17" s="1499">
        <f>SUM(C3:C16)</f>
        <v>1755445</v>
      </c>
      <c r="D17" s="1498" t="s">
        <v>90</v>
      </c>
      <c r="E17" s="1499" t="e">
        <f>SUM(E3:E16)</f>
        <v>#REF!</v>
      </c>
      <c r="X17" s="1242" t="str">
        <f>'Note Disclosures'!A261</f>
        <v>Foreign exchange</v>
      </c>
      <c r="Y17" s="1250"/>
      <c r="Z17" s="1251">
        <f>_xlfn.XLOOKUP(X17,'Note Disclosures'!$A$248:$A$262,'Note Disclosures'!$C$248:$C$262,0,0,1)</f>
        <v>48</v>
      </c>
      <c r="AA17" s="1250"/>
      <c r="AB17" s="1251">
        <f>_xlfn.XLOOKUP(X17,'Note Disclosures'!$A$248:$A$262,'Note Disclosures'!$D$248:$D$262,0,0,1)</f>
        <v>0</v>
      </c>
      <c r="AC17" s="1250"/>
      <c r="AD17" s="1251">
        <f>'Note Disclosures'!E261</f>
        <v>43</v>
      </c>
      <c r="AE17" s="1250"/>
      <c r="AF17" s="1251" t="e">
        <f>'Note Disclosures'!F261</f>
        <v>#REF!</v>
      </c>
    </row>
    <row r="18" spans="1:32" x14ac:dyDescent="0.3">
      <c r="X18" s="1242" t="str">
        <f>'Note Disclosures'!A262</f>
        <v>Acquisition expense</v>
      </c>
      <c r="Y18" s="1250"/>
      <c r="Z18" s="1251">
        <f>_xlfn.XLOOKUP(X18,'Note Disclosures'!$A$248:$A$262,'Note Disclosures'!$C$248:$C$262,0,0,1)</f>
        <v>0</v>
      </c>
      <c r="AA18" s="1250"/>
      <c r="AB18" s="1251">
        <f>_xlfn.XLOOKUP(X18,'Note Disclosures'!$A$248:$A$262,'Note Disclosures'!$D$248:$D$262,0,0,1)</f>
        <v>0</v>
      </c>
      <c r="AC18" s="1250"/>
      <c r="AD18" s="1251">
        <f>'Note Disclosures'!E262</f>
        <v>0</v>
      </c>
      <c r="AE18" s="1250"/>
      <c r="AF18" s="1251">
        <f>'Note Disclosures'!F262</f>
        <v>0</v>
      </c>
    </row>
    <row r="19" spans="1:32" s="209" customFormat="1" ht="15" thickBot="1" x14ac:dyDescent="0.35">
      <c r="A19" s="209" t="s">
        <v>507</v>
      </c>
      <c r="C19" s="700">
        <f>'Note Disclosures'!E263-C17</f>
        <v>0</v>
      </c>
      <c r="E19" s="700" t="e">
        <f>'Note Disclosures'!F263-E17</f>
        <v>#REF!</v>
      </c>
      <c r="X19" s="1252" t="s">
        <v>817</v>
      </c>
      <c r="Y19" s="1253" t="s">
        <v>90</v>
      </c>
      <c r="Z19" s="1254">
        <f>SUM(Z4:Z18)</f>
        <v>160703</v>
      </c>
      <c r="AA19" s="1253" t="s">
        <v>90</v>
      </c>
      <c r="AB19" s="1254">
        <f>SUM(AB4:AB18)</f>
        <v>17475</v>
      </c>
      <c r="AC19" s="1253" t="s">
        <v>90</v>
      </c>
      <c r="AD19" s="1254">
        <f>SUM(AD4:AD18)</f>
        <v>1755445</v>
      </c>
      <c r="AE19" s="1253" t="s">
        <v>90</v>
      </c>
      <c r="AF19" s="1254" t="e">
        <f>SUM(AF4:AF18)</f>
        <v>#REF!</v>
      </c>
    </row>
    <row r="20" spans="1:32" x14ac:dyDescent="0.3">
      <c r="AC20" s="209"/>
      <c r="AD20" s="209"/>
      <c r="AE20" s="209"/>
      <c r="AF20" s="209"/>
    </row>
    <row r="21" spans="1:32" x14ac:dyDescent="0.3">
      <c r="X21" s="209" t="s">
        <v>507</v>
      </c>
      <c r="Y21" s="209"/>
      <c r="Z21" s="700">
        <f>Z19-'Note Disclosures'!C263</f>
        <v>0</v>
      </c>
      <c r="AA21" s="209"/>
      <c r="AB21" s="700">
        <f>AB19-'Note Disclosures'!D263</f>
        <v>0</v>
      </c>
      <c r="AD21" s="700">
        <f>AD19-'Note Disclosures'!E263</f>
        <v>0</v>
      </c>
      <c r="AE21" s="700"/>
      <c r="AF21" s="700" t="e">
        <f>AF19-'Note Disclosures'!F263</f>
        <v>#REF!</v>
      </c>
    </row>
    <row r="23" spans="1:32" ht="16.8" x14ac:dyDescent="0.3">
      <c r="A23" s="1037" t="s">
        <v>616</v>
      </c>
      <c r="B23" s="380"/>
      <c r="L23" s="1037" t="s">
        <v>1843</v>
      </c>
      <c r="M23" s="380"/>
    </row>
    <row r="24" spans="1:32" ht="24.6" x14ac:dyDescent="0.3">
      <c r="A24" s="1038"/>
      <c r="B24" s="1039"/>
      <c r="C24" s="1040" t="s">
        <v>616</v>
      </c>
      <c r="D24" s="1040"/>
      <c r="E24" s="1040" t="s">
        <v>71</v>
      </c>
      <c r="L24" s="1038"/>
      <c r="M24" s="1039"/>
      <c r="N24" s="1040" t="s">
        <v>1845</v>
      </c>
      <c r="O24" s="1040"/>
      <c r="P24" s="1040" t="s">
        <v>71</v>
      </c>
      <c r="X24" s="1037" t="s">
        <v>1289</v>
      </c>
    </row>
    <row r="25" spans="1:32" ht="15" thickBot="1" x14ac:dyDescent="0.35">
      <c r="A25" s="1041" t="s">
        <v>1283</v>
      </c>
      <c r="B25" s="1042"/>
      <c r="C25" s="1043"/>
      <c r="D25" s="1043"/>
      <c r="E25" s="1043"/>
      <c r="L25" s="1041" t="s">
        <v>1283</v>
      </c>
      <c r="M25" s="1042"/>
      <c r="N25" s="1043"/>
      <c r="O25" s="1043"/>
      <c r="P25" s="1043"/>
      <c r="X25" s="1255"/>
      <c r="Y25" s="1592" t="s">
        <v>1298</v>
      </c>
      <c r="Z25" s="1592"/>
      <c r="AA25" s="1592"/>
      <c r="AB25" s="1592"/>
      <c r="AC25" s="1593" t="s">
        <v>1812</v>
      </c>
      <c r="AD25" s="1593"/>
      <c r="AE25" s="1593"/>
      <c r="AF25" s="1593"/>
    </row>
    <row r="26" spans="1:32" ht="22.8" thickTop="1" thickBot="1" x14ac:dyDescent="0.35">
      <c r="A26" s="1044" t="s">
        <v>1823</v>
      </c>
      <c r="B26" s="1045" t="s">
        <v>90</v>
      </c>
      <c r="C26" s="1046">
        <v>0</v>
      </c>
      <c r="D26" s="1045" t="s">
        <v>90</v>
      </c>
      <c r="E26" s="1046">
        <v>0</v>
      </c>
      <c r="L26" s="1044" t="s">
        <v>1305</v>
      </c>
      <c r="M26" s="1045" t="s">
        <v>90</v>
      </c>
      <c r="N26" s="1046">
        <v>0</v>
      </c>
      <c r="O26" s="1045" t="s">
        <v>90</v>
      </c>
      <c r="P26" s="1046">
        <v>0</v>
      </c>
      <c r="X26" s="1060" t="s">
        <v>1290</v>
      </c>
      <c r="Y26" s="1249"/>
      <c r="Z26" s="1249" t="str">
        <f>Z3</f>
        <v>June 30, 2025</v>
      </c>
      <c r="AA26" s="1249"/>
      <c r="AB26" s="1249" t="str">
        <f>AB3</f>
        <v>June 30, 2023</v>
      </c>
      <c r="AC26" s="1249"/>
      <c r="AD26" s="1249" t="str">
        <f>AD3</f>
        <v>June 30, 2025</v>
      </c>
      <c r="AE26" s="1249"/>
      <c r="AF26" s="1249" t="str">
        <f>AF3</f>
        <v>June 30, 2023</v>
      </c>
    </row>
    <row r="27" spans="1:32" ht="22.8" x14ac:dyDescent="0.3">
      <c r="A27" s="1047" t="s">
        <v>1306</v>
      </c>
      <c r="B27" s="1048"/>
      <c r="C27" s="1049">
        <f>'Asset Acquisition'!B12</f>
        <v>6108</v>
      </c>
      <c r="D27" s="1048"/>
      <c r="E27" s="1049">
        <f>C27</f>
        <v>6108</v>
      </c>
      <c r="L27" s="1047" t="s">
        <v>2218</v>
      </c>
      <c r="M27" s="1048"/>
      <c r="N27" s="1049">
        <f>'Asset Acquisition'!H20+'Asset Acquisition'!H30</f>
        <v>6731822</v>
      </c>
      <c r="O27" s="1048"/>
      <c r="P27" s="1049">
        <f>N27</f>
        <v>6731822</v>
      </c>
      <c r="X27" s="1065" t="s">
        <v>1308</v>
      </c>
      <c r="Y27" s="1066" t="s">
        <v>90</v>
      </c>
      <c r="Z27" s="1063">
        <v>24099</v>
      </c>
      <c r="AA27" s="1066" t="s">
        <v>90</v>
      </c>
      <c r="AB27" s="1063">
        <v>0</v>
      </c>
      <c r="AC27" s="1066" t="s">
        <v>90</v>
      </c>
      <c r="AD27" s="1063">
        <v>59698</v>
      </c>
      <c r="AE27" s="1066" t="s">
        <v>90</v>
      </c>
      <c r="AF27" s="1063">
        <v>0</v>
      </c>
    </row>
    <row r="28" spans="1:32" ht="15" thickBot="1" x14ac:dyDescent="0.35">
      <c r="A28" s="1047" t="s">
        <v>1304</v>
      </c>
      <c r="B28" s="1048"/>
      <c r="C28" s="1049">
        <f>'BS.1 - F25'!F35-C27</f>
        <v>-7056</v>
      </c>
      <c r="D28" s="1048"/>
      <c r="E28" s="1049">
        <f>C28</f>
        <v>-7056</v>
      </c>
      <c r="L28" s="1044" t="s">
        <v>2216</v>
      </c>
      <c r="M28" s="1045" t="s">
        <v>90</v>
      </c>
      <c r="N28" s="1046">
        <f>SUM(N26:N27)</f>
        <v>6731822</v>
      </c>
      <c r="O28" s="1045" t="s">
        <v>90</v>
      </c>
      <c r="P28" s="1046">
        <f>SUM(P26:P27)</f>
        <v>6731822</v>
      </c>
      <c r="X28" s="1065" t="s">
        <v>1966</v>
      </c>
      <c r="Y28" s="1066"/>
      <c r="Z28" s="1063">
        <v>0</v>
      </c>
      <c r="AA28" s="1066"/>
      <c r="AB28" s="1063">
        <v>22500</v>
      </c>
      <c r="AC28" s="1066"/>
      <c r="AD28" s="1063">
        <f>Z28</f>
        <v>0</v>
      </c>
      <c r="AE28" s="1066"/>
      <c r="AF28" s="1063">
        <f>AB28</f>
        <v>22500</v>
      </c>
    </row>
    <row r="29" spans="1:32" ht="15" thickBot="1" x14ac:dyDescent="0.35">
      <c r="A29" s="1044" t="str">
        <f>"As at "&amp;TEXT(currentperiod_end_date,"MMMM DD, YYYY")</f>
        <v>As at June 30, 2025</v>
      </c>
      <c r="B29" s="1045" t="s">
        <v>90</v>
      </c>
      <c r="C29" s="1046">
        <f>SUM(C26:C28)</f>
        <v>-948</v>
      </c>
      <c r="D29" s="1045" t="s">
        <v>90</v>
      </c>
      <c r="E29" s="1046">
        <f>SUM(E26:E28)</f>
        <v>-948</v>
      </c>
      <c r="X29" s="1067" t="s">
        <v>1291</v>
      </c>
      <c r="Y29" s="1068" t="s">
        <v>90</v>
      </c>
      <c r="Z29" s="1064">
        <f>SUM(Z27:Z28)</f>
        <v>24099</v>
      </c>
      <c r="AA29" s="1064" t="s">
        <v>90</v>
      </c>
      <c r="AB29" s="1064">
        <f>SUM(AB27:AB28)</f>
        <v>22500</v>
      </c>
      <c r="AC29" s="1064" t="s">
        <v>90</v>
      </c>
      <c r="AD29" s="1064">
        <f>SUM(AD27:AD28)</f>
        <v>59698</v>
      </c>
      <c r="AE29" s="1064" t="s">
        <v>90</v>
      </c>
      <c r="AF29" s="1064">
        <f>SUM(AF27:AF28)</f>
        <v>22500</v>
      </c>
    </row>
    <row r="30" spans="1:32" x14ac:dyDescent="0.3">
      <c r="B30" s="380"/>
      <c r="L30" s="1050" t="s">
        <v>1844</v>
      </c>
      <c r="M30" s="1051"/>
      <c r="N30" s="1049"/>
      <c r="O30" s="1051"/>
      <c r="P30" s="1049"/>
    </row>
    <row r="31" spans="1:32" ht="15" thickBot="1" x14ac:dyDescent="0.35">
      <c r="A31" s="1050" t="s">
        <v>1284</v>
      </c>
      <c r="B31" s="1051"/>
      <c r="C31" s="1049"/>
      <c r="D31" s="1051"/>
      <c r="E31" s="1049"/>
      <c r="L31" s="1044" t="str">
        <f>L26</f>
        <v>As at June 30, 2023</v>
      </c>
      <c r="M31" s="1045" t="s">
        <v>90</v>
      </c>
      <c r="N31" s="1046">
        <v>0</v>
      </c>
      <c r="O31" s="1045" t="s">
        <v>90</v>
      </c>
      <c r="P31" s="1046">
        <f>N31</f>
        <v>0</v>
      </c>
    </row>
    <row r="32" spans="1:32" ht="15" thickBot="1" x14ac:dyDescent="0.35">
      <c r="A32" s="1044" t="str">
        <f>A26</f>
        <v>As at June 30, 2022 and 2023</v>
      </c>
      <c r="B32" s="1045" t="s">
        <v>90</v>
      </c>
      <c r="C32" s="1046">
        <v>0</v>
      </c>
      <c r="D32" s="1045" t="s">
        <v>90</v>
      </c>
      <c r="E32" s="1046">
        <f>C32</f>
        <v>0</v>
      </c>
      <c r="L32" s="1052" t="s">
        <v>2217</v>
      </c>
      <c r="M32" s="1048"/>
      <c r="N32" s="1049">
        <f>'IA.1 - Intangible'!R13</f>
        <v>1204016</v>
      </c>
      <c r="O32" s="1048"/>
      <c r="P32" s="1049">
        <f>N32</f>
        <v>1204016</v>
      </c>
    </row>
    <row r="33" spans="1:16" ht="15" thickBot="1" x14ac:dyDescent="0.35">
      <c r="A33" s="1052" t="s">
        <v>1307</v>
      </c>
      <c r="B33" s="1048"/>
      <c r="C33" s="1049">
        <f>ROUND('PL.1 - FY24'!J45,0)</f>
        <v>948</v>
      </c>
      <c r="D33" s="1048"/>
      <c r="E33" s="1049">
        <f>C33</f>
        <v>948</v>
      </c>
      <c r="L33" s="1044" t="str">
        <f>"As at "&amp;TEXT(comp_period_1,"MMMM DD, YYYY")</f>
        <v>As at June 30, 2024</v>
      </c>
      <c r="M33" s="1045" t="s">
        <v>90</v>
      </c>
      <c r="N33" s="1046">
        <f>SUM(N31:N32)</f>
        <v>1204016</v>
      </c>
      <c r="O33" s="1045" t="s">
        <v>90</v>
      </c>
      <c r="P33" s="1046">
        <f>SUM(P31:P32)</f>
        <v>1204016</v>
      </c>
    </row>
    <row r="34" spans="1:16" ht="15" thickBot="1" x14ac:dyDescent="0.35">
      <c r="A34" s="1044" t="str">
        <f>"As at "&amp;TEXT(currentperiod_end_date,"MMMM DD, YYYY")</f>
        <v>As at June 30, 2025</v>
      </c>
      <c r="B34" s="1045" t="s">
        <v>90</v>
      </c>
      <c r="C34" s="1046">
        <f>SUM(C32:C33)</f>
        <v>948</v>
      </c>
      <c r="D34" s="1045" t="s">
        <v>90</v>
      </c>
      <c r="E34" s="1046">
        <f>SUM(E32:E33)</f>
        <v>948</v>
      </c>
      <c r="L34" s="1052" t="s">
        <v>2217</v>
      </c>
      <c r="M34" s="1048"/>
      <c r="N34" s="1053">
        <f>'IA.1 - Intangible'!AD13</f>
        <v>1256364</v>
      </c>
      <c r="O34" s="1053"/>
      <c r="P34" s="1049">
        <f>N34</f>
        <v>1256364</v>
      </c>
    </row>
    <row r="35" spans="1:16" ht="15" thickBot="1" x14ac:dyDescent="0.35">
      <c r="A35" s="1052"/>
      <c r="B35" s="1048"/>
      <c r="C35" s="1053"/>
      <c r="D35" s="1053"/>
      <c r="E35" s="1053"/>
      <c r="L35" s="1044" t="str">
        <f>"As at "&amp;TEXT(currentperiod_end_date,"MMMM DD, YYYY")</f>
        <v>As at June 30, 2025</v>
      </c>
      <c r="M35" s="1045" t="s">
        <v>90</v>
      </c>
      <c r="N35" s="1046">
        <f>SUM(N33:N34)</f>
        <v>2460380</v>
      </c>
      <c r="O35" s="1045" t="s">
        <v>90</v>
      </c>
      <c r="P35" s="1046">
        <f>SUM(P33:P34)</f>
        <v>2460380</v>
      </c>
    </row>
    <row r="36" spans="1:16" x14ac:dyDescent="0.3">
      <c r="A36" s="1054" t="s">
        <v>1285</v>
      </c>
      <c r="B36" s="1055"/>
      <c r="C36" s="1056"/>
      <c r="D36" s="1056"/>
      <c r="E36" s="1056"/>
    </row>
    <row r="37" spans="1:16" x14ac:dyDescent="0.3">
      <c r="A37" s="1057" t="str">
        <f>"As at "&amp;TEXT(comp_period_1,"MMMM DD, YYYY")</f>
        <v>As at June 30, 2024</v>
      </c>
      <c r="B37" s="1058" t="s">
        <v>90</v>
      </c>
      <c r="C37" s="1049">
        <f>C26-C32</f>
        <v>0</v>
      </c>
      <c r="D37" s="1058" t="s">
        <v>90</v>
      </c>
      <c r="E37" s="1049">
        <f>E26-E32</f>
        <v>0</v>
      </c>
      <c r="L37" s="1054" t="s">
        <v>1285</v>
      </c>
      <c r="M37" s="1055"/>
      <c r="N37" s="1056"/>
      <c r="O37" s="1056"/>
      <c r="P37" s="1056"/>
    </row>
    <row r="38" spans="1:16" ht="15" thickBot="1" x14ac:dyDescent="0.35">
      <c r="A38" s="1044" t="str">
        <f>"As at "&amp;TEXT(currentperiod_end_date,"MMMM DD, YYYY")</f>
        <v>As at June 30, 2025</v>
      </c>
      <c r="B38" s="1045" t="s">
        <v>90</v>
      </c>
      <c r="C38" s="1059">
        <f>C29-C34</f>
        <v>-1896</v>
      </c>
      <c r="D38" s="1045" t="s">
        <v>90</v>
      </c>
      <c r="E38" s="1059">
        <f>E29-E34</f>
        <v>-1896</v>
      </c>
      <c r="L38" s="1057" t="str">
        <f>"As at "&amp;TEXT(comp_period_1,"MMMM DD, YYYY")</f>
        <v>As at June 30, 2024</v>
      </c>
      <c r="M38" s="1058" t="s">
        <v>90</v>
      </c>
      <c r="N38" s="1049">
        <f>N28-N33</f>
        <v>5527806</v>
      </c>
      <c r="O38" s="1058" t="s">
        <v>90</v>
      </c>
      <c r="P38" s="1049">
        <f>P28-P33</f>
        <v>5527806</v>
      </c>
    </row>
    <row r="39" spans="1:16" ht="15" thickBot="1" x14ac:dyDescent="0.35">
      <c r="B39" s="380"/>
      <c r="L39" s="1044" t="str">
        <f>"As at "&amp;TEXT(currentperiod_end_date,"MMMM DD, YYYY")</f>
        <v>As at June 30, 2025</v>
      </c>
      <c r="M39" s="1045" t="s">
        <v>90</v>
      </c>
      <c r="N39" s="1059">
        <f>N28-N35</f>
        <v>4271442</v>
      </c>
      <c r="O39" s="1045" t="s">
        <v>90</v>
      </c>
      <c r="P39" s="1059">
        <f>P28-P35</f>
        <v>4271442</v>
      </c>
    </row>
    <row r="40" spans="1:16" x14ac:dyDescent="0.3">
      <c r="A40" s="209" t="s">
        <v>507</v>
      </c>
      <c r="B40" s="209"/>
      <c r="C40" s="209"/>
      <c r="D40" s="209"/>
      <c r="E40" s="315">
        <f>E37-FS.1!E23</f>
        <v>-5341</v>
      </c>
    </row>
    <row r="41" spans="1:16" x14ac:dyDescent="0.3">
      <c r="A41" s="209" t="s">
        <v>507</v>
      </c>
      <c r="B41" s="209"/>
      <c r="C41" s="209"/>
      <c r="D41" s="209"/>
      <c r="E41" s="315">
        <f>E38-FS.1!C23</f>
        <v>-7237</v>
      </c>
      <c r="L41" s="209" t="s">
        <v>507</v>
      </c>
      <c r="M41" s="209"/>
      <c r="N41" s="209"/>
      <c r="O41" s="209"/>
      <c r="P41" s="315">
        <f>FS.1!E24-P38</f>
        <v>0</v>
      </c>
    </row>
    <row r="42" spans="1:16" x14ac:dyDescent="0.3">
      <c r="L42" s="209" t="s">
        <v>507</v>
      </c>
      <c r="P42" s="315">
        <f>FS.1!C24-P39</f>
        <v>0</v>
      </c>
    </row>
    <row r="45" spans="1:16" ht="43.8" thickBot="1" x14ac:dyDescent="0.35">
      <c r="F45" s="1123"/>
      <c r="G45" s="1124" t="s">
        <v>1350</v>
      </c>
      <c r="L45" s="1037" t="s">
        <v>1325</v>
      </c>
    </row>
    <row r="46" spans="1:16" x14ac:dyDescent="0.3">
      <c r="F46" t="s">
        <v>1352</v>
      </c>
      <c r="G46" s="1126">
        <f>DER.V!C19</f>
        <v>0.5</v>
      </c>
      <c r="L46" s="1098" t="s">
        <v>1318</v>
      </c>
      <c r="M46" s="1098"/>
      <c r="N46" s="1098"/>
    </row>
    <row r="47" spans="1:16" ht="27" x14ac:dyDescent="0.3">
      <c r="F47" t="s">
        <v>1353</v>
      </c>
      <c r="G47" s="1126">
        <f>DER.V!C20</f>
        <v>0.375</v>
      </c>
      <c r="L47" s="1105" t="s">
        <v>1320</v>
      </c>
      <c r="M47" s="1100" t="s">
        <v>90</v>
      </c>
      <c r="N47" s="1097">
        <f>'NOTES - TEXT'!G39</f>
        <v>6000000</v>
      </c>
    </row>
    <row r="48" spans="1:16" ht="15" thickBot="1" x14ac:dyDescent="0.35">
      <c r="F48" t="s">
        <v>1354</v>
      </c>
      <c r="G48" s="1127">
        <f>DER.V!C22</f>
        <v>1</v>
      </c>
      <c r="L48" s="1105" t="s">
        <v>700</v>
      </c>
      <c r="M48" s="1101"/>
      <c r="N48" s="1099">
        <f>'Asset Acquisition'!H4</f>
        <v>556400</v>
      </c>
    </row>
    <row r="49" spans="1:14" ht="17.399999999999999" thickBot="1" x14ac:dyDescent="0.35">
      <c r="A49" s="1037" t="s">
        <v>1288</v>
      </c>
      <c r="F49" t="s">
        <v>1349</v>
      </c>
      <c r="G49" s="1087">
        <f>DER.V!C21</f>
        <v>0.33333333333333331</v>
      </c>
      <c r="L49" s="1107" t="s">
        <v>1319</v>
      </c>
      <c r="M49" s="1102" t="s">
        <v>90</v>
      </c>
      <c r="N49" s="1095">
        <f>SUM(N47:N48)</f>
        <v>6556400</v>
      </c>
    </row>
    <row r="50" spans="1:14" ht="15" thickBot="1" x14ac:dyDescent="0.35">
      <c r="A50" s="1548"/>
      <c r="B50" s="1549"/>
      <c r="C50" s="1550" t="str">
        <f>C2</f>
        <v>June 30, 2025</v>
      </c>
      <c r="D50" s="1549"/>
      <c r="E50" s="1550" t="str">
        <f>E2</f>
        <v>June 30, 2024</v>
      </c>
      <c r="F50" t="s">
        <v>1355</v>
      </c>
      <c r="G50" s="1127">
        <v>0</v>
      </c>
      <c r="L50" s="1105"/>
      <c r="M50" s="1100"/>
      <c r="N50" s="1093"/>
    </row>
    <row r="51" spans="1:14" x14ac:dyDescent="0.3">
      <c r="A51" s="1495" t="s">
        <v>2250</v>
      </c>
      <c r="B51" s="1048" t="s">
        <v>90</v>
      </c>
      <c r="C51" s="1063">
        <f>-'BS.1 - F25'!F178</f>
        <v>-31957</v>
      </c>
      <c r="D51" s="1048" t="s">
        <v>90</v>
      </c>
      <c r="E51" s="1063">
        <f>-'BS.2 - F24'!F178</f>
        <v>-24938</v>
      </c>
      <c r="F51" s="165" t="s">
        <v>1356</v>
      </c>
      <c r="G51" s="1128">
        <f>DER.V!C24</f>
        <v>4.7600000000000003E-2</v>
      </c>
      <c r="L51" s="1108" t="s">
        <v>1276</v>
      </c>
      <c r="M51" s="1101"/>
      <c r="N51" s="1094"/>
    </row>
    <row r="52" spans="1:14" x14ac:dyDescent="0.3">
      <c r="A52" s="1495" t="s">
        <v>2209</v>
      </c>
      <c r="B52" s="1048"/>
      <c r="C52" s="1063">
        <v>0</v>
      </c>
      <c r="D52" s="1048"/>
      <c r="E52" s="1063">
        <f>-'BS.2 - F24'!F179</f>
        <v>75000</v>
      </c>
      <c r="L52" s="1105" t="str">
        <f>'Asset Acquisition'!G7</f>
        <v>Cash</v>
      </c>
      <c r="M52" s="1100" t="s">
        <v>90</v>
      </c>
      <c r="N52" s="1049">
        <f>'Asset Acquisition'!H7</f>
        <v>21130</v>
      </c>
    </row>
    <row r="53" spans="1:14" ht="15" thickBot="1" x14ac:dyDescent="0.35">
      <c r="A53" s="1497" t="s">
        <v>2251</v>
      </c>
      <c r="B53" s="1498" t="s">
        <v>90</v>
      </c>
      <c r="C53" s="1064">
        <f>SUM(C51:C52)</f>
        <v>-31957</v>
      </c>
      <c r="D53" s="1064" t="s">
        <v>90</v>
      </c>
      <c r="E53" s="1064">
        <f>SUM(E51:E52)</f>
        <v>50062</v>
      </c>
      <c r="L53" s="1105" t="str">
        <f>'Asset Acquisition'!G9</f>
        <v>Prepaid expenses</v>
      </c>
      <c r="M53" s="1101"/>
      <c r="N53" s="1049">
        <f>'Asset Acquisition'!H9</f>
        <v>2240</v>
      </c>
    </row>
    <row r="54" spans="1:14" x14ac:dyDescent="0.3">
      <c r="L54" s="1105" t="str">
        <f>'Asset Acquisition'!G10</f>
        <v>Inventory</v>
      </c>
      <c r="M54" s="1101"/>
      <c r="N54" s="1049">
        <f>'Asset Acquisition'!H10</f>
        <v>397450</v>
      </c>
    </row>
    <row r="55" spans="1:14" x14ac:dyDescent="0.3">
      <c r="A55" s="209" t="s">
        <v>507</v>
      </c>
      <c r="B55" s="209"/>
      <c r="C55" s="709">
        <f>FS.1!G66-C53</f>
        <v>0</v>
      </c>
      <c r="D55" s="209"/>
      <c r="E55" s="709">
        <f>FS.1!I66-E53</f>
        <v>0</v>
      </c>
      <c r="L55" s="1105" t="str">
        <f>'Asset Acquisition'!G12</f>
        <v>Equipment</v>
      </c>
      <c r="M55" s="1101"/>
      <c r="N55" s="1049">
        <f>'Asset Acquisition'!H12</f>
        <v>6108</v>
      </c>
    </row>
    <row r="56" spans="1:14" x14ac:dyDescent="0.3">
      <c r="L56" s="1105" t="str">
        <f>'Asset Acquisition'!G13</f>
        <v>Accounts payables and accrued liabilities</v>
      </c>
      <c r="M56" s="1101"/>
      <c r="N56" s="1049">
        <f>'Asset Acquisition'!H13</f>
        <v>-178623</v>
      </c>
    </row>
    <row r="57" spans="1:14" x14ac:dyDescent="0.3">
      <c r="L57" s="1105" t="str">
        <f>'Asset Acquisition'!G15</f>
        <v>Sales tax receivable</v>
      </c>
      <c r="M57" s="380"/>
      <c r="N57" s="1049">
        <f>'Asset Acquisition'!H15</f>
        <v>26371</v>
      </c>
    </row>
    <row r="58" spans="1:14" ht="57.6" x14ac:dyDescent="0.3">
      <c r="F58" s="1123"/>
      <c r="G58" s="1124" t="s">
        <v>1351</v>
      </c>
      <c r="L58" s="1105" t="str">
        <f>'Asset Acquisition'!G17</f>
        <v>Income tax payable</v>
      </c>
      <c r="M58" s="380"/>
      <c r="N58" s="1049">
        <f>'Asset Acquisition'!H17</f>
        <v>-98</v>
      </c>
    </row>
    <row r="59" spans="1:14" x14ac:dyDescent="0.3">
      <c r="F59" t="s">
        <v>1352</v>
      </c>
      <c r="G59" s="1126">
        <f>G46</f>
        <v>0.5</v>
      </c>
      <c r="L59" s="1106" t="str">
        <f>'Asset Acquisition'!G20</f>
        <v>Intangible asset</v>
      </c>
      <c r="M59" s="1103"/>
      <c r="N59" s="1056">
        <f>'Asset Acquisition'!H20</f>
        <v>6281822</v>
      </c>
    </row>
    <row r="60" spans="1:14" ht="15" thickBot="1" x14ac:dyDescent="0.35">
      <c r="F60" t="s">
        <v>1353</v>
      </c>
      <c r="G60" s="1126">
        <v>1E-4</v>
      </c>
      <c r="L60" s="1109" t="s">
        <v>1278</v>
      </c>
      <c r="M60" s="1104" t="s">
        <v>90</v>
      </c>
      <c r="N60" s="1096">
        <f>SUM(N52:N59)</f>
        <v>6556400</v>
      </c>
    </row>
    <row r="61" spans="1:14" x14ac:dyDescent="0.3">
      <c r="F61" t="s">
        <v>1354</v>
      </c>
      <c r="G61" s="1129">
        <f>DER.V!D54</f>
        <v>1</v>
      </c>
    </row>
    <row r="62" spans="1:14" x14ac:dyDescent="0.3">
      <c r="F62" t="s">
        <v>1349</v>
      </c>
      <c r="G62" s="380">
        <v>5.33</v>
      </c>
    </row>
    <row r="63" spans="1:14" x14ac:dyDescent="0.3">
      <c r="F63" t="s">
        <v>1355</v>
      </c>
      <c r="G63" s="1127">
        <v>0</v>
      </c>
    </row>
    <row r="64" spans="1:14" x14ac:dyDescent="0.3">
      <c r="F64" s="165" t="s">
        <v>1356</v>
      </c>
      <c r="G64" s="1128">
        <f>DER.V!D55</f>
        <v>4.7600000000000003E-2</v>
      </c>
    </row>
    <row r="65" spans="1:5" x14ac:dyDescent="0.3">
      <c r="D65" s="209"/>
      <c r="E65" s="315"/>
    </row>
    <row r="67" spans="1:5" ht="16.8" x14ac:dyDescent="0.3">
      <c r="A67" s="1037" t="s">
        <v>1289</v>
      </c>
    </row>
    <row r="68" spans="1:5" ht="15" thickBot="1" x14ac:dyDescent="0.35">
      <c r="A68" s="1060" t="s">
        <v>1290</v>
      </c>
      <c r="B68" s="1061"/>
      <c r="C68" s="1062" t="str">
        <f>C2</f>
        <v>June 30, 2025</v>
      </c>
      <c r="D68" s="1061"/>
      <c r="E68" s="1062" t="str">
        <f>E2</f>
        <v>June 30, 2024</v>
      </c>
    </row>
    <row r="69" spans="1:5" ht="22.8" x14ac:dyDescent="0.3">
      <c r="A69" s="1065" t="s">
        <v>1308</v>
      </c>
      <c r="B69" s="1066" t="s">
        <v>90</v>
      </c>
      <c r="C69" s="1063">
        <v>25200</v>
      </c>
      <c r="D69" s="1066" t="s">
        <v>90</v>
      </c>
      <c r="E69" s="1063">
        <v>0</v>
      </c>
    </row>
    <row r="70" spans="1:5" ht="15" thickBot="1" x14ac:dyDescent="0.35">
      <c r="A70" s="1067" t="s">
        <v>1291</v>
      </c>
      <c r="B70" s="1068" t="s">
        <v>90</v>
      </c>
      <c r="C70" s="1064">
        <f>SUM(C69:C69)</f>
        <v>25200</v>
      </c>
      <c r="D70" s="1064" t="s">
        <v>90</v>
      </c>
      <c r="E70" s="1064">
        <f>SUM(E69:E69)</f>
        <v>0</v>
      </c>
    </row>
    <row r="73" spans="1:5" ht="16.8" x14ac:dyDescent="0.3">
      <c r="A73" s="1037" t="s">
        <v>2222</v>
      </c>
    </row>
    <row r="74" spans="1:5" ht="15" thickBot="1" x14ac:dyDescent="0.35">
      <c r="A74" s="1060"/>
      <c r="B74" s="1061"/>
      <c r="C74" s="1062" t="str">
        <f>FS.1!C53</f>
        <v>June 30, 2025</v>
      </c>
      <c r="D74" s="1061"/>
      <c r="E74" s="1062" t="str">
        <f>FS.1!E53</f>
        <v>June 30, 2024</v>
      </c>
    </row>
    <row r="75" spans="1:5" ht="15" thickBot="1" x14ac:dyDescent="0.35">
      <c r="A75" s="1155" t="s">
        <v>2220</v>
      </c>
      <c r="B75" s="1045" t="s">
        <v>90</v>
      </c>
      <c r="C75" s="1046">
        <f>E79</f>
        <v>204577</v>
      </c>
      <c r="D75" s="1045" t="s">
        <v>90</v>
      </c>
      <c r="E75" s="1046">
        <v>0</v>
      </c>
    </row>
    <row r="76" spans="1:5" x14ac:dyDescent="0.3">
      <c r="A76" s="587" t="s">
        <v>1388</v>
      </c>
      <c r="B76" s="1070"/>
      <c r="C76" s="1063">
        <v>0</v>
      </c>
      <c r="D76" s="1070"/>
      <c r="E76" s="1063">
        <f>'COV.DEBT'!C28</f>
        <v>150000</v>
      </c>
    </row>
    <row r="77" spans="1:5" x14ac:dyDescent="0.3">
      <c r="A77" s="587" t="s">
        <v>1369</v>
      </c>
      <c r="B77" s="1070"/>
      <c r="C77" s="1063">
        <f>ROUND(SUM('[1]COV.DEBT - AMEND'!$D$40:$D$51),0)</f>
        <v>31957</v>
      </c>
      <c r="D77" s="1070"/>
      <c r="E77" s="1063">
        <f>ROUND(SUM('[1]COV.DEBT - AMEND'!$D$29:$D$39),0)</f>
        <v>24938</v>
      </c>
    </row>
    <row r="78" spans="1:5" x14ac:dyDescent="0.3">
      <c r="A78" s="587" t="s">
        <v>26</v>
      </c>
      <c r="B78" s="1070"/>
      <c r="C78" s="1063">
        <f>-ROUND(SUM('[1]COV.DEBT - AMEND'!$E$40:$E$51),0)</f>
        <v>37565</v>
      </c>
      <c r="D78" s="1070"/>
      <c r="E78" s="1063">
        <f>-ROUND(SUM('[1]COV.DEBT - AMEND'!$E$29:$E$39),0)</f>
        <v>29639</v>
      </c>
    </row>
    <row r="79" spans="1:5" ht="15" thickBot="1" x14ac:dyDescent="0.35">
      <c r="A79" s="1155" t="s">
        <v>2221</v>
      </c>
      <c r="B79" s="1068" t="s">
        <v>90</v>
      </c>
      <c r="C79" s="1064">
        <f>SUM(C75:C78)</f>
        <v>274099</v>
      </c>
      <c r="D79" s="1068" t="s">
        <v>90</v>
      </c>
      <c r="E79" s="1064">
        <f>SUM(E75:E78)</f>
        <v>204577</v>
      </c>
    </row>
    <row r="81" spans="1:5" x14ac:dyDescent="0.3">
      <c r="A81" s="209" t="s">
        <v>507</v>
      </c>
      <c r="B81" s="209"/>
      <c r="C81" s="315">
        <f>FS.1!C32-C79</f>
        <v>0</v>
      </c>
      <c r="E81" s="315">
        <f>FS.1!E32-E79</f>
        <v>0</v>
      </c>
    </row>
  </sheetData>
  <mergeCells count="5">
    <mergeCell ref="F2:F3"/>
    <mergeCell ref="Y2:AB2"/>
    <mergeCell ref="AC2:AF2"/>
    <mergeCell ref="Y25:AB25"/>
    <mergeCell ref="AC25:AF25"/>
  </mergeCells>
  <pageMargins left="0.5" right="0.5" top="0.5" bottom="0.5" header="0.31496062992125984" footer="0.31496062992125984"/>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E5608-6836-48D3-92AD-A11163021370}">
  <sheetPr>
    <tabColor rgb="FFFFC000"/>
  </sheetPr>
  <dimension ref="A1:H49"/>
  <sheetViews>
    <sheetView workbookViewId="0"/>
  </sheetViews>
  <sheetFormatPr defaultRowHeight="14.4" outlineLevelCol="1" x14ac:dyDescent="0.3"/>
  <cols>
    <col min="2" max="2" width="15.44140625" bestFit="1" customWidth="1"/>
    <col min="4" max="4" width="9.6640625" bestFit="1" customWidth="1"/>
    <col min="5" max="5" width="10.109375" bestFit="1" customWidth="1"/>
    <col min="6" max="6" width="10.6640625" hidden="1" customWidth="1" outlineLevel="1"/>
    <col min="7" max="7" width="11.5546875" bestFit="1" customWidth="1" collapsed="1"/>
    <col min="8" max="8" width="51.5546875" customWidth="1"/>
  </cols>
  <sheetData>
    <row r="1" spans="1:8" x14ac:dyDescent="0.3">
      <c r="A1" s="578" t="s">
        <v>422</v>
      </c>
      <c r="B1" s="579"/>
      <c r="C1" s="159"/>
      <c r="D1" s="159"/>
      <c r="E1" s="159"/>
      <c r="F1" s="159"/>
      <c r="G1" s="380"/>
    </row>
    <row r="2" spans="1:8" x14ac:dyDescent="0.3">
      <c r="A2" s="159"/>
      <c r="B2" s="579"/>
      <c r="C2" s="159"/>
      <c r="D2" s="159"/>
      <c r="E2" s="159"/>
      <c r="F2" s="273" t="s">
        <v>423</v>
      </c>
      <c r="G2" s="274" t="s">
        <v>424</v>
      </c>
    </row>
    <row r="3" spans="1:8" x14ac:dyDescent="0.3">
      <c r="A3" s="580" t="s">
        <v>425</v>
      </c>
      <c r="B3" s="581" t="s">
        <v>426</v>
      </c>
      <c r="C3" s="580" t="s">
        <v>427</v>
      </c>
      <c r="D3" s="580" t="s">
        <v>428</v>
      </c>
      <c r="E3" s="580" t="s">
        <v>429</v>
      </c>
      <c r="F3" s="582" t="s">
        <v>253</v>
      </c>
      <c r="G3" s="582" t="s">
        <v>253</v>
      </c>
      <c r="H3" s="581" t="s">
        <v>430</v>
      </c>
    </row>
    <row r="4" spans="1:8" x14ac:dyDescent="0.3">
      <c r="A4" s="159">
        <v>1</v>
      </c>
      <c r="B4" s="579" t="s">
        <v>431</v>
      </c>
      <c r="C4" s="159" t="s">
        <v>432</v>
      </c>
      <c r="D4" s="159">
        <v>1</v>
      </c>
      <c r="E4" s="159" t="str">
        <f t="shared" ref="E4:E5" si="0">C4&amp;D4</f>
        <v>GEN1</v>
      </c>
      <c r="F4" s="583"/>
      <c r="G4" s="583">
        <f>-FS.1!C5</f>
        <v>683160</v>
      </c>
      <c r="H4" t="s">
        <v>1961</v>
      </c>
    </row>
    <row r="5" spans="1:8" x14ac:dyDescent="0.3">
      <c r="A5" s="159">
        <f>A4</f>
        <v>1</v>
      </c>
      <c r="B5" s="579" t="str">
        <f>B4</f>
        <v>Nature of ops</v>
      </c>
      <c r="C5" s="159" t="str">
        <f>C4</f>
        <v>GEN</v>
      </c>
      <c r="D5" s="159">
        <f>D4+1</f>
        <v>2</v>
      </c>
      <c r="E5" s="159" t="str">
        <f t="shared" si="0"/>
        <v>GEN2</v>
      </c>
      <c r="F5" s="583"/>
      <c r="G5" s="585">
        <f>FS.1!E5</f>
        <v>-67788</v>
      </c>
      <c r="H5" t="s">
        <v>433</v>
      </c>
    </row>
    <row r="6" spans="1:8" x14ac:dyDescent="0.3">
      <c r="A6" s="159">
        <f t="shared" ref="A6:A9" si="1">A5</f>
        <v>1</v>
      </c>
      <c r="B6" s="579" t="str">
        <f t="shared" ref="B6:B9" si="2">B5</f>
        <v>Nature of ops</v>
      </c>
      <c r="C6" s="159" t="str">
        <f t="shared" ref="C6:C9" si="3">C5</f>
        <v>GEN</v>
      </c>
      <c r="D6" s="159">
        <f t="shared" ref="D6:D9" si="4">D5+1</f>
        <v>3</v>
      </c>
      <c r="E6" s="159" t="str">
        <f t="shared" ref="E6:E38" si="5">C6&amp;D6</f>
        <v>GEN3</v>
      </c>
      <c r="F6" s="583"/>
      <c r="G6" s="583">
        <f>-FS.1!G73</f>
        <v>1871736</v>
      </c>
      <c r="H6" t="s">
        <v>1962</v>
      </c>
    </row>
    <row r="7" spans="1:8" x14ac:dyDescent="0.3">
      <c r="A7" s="159">
        <f t="shared" si="1"/>
        <v>1</v>
      </c>
      <c r="B7" s="579" t="str">
        <f t="shared" si="2"/>
        <v>Nature of ops</v>
      </c>
      <c r="C7" s="159" t="str">
        <f t="shared" si="3"/>
        <v>GEN</v>
      </c>
      <c r="D7" s="159">
        <f t="shared" si="4"/>
        <v>4</v>
      </c>
      <c r="E7" s="159" t="str">
        <f t="shared" si="5"/>
        <v>GEN4</v>
      </c>
      <c r="F7" s="583"/>
      <c r="G7" s="583" t="e">
        <f>-FS.1!I73</f>
        <v>#REF!</v>
      </c>
      <c r="H7" t="s">
        <v>1965</v>
      </c>
    </row>
    <row r="8" spans="1:8" x14ac:dyDescent="0.3">
      <c r="A8" s="159">
        <f t="shared" si="1"/>
        <v>1</v>
      </c>
      <c r="B8" s="579" t="str">
        <f t="shared" si="2"/>
        <v>Nature of ops</v>
      </c>
      <c r="C8" s="159" t="str">
        <f t="shared" si="3"/>
        <v>GEN</v>
      </c>
      <c r="D8" s="159">
        <f t="shared" si="4"/>
        <v>5</v>
      </c>
      <c r="E8" s="159" t="str">
        <f t="shared" ref="E8:E9" si="6">C8&amp;D8</f>
        <v>GEN5</v>
      </c>
      <c r="F8" s="583"/>
      <c r="G8" s="583">
        <f>-FS.1!C73</f>
        <v>0</v>
      </c>
      <c r="H8" t="s">
        <v>1963</v>
      </c>
    </row>
    <row r="9" spans="1:8" x14ac:dyDescent="0.3">
      <c r="A9" s="159">
        <f t="shared" si="1"/>
        <v>1</v>
      </c>
      <c r="B9" s="579" t="str">
        <f t="shared" si="2"/>
        <v>Nature of ops</v>
      </c>
      <c r="C9" s="159" t="str">
        <f t="shared" si="3"/>
        <v>GEN</v>
      </c>
      <c r="D9" s="159">
        <f t="shared" si="4"/>
        <v>6</v>
      </c>
      <c r="E9" s="159" t="str">
        <f t="shared" si="6"/>
        <v>GEN6</v>
      </c>
      <c r="F9" s="583"/>
      <c r="G9" s="583">
        <f>-FS.1!E73</f>
        <v>0</v>
      </c>
      <c r="H9" t="s">
        <v>1964</v>
      </c>
    </row>
    <row r="10" spans="1:8" x14ac:dyDescent="0.3">
      <c r="A10" s="159">
        <v>7</v>
      </c>
      <c r="B10" s="579" t="s">
        <v>1309</v>
      </c>
      <c r="C10" s="159" t="s">
        <v>1309</v>
      </c>
      <c r="D10" s="159">
        <v>1</v>
      </c>
      <c r="E10" s="159" t="str">
        <f t="shared" si="5"/>
        <v>RPT1</v>
      </c>
      <c r="F10" s="583"/>
      <c r="G10" s="583">
        <f>ROUND((11339.85+10500+10500),0)</f>
        <v>32340</v>
      </c>
      <c r="H10" t="s">
        <v>1310</v>
      </c>
    </row>
    <row r="11" spans="1:8" x14ac:dyDescent="0.3">
      <c r="A11" s="159">
        <f>A10</f>
        <v>7</v>
      </c>
      <c r="B11" s="579" t="str">
        <f>B10</f>
        <v>RPT</v>
      </c>
      <c r="C11" s="159" t="str">
        <f>C10</f>
        <v>RPT</v>
      </c>
      <c r="D11" s="159">
        <f>D10+1</f>
        <v>2</v>
      </c>
      <c r="E11" s="159" t="str">
        <f t="shared" si="5"/>
        <v>RPT2</v>
      </c>
      <c r="F11" s="583"/>
      <c r="G11" s="583">
        <f>ROUND((20717.55+46725),0)</f>
        <v>67443</v>
      </c>
      <c r="H11" t="s">
        <v>1311</v>
      </c>
    </row>
    <row r="12" spans="1:8" x14ac:dyDescent="0.3">
      <c r="A12" s="159">
        <f t="shared" ref="A12" si="7">A11</f>
        <v>7</v>
      </c>
      <c r="B12" s="579" t="str">
        <f t="shared" ref="B12" si="8">B11</f>
        <v>RPT</v>
      </c>
      <c r="C12" s="159" t="str">
        <f t="shared" ref="C12" si="9">C11</f>
        <v>RPT</v>
      </c>
      <c r="D12" s="159">
        <f t="shared" ref="D12" si="10">D11+1</f>
        <v>3</v>
      </c>
      <c r="E12" s="159" t="str">
        <f t="shared" ref="E12:E29" si="11">C12&amp;D12</f>
        <v>RPT3</v>
      </c>
      <c r="F12" s="583"/>
      <c r="G12" s="583">
        <v>2500</v>
      </c>
      <c r="H12" t="s">
        <v>1324</v>
      </c>
    </row>
    <row r="13" spans="1:8" x14ac:dyDescent="0.3">
      <c r="A13" s="159">
        <f>A12</f>
        <v>7</v>
      </c>
      <c r="B13" s="579" t="str">
        <f>B12</f>
        <v>RPT</v>
      </c>
      <c r="C13" s="159" t="str">
        <f>C12</f>
        <v>RPT</v>
      </c>
      <c r="D13" s="159">
        <f>D12+1</f>
        <v>4</v>
      </c>
      <c r="E13" s="159" t="str">
        <f>C13&amp;D13</f>
        <v>RPT4</v>
      </c>
      <c r="F13" s="583"/>
      <c r="G13" s="583">
        <f>'NOTES - TABLE'!AD27</f>
        <v>59698</v>
      </c>
      <c r="H13" t="s">
        <v>1974</v>
      </c>
    </row>
    <row r="14" spans="1:8" x14ac:dyDescent="0.3">
      <c r="A14" s="159">
        <f t="shared" ref="A14:A26" si="12">A13</f>
        <v>7</v>
      </c>
      <c r="B14" s="579" t="str">
        <f t="shared" ref="B14:B26" si="13">B13</f>
        <v>RPT</v>
      </c>
      <c r="C14" s="159" t="str">
        <f t="shared" ref="C14:C26" si="14">C13</f>
        <v>RPT</v>
      </c>
      <c r="D14" s="159">
        <f t="shared" ref="D14:D26" si="15">D13+1</f>
        <v>5</v>
      </c>
      <c r="E14" s="159" t="str">
        <f t="shared" ref="E14:E26" si="16">C14&amp;D14</f>
        <v>RPT5</v>
      </c>
      <c r="F14" s="583"/>
      <c r="G14" s="1379">
        <f>'NOTES - TABLE'!Z27</f>
        <v>24099</v>
      </c>
      <c r="H14" t="s">
        <v>1976</v>
      </c>
    </row>
    <row r="15" spans="1:8" x14ac:dyDescent="0.3">
      <c r="A15" s="159">
        <f t="shared" si="12"/>
        <v>7</v>
      </c>
      <c r="B15" s="579" t="str">
        <f t="shared" si="13"/>
        <v>RPT</v>
      </c>
      <c r="C15" s="159" t="str">
        <f t="shared" si="14"/>
        <v>RPT</v>
      </c>
      <c r="D15" s="159">
        <f t="shared" si="15"/>
        <v>6</v>
      </c>
      <c r="E15" s="159" t="str">
        <f t="shared" si="16"/>
        <v>RPT6</v>
      </c>
      <c r="F15" s="583"/>
      <c r="G15" s="1379" t="s">
        <v>1988</v>
      </c>
      <c r="H15" t="s">
        <v>1975</v>
      </c>
    </row>
    <row r="16" spans="1:8" x14ac:dyDescent="0.3">
      <c r="A16" s="159">
        <f t="shared" si="12"/>
        <v>7</v>
      </c>
      <c r="B16" s="579" t="str">
        <f t="shared" si="13"/>
        <v>RPT</v>
      </c>
      <c r="C16" s="159" t="str">
        <f t="shared" si="14"/>
        <v>RPT</v>
      </c>
      <c r="D16" s="159">
        <f t="shared" si="15"/>
        <v>7</v>
      </c>
      <c r="E16" s="159" t="str">
        <f t="shared" si="16"/>
        <v>RPT7</v>
      </c>
      <c r="F16" s="583"/>
      <c r="G16" s="1379" t="s">
        <v>1988</v>
      </c>
      <c r="H16" t="s">
        <v>1977</v>
      </c>
    </row>
    <row r="17" spans="1:8" x14ac:dyDescent="0.3">
      <c r="A17" s="159">
        <f t="shared" si="12"/>
        <v>7</v>
      </c>
      <c r="B17" s="579" t="str">
        <f t="shared" si="13"/>
        <v>RPT</v>
      </c>
      <c r="C17" s="159" t="str">
        <f t="shared" si="14"/>
        <v>RPT</v>
      </c>
      <c r="D17" s="159">
        <f t="shared" si="15"/>
        <v>8</v>
      </c>
      <c r="E17" s="159" t="str">
        <f t="shared" si="16"/>
        <v>RPT8</v>
      </c>
      <c r="F17" s="583"/>
      <c r="G17" s="1379" t="s">
        <v>1988</v>
      </c>
      <c r="H17" t="s">
        <v>1978</v>
      </c>
    </row>
    <row r="18" spans="1:8" x14ac:dyDescent="0.3">
      <c r="A18" s="159">
        <f t="shared" si="12"/>
        <v>7</v>
      </c>
      <c r="B18" s="579" t="str">
        <f t="shared" si="13"/>
        <v>RPT</v>
      </c>
      <c r="C18" s="159" t="str">
        <f t="shared" si="14"/>
        <v>RPT</v>
      </c>
      <c r="D18" s="159">
        <f t="shared" si="15"/>
        <v>9</v>
      </c>
      <c r="E18" s="159" t="str">
        <f t="shared" si="16"/>
        <v>RPT9</v>
      </c>
      <c r="F18" s="583"/>
      <c r="G18" s="1379" t="s">
        <v>1988</v>
      </c>
      <c r="H18" t="s">
        <v>1979</v>
      </c>
    </row>
    <row r="19" spans="1:8" x14ac:dyDescent="0.3">
      <c r="A19" s="159">
        <f t="shared" si="12"/>
        <v>7</v>
      </c>
      <c r="B19" s="579" t="str">
        <f t="shared" si="13"/>
        <v>RPT</v>
      </c>
      <c r="C19" s="159" t="str">
        <f t="shared" si="14"/>
        <v>RPT</v>
      </c>
      <c r="D19" s="159">
        <f t="shared" si="15"/>
        <v>10</v>
      </c>
      <c r="E19" s="159" t="str">
        <f t="shared" si="16"/>
        <v>RPT10</v>
      </c>
      <c r="F19" s="583"/>
      <c r="G19" s="1379" t="s">
        <v>1988</v>
      </c>
      <c r="H19" t="s">
        <v>1980</v>
      </c>
    </row>
    <row r="20" spans="1:8" x14ac:dyDescent="0.3">
      <c r="A20" s="159">
        <f t="shared" si="12"/>
        <v>7</v>
      </c>
      <c r="B20" s="579" t="str">
        <f t="shared" si="13"/>
        <v>RPT</v>
      </c>
      <c r="C20" s="159" t="str">
        <f t="shared" si="14"/>
        <v>RPT</v>
      </c>
      <c r="D20" s="159">
        <f t="shared" si="15"/>
        <v>11</v>
      </c>
      <c r="E20" s="159" t="str">
        <f t="shared" si="16"/>
        <v>RPT11</v>
      </c>
      <c r="F20" s="583"/>
      <c r="G20" s="1379" t="s">
        <v>1988</v>
      </c>
      <c r="H20" t="s">
        <v>1981</v>
      </c>
    </row>
    <row r="21" spans="1:8" x14ac:dyDescent="0.3">
      <c r="A21" s="159">
        <f t="shared" si="12"/>
        <v>7</v>
      </c>
      <c r="B21" s="579" t="str">
        <f t="shared" si="13"/>
        <v>RPT</v>
      </c>
      <c r="C21" s="159" t="str">
        <f t="shared" si="14"/>
        <v>RPT</v>
      </c>
      <c r="D21" s="159">
        <f t="shared" si="15"/>
        <v>12</v>
      </c>
      <c r="E21" s="159" t="str">
        <f t="shared" si="16"/>
        <v>RPT12</v>
      </c>
      <c r="F21" s="583"/>
      <c r="G21" s="1379" t="s">
        <v>1988</v>
      </c>
      <c r="H21" t="s">
        <v>1982</v>
      </c>
    </row>
    <row r="22" spans="1:8" x14ac:dyDescent="0.3">
      <c r="A22" s="159">
        <f t="shared" si="12"/>
        <v>7</v>
      </c>
      <c r="B22" s="579" t="str">
        <f t="shared" si="13"/>
        <v>RPT</v>
      </c>
      <c r="C22" s="159" t="str">
        <f t="shared" si="14"/>
        <v>RPT</v>
      </c>
      <c r="D22" s="159">
        <f t="shared" si="15"/>
        <v>13</v>
      </c>
      <c r="E22" s="159" t="str">
        <f t="shared" si="16"/>
        <v>RPT13</v>
      </c>
      <c r="F22" s="583"/>
      <c r="G22" s="1379" t="s">
        <v>1988</v>
      </c>
      <c r="H22" t="s">
        <v>1983</v>
      </c>
    </row>
    <row r="23" spans="1:8" x14ac:dyDescent="0.3">
      <c r="A23" s="159">
        <f t="shared" si="12"/>
        <v>7</v>
      </c>
      <c r="B23" s="579" t="str">
        <f t="shared" si="13"/>
        <v>RPT</v>
      </c>
      <c r="C23" s="159" t="str">
        <f t="shared" si="14"/>
        <v>RPT</v>
      </c>
      <c r="D23" s="159">
        <f t="shared" si="15"/>
        <v>14</v>
      </c>
      <c r="E23" s="159" t="str">
        <f t="shared" si="16"/>
        <v>RPT14</v>
      </c>
      <c r="F23" s="583"/>
      <c r="G23" s="1379">
        <f>'NOTES - TABLE'!AF28</f>
        <v>22500</v>
      </c>
      <c r="H23" t="s">
        <v>1984</v>
      </c>
    </row>
    <row r="24" spans="1:8" x14ac:dyDescent="0.3">
      <c r="A24" s="159">
        <f t="shared" si="12"/>
        <v>7</v>
      </c>
      <c r="B24" s="579" t="str">
        <f t="shared" si="13"/>
        <v>RPT</v>
      </c>
      <c r="C24" s="159" t="str">
        <f t="shared" si="14"/>
        <v>RPT</v>
      </c>
      <c r="D24" s="159">
        <f t="shared" si="15"/>
        <v>15</v>
      </c>
      <c r="E24" s="159" t="str">
        <f t="shared" si="16"/>
        <v>RPT15</v>
      </c>
      <c r="F24" s="583"/>
      <c r="G24" s="1379">
        <f>'NOTES - TABLE'!AB28</f>
        <v>22500</v>
      </c>
      <c r="H24" t="s">
        <v>1985</v>
      </c>
    </row>
    <row r="25" spans="1:8" x14ac:dyDescent="0.3">
      <c r="A25" s="159">
        <f t="shared" si="12"/>
        <v>7</v>
      </c>
      <c r="B25" s="579" t="str">
        <f t="shared" si="13"/>
        <v>RPT</v>
      </c>
      <c r="C25" s="159" t="str">
        <f t="shared" si="14"/>
        <v>RPT</v>
      </c>
      <c r="D25" s="159">
        <f t="shared" si="15"/>
        <v>16</v>
      </c>
      <c r="E25" s="159" t="str">
        <f t="shared" si="16"/>
        <v>RPT16</v>
      </c>
      <c r="F25" s="583"/>
      <c r="G25" s="1379">
        <v>1155080</v>
      </c>
      <c r="H25" t="s">
        <v>1986</v>
      </c>
    </row>
    <row r="26" spans="1:8" x14ac:dyDescent="0.3">
      <c r="A26" s="159">
        <f t="shared" si="12"/>
        <v>7</v>
      </c>
      <c r="B26" s="579" t="str">
        <f t="shared" si="13"/>
        <v>RPT</v>
      </c>
      <c r="C26" s="159" t="str">
        <f t="shared" si="14"/>
        <v>RPT</v>
      </c>
      <c r="D26" s="159">
        <f t="shared" si="15"/>
        <v>17</v>
      </c>
      <c r="E26" s="159" t="str">
        <f t="shared" si="16"/>
        <v>RPT17</v>
      </c>
      <c r="F26" s="583"/>
      <c r="G26" s="1379">
        <f>G25</f>
        <v>1155080</v>
      </c>
      <c r="H26" t="s">
        <v>1987</v>
      </c>
    </row>
    <row r="27" spans="1:8" x14ac:dyDescent="0.3">
      <c r="A27" s="159">
        <f>A25</f>
        <v>7</v>
      </c>
      <c r="B27" s="579" t="str">
        <f>B25</f>
        <v>RPT</v>
      </c>
      <c r="C27" s="159" t="str">
        <f>C25</f>
        <v>RPT</v>
      </c>
      <c r="D27" s="159">
        <f>D25+1</f>
        <v>17</v>
      </c>
      <c r="E27" s="159" t="str">
        <f t="shared" si="11"/>
        <v>RPT17</v>
      </c>
      <c r="F27" s="583"/>
      <c r="G27" s="583">
        <v>0</v>
      </c>
      <c r="H27" t="s">
        <v>1322</v>
      </c>
    </row>
    <row r="28" spans="1:8" x14ac:dyDescent="0.3">
      <c r="A28" s="159">
        <v>8</v>
      </c>
      <c r="B28" s="579" t="s">
        <v>1341</v>
      </c>
      <c r="C28" s="159" t="s">
        <v>1342</v>
      </c>
      <c r="D28" s="159">
        <v>1</v>
      </c>
      <c r="E28" s="159" t="str">
        <f t="shared" si="11"/>
        <v>NN1</v>
      </c>
      <c r="F28" s="583"/>
      <c r="G28" s="583">
        <f>'COV.DEBT'!B18</f>
        <v>12708</v>
      </c>
      <c r="H28" t="s">
        <v>1343</v>
      </c>
    </row>
    <row r="29" spans="1:8" x14ac:dyDescent="0.3">
      <c r="A29" s="159">
        <f>A28</f>
        <v>8</v>
      </c>
      <c r="B29" s="579" t="str">
        <f>B28</f>
        <v>DEBT</v>
      </c>
      <c r="C29" s="159" t="str">
        <f>C28</f>
        <v>NN</v>
      </c>
      <c r="D29" s="159">
        <f>D28+1</f>
        <v>2</v>
      </c>
      <c r="E29" s="159" t="str">
        <f t="shared" si="11"/>
        <v>NN2</v>
      </c>
      <c r="F29" s="583"/>
      <c r="G29" s="583" t="s">
        <v>1323</v>
      </c>
      <c r="H29" t="s">
        <v>1344</v>
      </c>
    </row>
    <row r="30" spans="1:8" x14ac:dyDescent="0.3">
      <c r="A30" s="159">
        <f t="shared" ref="A30" si="17">A29</f>
        <v>8</v>
      </c>
      <c r="B30" s="579" t="str">
        <f t="shared" ref="B30" si="18">B29</f>
        <v>DEBT</v>
      </c>
      <c r="C30" s="159" t="str">
        <f t="shared" ref="C30" si="19">C29</f>
        <v>NN</v>
      </c>
      <c r="D30" s="159">
        <f t="shared" ref="D30" si="20">D29+1</f>
        <v>3</v>
      </c>
      <c r="E30" s="159" t="str">
        <f t="shared" ref="E30" si="21">C30&amp;D30</f>
        <v>NN3</v>
      </c>
      <c r="F30" s="583"/>
      <c r="G30" s="583">
        <v>225000</v>
      </c>
      <c r="H30" t="s">
        <v>1345</v>
      </c>
    </row>
    <row r="31" spans="1:8" x14ac:dyDescent="0.3">
      <c r="A31" s="159">
        <f t="shared" ref="A31:A33" si="22">A30</f>
        <v>8</v>
      </c>
      <c r="B31" s="579" t="str">
        <f t="shared" ref="B31:B33" si="23">B30</f>
        <v>DEBT</v>
      </c>
      <c r="C31" s="159" t="str">
        <f t="shared" ref="C31:C33" si="24">C30</f>
        <v>NN</v>
      </c>
      <c r="D31" s="159">
        <f t="shared" ref="D31:D33" si="25">D30+1</f>
        <v>4</v>
      </c>
      <c r="E31" s="159" t="str">
        <f t="shared" ref="E31:E33" si="26">C31&amp;D31</f>
        <v>NN4</v>
      </c>
      <c r="F31" s="583"/>
      <c r="G31" s="583" t="s">
        <v>1323</v>
      </c>
      <c r="H31" t="s">
        <v>1346</v>
      </c>
    </row>
    <row r="32" spans="1:8" x14ac:dyDescent="0.3">
      <c r="A32" s="159">
        <f t="shared" si="22"/>
        <v>8</v>
      </c>
      <c r="B32" s="579" t="str">
        <f t="shared" si="23"/>
        <v>DEBT</v>
      </c>
      <c r="C32" s="159" t="str">
        <f t="shared" si="24"/>
        <v>NN</v>
      </c>
      <c r="D32" s="159">
        <f t="shared" si="25"/>
        <v>5</v>
      </c>
      <c r="E32" s="159" t="str">
        <f t="shared" si="26"/>
        <v>NN5</v>
      </c>
      <c r="F32" s="583"/>
      <c r="G32" s="583">
        <f>G28</f>
        <v>12708</v>
      </c>
      <c r="H32" t="s">
        <v>1347</v>
      </c>
    </row>
    <row r="33" spans="1:8" x14ac:dyDescent="0.3">
      <c r="A33" s="159">
        <f t="shared" si="22"/>
        <v>8</v>
      </c>
      <c r="B33" s="579" t="str">
        <f t="shared" si="23"/>
        <v>DEBT</v>
      </c>
      <c r="C33" s="159" t="str">
        <f t="shared" si="24"/>
        <v>NN</v>
      </c>
      <c r="D33" s="159">
        <f t="shared" si="25"/>
        <v>6</v>
      </c>
      <c r="E33" s="159" t="str">
        <f t="shared" si="26"/>
        <v>NN6</v>
      </c>
      <c r="F33" s="583"/>
      <c r="G33" s="583" t="s">
        <v>1323</v>
      </c>
      <c r="H33" t="s">
        <v>1348</v>
      </c>
    </row>
    <row r="34" spans="1:8" x14ac:dyDescent="0.3">
      <c r="A34" s="159">
        <f t="shared" ref="A34" si="27">A33</f>
        <v>8</v>
      </c>
      <c r="B34" s="579" t="str">
        <f t="shared" ref="B34" si="28">B33</f>
        <v>DEBT</v>
      </c>
      <c r="C34" s="159" t="str">
        <f t="shared" ref="C34" si="29">C33</f>
        <v>NN</v>
      </c>
      <c r="D34" s="159">
        <f t="shared" ref="D34" si="30">D33+1</f>
        <v>7</v>
      </c>
      <c r="E34" s="159" t="str">
        <f t="shared" ref="E34" si="31">C34&amp;D34</f>
        <v>NN7</v>
      </c>
      <c r="F34" s="583"/>
      <c r="G34" s="583">
        <f>'COV.DEBT'!B22</f>
        <v>75000</v>
      </c>
      <c r="H34" t="s">
        <v>1371</v>
      </c>
    </row>
    <row r="35" spans="1:8" x14ac:dyDescent="0.3">
      <c r="A35" s="159">
        <f t="shared" ref="A35" si="32">A34</f>
        <v>8</v>
      </c>
      <c r="B35" s="579" t="str">
        <f t="shared" ref="B35" si="33">B34</f>
        <v>DEBT</v>
      </c>
      <c r="C35" s="159" t="str">
        <f t="shared" ref="C35" si="34">C34</f>
        <v>NN</v>
      </c>
      <c r="D35" s="159">
        <f t="shared" ref="D35" si="35">D34+1</f>
        <v>8</v>
      </c>
      <c r="E35" s="159" t="str">
        <f t="shared" ref="E35" si="36">C35&amp;D35</f>
        <v>NN8</v>
      </c>
      <c r="F35" s="583"/>
      <c r="G35" s="583">
        <f>'COV.DEBT'!B23</f>
        <v>150000</v>
      </c>
      <c r="H35" t="s">
        <v>1372</v>
      </c>
    </row>
    <row r="36" spans="1:8" x14ac:dyDescent="0.3">
      <c r="A36" s="159">
        <f t="shared" ref="A36" si="37">A35</f>
        <v>8</v>
      </c>
      <c r="B36" s="579" t="str">
        <f t="shared" ref="B36" si="38">B35</f>
        <v>DEBT</v>
      </c>
      <c r="C36" s="159" t="str">
        <f t="shared" ref="C36" si="39">C35</f>
        <v>NN</v>
      </c>
      <c r="D36" s="159">
        <f t="shared" ref="D36" si="40">D35+1</f>
        <v>9</v>
      </c>
      <c r="E36" s="159" t="str">
        <f t="shared" ref="E36" si="41">C36&amp;D36</f>
        <v>NN9</v>
      </c>
      <c r="F36" s="583"/>
      <c r="G36" s="583">
        <f>'COV.DEBT'!B39</f>
        <v>87708</v>
      </c>
      <c r="H36" t="s">
        <v>1369</v>
      </c>
    </row>
    <row r="37" spans="1:8" x14ac:dyDescent="0.3">
      <c r="A37" s="159">
        <v>9</v>
      </c>
      <c r="B37" s="579" t="s">
        <v>5</v>
      </c>
      <c r="C37" s="159" t="s">
        <v>1313</v>
      </c>
      <c r="D37" s="159">
        <v>1</v>
      </c>
      <c r="E37" s="159" t="str">
        <f t="shared" si="5"/>
        <v>RR1</v>
      </c>
      <c r="F37" s="583"/>
      <c r="G37" s="583">
        <v>12000000</v>
      </c>
      <c r="H37" t="s">
        <v>1312</v>
      </c>
    </row>
    <row r="38" spans="1:8" x14ac:dyDescent="0.3">
      <c r="A38" s="159">
        <f t="shared" ref="A38:C43" si="42">A37</f>
        <v>9</v>
      </c>
      <c r="B38" s="579" t="str">
        <f t="shared" si="42"/>
        <v>Share capital</v>
      </c>
      <c r="C38" s="159" t="str">
        <f t="shared" si="42"/>
        <v>RR</v>
      </c>
      <c r="D38" s="159">
        <f>D37+1</f>
        <v>2</v>
      </c>
      <c r="E38" s="159" t="str">
        <f t="shared" si="5"/>
        <v>RR2</v>
      </c>
      <c r="F38" s="584"/>
      <c r="G38" s="584">
        <v>0.5</v>
      </c>
      <c r="H38" t="s">
        <v>1314</v>
      </c>
    </row>
    <row r="39" spans="1:8" x14ac:dyDescent="0.3">
      <c r="A39" s="159">
        <f t="shared" si="42"/>
        <v>9</v>
      </c>
      <c r="B39" s="579" t="str">
        <f t="shared" si="42"/>
        <v>Share capital</v>
      </c>
      <c r="C39" s="159" t="str">
        <f t="shared" si="42"/>
        <v>RR</v>
      </c>
      <c r="D39" s="159">
        <f>D38+1</f>
        <v>3</v>
      </c>
      <c r="E39" s="159" t="str">
        <f t="shared" ref="E39:E40" si="43">C39&amp;D39</f>
        <v>RR3</v>
      </c>
      <c r="F39" s="583"/>
      <c r="G39" s="583">
        <f>G37*G38</f>
        <v>6000000</v>
      </c>
      <c r="H39" t="s">
        <v>1316</v>
      </c>
    </row>
    <row r="40" spans="1:8" x14ac:dyDescent="0.3">
      <c r="A40" s="159">
        <f t="shared" si="42"/>
        <v>9</v>
      </c>
      <c r="B40" s="579" t="str">
        <f t="shared" si="42"/>
        <v>Share capital</v>
      </c>
      <c r="C40" s="159" t="str">
        <f t="shared" si="42"/>
        <v>RR</v>
      </c>
      <c r="D40" s="159">
        <f>D39+1</f>
        <v>4</v>
      </c>
      <c r="E40" s="159" t="str">
        <f t="shared" si="43"/>
        <v>RR4</v>
      </c>
      <c r="F40" s="583"/>
      <c r="G40" s="583">
        <v>900000</v>
      </c>
      <c r="H40" t="s">
        <v>1315</v>
      </c>
    </row>
    <row r="41" spans="1:8" x14ac:dyDescent="0.3">
      <c r="A41" s="159">
        <f t="shared" si="42"/>
        <v>9</v>
      </c>
      <c r="B41" s="579" t="str">
        <f t="shared" si="42"/>
        <v>Share capital</v>
      </c>
      <c r="C41" s="159" t="str">
        <f t="shared" si="42"/>
        <v>RR</v>
      </c>
      <c r="D41" s="159">
        <f>D40+1</f>
        <v>5</v>
      </c>
      <c r="E41" s="159" t="str">
        <f t="shared" ref="E41:E43" si="44">C41&amp;D41</f>
        <v>RR5</v>
      </c>
      <c r="F41" s="583"/>
      <c r="G41" s="583">
        <f>G38*G40</f>
        <v>450000</v>
      </c>
      <c r="H41" t="s">
        <v>1317</v>
      </c>
    </row>
    <row r="42" spans="1:8" x14ac:dyDescent="0.3">
      <c r="A42" s="159" t="s">
        <v>1814</v>
      </c>
      <c r="B42" s="579" t="s">
        <v>1814</v>
      </c>
      <c r="C42" s="159" t="s">
        <v>1814</v>
      </c>
      <c r="D42" s="159">
        <v>1</v>
      </c>
      <c r="E42" s="159" t="str">
        <f t="shared" si="44"/>
        <v>MDA1</v>
      </c>
      <c r="F42" s="583"/>
      <c r="G42" s="583">
        <v>31912501</v>
      </c>
      <c r="H42" t="s">
        <v>1815</v>
      </c>
    </row>
    <row r="43" spans="1:8" x14ac:dyDescent="0.3">
      <c r="A43" s="159" t="str">
        <f t="shared" si="42"/>
        <v>MDA</v>
      </c>
      <c r="B43" s="579" t="str">
        <f t="shared" si="42"/>
        <v>MDA</v>
      </c>
      <c r="C43" s="159" t="str">
        <f t="shared" si="42"/>
        <v>MDA</v>
      </c>
      <c r="D43" s="159">
        <f>D42+1</f>
        <v>2</v>
      </c>
      <c r="E43" s="159" t="str">
        <f t="shared" si="44"/>
        <v>MDA2</v>
      </c>
      <c r="F43" s="583"/>
      <c r="G43" s="583">
        <v>2687500</v>
      </c>
      <c r="H43" t="s">
        <v>1816</v>
      </c>
    </row>
    <row r="44" spans="1:8" x14ac:dyDescent="0.3">
      <c r="A44" s="159" t="str">
        <f t="shared" ref="A44:C44" si="45">A43</f>
        <v>MDA</v>
      </c>
      <c r="B44" s="579" t="str">
        <f t="shared" si="45"/>
        <v>MDA</v>
      </c>
      <c r="C44" s="159" t="str">
        <f t="shared" si="45"/>
        <v>MDA</v>
      </c>
      <c r="D44" s="159">
        <f t="shared" ref="D44:D45" si="46">D43+1</f>
        <v>3</v>
      </c>
      <c r="E44" s="159" t="str">
        <f t="shared" ref="E44:E45" si="47">C44&amp;D44</f>
        <v>MDA3</v>
      </c>
      <c r="F44" s="583"/>
      <c r="G44" s="583">
        <f>FS.1!C13</f>
        <v>392</v>
      </c>
      <c r="H44" t="s">
        <v>1819</v>
      </c>
    </row>
    <row r="45" spans="1:8" x14ac:dyDescent="0.3">
      <c r="A45" s="159" t="str">
        <f t="shared" ref="A45:C45" si="48">A44</f>
        <v>MDA</v>
      </c>
      <c r="B45" s="579" t="str">
        <f t="shared" si="48"/>
        <v>MDA</v>
      </c>
      <c r="C45" s="159" t="str">
        <f t="shared" si="48"/>
        <v>MDA</v>
      </c>
      <c r="D45" s="159">
        <f t="shared" si="46"/>
        <v>4</v>
      </c>
      <c r="E45" s="159" t="str">
        <f t="shared" si="47"/>
        <v>MDA4</v>
      </c>
      <c r="F45" s="583"/>
      <c r="G45" s="583">
        <f>FS.1!E13</f>
        <v>5604</v>
      </c>
      <c r="H45" t="s">
        <v>1820</v>
      </c>
    </row>
    <row r="46" spans="1:8" x14ac:dyDescent="0.3">
      <c r="A46" s="159" t="str">
        <f t="shared" ref="A46:C46" si="49">A45</f>
        <v>MDA</v>
      </c>
      <c r="B46" s="579" t="str">
        <f t="shared" si="49"/>
        <v>MDA</v>
      </c>
      <c r="C46" s="159" t="str">
        <f t="shared" si="49"/>
        <v>MDA</v>
      </c>
      <c r="D46" s="159">
        <f t="shared" ref="D46:D47" si="50">D45+1</f>
        <v>5</v>
      </c>
      <c r="E46" s="159" t="str">
        <f t="shared" ref="E46:E47" si="51">C46&amp;D46</f>
        <v>MDA5</v>
      </c>
      <c r="F46" s="583"/>
      <c r="G46" s="583">
        <f>FS.1!C36</f>
        <v>882713</v>
      </c>
      <c r="H46" t="s">
        <v>1821</v>
      </c>
    </row>
    <row r="47" spans="1:8" x14ac:dyDescent="0.3">
      <c r="A47" s="159" t="str">
        <f t="shared" ref="A47:C47" si="52">A46</f>
        <v>MDA</v>
      </c>
      <c r="B47" s="579" t="str">
        <f t="shared" si="52"/>
        <v>MDA</v>
      </c>
      <c r="C47" s="159" t="str">
        <f t="shared" si="52"/>
        <v>MDA</v>
      </c>
      <c r="D47" s="159">
        <f t="shared" si="50"/>
        <v>6</v>
      </c>
      <c r="E47" s="159" t="str">
        <f t="shared" si="51"/>
        <v>MDA6</v>
      </c>
      <c r="F47" s="583"/>
      <c r="G47" s="583">
        <f>FS.1!E36</f>
        <v>556206</v>
      </c>
      <c r="H47" t="s">
        <v>1822</v>
      </c>
    </row>
    <row r="48" spans="1:8" x14ac:dyDescent="0.3">
      <c r="A48" s="159" t="str">
        <f t="shared" ref="A48:C48" si="53">A47</f>
        <v>MDA</v>
      </c>
      <c r="B48" s="579" t="str">
        <f t="shared" si="53"/>
        <v>MDA</v>
      </c>
      <c r="C48" s="159" t="str">
        <f t="shared" si="53"/>
        <v>MDA</v>
      </c>
      <c r="D48" s="159">
        <f t="shared" ref="D48:D49" si="54">D47+1</f>
        <v>7</v>
      </c>
      <c r="E48" s="159" t="str">
        <f t="shared" ref="E48:E49" si="55">C48&amp;D48</f>
        <v>MDA7</v>
      </c>
      <c r="F48" s="583"/>
      <c r="G48" s="583">
        <f>'COV.DEBT'!B7</f>
        <v>225000</v>
      </c>
      <c r="H48" t="s">
        <v>1824</v>
      </c>
    </row>
    <row r="49" spans="1:8" x14ac:dyDescent="0.3">
      <c r="A49" s="159" t="str">
        <f t="shared" ref="A49:C49" si="56">A48</f>
        <v>MDA</v>
      </c>
      <c r="B49" s="579" t="str">
        <f t="shared" si="56"/>
        <v>MDA</v>
      </c>
      <c r="C49" s="159" t="str">
        <f t="shared" si="56"/>
        <v>MDA</v>
      </c>
      <c r="D49" s="159">
        <f t="shared" si="54"/>
        <v>8</v>
      </c>
      <c r="E49" s="159" t="str">
        <f t="shared" si="55"/>
        <v>MDA8</v>
      </c>
      <c r="F49" s="583"/>
      <c r="G49" s="583">
        <f>'NOTES - TABLE'!N52</f>
        <v>21130</v>
      </c>
      <c r="H49" t="s">
        <v>1825</v>
      </c>
    </row>
  </sheetData>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12F8-D358-46B5-9F9D-1B67F7B0A9BD}">
  <sheetPr>
    <tabColor rgb="FFFFFF00"/>
  </sheetPr>
  <dimension ref="A1:W62"/>
  <sheetViews>
    <sheetView workbookViewId="0"/>
  </sheetViews>
  <sheetFormatPr defaultRowHeight="14.4" x14ac:dyDescent="0.3"/>
  <cols>
    <col min="1" max="1" width="31.88671875" customWidth="1"/>
    <col min="2" max="3" width="14.44140625" customWidth="1"/>
    <col min="7" max="7" width="43.88671875" customWidth="1"/>
    <col min="8" max="10" width="10.6640625" customWidth="1"/>
    <col min="11" max="11" width="12.5546875" customWidth="1"/>
    <col min="12" max="12" width="35.44140625" customWidth="1"/>
    <col min="13" max="13" width="2" bestFit="1" customWidth="1"/>
    <col min="14" max="14" width="12.44140625" customWidth="1"/>
    <col min="15" max="15" width="2" bestFit="1" customWidth="1"/>
    <col min="16" max="16" width="12.44140625" customWidth="1"/>
    <col min="17" max="17" width="10.88671875" bestFit="1" customWidth="1"/>
    <col min="18" max="18" width="11.44140625" customWidth="1"/>
    <col min="19" max="19" width="32.88671875" bestFit="1" customWidth="1"/>
    <col min="20" max="20" width="2.5546875" bestFit="1" customWidth="1"/>
    <col min="21" max="21" width="15.6640625" customWidth="1"/>
    <col min="22" max="22" width="2.5546875" bestFit="1" customWidth="1"/>
    <col min="23" max="23" width="15.44140625" customWidth="1"/>
  </cols>
  <sheetData>
    <row r="1" spans="1:23" ht="15" thickBot="1" x14ac:dyDescent="0.35">
      <c r="A1" s="207" t="s">
        <v>1808</v>
      </c>
      <c r="G1" s="207" t="s">
        <v>1808</v>
      </c>
      <c r="L1" s="603" t="s">
        <v>446</v>
      </c>
      <c r="S1" s="1258"/>
      <c r="T1" s="1594" t="s">
        <v>1298</v>
      </c>
      <c r="U1" s="1594"/>
      <c r="V1" s="1594"/>
      <c r="W1" s="1594"/>
    </row>
    <row r="2" spans="1:23" ht="15" thickBot="1" x14ac:dyDescent="0.35">
      <c r="A2" s="1233" t="s">
        <v>434</v>
      </c>
      <c r="B2" s="1238" t="str">
        <f>TEXT(priorperiod_end_date,"MMMM DD, YYYY")</f>
        <v>June 30, 2024</v>
      </c>
      <c r="C2" s="1234" t="str">
        <f>TEXT(EDATE(B2,-12),"MMMM DD, YYYY")</f>
        <v>June 30, 2023</v>
      </c>
      <c r="G2" s="602"/>
      <c r="H2" s="1595" t="s">
        <v>441</v>
      </c>
      <c r="I2" s="1595"/>
      <c r="J2" s="1595"/>
      <c r="K2" s="1595"/>
      <c r="L2" s="1259"/>
      <c r="M2" s="1298"/>
      <c r="N2" s="1237" t="str">
        <f>TEXT(currentperiod_end_date,"MMMM DD, YYYY")</f>
        <v>June 30, 2025</v>
      </c>
      <c r="O2" s="1237"/>
      <c r="P2" s="1234" t="str">
        <f>TEXT(EDATE(N2,-12),"MMMM DD, YYYY")</f>
        <v>June 30, 2024</v>
      </c>
      <c r="Q2" s="1304" t="s">
        <v>443</v>
      </c>
      <c r="R2" s="1304" t="s">
        <v>444</v>
      </c>
      <c r="S2" s="1260" t="s">
        <v>1813</v>
      </c>
      <c r="T2" s="1261"/>
      <c r="U2" s="1261" t="str">
        <f>N2</f>
        <v>June 30, 2025</v>
      </c>
      <c r="V2" s="1261"/>
      <c r="W2" s="1261" t="str">
        <f>P2</f>
        <v>June 30, 2024</v>
      </c>
    </row>
    <row r="3" spans="1:23" ht="25.2" thickBot="1" x14ac:dyDescent="0.35">
      <c r="A3" s="1235"/>
      <c r="B3" s="1236" t="s">
        <v>90</v>
      </c>
      <c r="C3" s="1236" t="s">
        <v>90</v>
      </c>
      <c r="G3" s="587"/>
      <c r="H3" s="1237" t="str">
        <f>TEXT(currentperiod_end_date,"MMMM DD, YYYY")</f>
        <v>June 30, 2025</v>
      </c>
      <c r="I3" s="1040" t="str">
        <f>TEXT(EOMONTH(EDATE(H3,-3),0),"MMMM DD, YYYY")</f>
        <v>March 31, 2025</v>
      </c>
      <c r="J3" s="1040" t="str">
        <f t="shared" ref="J3:K3" si="0">TEXT(EOMONTH(EDATE(I3,-3),0),"MMMM DD, YYYY")</f>
        <v>December 31, 2024</v>
      </c>
      <c r="K3" s="1040" t="str">
        <f t="shared" si="0"/>
        <v>September 30, 2024</v>
      </c>
      <c r="L3" s="589" t="s">
        <v>445</v>
      </c>
      <c r="M3" s="1299"/>
      <c r="N3" s="608"/>
      <c r="O3" s="605"/>
      <c r="Q3" s="609"/>
      <c r="R3" s="610"/>
      <c r="S3" s="645" t="s">
        <v>448</v>
      </c>
      <c r="T3" s="1239" t="s">
        <v>90</v>
      </c>
      <c r="U3" s="596">
        <f>FS.1!C122</f>
        <v>-5212</v>
      </c>
      <c r="V3" s="1239" t="s">
        <v>90</v>
      </c>
      <c r="W3" s="596" t="e">
        <f>FS.1!E122</f>
        <v>#REF!</v>
      </c>
    </row>
    <row r="4" spans="1:23" ht="15" thickBot="1" x14ac:dyDescent="0.35">
      <c r="A4" s="587" t="s">
        <v>436</v>
      </c>
      <c r="B4" s="596">
        <v>0</v>
      </c>
      <c r="C4" s="596">
        <v>0</v>
      </c>
      <c r="G4" s="593"/>
      <c r="H4" s="1040" t="s">
        <v>435</v>
      </c>
      <c r="I4" s="1040" t="s">
        <v>435</v>
      </c>
      <c r="J4" s="1040" t="s">
        <v>435</v>
      </c>
      <c r="K4" s="1040" t="s">
        <v>435</v>
      </c>
      <c r="L4" s="611" t="str">
        <f>'NOTES - TABLE'!A3</f>
        <v>Bank fees</v>
      </c>
      <c r="M4" s="1300" t="s">
        <v>90</v>
      </c>
      <c r="N4" s="596">
        <f>'Note Disclosures'!C248</f>
        <v>367</v>
      </c>
      <c r="O4" s="605" t="s">
        <v>90</v>
      </c>
      <c r="P4" s="596">
        <f>'Note Disclosures'!D248</f>
        <v>0</v>
      </c>
      <c r="Q4" s="604">
        <f>N4-P4</f>
        <v>367</v>
      </c>
      <c r="R4" s="606">
        <f>IFERROR(Q4/P4,1)</f>
        <v>1</v>
      </c>
      <c r="S4" s="645" t="s">
        <v>449</v>
      </c>
      <c r="T4" s="1239"/>
      <c r="U4" s="596">
        <f>FS.1!C128</f>
        <v>0</v>
      </c>
      <c r="V4" s="1239"/>
      <c r="W4" s="596" t="e">
        <f>FS.1!E128</f>
        <v>#REF!</v>
      </c>
    </row>
    <row r="5" spans="1:23" x14ac:dyDescent="0.3">
      <c r="A5" s="587" t="s">
        <v>296</v>
      </c>
      <c r="B5" s="596">
        <v>1404283</v>
      </c>
      <c r="C5" s="597">
        <v>63189</v>
      </c>
      <c r="G5" s="645" t="s">
        <v>442</v>
      </c>
      <c r="H5" s="596">
        <f>FS.1!C54</f>
        <v>0</v>
      </c>
      <c r="I5" s="596" t="s">
        <v>65</v>
      </c>
      <c r="J5" s="596" t="s">
        <v>65</v>
      </c>
      <c r="K5" s="596" t="s">
        <v>65</v>
      </c>
      <c r="L5" s="611" t="str">
        <f>'NOTES - TABLE'!A4</f>
        <v>Professional fees</v>
      </c>
      <c r="M5" s="1300"/>
      <c r="N5" s="596">
        <f>'Note Disclosures'!C249</f>
        <v>54025</v>
      </c>
      <c r="O5" s="605"/>
      <c r="P5" s="596">
        <f>'Note Disclosures'!D249</f>
        <v>5600</v>
      </c>
      <c r="Q5" s="604">
        <f t="shared" ref="Q5:Q17" si="1">N5-P5</f>
        <v>48425</v>
      </c>
      <c r="R5" s="606">
        <f t="shared" ref="R5:R17" si="2">IFERROR(Q5/P5,1)</f>
        <v>8.6473214285714288</v>
      </c>
      <c r="S5" s="645" t="s">
        <v>450</v>
      </c>
      <c r="T5" s="1239"/>
      <c r="U5" s="596">
        <f>FS.1!C133</f>
        <v>0</v>
      </c>
      <c r="V5" s="1239"/>
      <c r="W5" s="596">
        <f>FS.1!E133</f>
        <v>225000</v>
      </c>
    </row>
    <row r="6" spans="1:23" ht="15" thickBot="1" x14ac:dyDescent="0.35">
      <c r="A6" s="587" t="s">
        <v>42</v>
      </c>
      <c r="B6" s="596">
        <v>1404283</v>
      </c>
      <c r="C6" s="597">
        <v>63189</v>
      </c>
      <c r="G6" s="645" t="s">
        <v>1809</v>
      </c>
      <c r="H6" s="596">
        <f>FS.1!C69</f>
        <v>0</v>
      </c>
      <c r="I6" s="596">
        <f>-'PL.2 - FY23'!K16</f>
        <v>-74582.820000000007</v>
      </c>
      <c r="J6" s="596">
        <f>-'PL.2 - FY23'!J16</f>
        <v>-10194.660000000002</v>
      </c>
      <c r="K6" s="596">
        <f>-'PL.2 - FY23'!I16+1</f>
        <v>-1302030.05</v>
      </c>
      <c r="L6" s="611" t="str">
        <f>'NOTES - TABLE'!A5</f>
        <v>Consulting expense</v>
      </c>
      <c r="M6" s="1300"/>
      <c r="N6" s="596">
        <f>'Note Disclosures'!C250</f>
        <v>78800</v>
      </c>
      <c r="O6" s="605"/>
      <c r="P6" s="596">
        <f>'Note Disclosures'!D250</f>
        <v>10000</v>
      </c>
      <c r="Q6" s="604">
        <f t="shared" si="1"/>
        <v>68800</v>
      </c>
      <c r="R6" s="606">
        <f t="shared" si="2"/>
        <v>6.88</v>
      </c>
      <c r="S6" s="1067" t="s">
        <v>117</v>
      </c>
      <c r="T6" s="1068" t="s">
        <v>90</v>
      </c>
      <c r="U6" s="1240">
        <f>FS.1!C135</f>
        <v>-5212</v>
      </c>
      <c r="V6" s="1068" t="s">
        <v>90</v>
      </c>
      <c r="W6" s="1240" t="e">
        <f>FS.1!E135</f>
        <v>#REF!</v>
      </c>
    </row>
    <row r="7" spans="1:23" ht="18.75" customHeight="1" x14ac:dyDescent="0.3">
      <c r="A7" s="587" t="s">
        <v>440</v>
      </c>
      <c r="B7" s="596">
        <v>1367883</v>
      </c>
      <c r="C7" s="597">
        <v>63189</v>
      </c>
      <c r="G7" s="645" t="s">
        <v>1810</v>
      </c>
      <c r="H7" s="596">
        <f>FS.1!C73</f>
        <v>0</v>
      </c>
      <c r="I7" s="596">
        <f>'PL.2 - FY23'!K19</f>
        <v>-58982.820000000007</v>
      </c>
      <c r="J7" s="596">
        <f>'PL.2 - FY23'!J19</f>
        <v>5405.3399999999983</v>
      </c>
      <c r="K7" s="596">
        <f>'PL.2 - FY23'!I19+1</f>
        <v>-1296830.05</v>
      </c>
      <c r="L7" s="611" t="str">
        <f>'NOTES - TABLE'!A7</f>
        <v>Other miscellaneous</v>
      </c>
      <c r="M7" s="1300"/>
      <c r="N7" s="596" t="e">
        <f>'Note Disclosures'!#REF!</f>
        <v>#REF!</v>
      </c>
      <c r="O7" s="605"/>
      <c r="P7" s="596" t="e">
        <f>'Note Disclosures'!#REF!</f>
        <v>#REF!</v>
      </c>
      <c r="Q7" s="604" t="e">
        <f t="shared" si="1"/>
        <v>#REF!</v>
      </c>
      <c r="R7" s="606">
        <f t="shared" si="2"/>
        <v>1</v>
      </c>
    </row>
    <row r="8" spans="1:23" ht="19.649999999999999" customHeight="1" thickBot="1" x14ac:dyDescent="0.35">
      <c r="A8" s="587" t="s">
        <v>352</v>
      </c>
      <c r="B8" s="600">
        <v>-0.1</v>
      </c>
      <c r="C8" s="600">
        <v>-0.02</v>
      </c>
      <c r="G8" s="1243" t="s">
        <v>1811</v>
      </c>
      <c r="H8" s="1241">
        <f>FS.1!C77</f>
        <v>0</v>
      </c>
      <c r="I8" s="1241">
        <v>-3.1023177855454159E-3</v>
      </c>
      <c r="J8" s="1241">
        <v>2.8430452153559377E-4</v>
      </c>
      <c r="K8" s="1241">
        <v>-0.1982169213907426</v>
      </c>
      <c r="L8" s="611" t="str">
        <f>'NOTES - TABLE'!A8</f>
        <v>Office expenses</v>
      </c>
      <c r="M8" s="1300"/>
      <c r="N8" s="596">
        <f>'Note Disclosures'!C252</f>
        <v>1460</v>
      </c>
      <c r="O8" s="605"/>
      <c r="P8" s="596">
        <f>'Note Disclosures'!D252</f>
        <v>0</v>
      </c>
      <c r="Q8" s="604">
        <f t="shared" si="1"/>
        <v>1460</v>
      </c>
      <c r="R8" s="606">
        <f t="shared" si="2"/>
        <v>1</v>
      </c>
    </row>
    <row r="9" spans="1:23" ht="19.649999999999999" customHeight="1" x14ac:dyDescent="0.3">
      <c r="A9" s="594"/>
      <c r="B9" s="595"/>
      <c r="C9" s="595"/>
      <c r="L9" s="611" t="str">
        <f>'NOTES - TABLE'!A9</f>
        <v>Meals and entertainment</v>
      </c>
      <c r="N9" s="596">
        <f>'Note Disclosures'!C253</f>
        <v>531</v>
      </c>
      <c r="P9" s="596">
        <f>'Note Disclosures'!D253</f>
        <v>1875</v>
      </c>
      <c r="Q9" s="604">
        <f t="shared" si="1"/>
        <v>-1344</v>
      </c>
      <c r="R9" s="606">
        <f t="shared" si="2"/>
        <v>-0.71679999999999999</v>
      </c>
    </row>
    <row r="10" spans="1:23" x14ac:dyDescent="0.3">
      <c r="A10" s="1233" t="s">
        <v>434</v>
      </c>
      <c r="B10" s="1238" t="str">
        <f>B2</f>
        <v>June 30, 2024</v>
      </c>
      <c r="C10" s="1238" t="str">
        <f>C2</f>
        <v>June 30, 2023</v>
      </c>
      <c r="G10" s="1125"/>
      <c r="H10" s="1595" t="s">
        <v>441</v>
      </c>
      <c r="I10" s="1595"/>
      <c r="J10" s="1595"/>
      <c r="K10" s="1595"/>
      <c r="L10" s="611" t="str">
        <f>'NOTES - TABLE'!A10</f>
        <v>Travel expenses</v>
      </c>
      <c r="N10" s="596">
        <f>'Note Disclosures'!C254</f>
        <v>619</v>
      </c>
      <c r="P10" s="596">
        <f>'Note Disclosures'!D254</f>
        <v>0</v>
      </c>
      <c r="Q10" s="604">
        <f t="shared" si="1"/>
        <v>619</v>
      </c>
      <c r="R10" s="606">
        <f t="shared" si="2"/>
        <v>1</v>
      </c>
    </row>
    <row r="11" spans="1:23" ht="24.6" x14ac:dyDescent="0.3">
      <c r="A11" s="1235"/>
      <c r="B11" s="1236" t="s">
        <v>90</v>
      </c>
      <c r="C11" s="1236" t="s">
        <v>90</v>
      </c>
      <c r="G11" s="587"/>
      <c r="H11" s="1236" t="str">
        <f>TEXT(EOMONTH(EDATE(K3,-3),0),"MMMM DD, YYYY")</f>
        <v>June 30, 2024</v>
      </c>
      <c r="I11" s="1236" t="str">
        <f>TEXT(EOMONTH(EDATE(H11,-3),0),"MMMM DD, YYYY")</f>
        <v>March 31, 2024</v>
      </c>
      <c r="J11" s="1236" t="str">
        <f t="shared" ref="J11:K11" si="3">TEXT(EOMONTH(EDATE(I11,-3),0),"MMMM DD, YYYY")</f>
        <v>December 31, 2023</v>
      </c>
      <c r="K11" s="1236" t="str">
        <f t="shared" si="3"/>
        <v>September 30, 2023</v>
      </c>
      <c r="L11" s="611" t="str">
        <f>'NOTES - TABLE'!A11</f>
        <v>Transfer agent and regulatory expenses</v>
      </c>
      <c r="N11" s="596">
        <f>'Note Disclosures'!C255</f>
        <v>985</v>
      </c>
      <c r="P11" s="596">
        <f>'Note Disclosures'!D255</f>
        <v>0</v>
      </c>
      <c r="Q11" s="604">
        <f t="shared" si="1"/>
        <v>985</v>
      </c>
      <c r="R11" s="606">
        <f t="shared" si="2"/>
        <v>1</v>
      </c>
    </row>
    <row r="12" spans="1:23" x14ac:dyDescent="0.3">
      <c r="A12" s="587" t="s">
        <v>437</v>
      </c>
      <c r="B12" s="596">
        <f>FS.1!E5</f>
        <v>-67788</v>
      </c>
      <c r="C12" s="597">
        <v>417585</v>
      </c>
      <c r="G12" s="592"/>
      <c r="H12" s="1040" t="s">
        <v>435</v>
      </c>
      <c r="I12" s="1040" t="s">
        <v>435</v>
      </c>
      <c r="J12" s="1040" t="s">
        <v>90</v>
      </c>
      <c r="K12" s="1040" t="s">
        <v>90</v>
      </c>
      <c r="L12" s="611" t="str">
        <f>'NOTES - TABLE'!A12</f>
        <v>Insurance</v>
      </c>
      <c r="N12" s="596">
        <f>'Note Disclosures'!C256</f>
        <v>5250</v>
      </c>
      <c r="P12" s="596">
        <f>'Note Disclosures'!D256</f>
        <v>0</v>
      </c>
      <c r="Q12" s="604">
        <f t="shared" si="1"/>
        <v>5250</v>
      </c>
      <c r="R12" s="606">
        <f t="shared" si="2"/>
        <v>1</v>
      </c>
    </row>
    <row r="13" spans="1:23" x14ac:dyDescent="0.3">
      <c r="A13" s="587" t="s">
        <v>438</v>
      </c>
      <c r="B13" s="596">
        <f>FS.1!E27</f>
        <v>6021565</v>
      </c>
      <c r="C13" s="597">
        <v>474315</v>
      </c>
      <c r="G13" s="645" t="s">
        <v>442</v>
      </c>
      <c r="H13" s="596" t="s">
        <v>65</v>
      </c>
      <c r="I13" s="596" t="s">
        <v>65</v>
      </c>
      <c r="J13" s="596" t="s">
        <v>65</v>
      </c>
      <c r="K13" s="596" t="s">
        <v>65</v>
      </c>
      <c r="L13" s="611" t="str">
        <f>'NOTES - TABLE'!A13</f>
        <v>Shipping expense</v>
      </c>
      <c r="N13" s="596">
        <f>'Note Disclosures'!C257</f>
        <v>9696</v>
      </c>
      <c r="P13" s="596">
        <f>'Note Disclosures'!D257</f>
        <v>0</v>
      </c>
      <c r="Q13" s="604">
        <f t="shared" si="1"/>
        <v>9696</v>
      </c>
      <c r="R13" s="606">
        <f t="shared" si="2"/>
        <v>1</v>
      </c>
    </row>
    <row r="14" spans="1:23" x14ac:dyDescent="0.3">
      <c r="A14" s="587" t="s">
        <v>439</v>
      </c>
      <c r="B14" s="596">
        <f>FS.1!E39</f>
        <v>556206</v>
      </c>
      <c r="C14" s="597">
        <v>56730</v>
      </c>
      <c r="G14" s="645" t="s">
        <v>1809</v>
      </c>
      <c r="H14" s="596">
        <f>FS.1!E73</f>
        <v>0</v>
      </c>
      <c r="I14" s="596">
        <v>-46303</v>
      </c>
      <c r="J14" s="596">
        <v>-1833</v>
      </c>
      <c r="K14" s="596">
        <v>-9753</v>
      </c>
      <c r="L14" s="611" t="str">
        <f>'NOTES - TABLE'!A14</f>
        <v>Shop supplies</v>
      </c>
      <c r="N14" s="596">
        <f>'Note Disclosures'!C258</f>
        <v>5494</v>
      </c>
      <c r="P14" s="596">
        <f>'Note Disclosures'!D258</f>
        <v>0</v>
      </c>
      <c r="Q14" s="604">
        <f t="shared" si="1"/>
        <v>5494</v>
      </c>
      <c r="R14" s="606">
        <f t="shared" si="2"/>
        <v>1</v>
      </c>
    </row>
    <row r="15" spans="1:23" x14ac:dyDescent="0.3">
      <c r="A15" s="587" t="s">
        <v>5</v>
      </c>
      <c r="B15" s="596">
        <f>FS.1!E41</f>
        <v>8224099</v>
      </c>
      <c r="C15" s="597">
        <v>524174</v>
      </c>
      <c r="G15" s="645" t="s">
        <v>1810</v>
      </c>
      <c r="H15" s="596">
        <f>H14</f>
        <v>0</v>
      </c>
      <c r="I15" s="596">
        <f>I14</f>
        <v>-46303</v>
      </c>
      <c r="J15" s="596">
        <f>J14</f>
        <v>-1833</v>
      </c>
      <c r="K15" s="596">
        <f>K14</f>
        <v>-9753</v>
      </c>
      <c r="L15" s="611" t="str">
        <f>'NOTES - TABLE'!A15</f>
        <v>Depreciation and amortization</v>
      </c>
      <c r="N15" s="596">
        <f>'Note Disclosures'!C259</f>
        <v>2728</v>
      </c>
      <c r="P15" s="596">
        <f>'Note Disclosures'!D259</f>
        <v>0</v>
      </c>
      <c r="Q15" s="604">
        <f t="shared" si="1"/>
        <v>2728</v>
      </c>
      <c r="R15" s="606">
        <f t="shared" si="2"/>
        <v>1</v>
      </c>
    </row>
    <row r="16" spans="1:23" ht="15" thickBot="1" x14ac:dyDescent="0.35">
      <c r="A16" s="593" t="s">
        <v>403</v>
      </c>
      <c r="B16" s="598" t="e">
        <f>FS.1!E43</f>
        <v>#REF!</v>
      </c>
      <c r="C16" s="599">
        <v>-106589</v>
      </c>
      <c r="G16" s="1243" t="s">
        <v>1811</v>
      </c>
      <c r="H16" s="1241">
        <v>0</v>
      </c>
      <c r="I16" s="1241">
        <v>-0.01</v>
      </c>
      <c r="J16" s="1241">
        <v>0</v>
      </c>
      <c r="K16" s="1241">
        <v>0</v>
      </c>
      <c r="L16" s="611" t="str">
        <f>'NOTES - TABLE'!A16</f>
        <v>Foreign exchange</v>
      </c>
      <c r="N16" s="596">
        <f>'Note Disclosures'!C260</f>
        <v>509</v>
      </c>
      <c r="P16" s="596">
        <f>'Note Disclosures'!D260</f>
        <v>0</v>
      </c>
      <c r="Q16" s="604">
        <f t="shared" si="1"/>
        <v>509</v>
      </c>
      <c r="R16" s="606">
        <f t="shared" si="2"/>
        <v>1</v>
      </c>
    </row>
    <row r="17" spans="12:23" x14ac:dyDescent="0.3">
      <c r="L17" s="1244" t="e">
        <f>'NOTES - TABLE'!#REF!</f>
        <v>#REF!</v>
      </c>
      <c r="M17" s="165"/>
      <c r="N17" s="1245">
        <f>'Note Disclosures'!C261</f>
        <v>48</v>
      </c>
      <c r="O17" s="165"/>
      <c r="P17" s="1245">
        <f>'Note Disclosures'!D261</f>
        <v>0</v>
      </c>
      <c r="Q17" s="1246">
        <f t="shared" si="1"/>
        <v>48</v>
      </c>
      <c r="R17" s="1247">
        <f t="shared" si="2"/>
        <v>1</v>
      </c>
    </row>
    <row r="18" spans="12:23" ht="15" thickBot="1" x14ac:dyDescent="0.35">
      <c r="L18" s="641" t="s">
        <v>817</v>
      </c>
      <c r="M18" s="1301" t="s">
        <v>90</v>
      </c>
      <c r="N18" s="1240" t="e">
        <f>SUM(N4:N17)</f>
        <v>#REF!</v>
      </c>
      <c r="O18" s="1256" t="s">
        <v>90</v>
      </c>
      <c r="P18" s="1240" t="e">
        <f>SUM(P4:P17)</f>
        <v>#REF!</v>
      </c>
      <c r="Q18" s="1275"/>
      <c r="R18" s="1276"/>
    </row>
    <row r="19" spans="12:23" x14ac:dyDescent="0.3">
      <c r="L19" s="616" t="str">
        <f>'BS &amp; IS'!G10</f>
        <v>Other income (expenses)</v>
      </c>
      <c r="M19" s="1299"/>
      <c r="N19" s="601"/>
      <c r="O19" s="607"/>
      <c r="P19" s="601"/>
      <c r="Q19" s="612"/>
      <c r="R19" s="613"/>
    </row>
    <row r="20" spans="12:23" x14ac:dyDescent="0.3">
      <c r="L20" s="611" t="str">
        <f>'BS &amp; IS'!G12</f>
        <v>Interest income</v>
      </c>
      <c r="M20" s="1302" t="s">
        <v>90</v>
      </c>
      <c r="N20" s="596">
        <f>'BS &amp; IS'!J12</f>
        <v>14</v>
      </c>
      <c r="O20" s="605" t="s">
        <v>90</v>
      </c>
      <c r="P20" s="596" t="e">
        <f>'BS &amp; IS'!L12</f>
        <v>#REF!</v>
      </c>
      <c r="Q20" s="604" t="e">
        <f>N20-P20</f>
        <v>#REF!</v>
      </c>
      <c r="R20" s="606">
        <f>IFERROR(Q20/P20,1)</f>
        <v>1</v>
      </c>
    </row>
    <row r="21" spans="12:23" x14ac:dyDescent="0.3">
      <c r="L21" s="611" t="str">
        <f>'BS &amp; IS'!G13</f>
        <v>Net financial expenses</v>
      </c>
      <c r="N21" s="596">
        <f>'BS &amp; IS'!J13</f>
        <v>-31957</v>
      </c>
      <c r="O21" s="605"/>
      <c r="P21" s="596">
        <f>'BS &amp; IS'!L13</f>
        <v>50062</v>
      </c>
      <c r="Q21" s="604">
        <f>N21-P21</f>
        <v>-82019</v>
      </c>
      <c r="R21" s="606">
        <f>IFERROR(Q21/P21,1)</f>
        <v>-1.6383484479245736</v>
      </c>
      <c r="S21" s="603" t="s">
        <v>1818</v>
      </c>
    </row>
    <row r="22" spans="12:23" ht="15" thickBot="1" x14ac:dyDescent="0.35">
      <c r="L22" s="1244" t="str">
        <f>'BS &amp; IS'!G14</f>
        <v>Interest expense</v>
      </c>
      <c r="M22" s="165"/>
      <c r="N22" s="1245">
        <f>'BS &amp; IS'!J14</f>
        <v>-45232</v>
      </c>
      <c r="O22" s="1274"/>
      <c r="P22" s="1245">
        <f>'BS &amp; IS'!L14</f>
        <v>-33787</v>
      </c>
      <c r="Q22" s="604">
        <f>N22-P22</f>
        <v>-11445</v>
      </c>
      <c r="R22" s="606">
        <f>IFERROR(Q22/P22,1)</f>
        <v>0.3387397519756119</v>
      </c>
      <c r="S22" s="1259"/>
      <c r="T22" s="1237"/>
      <c r="U22" s="1237" t="str">
        <f>TEXT(currentperiod_end_date,"MMMM DD, YYYY")</f>
        <v>June 30, 2025</v>
      </c>
      <c r="V22" s="1237"/>
      <c r="W22" s="1234" t="str">
        <f>TEXT(EDATE(U22,-12),"MMMM DD, YYYY")</f>
        <v>June 30, 2024</v>
      </c>
    </row>
    <row r="23" spans="12:23" ht="15" thickBot="1" x14ac:dyDescent="0.35">
      <c r="L23" s="641" t="s">
        <v>1297</v>
      </c>
      <c r="M23" s="1301" t="s">
        <v>90</v>
      </c>
      <c r="N23" s="1240" t="e">
        <f>-N18+SUM(N19:N22)</f>
        <v>#REF!</v>
      </c>
      <c r="O23" s="1256" t="s">
        <v>90</v>
      </c>
      <c r="P23" s="1240" t="e">
        <f>-P18+SUM(P19:P22)</f>
        <v>#REF!</v>
      </c>
      <c r="Q23" s="1275"/>
      <c r="R23" s="1276"/>
      <c r="S23" s="589" t="s">
        <v>445</v>
      </c>
      <c r="T23" s="607"/>
      <c r="U23" s="608"/>
      <c r="V23" s="605"/>
    </row>
    <row r="24" spans="12:23" x14ac:dyDescent="0.3">
      <c r="S24" s="611" t="str">
        <f>L48</f>
        <v>Bank fees</v>
      </c>
      <c r="T24" s="605" t="s">
        <v>90</v>
      </c>
      <c r="U24" s="596">
        <f t="shared" ref="U24:U36" si="4">_xlfn.XLOOKUP($S24,$L$48:$L$61,$N$48:$N$61)</f>
        <v>2281</v>
      </c>
      <c r="V24" s="605" t="s">
        <v>90</v>
      </c>
      <c r="W24" s="596">
        <f t="shared" ref="W24:W36" si="5">_xlfn.XLOOKUP($S24,$L$48:$L$61,$P$48:$P$61)</f>
        <v>2282</v>
      </c>
    </row>
    <row r="25" spans="12:23" x14ac:dyDescent="0.3">
      <c r="S25" s="611" t="str">
        <f>L49</f>
        <v>Professional fees</v>
      </c>
      <c r="T25" s="605"/>
      <c r="U25" s="596">
        <f t="shared" si="4"/>
        <v>133726</v>
      </c>
      <c r="V25" s="605"/>
      <c r="W25" s="596" t="e">
        <f t="shared" si="5"/>
        <v>#REF!</v>
      </c>
    </row>
    <row r="26" spans="12:23" x14ac:dyDescent="0.3">
      <c r="L26" s="315" t="s">
        <v>507</v>
      </c>
      <c r="M26" s="1303"/>
      <c r="N26" s="315" t="e">
        <f>N23-'BS &amp; IS'!J15</f>
        <v>#REF!</v>
      </c>
      <c r="P26" s="1297" t="e">
        <f>P23-'BS &amp; IS'!L15</f>
        <v>#REF!</v>
      </c>
      <c r="S26" s="611" t="str">
        <f>L50</f>
        <v>Consulting expense</v>
      </c>
      <c r="T26" s="605"/>
      <c r="U26" s="596">
        <f t="shared" si="4"/>
        <v>318291</v>
      </c>
      <c r="V26" s="605"/>
      <c r="W26" s="596">
        <f t="shared" si="5"/>
        <v>134140</v>
      </c>
    </row>
    <row r="27" spans="12:23" x14ac:dyDescent="0.3">
      <c r="S27" s="611" t="str">
        <f t="shared" ref="S27:S36" si="6">L52</f>
        <v>Office expenses</v>
      </c>
      <c r="T27" s="605"/>
      <c r="U27" s="596">
        <f t="shared" si="4"/>
        <v>8370</v>
      </c>
      <c r="V27" s="605"/>
      <c r="W27" s="596" t="e">
        <f t="shared" si="5"/>
        <v>#REF!</v>
      </c>
    </row>
    <row r="28" spans="12:23" x14ac:dyDescent="0.3">
      <c r="S28" s="611" t="str">
        <f t="shared" si="6"/>
        <v>Meals and entertainment</v>
      </c>
      <c r="U28" s="596">
        <f t="shared" si="4"/>
        <v>2747</v>
      </c>
      <c r="W28" s="596" t="e">
        <f t="shared" si="5"/>
        <v>#REF!</v>
      </c>
    </row>
    <row r="29" spans="12:23" x14ac:dyDescent="0.3">
      <c r="S29" s="611" t="str">
        <f t="shared" si="6"/>
        <v>Travel expenses</v>
      </c>
      <c r="U29" s="596">
        <f t="shared" si="4"/>
        <v>934</v>
      </c>
      <c r="W29" s="596" t="e">
        <f t="shared" si="5"/>
        <v>#REF!</v>
      </c>
    </row>
    <row r="30" spans="12:23" x14ac:dyDescent="0.3">
      <c r="S30" s="611" t="str">
        <f t="shared" si="6"/>
        <v>Transfer agent and regulatory expenses</v>
      </c>
      <c r="U30" s="596">
        <f t="shared" si="4"/>
        <v>4524</v>
      </c>
      <c r="W30" s="596" t="e">
        <f t="shared" si="5"/>
        <v>#REF!</v>
      </c>
    </row>
    <row r="31" spans="12:23" x14ac:dyDescent="0.3">
      <c r="S31" s="611" t="str">
        <f t="shared" si="6"/>
        <v>Insurance</v>
      </c>
      <c r="U31" s="596">
        <f t="shared" si="4"/>
        <v>0</v>
      </c>
      <c r="W31" s="596">
        <f t="shared" si="5"/>
        <v>10700</v>
      </c>
    </row>
    <row r="32" spans="12:23" x14ac:dyDescent="0.3">
      <c r="S32" s="611" t="str">
        <f t="shared" si="6"/>
        <v>Shipping expense</v>
      </c>
      <c r="U32" s="596">
        <f t="shared" si="4"/>
        <v>26182</v>
      </c>
      <c r="W32" s="596" t="e">
        <f t="shared" si="5"/>
        <v>#REF!</v>
      </c>
    </row>
    <row r="33" spans="12:23" x14ac:dyDescent="0.3">
      <c r="S33" s="611" t="str">
        <f t="shared" si="6"/>
        <v>Shop supplies</v>
      </c>
      <c r="U33" s="596">
        <f t="shared" si="4"/>
        <v>0</v>
      </c>
      <c r="W33" s="596" t="e">
        <f t="shared" si="5"/>
        <v>#REF!</v>
      </c>
    </row>
    <row r="34" spans="12:23" x14ac:dyDescent="0.3">
      <c r="S34" s="611" t="str">
        <f t="shared" si="6"/>
        <v>Depreciation and amortization</v>
      </c>
      <c r="U34" s="596">
        <f t="shared" si="4"/>
        <v>241</v>
      </c>
      <c r="W34" s="596" t="e">
        <f t="shared" si="5"/>
        <v>#REF!</v>
      </c>
    </row>
    <row r="35" spans="12:23" x14ac:dyDescent="0.3">
      <c r="S35" s="611" t="str">
        <f t="shared" si="6"/>
        <v>Foreign exchange</v>
      </c>
      <c r="U35" s="596">
        <f t="shared" si="4"/>
        <v>1256364</v>
      </c>
      <c r="W35" s="596" t="e">
        <f t="shared" si="5"/>
        <v>#REF!</v>
      </c>
    </row>
    <row r="36" spans="12:23" x14ac:dyDescent="0.3">
      <c r="S36" s="611" t="e">
        <f t="shared" si="6"/>
        <v>#REF!</v>
      </c>
      <c r="U36" s="596" t="e">
        <f t="shared" si="4"/>
        <v>#REF!</v>
      </c>
      <c r="W36" s="596" t="e">
        <f t="shared" si="5"/>
        <v>#REF!</v>
      </c>
    </row>
    <row r="37" spans="12:23" ht="15" thickBot="1" x14ac:dyDescent="0.35">
      <c r="S37" s="641" t="s">
        <v>1817</v>
      </c>
      <c r="T37" s="1256" t="s">
        <v>90</v>
      </c>
      <c r="U37" s="1240" t="e">
        <f>SUM(U24:U36)</f>
        <v>#REF!</v>
      </c>
      <c r="V37" s="1256" t="s">
        <v>90</v>
      </c>
      <c r="W37" s="1240" t="e">
        <f>SUM(W24:W36)</f>
        <v>#REF!</v>
      </c>
    </row>
    <row r="39" spans="12:23" x14ac:dyDescent="0.3">
      <c r="S39" s="315" t="s">
        <v>507</v>
      </c>
      <c r="T39" s="315"/>
      <c r="U39" s="315" t="e">
        <f>U37-'BS &amp; IS'!J7</f>
        <v>#REF!</v>
      </c>
      <c r="V39" s="315"/>
      <c r="W39" s="315" t="e">
        <f>W37-'BS &amp; IS'!L7</f>
        <v>#REF!</v>
      </c>
    </row>
    <row r="45" spans="12:23" x14ac:dyDescent="0.3">
      <c r="L45" s="603" t="s">
        <v>447</v>
      </c>
    </row>
    <row r="46" spans="12:23" ht="15" thickBot="1" x14ac:dyDescent="0.35">
      <c r="L46" s="1259"/>
      <c r="M46" s="1298"/>
      <c r="N46" s="1237" t="str">
        <f>TEXT(currentperiod_end_date,"MMMM DD, YYYY")</f>
        <v>June 30, 2025</v>
      </c>
      <c r="O46" s="1237"/>
      <c r="P46" s="1234" t="str">
        <f>TEXT(EDATE(N46,-12),"MMMM DD, YYYY")</f>
        <v>June 30, 2024</v>
      </c>
      <c r="Q46" s="1237" t="s">
        <v>443</v>
      </c>
      <c r="R46" s="1237" t="s">
        <v>444</v>
      </c>
    </row>
    <row r="47" spans="12:23" x14ac:dyDescent="0.3">
      <c r="L47" s="589" t="s">
        <v>445</v>
      </c>
      <c r="M47" s="1299"/>
      <c r="N47" s="608"/>
      <c r="O47" s="605"/>
      <c r="Q47" s="609"/>
      <c r="R47" s="610"/>
    </row>
    <row r="48" spans="12:23" x14ac:dyDescent="0.3">
      <c r="L48" s="611" t="str">
        <f>'NOTES - TABLE'!A3</f>
        <v>Bank fees</v>
      </c>
      <c r="M48" s="1300" t="s">
        <v>90</v>
      </c>
      <c r="N48" s="596">
        <f>'Note Disclosures'!E248</f>
        <v>2281</v>
      </c>
      <c r="O48" s="605" t="s">
        <v>90</v>
      </c>
      <c r="P48" s="596">
        <f>'Note Disclosures'!F248</f>
        <v>2282</v>
      </c>
      <c r="Q48" s="604">
        <f>N48-P48</f>
        <v>-1</v>
      </c>
      <c r="R48" s="606">
        <f>IFERROR(Q48/P48,1)</f>
        <v>-4.3821209465381246E-4</v>
      </c>
    </row>
    <row r="49" spans="12:18" x14ac:dyDescent="0.3">
      <c r="L49" s="611" t="str">
        <f>'NOTES - TABLE'!A4</f>
        <v>Professional fees</v>
      </c>
      <c r="M49" s="1300"/>
      <c r="N49" s="596">
        <f>'Note Disclosures'!E249</f>
        <v>133726</v>
      </c>
      <c r="O49" s="605"/>
      <c r="P49" s="596" t="e">
        <f>'Note Disclosures'!F249</f>
        <v>#REF!</v>
      </c>
      <c r="Q49" s="604" t="e">
        <f t="shared" ref="Q49:Q61" si="7">N49-P49</f>
        <v>#REF!</v>
      </c>
      <c r="R49" s="606">
        <f t="shared" ref="R49:R61" si="8">IFERROR(Q49/P49,1)</f>
        <v>1</v>
      </c>
    </row>
    <row r="50" spans="12:18" x14ac:dyDescent="0.3">
      <c r="L50" s="611" t="str">
        <f>'NOTES - TABLE'!A5</f>
        <v>Consulting expense</v>
      </c>
      <c r="M50" s="1300"/>
      <c r="N50" s="596">
        <f>'Note Disclosures'!E250</f>
        <v>318291</v>
      </c>
      <c r="O50" s="605"/>
      <c r="P50" s="596">
        <f>'Note Disclosures'!F250</f>
        <v>134140</v>
      </c>
      <c r="Q50" s="604">
        <f t="shared" si="7"/>
        <v>184151</v>
      </c>
      <c r="R50" s="606">
        <f t="shared" si="8"/>
        <v>1.3728268972715074</v>
      </c>
    </row>
    <row r="51" spans="12:18" x14ac:dyDescent="0.3">
      <c r="L51" s="611" t="str">
        <f>'NOTES - TABLE'!A7</f>
        <v>Other miscellaneous</v>
      </c>
      <c r="M51" s="1300"/>
      <c r="N51" s="596" t="e">
        <f>'Note Disclosures'!#REF!</f>
        <v>#REF!</v>
      </c>
      <c r="O51" s="605"/>
      <c r="P51" s="596" t="e">
        <f>'Note Disclosures'!#REF!</f>
        <v>#REF!</v>
      </c>
      <c r="Q51" s="604" t="e">
        <f t="shared" si="7"/>
        <v>#REF!</v>
      </c>
      <c r="R51" s="606">
        <f t="shared" si="8"/>
        <v>1</v>
      </c>
    </row>
    <row r="52" spans="12:18" x14ac:dyDescent="0.3">
      <c r="L52" s="611" t="str">
        <f>'NOTES - TABLE'!A8</f>
        <v>Office expenses</v>
      </c>
      <c r="M52" s="1300"/>
      <c r="N52" s="596">
        <f>'Note Disclosures'!E252</f>
        <v>8370</v>
      </c>
      <c r="O52" s="605"/>
      <c r="P52" s="596" t="e">
        <f>'Note Disclosures'!F252</f>
        <v>#REF!</v>
      </c>
      <c r="Q52" s="604" t="e">
        <f t="shared" si="7"/>
        <v>#REF!</v>
      </c>
      <c r="R52" s="606">
        <f t="shared" si="8"/>
        <v>1</v>
      </c>
    </row>
    <row r="53" spans="12:18" x14ac:dyDescent="0.3">
      <c r="L53" s="611" t="str">
        <f>'NOTES - TABLE'!A9</f>
        <v>Meals and entertainment</v>
      </c>
      <c r="N53" s="596">
        <f>'Note Disclosures'!E253</f>
        <v>2747</v>
      </c>
      <c r="P53" s="596" t="e">
        <f>'Note Disclosures'!F253</f>
        <v>#REF!</v>
      </c>
      <c r="Q53" s="604" t="e">
        <f t="shared" si="7"/>
        <v>#REF!</v>
      </c>
      <c r="R53" s="606">
        <f t="shared" si="8"/>
        <v>1</v>
      </c>
    </row>
    <row r="54" spans="12:18" x14ac:dyDescent="0.3">
      <c r="L54" s="611" t="str">
        <f>'NOTES - TABLE'!A10</f>
        <v>Travel expenses</v>
      </c>
      <c r="N54" s="596">
        <f>'Note Disclosures'!E254</f>
        <v>934</v>
      </c>
      <c r="P54" s="596" t="e">
        <f>'Note Disclosures'!F254</f>
        <v>#REF!</v>
      </c>
      <c r="Q54" s="604" t="e">
        <f t="shared" si="7"/>
        <v>#REF!</v>
      </c>
      <c r="R54" s="606">
        <f t="shared" si="8"/>
        <v>1</v>
      </c>
    </row>
    <row r="55" spans="12:18" x14ac:dyDescent="0.3">
      <c r="L55" s="611" t="str">
        <f>'NOTES - TABLE'!A11</f>
        <v>Transfer agent and regulatory expenses</v>
      </c>
      <c r="N55" s="596">
        <f>'Note Disclosures'!E255</f>
        <v>4524</v>
      </c>
      <c r="P55" s="596" t="e">
        <f>'Note Disclosures'!F255</f>
        <v>#REF!</v>
      </c>
      <c r="Q55" s="604" t="e">
        <f t="shared" si="7"/>
        <v>#REF!</v>
      </c>
      <c r="R55" s="606">
        <f t="shared" si="8"/>
        <v>1</v>
      </c>
    </row>
    <row r="56" spans="12:18" x14ac:dyDescent="0.3">
      <c r="L56" s="611" t="str">
        <f>'NOTES - TABLE'!A12</f>
        <v>Insurance</v>
      </c>
      <c r="N56" s="596">
        <f>'Note Disclosures'!E256</f>
        <v>0</v>
      </c>
      <c r="P56" s="596">
        <f>'Note Disclosures'!F256</f>
        <v>10700</v>
      </c>
      <c r="Q56" s="604">
        <f t="shared" si="7"/>
        <v>-10700</v>
      </c>
      <c r="R56" s="606">
        <f t="shared" si="8"/>
        <v>-1</v>
      </c>
    </row>
    <row r="57" spans="12:18" x14ac:dyDescent="0.3">
      <c r="L57" s="611" t="str">
        <f>'NOTES - TABLE'!A13</f>
        <v>Shipping expense</v>
      </c>
      <c r="N57" s="596">
        <f>'Note Disclosures'!E257</f>
        <v>26182</v>
      </c>
      <c r="P57" s="596" t="e">
        <f>'Note Disclosures'!F257</f>
        <v>#REF!</v>
      </c>
      <c r="Q57" s="604" t="e">
        <f t="shared" si="7"/>
        <v>#REF!</v>
      </c>
      <c r="R57" s="606">
        <f t="shared" si="8"/>
        <v>1</v>
      </c>
    </row>
    <row r="58" spans="12:18" x14ac:dyDescent="0.3">
      <c r="L58" s="611" t="str">
        <f>'NOTES - TABLE'!A14</f>
        <v>Shop supplies</v>
      </c>
      <c r="N58" s="596">
        <f>'Note Disclosures'!E258</f>
        <v>0</v>
      </c>
      <c r="P58" s="596" t="e">
        <f>'Note Disclosures'!F258</f>
        <v>#REF!</v>
      </c>
      <c r="Q58" s="604" t="e">
        <f t="shared" si="7"/>
        <v>#REF!</v>
      </c>
      <c r="R58" s="606">
        <f t="shared" si="8"/>
        <v>1</v>
      </c>
    </row>
    <row r="59" spans="12:18" x14ac:dyDescent="0.3">
      <c r="L59" s="611" t="str">
        <f>'NOTES - TABLE'!A15</f>
        <v>Depreciation and amortization</v>
      </c>
      <c r="N59" s="596">
        <f>'Note Disclosures'!E259</f>
        <v>241</v>
      </c>
      <c r="P59" s="596" t="e">
        <f>'Note Disclosures'!F259</f>
        <v>#REF!</v>
      </c>
      <c r="Q59" s="604" t="e">
        <f t="shared" si="7"/>
        <v>#REF!</v>
      </c>
      <c r="R59" s="606">
        <f t="shared" si="8"/>
        <v>1</v>
      </c>
    </row>
    <row r="60" spans="12:18" x14ac:dyDescent="0.3">
      <c r="L60" s="611" t="str">
        <f>'NOTES - TABLE'!A16</f>
        <v>Foreign exchange</v>
      </c>
      <c r="N60" s="596">
        <f>'Note Disclosures'!E260</f>
        <v>1256364</v>
      </c>
      <c r="P60" s="596" t="e">
        <f>'Note Disclosures'!F260</f>
        <v>#REF!</v>
      </c>
      <c r="Q60" s="604" t="e">
        <f t="shared" si="7"/>
        <v>#REF!</v>
      </c>
      <c r="R60" s="606">
        <f t="shared" si="8"/>
        <v>1</v>
      </c>
    </row>
    <row r="61" spans="12:18" x14ac:dyDescent="0.3">
      <c r="L61" s="611" t="e">
        <f>'NOTES - TABLE'!#REF!</f>
        <v>#REF!</v>
      </c>
      <c r="N61" s="596">
        <f>'Note Disclosures'!E261</f>
        <v>43</v>
      </c>
      <c r="P61" s="596" t="e">
        <f>'Note Disclosures'!F261</f>
        <v>#REF!</v>
      </c>
      <c r="Q61" s="604" t="e">
        <f t="shared" si="7"/>
        <v>#REF!</v>
      </c>
      <c r="R61" s="606">
        <f t="shared" si="8"/>
        <v>1</v>
      </c>
    </row>
    <row r="62" spans="12:18" ht="15" thickBot="1" x14ac:dyDescent="0.35">
      <c r="L62" s="641" t="s">
        <v>817</v>
      </c>
      <c r="M62" s="1301" t="s">
        <v>90</v>
      </c>
      <c r="N62" s="1257" t="e">
        <f>SUM(N48:N61)</f>
        <v>#REF!</v>
      </c>
      <c r="O62" s="1256" t="s">
        <v>90</v>
      </c>
      <c r="P62" s="1257" t="e">
        <f>SUM(P48:P61)</f>
        <v>#REF!</v>
      </c>
      <c r="Q62" s="1257"/>
      <c r="R62" s="1257"/>
    </row>
  </sheetData>
  <mergeCells count="3">
    <mergeCell ref="T1:W1"/>
    <mergeCell ref="H2:K2"/>
    <mergeCell ref="H10:K1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3A27-A290-4F6E-A7BF-F7B5E97FFE35}">
  <sheetPr>
    <tabColor theme="1"/>
  </sheetPr>
  <dimension ref="B2"/>
  <sheetViews>
    <sheetView workbookViewId="0">
      <selection activeCell="F36" sqref="F36"/>
    </sheetView>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32E2-A753-4D8D-9CCF-50C88CDEB55D}">
  <sheetPr filterMode="1">
    <tabColor rgb="FFFF33CC"/>
  </sheetPr>
  <dimension ref="A1:BI256"/>
  <sheetViews>
    <sheetView zoomScaleNormal="100" workbookViewId="0">
      <pane xSplit="1" ySplit="7" topLeftCell="C106" activePane="bottomRight" state="frozen"/>
      <selection pane="topRight" activeCell="B1" sqref="B1"/>
      <selection pane="bottomLeft" activeCell="A8" sqref="A8"/>
      <selection pane="bottomRight" activeCell="I189" sqref="I189"/>
    </sheetView>
  </sheetViews>
  <sheetFormatPr defaultColWidth="8.88671875" defaultRowHeight="12" outlineLevelCol="1" x14ac:dyDescent="0.3"/>
  <cols>
    <col min="1" max="1" width="53.6640625" style="16" bestFit="1" customWidth="1"/>
    <col min="2" max="3" width="13.5546875" style="16" customWidth="1"/>
    <col min="4" max="4" width="14.6640625" style="16" hidden="1" customWidth="1" outlineLevel="1"/>
    <col min="5" max="5" width="14.109375" style="16" hidden="1" customWidth="1" outlineLevel="1"/>
    <col min="6" max="6" width="15.88671875" style="16" customWidth="1" collapsed="1"/>
    <col min="7" max="8" width="13.5546875" style="16" customWidth="1" outlineLevel="1"/>
    <col min="9" max="10" width="14.6640625" style="16" customWidth="1" outlineLevel="1"/>
    <col min="11" max="11" width="14.109375" style="16" customWidth="1" outlineLevel="1"/>
    <col min="12" max="12" width="15.88671875" style="16" customWidth="1"/>
    <col min="13" max="14" width="13.5546875" style="16" hidden="1" customWidth="1" outlineLevel="1"/>
    <col min="15" max="16" width="14.6640625" style="16" hidden="1" customWidth="1" outlineLevel="1"/>
    <col min="17" max="17" width="14.109375" style="16" hidden="1" customWidth="1" outlineLevel="1"/>
    <col min="18" max="18" width="15.88671875" style="16" customWidth="1" collapsed="1"/>
    <col min="19" max="20" width="13.5546875" style="16" hidden="1" customWidth="1" outlineLevel="1"/>
    <col min="21" max="22" width="14.6640625" style="16" hidden="1" customWidth="1" outlineLevel="1"/>
    <col min="23" max="23" width="14.109375" style="16" hidden="1" customWidth="1" outlineLevel="1"/>
    <col min="24" max="24" width="15.88671875" style="16" customWidth="1" collapsed="1"/>
    <col min="25" max="26" width="13.5546875" style="16" customWidth="1" outlineLevel="1"/>
    <col min="27" max="28" width="14.6640625" style="16" customWidth="1" outlineLevel="1"/>
    <col min="29" max="29" width="14.109375" style="16" customWidth="1" outlineLevel="1"/>
    <col min="30" max="30" width="15.88671875" style="16" customWidth="1"/>
    <col min="31" max="32" width="13.5546875" style="16" customWidth="1" outlineLevel="1"/>
    <col min="33" max="34" width="14.6640625" style="16" customWidth="1" outlineLevel="1"/>
    <col min="35" max="35" width="14.109375" style="16" customWidth="1" outlineLevel="1"/>
    <col min="36" max="36" width="14.77734375" style="16" customWidth="1"/>
    <col min="37" max="37" width="33.88671875" style="183" bestFit="1" customWidth="1"/>
    <col min="38" max="38" width="33.88671875" style="16" customWidth="1"/>
    <col min="39" max="39" width="33.88671875" style="16" bestFit="1" customWidth="1"/>
    <col min="40" max="40" width="3" style="16" customWidth="1"/>
    <col min="41" max="41" width="64" style="16" hidden="1" customWidth="1" outlineLevel="1"/>
    <col min="42" max="42" width="14.109375" style="16" hidden="1" customWidth="1" outlineLevel="1"/>
    <col min="43" max="44" width="12.88671875" style="16" hidden="1" customWidth="1" outlineLevel="1"/>
    <col min="45" max="45" width="12.88671875" style="16" hidden="1" customWidth="1" outlineLevel="1" collapsed="1"/>
    <col min="46" max="46" width="12.88671875" style="16" hidden="1" customWidth="1" outlineLevel="1"/>
    <col min="47" max="47" width="14.33203125" style="16" hidden="1" customWidth="1" outlineLevel="1"/>
    <col min="48" max="48" width="13.109375" style="16" hidden="1" customWidth="1" outlineLevel="1"/>
    <col min="49" max="49" width="16.109375" style="16" hidden="1" customWidth="1" outlineLevel="1" collapsed="1"/>
    <col min="50" max="50" width="16.109375" style="16" hidden="1" customWidth="1" outlineLevel="1"/>
    <col min="51" max="51" width="13.77734375" style="16" hidden="1" customWidth="1" outlineLevel="1"/>
    <col min="52" max="52" width="14.33203125" style="16" hidden="1" customWidth="1" outlineLevel="1"/>
    <col min="53" max="53" width="16.88671875" style="16" hidden="1" customWidth="1" outlineLevel="1" collapsed="1"/>
    <col min="54" max="54" width="13.5546875" style="16" hidden="1" customWidth="1" outlineLevel="1"/>
    <col min="55" max="55" width="12.5546875" style="16" hidden="1" customWidth="1" outlineLevel="1" collapsed="1"/>
    <col min="56" max="56" width="14.6640625" style="16" hidden="1" customWidth="1" outlineLevel="1"/>
    <col min="57" max="57" width="14" style="16" hidden="1" customWidth="1" outlineLevel="1"/>
    <col min="58" max="58" width="14.44140625" style="16" hidden="1" customWidth="1" outlineLevel="1"/>
    <col min="59" max="59" width="14.88671875" style="16" hidden="1" customWidth="1" outlineLevel="1"/>
    <col min="60" max="60" width="3.88671875" style="16" customWidth="1" collapsed="1"/>
    <col min="61" max="61" width="15" style="16" customWidth="1"/>
    <col min="62" max="16384" width="8.88671875" style="16"/>
  </cols>
  <sheetData>
    <row r="1" spans="1:60" ht="25.2" x14ac:dyDescent="0.3">
      <c r="A1" s="44" t="str">
        <f>company_name</f>
        <v>Consolidated Hallor Group Inc.</v>
      </c>
      <c r="F1" s="71"/>
      <c r="L1" s="71"/>
      <c r="R1" s="71"/>
      <c r="X1" s="71"/>
      <c r="AD1" s="71"/>
      <c r="AJ1" s="71"/>
      <c r="AK1" s="176"/>
      <c r="AL1" s="19"/>
      <c r="AM1" s="19"/>
    </row>
    <row r="2" spans="1:60" ht="21" x14ac:dyDescent="0.2">
      <c r="A2" s="511">
        <f>currentperiod_end_date</f>
        <v>45838</v>
      </c>
      <c r="B2" s="131"/>
      <c r="C2" s="131"/>
      <c r="F2" s="71"/>
      <c r="G2" s="131"/>
      <c r="H2" s="131"/>
      <c r="L2" s="71"/>
      <c r="M2" s="131"/>
      <c r="N2" s="131"/>
      <c r="R2" s="71"/>
      <c r="S2" s="131"/>
      <c r="T2" s="131"/>
      <c r="X2" s="71"/>
      <c r="Y2" s="131"/>
      <c r="Z2" s="131"/>
      <c r="AD2" s="71"/>
      <c r="AE2" s="131"/>
      <c r="AF2" s="131"/>
      <c r="AJ2" s="71"/>
      <c r="AK2" s="664" t="s">
        <v>501</v>
      </c>
      <c r="AL2" s="19"/>
      <c r="AM2" s="19"/>
      <c r="AO2" s="212"/>
    </row>
    <row r="3" spans="1:60" ht="21" x14ac:dyDescent="0.25">
      <c r="A3" s="153"/>
      <c r="F3" s="1580">
        <f t="shared" ref="F3:N3" si="0">SUM(F8:F186)</f>
        <v>0</v>
      </c>
      <c r="G3" s="1580">
        <f t="shared" si="0"/>
        <v>1.0113581083714962E-9</v>
      </c>
      <c r="H3" s="1580">
        <f t="shared" si="0"/>
        <v>0</v>
      </c>
      <c r="I3" s="1580">
        <f t="shared" si="0"/>
        <v>0</v>
      </c>
      <c r="J3" s="1580">
        <f t="shared" si="0"/>
        <v>0</v>
      </c>
      <c r="K3" s="1580">
        <f t="shared" si="0"/>
        <v>0</v>
      </c>
      <c r="L3" s="1580">
        <f t="shared" si="0"/>
        <v>0</v>
      </c>
      <c r="M3" s="1580">
        <f t="shared" si="0"/>
        <v>9.3132257461547852E-10</v>
      </c>
      <c r="N3" s="1580">
        <f t="shared" si="0"/>
        <v>0</v>
      </c>
      <c r="O3" s="1580">
        <f>SUM(O8:O186)</f>
        <v>2.3283064365386963E-10</v>
      </c>
      <c r="P3" s="1580">
        <f t="shared" ref="P3:AJ3" si="1">SUM(P8:P186)</f>
        <v>0</v>
      </c>
      <c r="Q3" s="1580">
        <f t="shared" si="1"/>
        <v>-1</v>
      </c>
      <c r="R3" s="1580">
        <f t="shared" si="1"/>
        <v>0</v>
      </c>
      <c r="S3" s="1580">
        <f t="shared" si="1"/>
        <v>0</v>
      </c>
      <c r="T3" s="1580">
        <f t="shared" si="1"/>
        <v>-9.3132257461547852E-10</v>
      </c>
      <c r="U3" s="1580">
        <f t="shared" si="1"/>
        <v>0</v>
      </c>
      <c r="V3" s="1580">
        <f t="shared" si="1"/>
        <v>0</v>
      </c>
      <c r="W3" s="1580">
        <f t="shared" si="1"/>
        <v>-2</v>
      </c>
      <c r="X3" s="1580">
        <f t="shared" si="1"/>
        <v>0</v>
      </c>
      <c r="Y3" s="1580">
        <f t="shared" si="1"/>
        <v>4.6566128730773926E-10</v>
      </c>
      <c r="Z3" s="1580">
        <f t="shared" si="1"/>
        <v>0</v>
      </c>
      <c r="AA3" s="1580">
        <f t="shared" si="1"/>
        <v>-2.7939677238464355E-9</v>
      </c>
      <c r="AB3" s="1580">
        <f t="shared" si="1"/>
        <v>0</v>
      </c>
      <c r="AC3" s="1580">
        <f t="shared" si="1"/>
        <v>-1</v>
      </c>
      <c r="AD3" s="1580">
        <f t="shared" si="1"/>
        <v>0</v>
      </c>
      <c r="AE3" s="1580">
        <f t="shared" si="1"/>
        <v>1.862645149230957E-9</v>
      </c>
      <c r="AF3" s="1580">
        <f t="shared" si="1"/>
        <v>9.3132257461547852E-10</v>
      </c>
      <c r="AG3" s="1580">
        <f t="shared" si="1"/>
        <v>7.4505805969238281E-9</v>
      </c>
      <c r="AH3" s="1580">
        <f t="shared" si="1"/>
        <v>0</v>
      </c>
      <c r="AI3" s="1580">
        <f t="shared" si="1"/>
        <v>-1.0000000018626451</v>
      </c>
      <c r="AJ3" s="1580">
        <f t="shared" si="1"/>
        <v>0</v>
      </c>
      <c r="AK3" s="718"/>
      <c r="AL3" s="531"/>
      <c r="AM3" s="531"/>
      <c r="AO3" s="212"/>
      <c r="AP3" s="211"/>
      <c r="AQ3" s="211"/>
      <c r="AR3" s="211"/>
      <c r="AS3" s="211"/>
      <c r="AT3" s="211"/>
      <c r="AU3" s="211"/>
      <c r="AV3" s="211"/>
      <c r="AW3" s="211"/>
      <c r="AX3" s="211"/>
      <c r="AY3" s="211"/>
      <c r="AZ3" s="211"/>
    </row>
    <row r="4" spans="1:60" x14ac:dyDescent="0.25">
      <c r="A4" s="186" t="s">
        <v>266</v>
      </c>
      <c r="B4" s="76">
        <f>SUM(B100:B186)</f>
        <v>325418.59999999998</v>
      </c>
      <c r="C4" s="76">
        <f t="shared" ref="C4:AJ4" si="2">SUM(C100:C186)</f>
        <v>289954.57</v>
      </c>
      <c r="D4" s="76">
        <f t="shared" si="2"/>
        <v>1256364</v>
      </c>
      <c r="E4" s="76">
        <f t="shared" si="2"/>
        <v>-26</v>
      </c>
      <c r="F4" s="76">
        <f t="shared" si="2"/>
        <v>1871710</v>
      </c>
      <c r="G4" s="76">
        <f t="shared" si="2"/>
        <v>56265.909999999996</v>
      </c>
      <c r="H4" s="76">
        <f t="shared" si="2"/>
        <v>468266.80000000005</v>
      </c>
      <c r="I4" s="76">
        <f t="shared" si="2"/>
        <v>1314741.6983333332</v>
      </c>
      <c r="J4" s="76">
        <f t="shared" si="2"/>
        <v>-8073</v>
      </c>
      <c r="K4" s="76">
        <f t="shared" si="2"/>
        <v>0</v>
      </c>
      <c r="L4" s="76">
        <f t="shared" si="2"/>
        <v>1831200</v>
      </c>
      <c r="M4" s="76">
        <f t="shared" si="2"/>
        <v>0</v>
      </c>
      <c r="N4" s="76">
        <f t="shared" si="2"/>
        <v>0</v>
      </c>
      <c r="O4" s="76">
        <f t="shared" si="2"/>
        <v>1137482.8459666665</v>
      </c>
      <c r="P4" s="76">
        <f t="shared" si="2"/>
        <v>510416.66666666669</v>
      </c>
      <c r="Q4" s="76">
        <f t="shared" si="2"/>
        <v>-1</v>
      </c>
      <c r="R4" s="76">
        <f t="shared" si="2"/>
        <v>1647899</v>
      </c>
      <c r="S4" s="76">
        <f t="shared" si="2"/>
        <v>0</v>
      </c>
      <c r="T4" s="76">
        <f t="shared" si="2"/>
        <v>0</v>
      </c>
      <c r="U4" s="76">
        <f t="shared" si="2"/>
        <v>-1219427.6663723337</v>
      </c>
      <c r="V4" s="76">
        <f t="shared" si="2"/>
        <v>882500</v>
      </c>
      <c r="W4" s="76">
        <f t="shared" si="2"/>
        <v>-2</v>
      </c>
      <c r="X4" s="76">
        <f t="shared" si="2"/>
        <v>-336928</v>
      </c>
      <c r="Y4" s="76">
        <f t="shared" si="2"/>
        <v>0</v>
      </c>
      <c r="Z4" s="76">
        <f t="shared" si="2"/>
        <v>0</v>
      </c>
      <c r="AA4" s="76">
        <f t="shared" si="2"/>
        <v>-7059679.1250876952</v>
      </c>
      <c r="AB4" s="76">
        <f t="shared" si="2"/>
        <v>1060833.333333334</v>
      </c>
      <c r="AC4" s="76">
        <f t="shared" si="2"/>
        <v>-1</v>
      </c>
      <c r="AD4" s="76">
        <f t="shared" si="2"/>
        <v>-5998846</v>
      </c>
      <c r="AE4" s="76">
        <f t="shared" si="2"/>
        <v>0</v>
      </c>
      <c r="AF4" s="76">
        <f t="shared" si="2"/>
        <v>0</v>
      </c>
      <c r="AG4" s="76">
        <f t="shared" si="2"/>
        <v>-13475762.115913432</v>
      </c>
      <c r="AH4" s="76">
        <f t="shared" si="2"/>
        <v>2770833.333333334</v>
      </c>
      <c r="AI4" s="76">
        <f t="shared" si="2"/>
        <v>-1060834.333333334</v>
      </c>
      <c r="AJ4" s="76">
        <f t="shared" si="2"/>
        <v>-11765764</v>
      </c>
      <c r="AK4" s="718"/>
      <c r="AL4" s="531"/>
      <c r="AM4" s="531"/>
      <c r="AO4" s="212"/>
      <c r="AP4" s="211"/>
      <c r="AQ4" s="211"/>
      <c r="AR4" s="211"/>
      <c r="AS4" s="211"/>
      <c r="AT4" s="211"/>
      <c r="AU4" s="211"/>
      <c r="AV4" s="211"/>
      <c r="AW4" s="211"/>
      <c r="AX4" s="211"/>
      <c r="AY4" s="211"/>
      <c r="AZ4" s="211"/>
    </row>
    <row r="5" spans="1:60" ht="17.25" customHeight="1" x14ac:dyDescent="0.3">
      <c r="A5" s="153"/>
      <c r="B5" s="1454" t="s">
        <v>810</v>
      </c>
      <c r="C5" s="1454" t="s">
        <v>810</v>
      </c>
      <c r="D5" s="1454" t="s">
        <v>815</v>
      </c>
      <c r="F5" s="71"/>
      <c r="G5" s="1454"/>
      <c r="H5" s="1454"/>
      <c r="I5" s="1454"/>
      <c r="J5" s="1454"/>
      <c r="L5" s="71"/>
      <c r="M5" s="1454"/>
      <c r="N5" s="1454"/>
      <c r="O5" s="1454"/>
      <c r="P5" s="1454"/>
      <c r="R5" s="71"/>
      <c r="S5" s="1454"/>
      <c r="T5" s="1454"/>
      <c r="U5" s="1454"/>
      <c r="V5" s="1454"/>
      <c r="X5" s="71"/>
      <c r="Y5" s="1454"/>
      <c r="Z5" s="1454"/>
      <c r="AA5" s="1454"/>
      <c r="AB5" s="1454"/>
      <c r="AD5" s="71"/>
      <c r="AE5" s="1454"/>
      <c r="AF5" s="1454"/>
      <c r="AG5" s="1454"/>
      <c r="AH5" s="1454"/>
      <c r="AJ5" s="71"/>
      <c r="AK5" s="718"/>
      <c r="AL5" s="531"/>
      <c r="AM5" s="531"/>
      <c r="AO5" s="212"/>
      <c r="AP5" s="211">
        <v>101</v>
      </c>
      <c r="AQ5" s="211">
        <f>AP5+1</f>
        <v>102</v>
      </c>
      <c r="AR5" s="211">
        <f t="shared" ref="AR5:BG6" si="3">AQ5+1</f>
        <v>103</v>
      </c>
      <c r="AS5" s="211">
        <f t="shared" si="3"/>
        <v>104</v>
      </c>
      <c r="AT5" s="211">
        <f t="shared" si="3"/>
        <v>105</v>
      </c>
      <c r="AU5" s="211">
        <f t="shared" si="3"/>
        <v>106</v>
      </c>
      <c r="AV5" s="211">
        <f t="shared" si="3"/>
        <v>107</v>
      </c>
      <c r="AW5" s="211">
        <f t="shared" si="3"/>
        <v>108</v>
      </c>
      <c r="AX5" s="211">
        <f t="shared" si="3"/>
        <v>109</v>
      </c>
      <c r="AY5" s="211">
        <f t="shared" si="3"/>
        <v>110</v>
      </c>
      <c r="AZ5" s="211">
        <f t="shared" si="3"/>
        <v>111</v>
      </c>
      <c r="BA5" s="211">
        <f t="shared" si="3"/>
        <v>112</v>
      </c>
      <c r="BB5" s="211">
        <f t="shared" si="3"/>
        <v>113</v>
      </c>
      <c r="BC5" s="211">
        <f t="shared" si="3"/>
        <v>114</v>
      </c>
      <c r="BD5" s="211">
        <f t="shared" si="3"/>
        <v>115</v>
      </c>
      <c r="BE5" s="211">
        <f t="shared" si="3"/>
        <v>116</v>
      </c>
      <c r="BF5" s="211">
        <f t="shared" si="3"/>
        <v>117</v>
      </c>
      <c r="BG5" s="211">
        <f t="shared" si="3"/>
        <v>118</v>
      </c>
    </row>
    <row r="6" spans="1:60" s="143" customFormat="1" ht="24" x14ac:dyDescent="0.25">
      <c r="B6" s="916" t="s">
        <v>638</v>
      </c>
      <c r="C6" s="916" t="s">
        <v>639</v>
      </c>
      <c r="D6" s="916" t="s">
        <v>646</v>
      </c>
      <c r="E6" s="916" t="s">
        <v>646</v>
      </c>
      <c r="F6" s="916" t="s">
        <v>646</v>
      </c>
      <c r="G6" s="916" t="s">
        <v>638</v>
      </c>
      <c r="H6" s="916" t="s">
        <v>639</v>
      </c>
      <c r="I6" s="916" t="s">
        <v>638</v>
      </c>
      <c r="J6" s="916" t="s">
        <v>639</v>
      </c>
      <c r="K6" s="916" t="s">
        <v>646</v>
      </c>
      <c r="L6" s="916" t="s">
        <v>646</v>
      </c>
      <c r="M6" s="916" t="s">
        <v>638</v>
      </c>
      <c r="N6" s="916" t="s">
        <v>639</v>
      </c>
      <c r="O6" s="916" t="s">
        <v>638</v>
      </c>
      <c r="P6" s="916" t="s">
        <v>639</v>
      </c>
      <c r="Q6" s="916" t="s">
        <v>646</v>
      </c>
      <c r="R6" s="916" t="s">
        <v>646</v>
      </c>
      <c r="S6" s="916" t="s">
        <v>638</v>
      </c>
      <c r="T6" s="916" t="s">
        <v>639</v>
      </c>
      <c r="U6" s="916" t="s">
        <v>638</v>
      </c>
      <c r="V6" s="916" t="s">
        <v>639</v>
      </c>
      <c r="W6" s="916" t="s">
        <v>646</v>
      </c>
      <c r="X6" s="916" t="s">
        <v>646</v>
      </c>
      <c r="Y6" s="916" t="s">
        <v>638</v>
      </c>
      <c r="Z6" s="916" t="s">
        <v>639</v>
      </c>
      <c r="AA6" s="916" t="s">
        <v>638</v>
      </c>
      <c r="AB6" s="916" t="s">
        <v>639</v>
      </c>
      <c r="AC6" s="916" t="s">
        <v>646</v>
      </c>
      <c r="AD6" s="916" t="s">
        <v>646</v>
      </c>
      <c r="AE6" s="916" t="s">
        <v>638</v>
      </c>
      <c r="AF6" s="916" t="s">
        <v>639</v>
      </c>
      <c r="AG6" s="916" t="s">
        <v>638</v>
      </c>
      <c r="AH6" s="916" t="s">
        <v>639</v>
      </c>
      <c r="AI6" s="916" t="s">
        <v>646</v>
      </c>
      <c r="AJ6" s="916" t="s">
        <v>646</v>
      </c>
      <c r="AK6" s="177"/>
      <c r="AO6" s="212"/>
      <c r="AP6" s="211">
        <v>201</v>
      </c>
      <c r="AQ6" s="211">
        <f>AP6+1</f>
        <v>202</v>
      </c>
      <c r="AR6" s="211">
        <f t="shared" si="3"/>
        <v>203</v>
      </c>
      <c r="AS6" s="211">
        <f t="shared" si="3"/>
        <v>204</v>
      </c>
      <c r="AT6" s="211">
        <f t="shared" si="3"/>
        <v>205</v>
      </c>
      <c r="AU6" s="211">
        <f t="shared" si="3"/>
        <v>206</v>
      </c>
      <c r="AV6" s="211">
        <f t="shared" si="3"/>
        <v>207</v>
      </c>
      <c r="AW6" s="211">
        <f t="shared" si="3"/>
        <v>208</v>
      </c>
      <c r="AX6" s="211">
        <f t="shared" si="3"/>
        <v>209</v>
      </c>
      <c r="AY6" s="211">
        <f t="shared" si="3"/>
        <v>210</v>
      </c>
      <c r="AZ6" s="211">
        <f t="shared" si="3"/>
        <v>211</v>
      </c>
      <c r="BA6" s="211">
        <f t="shared" si="3"/>
        <v>212</v>
      </c>
      <c r="BB6" s="211">
        <f t="shared" si="3"/>
        <v>213</v>
      </c>
      <c r="BC6" s="211">
        <f t="shared" si="3"/>
        <v>214</v>
      </c>
      <c r="BD6" s="211">
        <f t="shared" si="3"/>
        <v>215</v>
      </c>
      <c r="BE6" s="211">
        <f t="shared" si="3"/>
        <v>216</v>
      </c>
      <c r="BF6" s="211">
        <f t="shared" si="3"/>
        <v>217</v>
      </c>
      <c r="BG6" s="211">
        <f t="shared" si="3"/>
        <v>218</v>
      </c>
      <c r="BH6" s="145"/>
    </row>
    <row r="7" spans="1:60" ht="48.6" thickBot="1" x14ac:dyDescent="0.3">
      <c r="A7" s="1572" t="s">
        <v>2204</v>
      </c>
      <c r="B7" s="1577" t="str">
        <f>TEXT(A2,"MMMM DD, YYYY")</f>
        <v>June 30, 2025</v>
      </c>
      <c r="C7" s="1577" t="str">
        <f>B7</f>
        <v>June 30, 2025</v>
      </c>
      <c r="D7" s="1575" t="s">
        <v>376</v>
      </c>
      <c r="E7" s="1574" t="s">
        <v>2292</v>
      </c>
      <c r="F7" s="1575" t="str">
        <f>"Adjusted Bal - "&amp;TEXT($A$2,"MMMM DD, YYYY")</f>
        <v>Adjusted Bal - June 30, 2025</v>
      </c>
      <c r="G7" s="1573">
        <f>EOMONTH(B7,12)</f>
        <v>46203</v>
      </c>
      <c r="H7" s="1573">
        <f>EOMONTH(C7,12)</f>
        <v>46203</v>
      </c>
      <c r="I7" s="1575" t="s">
        <v>2296</v>
      </c>
      <c r="J7" s="1575" t="s">
        <v>2297</v>
      </c>
      <c r="K7" s="1574" t="s">
        <v>2292</v>
      </c>
      <c r="L7" s="1575" t="str">
        <f>"Adjusted Bal - "&amp;TEXT(G$7,"MMMM DD, YYYY")</f>
        <v>Adjusted Bal - June 30, 2026</v>
      </c>
      <c r="M7" s="1577">
        <f>EOMONTH(G7,12)</f>
        <v>46568</v>
      </c>
      <c r="N7" s="1577">
        <f>EOMONTH(H7,12)</f>
        <v>46568</v>
      </c>
      <c r="O7" s="1575" t="s">
        <v>2296</v>
      </c>
      <c r="P7" s="1575" t="s">
        <v>2297</v>
      </c>
      <c r="Q7" s="1574" t="s">
        <v>2292</v>
      </c>
      <c r="R7" s="1575" t="str">
        <f>"Adjusted Bal - "&amp;TEXT(M$7,"MMMM DD, YYYY")</f>
        <v>Adjusted Bal - June 30, 2027</v>
      </c>
      <c r="S7" s="1577">
        <f>EOMONTH(M7,12)</f>
        <v>46934</v>
      </c>
      <c r="T7" s="1577">
        <f>EOMONTH(N7,12)</f>
        <v>46934</v>
      </c>
      <c r="U7" s="1575" t="s">
        <v>2296</v>
      </c>
      <c r="V7" s="1575" t="s">
        <v>2297</v>
      </c>
      <c r="W7" s="1574" t="s">
        <v>2292</v>
      </c>
      <c r="X7" s="1575" t="str">
        <f>"Adjusted Bal - "&amp;TEXT(S$7,"MMMM DD, YYYY")</f>
        <v>Adjusted Bal - June 30, 2028</v>
      </c>
      <c r="Y7" s="1577">
        <f>EOMONTH(S7,12)</f>
        <v>47299</v>
      </c>
      <c r="Z7" s="1577">
        <f>EOMONTH(T7,12)</f>
        <v>47299</v>
      </c>
      <c r="AA7" s="1575" t="s">
        <v>2296</v>
      </c>
      <c r="AB7" s="1575" t="s">
        <v>2297</v>
      </c>
      <c r="AC7" s="1574" t="s">
        <v>2292</v>
      </c>
      <c r="AD7" s="1575" t="str">
        <f>"Adjusted Bal - "&amp;TEXT(Y$7,"MMMM DD, YYYY")</f>
        <v>Adjusted Bal - June 30, 2029</v>
      </c>
      <c r="AE7" s="1577">
        <f>EOMONTH(Y7,12)</f>
        <v>47664</v>
      </c>
      <c r="AF7" s="1577">
        <f>EOMONTH(Z7,12)</f>
        <v>47664</v>
      </c>
      <c r="AG7" s="1575" t="s">
        <v>2296</v>
      </c>
      <c r="AH7" s="1575" t="s">
        <v>2297</v>
      </c>
      <c r="AI7" s="1574" t="s">
        <v>2289</v>
      </c>
      <c r="AJ7" s="1575" t="str">
        <f>"Adjusted Bal - "&amp;TEXT(AE$7,"MMMM DD, YYYY")</f>
        <v>Adjusted Bal - June 30, 2030</v>
      </c>
      <c r="AK7" s="1576" t="s">
        <v>1</v>
      </c>
      <c r="AL7" s="1576" t="s">
        <v>40</v>
      </c>
      <c r="AM7" s="1576" t="s">
        <v>45</v>
      </c>
      <c r="AO7" s="46"/>
      <c r="AP7" s="126" t="str">
        <f>_xlfn.XLOOKUP(AP6,FS.1!$T:$T,FS.1!$A:$A,0,0,1)</f>
        <v>Cash</v>
      </c>
      <c r="AQ7" s="126" t="str">
        <f>_xlfn.XLOOKUP(AQ6,FS.1!$T:$T,FS.1!$A:$A,0,0,1)</f>
        <v>Receivables</v>
      </c>
      <c r="AR7" s="126" t="str">
        <f>_xlfn.XLOOKUP(AR6,FS.1!$T:$T,FS.1!$A:$A,0,0,1)</f>
        <v>Prepaid expenses</v>
      </c>
      <c r="AS7" s="126" t="str">
        <f>_xlfn.XLOOKUP(AS6,FS.1!$T:$T,FS.1!$A:$A,0,0,1)</f>
        <v>Sales tax receivable</v>
      </c>
      <c r="AT7" s="126" t="str">
        <f>_xlfn.XLOOKUP(AT6,FS.1!$T:$T,FS.1!$A:$A,0,0,1)</f>
        <v>Inventory</v>
      </c>
      <c r="AU7" s="126" t="str">
        <f>_xlfn.XLOOKUP(AU6,FS.1!$T:$T,FS.1!$A:$A,0,0,1)</f>
        <v>Due from related parties</v>
      </c>
      <c r="AV7" s="126" t="str">
        <f>_xlfn.XLOOKUP(AV6,FS.1!$T:$T,FS.1!$A:$A,0,0,1)</f>
        <v>Current portion of loan receivable</v>
      </c>
      <c r="AW7" s="126" t="str">
        <f>_xlfn.XLOOKUP(AW6,FS.1!$T:$T,FS.1!$A:$A,0,0,1)</f>
        <v>Equipment</v>
      </c>
      <c r="AX7" s="126" t="str">
        <f>_xlfn.XLOOKUP(AX6,FS.1!$T:$T,FS.1!$A:$A,0,0,1)</f>
        <v>Intangible assets</v>
      </c>
      <c r="AY7" s="126" t="str">
        <f>_xlfn.XLOOKUP(AY6,FS.1!$T:$T,FS.1!$A:$A,0,0,1)</f>
        <v>Accounts payables and accrued liabilities</v>
      </c>
      <c r="AZ7" s="126" t="str">
        <f>_xlfn.XLOOKUP(AZ6,FS.1!$T:$T,FS.1!$A:$A,0,0,1)</f>
        <v>Warranty liability</v>
      </c>
      <c r="BA7" s="126" t="str">
        <f>_xlfn.XLOOKUP(BA6,FS.1!$T:$T,FS.1!$A:$A,0,0,1)</f>
        <v>Convertible debt</v>
      </c>
      <c r="BB7" s="126" t="str">
        <f>_xlfn.XLOOKUP(BB6,FS.1!$T:$T,FS.1!$A:$A,0,0,1)</f>
        <v>Derivative liability</v>
      </c>
      <c r="BC7" s="126" t="str">
        <f>_xlfn.XLOOKUP(BC6,FS.1!$T:$T,FS.1!$A:$A,0,0,1)</f>
        <v>Income tax payable</v>
      </c>
      <c r="BD7" s="126" t="str">
        <f>_xlfn.XLOOKUP(BD6,FS.1!$T:$T,FS.1!$A:$A,0,0,1)</f>
        <v>Due to related parties</v>
      </c>
      <c r="BE7" s="126" t="str">
        <f>_xlfn.XLOOKUP(BE6,FS.1!$T:$T,FS.1!$A:$A,0,0,1)</f>
        <v>Share capital</v>
      </c>
      <c r="BF7" s="126" t="str">
        <f>_xlfn.XLOOKUP(BF6,FS.1!$T:$T,FS.1!$A:$A,0,0,1)</f>
        <v>Contributed surplus</v>
      </c>
      <c r="BG7" s="126" t="str">
        <f>_xlfn.XLOOKUP(BG6,FS.1!$T:$T,FS.1!$A:$A,0,0,1)</f>
        <v>Accumulated deficit</v>
      </c>
    </row>
    <row r="8" spans="1:60" hidden="1" x14ac:dyDescent="0.25">
      <c r="A8" s="1393" t="str">
        <f>COA!B4</f>
        <v>0001 Bank suspense</v>
      </c>
      <c r="B8" s="1390">
        <f>_xlfn.XLOOKUP(A8,'TB.1 - F25'!A:A,'TB.1 - F25'!D:D,0,0,1)</f>
        <v>0</v>
      </c>
      <c r="C8" s="1390">
        <f>_xlfn.XLOOKUP(A8,'TB.1 - F25'!A:A,'TB.1 - F25'!H:H,0,0,1)</f>
        <v>0</v>
      </c>
      <c r="D8" s="1390">
        <f>_xlfn.XLOOKUP(A8,'AJE.1 - F25'!A:A,'AJE.1 - F25'!F:F,0,0,1)</f>
        <v>0</v>
      </c>
      <c r="E8" s="1390"/>
      <c r="F8" s="665">
        <f t="shared" ref="F8:F71" si="4">ROUND(SUM(B8:E8),0)</f>
        <v>0</v>
      </c>
      <c r="G8" s="1390">
        <f>_xlfn.XLOOKUP($A8,TB.PRO!$A:$A,TB.PRO!F:F,0,0,1)</f>
        <v>0</v>
      </c>
      <c r="H8" s="1390">
        <f>_xlfn.XLOOKUP($A8,TB.PRO!$A:$A,TB.PRO!G:G,0,0,1)</f>
        <v>0</v>
      </c>
      <c r="I8" s="1390"/>
      <c r="J8" s="1390"/>
      <c r="K8" s="1390">
        <f>_xlfn.XLOOKUP($A8,'AJE.1 - F25'!$S$12:$S$21,'AJE.1 - F25'!$U$12:$U$21,0,0,1)</f>
        <v>0</v>
      </c>
      <c r="L8" s="665">
        <f t="shared" ref="L8:L71" si="5">ROUND(SUM(G8:K8),0)</f>
        <v>0</v>
      </c>
      <c r="M8" s="1390">
        <f>_xlfn.XLOOKUP($A8,TB.PRO!$A:$A,TB.PRO!I:I,0,0,1)</f>
        <v>0</v>
      </c>
      <c r="N8" s="1390">
        <f>_xlfn.XLOOKUP($A8,TB.PRO!$A:$A,TB.PRO!J:J,0,0,1)</f>
        <v>0</v>
      </c>
      <c r="O8" s="1390"/>
      <c r="P8" s="1390"/>
      <c r="Q8" s="1390">
        <f>_xlfn.XLOOKUP($A8,'AJE.1 - F25'!$S$12:$S$21,'AJE.1 - F25'!$U$12:$U$21,0,0,1)</f>
        <v>0</v>
      </c>
      <c r="R8" s="665">
        <f t="shared" ref="R8:R71" si="6">ROUND(SUM(M8:Q8),0)</f>
        <v>0</v>
      </c>
      <c r="S8" s="1390">
        <f>M8+O8</f>
        <v>0</v>
      </c>
      <c r="T8" s="1390">
        <f>N8+P8</f>
        <v>0</v>
      </c>
      <c r="U8" s="1390"/>
      <c r="V8" s="1390"/>
      <c r="W8" s="1390">
        <f>_xlfn.XLOOKUP($A8,'AJE.1 - F25'!$S$12:$S$21,'AJE.1 - F25'!$U$12:$U$21,0,0,1)</f>
        <v>0</v>
      </c>
      <c r="X8" s="665">
        <f t="shared" ref="X8:X71" si="7">ROUND(SUM(S8:W8),0)</f>
        <v>0</v>
      </c>
      <c r="Y8" s="1390">
        <f>S8+U8</f>
        <v>0</v>
      </c>
      <c r="Z8" s="1390">
        <f>T8+V8</f>
        <v>0</v>
      </c>
      <c r="AA8" s="1390"/>
      <c r="AB8" s="1390"/>
      <c r="AC8" s="1390">
        <f>_xlfn.XLOOKUP($A8,'AJE.1 - F25'!$S$12:$S$21,'AJE.1 - F25'!$U$12:$U$21,0,0,1)</f>
        <v>0</v>
      </c>
      <c r="AD8" s="214">
        <f t="shared" ref="AD8:AD39" si="8">ROUND(SUM(Y8:AC8),0)</f>
        <v>0</v>
      </c>
      <c r="AE8" s="1390">
        <f>Y8+AA8</f>
        <v>0</v>
      </c>
      <c r="AF8" s="1390">
        <f>Z8+AB8</f>
        <v>0</v>
      </c>
      <c r="AG8" s="1390"/>
      <c r="AH8" s="1390"/>
      <c r="AI8" s="1390">
        <f>_xlfn.XLOOKUP($A8,'AJE.1 - F25'!$S$12:$S$21,'AJE.1 - F25'!$U$12:$U$21,0,0,1)</f>
        <v>0</v>
      </c>
      <c r="AJ8" s="214">
        <f t="shared" ref="AJ8:AJ39" si="9">ROUND(SUM(AE8:AI8),0)</f>
        <v>0</v>
      </c>
      <c r="AK8" s="178" t="str">
        <f>_xlfn.XLOOKUP($A8,COA!$B:$B,COA!$C:$C,0,0,1)</f>
        <v>Cash</v>
      </c>
      <c r="AL8" s="178" t="str">
        <f>_xlfn.XLOOKUP($A8,COA!$B:$B,COA!$D:$D,0,0,1)</f>
        <v>Cash</v>
      </c>
      <c r="AM8" s="178" t="str">
        <f>_xlfn.XLOOKUP($A8,COA!$B:$B,COA!$E:$E,0,0,1)</f>
        <v>Cash</v>
      </c>
      <c r="AO8" s="85" t="str">
        <f>AM8</f>
        <v>Cash</v>
      </c>
      <c r="AP8" s="85"/>
      <c r="AQ8" s="85"/>
      <c r="AR8" s="85"/>
      <c r="AS8" s="85"/>
      <c r="AT8" s="85"/>
      <c r="AU8" s="85"/>
      <c r="AV8" s="85"/>
      <c r="AW8" s="85"/>
      <c r="AX8" s="85"/>
      <c r="AY8" s="85"/>
      <c r="AZ8" s="85"/>
      <c r="BA8" s="85"/>
      <c r="BB8" s="85"/>
      <c r="BC8" s="85"/>
      <c r="BD8" s="85"/>
      <c r="BE8" s="85"/>
      <c r="BF8" s="85"/>
      <c r="BG8" s="85"/>
    </row>
    <row r="9" spans="1:60" x14ac:dyDescent="0.25">
      <c r="A9" s="1393" t="str">
        <f>COA!B5</f>
        <v>1000 Chequing - 5002829</v>
      </c>
      <c r="B9" s="1390">
        <f>_xlfn.XLOOKUP(A9,'TB.1 - F25'!A:A,'TB.1 - F25'!D:D,0,0,1)</f>
        <v>-101.64</v>
      </c>
      <c r="C9" s="1390">
        <f>_xlfn.XLOOKUP(A9,'TB.1 - F25'!A:A,'TB.1 - F25'!H:H,0,0,1)</f>
        <v>0</v>
      </c>
      <c r="D9" s="1390">
        <f>_xlfn.XLOOKUP(A9,'AJE.1 - F25'!A:A,'AJE.1 - F25'!F:F,0,0,1)</f>
        <v>0</v>
      </c>
      <c r="E9" s="1390"/>
      <c r="F9" s="665">
        <f>ROUND(SUM(B9:E9),0)</f>
        <v>-102</v>
      </c>
      <c r="G9" s="1390">
        <f>_xlfn.XLOOKUP($A9,TB.PRO!$A:$A,TB.PRO!F:F,0,0,1)</f>
        <v>-165.34</v>
      </c>
      <c r="H9" s="1390">
        <f>_xlfn.XLOOKUP($A9,TB.PRO!$A:$A,TB.PRO!G:G,0,0,1)</f>
        <v>0</v>
      </c>
      <c r="I9" s="1390">
        <f>-SUM(I100:I136)</f>
        <v>-111197.52499999999</v>
      </c>
      <c r="J9" s="1390">
        <f>-J110-J74-J133-SUM(J54,J55,J56,J57,J60,J62,J64)</f>
        <v>2491092.89</v>
      </c>
      <c r="K9" s="1581">
        <f>B192-SUM(K38,K39,K40,K45)</f>
        <v>-935886.12333333329</v>
      </c>
      <c r="L9" s="665">
        <f>ROUND(SUM(G9:K9),0)</f>
        <v>1443844</v>
      </c>
      <c r="M9" s="1390">
        <f>_xlfn.XLOOKUP($A9,TB.PRO!$A:$A,TB.PRO!I:I,0,0,1)</f>
        <v>-165.34</v>
      </c>
      <c r="N9" s="1390">
        <f>_xlfn.XLOOKUP($A9,TB.PRO!$A:$A,TB.PRO!J:J,0,0,1)</f>
        <v>0</v>
      </c>
      <c r="O9" s="1390">
        <f>I9-SUM(O100:O175,O177:O184)</f>
        <v>150183.62903333342</v>
      </c>
      <c r="P9" s="1390">
        <f>J9-P133</f>
        <v>2131092.89</v>
      </c>
      <c r="Q9" s="1581">
        <f>K9-Q41</f>
        <v>-966337.32333333325</v>
      </c>
      <c r="R9" s="665">
        <f>ROUND(SUM(M9:Q9),0)</f>
        <v>1314774</v>
      </c>
      <c r="S9" s="1390">
        <f>M9+O9+Q9</f>
        <v>-816319.03429999982</v>
      </c>
      <c r="T9" s="1390">
        <f>N9+P9</f>
        <v>2131092.89</v>
      </c>
      <c r="U9" s="1390">
        <f>-SUM(U101:U162,U178:U180)-U38-U39-U40-U45</f>
        <v>3113291.6663723337</v>
      </c>
      <c r="V9" s="1619">
        <f>-SUM(V74,V84,V133)</f>
        <v>-3360000</v>
      </c>
      <c r="W9" s="1626">
        <f>-W41</f>
        <v>-157951.20000000001</v>
      </c>
      <c r="X9" s="665">
        <f>ROUND(SUM(S9:W9),0)</f>
        <v>910114</v>
      </c>
      <c r="Y9" s="1390">
        <f>S9+U9</f>
        <v>2296972.6320723337</v>
      </c>
      <c r="Z9" s="1390">
        <f>T9+V9</f>
        <v>-1228907.1099999999</v>
      </c>
      <c r="AA9" s="1390">
        <f>-SUM(AA101:AA162,AA178:AA180)-AA38</f>
        <v>8747938.1250876952</v>
      </c>
      <c r="AB9" s="1390"/>
      <c r="AC9" s="1626">
        <f>-AC41</f>
        <v>-457951.2</v>
      </c>
      <c r="AD9" s="219">
        <f>ROUND(SUM(Y9:AC9),0)</f>
        <v>9358052</v>
      </c>
      <c r="AE9" s="1390">
        <f>Y9+AA9</f>
        <v>11044910.757160028</v>
      </c>
      <c r="AF9" s="1390">
        <f>Z9+AB9</f>
        <v>-1228907.1099999999</v>
      </c>
      <c r="AG9" s="1390">
        <f>-SUM(AG101:AG162,AG178:AG180)-AG38</f>
        <v>16100762.115913432</v>
      </c>
      <c r="AH9" s="1390"/>
      <c r="AI9" s="1626">
        <f>-AI41</f>
        <v>-982951.2</v>
      </c>
      <c r="AJ9" s="219">
        <f>ROUND(SUM(AE9:AI9),0)</f>
        <v>24933815</v>
      </c>
      <c r="AK9" s="178" t="str">
        <f>_xlfn.XLOOKUP($A9,COA!$B:$B,COA!$C:$C,0,0,1)</f>
        <v>Cash</v>
      </c>
      <c r="AL9" s="178" t="str">
        <f>_xlfn.XLOOKUP($A9,COA!$B:$B,COA!$D:$D,0,0,1)</f>
        <v>Cash</v>
      </c>
      <c r="AM9" s="178" t="str">
        <f>_xlfn.XLOOKUP($A9,COA!$B:$B,COA!$E:$E,0,0,1)</f>
        <v>Cash</v>
      </c>
      <c r="AO9" s="85" t="str">
        <f>_xlfn.XLOOKUP(AM9,FS.1!A:A,AM:AM,0,0,1)</f>
        <v>Cash</v>
      </c>
      <c r="AP9" s="85"/>
      <c r="AQ9" s="85"/>
      <c r="AR9" s="85"/>
      <c r="AS9" s="85"/>
      <c r="AT9" s="85"/>
      <c r="AU9" s="85"/>
      <c r="AV9" s="85"/>
      <c r="AW9" s="85"/>
      <c r="AX9" s="85"/>
      <c r="AY9" s="85"/>
      <c r="AZ9" s="85"/>
      <c r="BA9" s="85"/>
      <c r="BB9" s="85"/>
      <c r="BC9" s="85"/>
      <c r="BD9" s="85"/>
      <c r="BE9" s="85"/>
      <c r="BF9" s="85"/>
      <c r="BG9" s="85"/>
    </row>
    <row r="10" spans="1:60" hidden="1" x14ac:dyDescent="0.25">
      <c r="A10" s="1393" t="str">
        <f>COA!B6</f>
        <v>1000 Undeposited Funds</v>
      </c>
      <c r="B10" s="1390">
        <f>_xlfn.XLOOKUP(A10,'TB.1 - F25'!A:A,'TB.1 - F25'!D:D,0,0,1)</f>
        <v>0</v>
      </c>
      <c r="C10" s="1390">
        <f>_xlfn.XLOOKUP(A10,'TB.1 - F25'!A:A,'TB.1 - F25'!H:H,0,0,1)</f>
        <v>0</v>
      </c>
      <c r="D10" s="1390">
        <f>_xlfn.XLOOKUP(A10,'AJE.1 - F25'!A:A,'AJE.1 - F25'!F:F,0,0,1)</f>
        <v>0</v>
      </c>
      <c r="E10" s="1390"/>
      <c r="F10" s="665">
        <f>ROUND(SUM(B10:E10),0)</f>
        <v>0</v>
      </c>
      <c r="G10" s="1390">
        <f>_xlfn.XLOOKUP($A10,TB.PRO!$A:$A,TB.PRO!F:F,0,0,1)</f>
        <v>0</v>
      </c>
      <c r="H10" s="1390">
        <f>_xlfn.XLOOKUP($A10,TB.PRO!$A:$A,TB.PRO!G:G,0,0,1)</f>
        <v>0</v>
      </c>
      <c r="I10" s="1390"/>
      <c r="J10" s="1390"/>
      <c r="K10" s="1390">
        <f>_xlfn.XLOOKUP($A10,'AJE.1 - F25'!$S$12:$S$21,'AJE.1 - F25'!$U$12:$U$21,0,0,1)</f>
        <v>0</v>
      </c>
      <c r="L10" s="665">
        <f>ROUND(SUM(G10:K10),0)</f>
        <v>0</v>
      </c>
      <c r="M10" s="1390">
        <f>_xlfn.XLOOKUP($A10,TB.PRO!$A:$A,TB.PRO!I:I,0,0,1)</f>
        <v>0</v>
      </c>
      <c r="N10" s="1390">
        <f>_xlfn.XLOOKUP($A10,TB.PRO!$A:$A,TB.PRO!J:J,0,0,1)</f>
        <v>0</v>
      </c>
      <c r="O10" s="1390"/>
      <c r="P10" s="1390"/>
      <c r="Q10" s="1390">
        <f>_xlfn.XLOOKUP($A10,'AJE.1 - F25'!$S$12:$S$21,'AJE.1 - F25'!$U$12:$U$21,0,0,1)</f>
        <v>0</v>
      </c>
      <c r="R10" s="665">
        <f>ROUND(SUM(M10:Q10),0)</f>
        <v>0</v>
      </c>
      <c r="S10" s="1390">
        <f>M10+O10</f>
        <v>0</v>
      </c>
      <c r="T10" s="1390">
        <f>N10+P10</f>
        <v>0</v>
      </c>
      <c r="U10" s="1390"/>
      <c r="V10" s="1390"/>
      <c r="W10" s="1390">
        <f>_xlfn.XLOOKUP($A10,'AJE.1 - F25'!$S$12:$S$21,'AJE.1 - F25'!$U$12:$U$21,0,0,1)</f>
        <v>0</v>
      </c>
      <c r="X10" s="665">
        <f>ROUND(SUM(S10:W10),0)</f>
        <v>0</v>
      </c>
      <c r="Y10" s="1390">
        <f>S10+U10</f>
        <v>0</v>
      </c>
      <c r="Z10" s="1390">
        <f>T10+V10</f>
        <v>0</v>
      </c>
      <c r="AA10" s="1390"/>
      <c r="AB10" s="1390"/>
      <c r="AC10" s="1390">
        <f>_xlfn.XLOOKUP($A10,'AJE.1 - F25'!$S$12:$S$21,'AJE.1 - F25'!$U$12:$U$21,0,0,1)</f>
        <v>0</v>
      </c>
      <c r="AD10" s="219">
        <f>ROUND(SUM(Y10:AC10),0)</f>
        <v>0</v>
      </c>
      <c r="AE10" s="1390">
        <f>Y10+AA10</f>
        <v>0</v>
      </c>
      <c r="AF10" s="1390">
        <f>Z10+AB10</f>
        <v>0</v>
      </c>
      <c r="AG10" s="1390"/>
      <c r="AH10" s="1390"/>
      <c r="AI10" s="1390">
        <f>_xlfn.XLOOKUP($A10,'AJE.1 - F25'!$S$12:$S$21,'AJE.1 - F25'!$U$12:$U$21,0,0,1)</f>
        <v>0</v>
      </c>
      <c r="AJ10" s="219">
        <f>ROUND(SUM(AE10:AI10),0)</f>
        <v>0</v>
      </c>
      <c r="AK10" s="178" t="str">
        <f>_xlfn.XLOOKUP($A10,COA!$B:$B,COA!$C:$C,0,0,1)</f>
        <v>Cash</v>
      </c>
      <c r="AL10" s="178" t="str">
        <f>_xlfn.XLOOKUP($A10,COA!$B:$B,COA!$D:$D,0,0,1)</f>
        <v>Cash</v>
      </c>
      <c r="AM10" s="178" t="str">
        <f>_xlfn.XLOOKUP($A10,COA!$B:$B,COA!$E:$E,0,0,1)</f>
        <v>Cash</v>
      </c>
      <c r="AO10" s="85" t="str">
        <f t="shared" ref="AO10:AO11" si="10">AM10</f>
        <v>Cash</v>
      </c>
      <c r="AP10" s="85"/>
      <c r="AQ10" s="85"/>
      <c r="AR10" s="85"/>
      <c r="AS10" s="85"/>
      <c r="AT10" s="85"/>
      <c r="AU10" s="85"/>
      <c r="AV10" s="85"/>
      <c r="AW10" s="85"/>
      <c r="AX10" s="85"/>
      <c r="AY10" s="85"/>
      <c r="AZ10" s="85"/>
      <c r="BA10" s="85"/>
      <c r="BB10" s="85"/>
      <c r="BC10" s="85"/>
      <c r="BD10" s="85"/>
      <c r="BE10" s="85"/>
      <c r="BF10" s="85"/>
      <c r="BG10" s="85"/>
    </row>
    <row r="11" spans="1:60" x14ac:dyDescent="0.25">
      <c r="A11" s="1393" t="str">
        <f>COA!B7</f>
        <v>1001 Petty Cash</v>
      </c>
      <c r="B11" s="1390">
        <f>_xlfn.XLOOKUP(A11,'TB.1 - F25'!A:A,'TB.1 - F25'!D:D,0,0,1)</f>
        <v>0</v>
      </c>
      <c r="C11" s="1390">
        <f>_xlfn.XLOOKUP(A11,'TB.1 - F25'!A:A,'TB.1 - F25'!H:H,0,0,1)</f>
        <v>198</v>
      </c>
      <c r="D11" s="1390">
        <f>_xlfn.XLOOKUP(A11,'AJE.1 - F25'!A:A,'AJE.1 - F25'!F:F,0,0,1)</f>
        <v>0</v>
      </c>
      <c r="E11" s="1390"/>
      <c r="F11" s="665">
        <f>ROUND(SUM(B11:E11),0)</f>
        <v>198</v>
      </c>
      <c r="G11" s="1390">
        <f>_xlfn.XLOOKUP($A11,TB.PRO!$A:$A,TB.PRO!F:F,0,0,1)</f>
        <v>0</v>
      </c>
      <c r="H11" s="1390">
        <f>_xlfn.XLOOKUP($A11,TB.PRO!$A:$A,TB.PRO!G:G,0,0,1)</f>
        <v>198</v>
      </c>
      <c r="I11" s="1390"/>
      <c r="J11" s="1390"/>
      <c r="K11" s="1390">
        <f>_xlfn.XLOOKUP($A11,'AJE.1 - F25'!$S$12:$S$21,'AJE.1 - F25'!$U$12:$U$21,0,0,1)</f>
        <v>0</v>
      </c>
      <c r="L11" s="665">
        <f>ROUND(SUM(G11:K11),0)</f>
        <v>198</v>
      </c>
      <c r="M11" s="1390">
        <f>_xlfn.XLOOKUP($A11,TB.PRO!$A:$A,TB.PRO!I:I,0,0,1)</f>
        <v>0</v>
      </c>
      <c r="N11" s="1390">
        <f>_xlfn.XLOOKUP($A11,TB.PRO!$A:$A,TB.PRO!J:J,0,0,1)</f>
        <v>198</v>
      </c>
      <c r="O11" s="1390"/>
      <c r="P11" s="1390"/>
      <c r="Q11" s="1390">
        <f>_xlfn.XLOOKUP($A11,'AJE.1 - F25'!$S$12:$S$21,'AJE.1 - F25'!$U$12:$U$21,0,0,1)</f>
        <v>0</v>
      </c>
      <c r="R11" s="665">
        <f>ROUND(SUM(M11:Q11),0)</f>
        <v>198</v>
      </c>
      <c r="S11" s="1390">
        <f>M11+O11</f>
        <v>0</v>
      </c>
      <c r="T11" s="1390">
        <f>N11+P11</f>
        <v>198</v>
      </c>
      <c r="U11" s="1390"/>
      <c r="V11" s="1390"/>
      <c r="W11" s="1390">
        <f>_xlfn.XLOOKUP($A11,'AJE.1 - F25'!$S$12:$S$21,'AJE.1 - F25'!$U$12:$U$21,0,0,1)</f>
        <v>0</v>
      </c>
      <c r="X11" s="665">
        <f>ROUND(SUM(S11:W11),0)</f>
        <v>198</v>
      </c>
      <c r="Y11" s="1390">
        <f>S11+U11</f>
        <v>0</v>
      </c>
      <c r="Z11" s="1390">
        <f>T11+V11</f>
        <v>198</v>
      </c>
      <c r="AA11" s="1390"/>
      <c r="AB11" s="1390"/>
      <c r="AC11" s="1390">
        <f>_xlfn.XLOOKUP($A11,'AJE.1 - F25'!$S$12:$S$21,'AJE.1 - F25'!$U$12:$U$21,0,0,1)</f>
        <v>0</v>
      </c>
      <c r="AD11" s="219">
        <f>ROUND(SUM(Y11:AC11),0)</f>
        <v>198</v>
      </c>
      <c r="AE11" s="1390">
        <f>Y11+AA11</f>
        <v>0</v>
      </c>
      <c r="AF11" s="1390">
        <f>Z11+AB11</f>
        <v>198</v>
      </c>
      <c r="AG11" s="1390"/>
      <c r="AH11" s="1390"/>
      <c r="AI11" s="1390">
        <f>_xlfn.XLOOKUP($A11,'AJE.1 - F25'!$S$12:$S$21,'AJE.1 - F25'!$U$12:$U$21,0,0,1)</f>
        <v>0</v>
      </c>
      <c r="AJ11" s="219">
        <f>ROUND(SUM(AE11:AI11),0)</f>
        <v>198</v>
      </c>
      <c r="AK11" s="178" t="str">
        <f>_xlfn.XLOOKUP($A11,COA!$B:$B,COA!$C:$C,0,0,1)</f>
        <v>Cash</v>
      </c>
      <c r="AL11" s="178" t="str">
        <f>_xlfn.XLOOKUP($A11,COA!$B:$B,COA!$D:$D,0,0,1)</f>
        <v>Cash</v>
      </c>
      <c r="AM11" s="178" t="str">
        <f>_xlfn.XLOOKUP($A11,COA!$B:$B,COA!$E:$E,0,0,1)</f>
        <v>Cash</v>
      </c>
      <c r="AO11" s="85" t="str">
        <f t="shared" si="10"/>
        <v>Cash</v>
      </c>
      <c r="AP11" s="85"/>
      <c r="AQ11" s="85"/>
      <c r="AR11" s="85"/>
      <c r="AS11" s="85"/>
      <c r="AT11" s="85"/>
      <c r="AU11" s="85"/>
      <c r="AV11" s="85"/>
      <c r="AW11" s="85"/>
      <c r="AX11" s="85"/>
      <c r="AY11" s="85"/>
      <c r="AZ11" s="85"/>
      <c r="BA11" s="85"/>
      <c r="BB11" s="85"/>
      <c r="BC11" s="85"/>
      <c r="BD11" s="85"/>
      <c r="BE11" s="85"/>
      <c r="BF11" s="85"/>
      <c r="BG11" s="85"/>
    </row>
    <row r="12" spans="1:60" x14ac:dyDescent="0.25">
      <c r="A12" s="1393" t="str">
        <f>COA!B8</f>
        <v>1002 TD - Chequing 1869</v>
      </c>
      <c r="B12" s="1390">
        <f>_xlfn.XLOOKUP(A12,'TB.1 - F25'!A:A,'TB.1 - F25'!D:D,0,0,1)</f>
        <v>0</v>
      </c>
      <c r="C12" s="1390">
        <f>_xlfn.XLOOKUP(A12,'TB.1 - F25'!A:A,'TB.1 - F25'!H:H,0,0,1)</f>
        <v>52.7</v>
      </c>
      <c r="D12" s="1390">
        <f>_xlfn.XLOOKUP(A12,'AJE.1 - F25'!A:A,'AJE.1 - F25'!F:F,0,0,1)</f>
        <v>0</v>
      </c>
      <c r="E12" s="1390"/>
      <c r="F12" s="665">
        <f>ROUND(SUM(B12:E12),0)</f>
        <v>53</v>
      </c>
      <c r="G12" s="1390">
        <f>_xlfn.XLOOKUP($A12,TB.PRO!$A:$A,TB.PRO!F:F,0,0,1)</f>
        <v>0</v>
      </c>
      <c r="H12" s="1390">
        <f>_xlfn.XLOOKUP($A12,TB.PRO!$A:$A,TB.PRO!G:G,0,0,1)</f>
        <v>436367.55</v>
      </c>
      <c r="I12" s="1390"/>
      <c r="J12" s="1390"/>
      <c r="K12" s="1390">
        <f>_xlfn.XLOOKUP($A12,'AJE.1 - F25'!$S$12:$S$21,'AJE.1 - F25'!$U$12:$U$21,0,0,1)</f>
        <v>0</v>
      </c>
      <c r="L12" s="665">
        <f>ROUND(SUM(G12:K12),0)</f>
        <v>436368</v>
      </c>
      <c r="M12" s="1390">
        <f>_xlfn.XLOOKUP($A12,TB.PRO!$A:$A,TB.PRO!I:I,0,0,1)</f>
        <v>0</v>
      </c>
      <c r="N12" s="1390">
        <f>_xlfn.XLOOKUP($A12,TB.PRO!$A:$A,TB.PRO!J:J,0,0,1)</f>
        <v>436367.55</v>
      </c>
      <c r="O12" s="1390"/>
      <c r="P12" s="1390"/>
      <c r="Q12" s="1390">
        <f>_xlfn.XLOOKUP($A12,'AJE.1 - F25'!$S$12:$S$21,'AJE.1 - F25'!$U$12:$U$21,0,0,1)</f>
        <v>0</v>
      </c>
      <c r="R12" s="665">
        <f>ROUND(SUM(M12:Q12),0)</f>
        <v>436368</v>
      </c>
      <c r="S12" s="1390">
        <f>M12+O12</f>
        <v>0</v>
      </c>
      <c r="T12" s="1390">
        <f>N12+P12</f>
        <v>436367.55</v>
      </c>
      <c r="U12" s="1390"/>
      <c r="V12" s="1390"/>
      <c r="W12" s="1390">
        <f>_xlfn.XLOOKUP($A12,'AJE.1 - F25'!$S$12:$S$21,'AJE.1 - F25'!$U$12:$U$21,0,0,1)</f>
        <v>0</v>
      </c>
      <c r="X12" s="665">
        <f>ROUND(SUM(S12:W12),0)</f>
        <v>436368</v>
      </c>
      <c r="Y12" s="1390">
        <f>S12+U12</f>
        <v>0</v>
      </c>
      <c r="Z12" s="1390">
        <f>T12+V12</f>
        <v>436367.55</v>
      </c>
      <c r="AA12" s="1390"/>
      <c r="AB12" s="1390"/>
      <c r="AC12" s="1390">
        <f>_xlfn.XLOOKUP($A12,'AJE.1 - F25'!$S$12:$S$21,'AJE.1 - F25'!$U$12:$U$21,0,0,1)</f>
        <v>0</v>
      </c>
      <c r="AD12" s="219">
        <f>ROUND(SUM(Y12:AC12),0)</f>
        <v>436368</v>
      </c>
      <c r="AE12" s="1390">
        <f>Y12+AA12</f>
        <v>0</v>
      </c>
      <c r="AF12" s="1390">
        <f>Z12+AB12</f>
        <v>436367.55</v>
      </c>
      <c r="AG12" s="1390"/>
      <c r="AH12" s="1390"/>
      <c r="AI12" s="1390">
        <f>_xlfn.XLOOKUP($A12,'AJE.1 - F25'!$S$12:$S$21,'AJE.1 - F25'!$U$12:$U$21,0,0,1)</f>
        <v>0</v>
      </c>
      <c r="AJ12" s="219">
        <f>ROUND(SUM(AE12:AI12),0)</f>
        <v>436368</v>
      </c>
      <c r="AK12" s="178" t="str">
        <f>_xlfn.XLOOKUP($A12,COA!$B:$B,COA!$C:$C,0,0,1)</f>
        <v>Cash</v>
      </c>
      <c r="AL12" s="178" t="str">
        <f>_xlfn.XLOOKUP($A12,COA!$B:$B,COA!$D:$D,0,0,1)</f>
        <v>Cash</v>
      </c>
      <c r="AM12" s="178" t="str">
        <f>_xlfn.XLOOKUP($A12,COA!$B:$B,COA!$E:$E,0,0,1)</f>
        <v>Cash</v>
      </c>
      <c r="AO12" s="85" t="str">
        <f>_xlfn.XLOOKUP(AM12,FS.1!A:A,AM:AM,0,0,1)</f>
        <v>Cash</v>
      </c>
      <c r="AP12" s="85"/>
      <c r="AQ12" s="85"/>
      <c r="AR12" s="85"/>
      <c r="AS12" s="85"/>
      <c r="AT12" s="85"/>
      <c r="AU12" s="85"/>
      <c r="AV12" s="85"/>
      <c r="AW12" s="85"/>
      <c r="AX12" s="85"/>
      <c r="AY12" s="85"/>
      <c r="AZ12" s="85"/>
      <c r="BA12" s="85"/>
      <c r="BB12" s="85"/>
      <c r="BC12" s="85"/>
      <c r="BD12" s="85"/>
      <c r="BE12" s="85"/>
      <c r="BF12" s="85"/>
      <c r="BG12" s="85"/>
    </row>
    <row r="13" spans="1:60" x14ac:dyDescent="0.25">
      <c r="A13" s="1393" t="str">
        <f>COA!B9</f>
        <v>1003 TD - Savings 2407</v>
      </c>
      <c r="B13" s="1390">
        <f>_xlfn.XLOOKUP(A13,'TB.1 - F25'!A:A,'TB.1 - F25'!D:D,0,0,1)</f>
        <v>0</v>
      </c>
      <c r="C13" s="1390">
        <f>_xlfn.XLOOKUP(A13,'TB.1 - F25'!A:A,'TB.1 - F25'!H:H,0,0,1)</f>
        <v>0.03</v>
      </c>
      <c r="D13" s="1390">
        <f>_xlfn.XLOOKUP(A13,'AJE.1 - F25'!A:A,'AJE.1 - F25'!F:F,0,0,1)</f>
        <v>0</v>
      </c>
      <c r="E13" s="1390"/>
      <c r="F13" s="219">
        <f>ROUND(SUM(B13:E13),0)</f>
        <v>0</v>
      </c>
      <c r="G13" s="1390">
        <f>_xlfn.XLOOKUP($A13,TB.PRO!$A:$A,TB.PRO!F:F,0,0,1)</f>
        <v>0</v>
      </c>
      <c r="H13" s="1390">
        <f>_xlfn.XLOOKUP($A13,TB.PRO!$A:$A,TB.PRO!G:G,0,0,1)</f>
        <v>61000.03</v>
      </c>
      <c r="I13" s="1390"/>
      <c r="J13" s="1390"/>
      <c r="K13" s="1390">
        <f>_xlfn.XLOOKUP($A13,'AJE.1 - F25'!$S$12:$S$21,'AJE.1 - F25'!$U$12:$U$21,0,0,1)</f>
        <v>0</v>
      </c>
      <c r="L13" s="665">
        <f>ROUND(SUM(G13:K13),0)</f>
        <v>61000</v>
      </c>
      <c r="M13" s="1390">
        <f>_xlfn.XLOOKUP($A13,TB.PRO!$A:$A,TB.PRO!I:I,0,0,1)</f>
        <v>0</v>
      </c>
      <c r="N13" s="1390">
        <f>_xlfn.XLOOKUP($A13,TB.PRO!$A:$A,TB.PRO!J:J,0,0,1)</f>
        <v>61000.03</v>
      </c>
      <c r="O13" s="1390"/>
      <c r="P13" s="1390"/>
      <c r="Q13" s="1390">
        <f>_xlfn.XLOOKUP($A13,'AJE.1 - F25'!$S$12:$S$21,'AJE.1 - F25'!$U$12:$U$21,0,0,1)</f>
        <v>0</v>
      </c>
      <c r="R13" s="665">
        <f>ROUND(SUM(M13:Q13),0)</f>
        <v>61000</v>
      </c>
      <c r="S13" s="1390">
        <f>M13+O13</f>
        <v>0</v>
      </c>
      <c r="T13" s="1390">
        <f>N13+P13</f>
        <v>61000.03</v>
      </c>
      <c r="U13" s="1390"/>
      <c r="V13" s="1390"/>
      <c r="W13" s="1390">
        <f>_xlfn.XLOOKUP($A13,'AJE.1 - F25'!$S$12:$S$21,'AJE.1 - F25'!$U$12:$U$21,0,0,1)</f>
        <v>0</v>
      </c>
      <c r="X13" s="665">
        <f>ROUND(SUM(S13:W13),0)</f>
        <v>61000</v>
      </c>
      <c r="Y13" s="1390">
        <f>S13+U13</f>
        <v>0</v>
      </c>
      <c r="Z13" s="1390">
        <f>T13+V13</f>
        <v>61000.03</v>
      </c>
      <c r="AA13" s="1390"/>
      <c r="AB13" s="1390"/>
      <c r="AC13" s="1390">
        <f>_xlfn.XLOOKUP($A13,'AJE.1 - F25'!$S$12:$S$21,'AJE.1 - F25'!$U$12:$U$21,0,0,1)</f>
        <v>0</v>
      </c>
      <c r="AD13" s="219">
        <f>ROUND(SUM(Y13:AC13),0)</f>
        <v>61000</v>
      </c>
      <c r="AE13" s="1390">
        <f>Y13+AA13</f>
        <v>0</v>
      </c>
      <c r="AF13" s="1390">
        <f>Z13+AB13</f>
        <v>61000.03</v>
      </c>
      <c r="AG13" s="1390"/>
      <c r="AH13" s="1390"/>
      <c r="AI13" s="1390">
        <f>_xlfn.XLOOKUP($A13,'AJE.1 - F25'!$S$12:$S$21,'AJE.1 - F25'!$U$12:$U$21,0,0,1)</f>
        <v>0</v>
      </c>
      <c r="AJ13" s="219">
        <f>ROUND(SUM(AE13:AI13),0)</f>
        <v>61000</v>
      </c>
      <c r="AK13" s="178" t="str">
        <f>_xlfn.XLOOKUP($A13,COA!$B:$B,COA!$C:$C,0,0,1)</f>
        <v>Cash</v>
      </c>
      <c r="AL13" s="178" t="str">
        <f>_xlfn.XLOOKUP($A13,COA!$B:$B,COA!$D:$D,0,0,1)</f>
        <v>Cash</v>
      </c>
      <c r="AM13" s="178" t="str">
        <f>_xlfn.XLOOKUP($A13,COA!$B:$B,COA!$E:$E,0,0,1)</f>
        <v>Cash</v>
      </c>
      <c r="AO13" s="85" t="str">
        <f>AM13</f>
        <v>Cash</v>
      </c>
      <c r="AP13" s="85"/>
      <c r="AQ13" s="85"/>
      <c r="AR13" s="85"/>
      <c r="AS13" s="85"/>
      <c r="AT13" s="85"/>
      <c r="AU13" s="85"/>
      <c r="AV13" s="85"/>
      <c r="AW13" s="85"/>
      <c r="AX13" s="85"/>
      <c r="AY13" s="85"/>
      <c r="AZ13" s="85"/>
      <c r="BA13" s="85"/>
      <c r="BB13" s="85"/>
      <c r="BC13" s="85"/>
      <c r="BD13" s="85"/>
      <c r="BE13" s="85"/>
      <c r="BF13" s="85"/>
      <c r="BG13" s="85"/>
    </row>
    <row r="14" spans="1:60" x14ac:dyDescent="0.25">
      <c r="A14" s="1393" t="str">
        <f>COA!B10</f>
        <v>1004 TD - Visa 7692</v>
      </c>
      <c r="B14" s="1390">
        <f>_xlfn.XLOOKUP(A14,'TB.1 - F25'!A:A,'TB.1 - F25'!D:D,0,0,1)</f>
        <v>0</v>
      </c>
      <c r="C14" s="1390">
        <f>_xlfn.XLOOKUP(A14,'TB.1 - F25'!A:A,'TB.1 - F25'!H:H,0,0,1)</f>
        <v>-7199.51</v>
      </c>
      <c r="D14" s="1390">
        <f>_xlfn.XLOOKUP(A14,'AJE.1 - F25'!A:A,'AJE.1 - F25'!F:F,0,0,1)</f>
        <v>0</v>
      </c>
      <c r="E14" s="1390"/>
      <c r="F14" s="219">
        <f>ROUND(SUM(B14:E14),0)</f>
        <v>-7200</v>
      </c>
      <c r="G14" s="1390">
        <f>_xlfn.XLOOKUP($A14,TB.PRO!$A:$A,TB.PRO!F:F,0,0,1)</f>
        <v>0</v>
      </c>
      <c r="H14" s="1390">
        <f>_xlfn.XLOOKUP($A14,TB.PRO!$A:$A,TB.PRO!G:G,0,0,1)</f>
        <v>777.83</v>
      </c>
      <c r="I14" s="1390"/>
      <c r="J14" s="1390"/>
      <c r="K14" s="1390">
        <f>_xlfn.XLOOKUP($A14,'AJE.1 - F25'!$S$12:$S$21,'AJE.1 - F25'!$U$12:$U$21,0,0,1)</f>
        <v>0</v>
      </c>
      <c r="L14" s="665">
        <f>ROUND(SUM(G14:K14),0)</f>
        <v>778</v>
      </c>
      <c r="M14" s="1390">
        <f>_xlfn.XLOOKUP($A14,TB.PRO!$A:$A,TB.PRO!I:I,0,0,1)</f>
        <v>0</v>
      </c>
      <c r="N14" s="1390">
        <f>_xlfn.XLOOKUP($A14,TB.PRO!$A:$A,TB.PRO!J:J,0,0,1)</f>
        <v>777.83</v>
      </c>
      <c r="O14" s="1390"/>
      <c r="P14" s="1390"/>
      <c r="Q14" s="1390">
        <f>_xlfn.XLOOKUP($A14,'AJE.1 - F25'!$S$12:$S$21,'AJE.1 - F25'!$U$12:$U$21,0,0,1)</f>
        <v>0</v>
      </c>
      <c r="R14" s="665">
        <f>ROUND(SUM(M14:Q14),0)</f>
        <v>778</v>
      </c>
      <c r="S14" s="1390">
        <f>M14+O14</f>
        <v>0</v>
      </c>
      <c r="T14" s="1390">
        <f>N14+P14</f>
        <v>777.83</v>
      </c>
      <c r="U14" s="1390"/>
      <c r="V14" s="1390"/>
      <c r="W14" s="1390">
        <f>_xlfn.XLOOKUP($A14,'AJE.1 - F25'!$S$12:$S$21,'AJE.1 - F25'!$U$12:$U$21,0,0,1)</f>
        <v>0</v>
      </c>
      <c r="X14" s="665">
        <f>ROUND(SUM(S14:W14),0)</f>
        <v>778</v>
      </c>
      <c r="Y14" s="1390">
        <f>S14+U14</f>
        <v>0</v>
      </c>
      <c r="Z14" s="1390">
        <f>T14+V14</f>
        <v>777.83</v>
      </c>
      <c r="AA14" s="1390"/>
      <c r="AB14" s="1390"/>
      <c r="AC14" s="1390">
        <f>_xlfn.XLOOKUP($A14,'AJE.1 - F25'!$S$12:$S$21,'AJE.1 - F25'!$U$12:$U$21,0,0,1)</f>
        <v>0</v>
      </c>
      <c r="AD14" s="219">
        <f>ROUND(SUM(Y14:AC14),0)</f>
        <v>778</v>
      </c>
      <c r="AE14" s="1390">
        <f>Y14+AA14</f>
        <v>0</v>
      </c>
      <c r="AF14" s="1390">
        <f>Z14+AB14</f>
        <v>777.83</v>
      </c>
      <c r="AG14" s="1390"/>
      <c r="AH14" s="1390"/>
      <c r="AI14" s="1390">
        <f>_xlfn.XLOOKUP($A14,'AJE.1 - F25'!$S$12:$S$21,'AJE.1 - F25'!$U$12:$U$21,0,0,1)</f>
        <v>0</v>
      </c>
      <c r="AJ14" s="219">
        <f>ROUND(SUM(AE14:AI14),0)</f>
        <v>778</v>
      </c>
      <c r="AK14" s="178" t="str">
        <f>_xlfn.XLOOKUP($A14,COA!$B:$B,COA!$C:$C,0,0,1)</f>
        <v>Cash</v>
      </c>
      <c r="AL14" s="178" t="str">
        <f>_xlfn.XLOOKUP($A14,COA!$B:$B,COA!$D:$D,0,0,1)</f>
        <v>Cash</v>
      </c>
      <c r="AM14" s="178" t="str">
        <f>_xlfn.XLOOKUP($A14,COA!$B:$B,COA!$E:$E,0,0,1)</f>
        <v>Cash</v>
      </c>
      <c r="AO14" s="85" t="str">
        <f>_xlfn.XLOOKUP(AM14,FS.1!A:A,AM:AM,0,0,1)</f>
        <v>Cash</v>
      </c>
      <c r="AP14" s="85"/>
      <c r="AQ14" s="85"/>
      <c r="AR14" s="85"/>
      <c r="AS14" s="85"/>
      <c r="AT14" s="85"/>
      <c r="AU14" s="85"/>
      <c r="AV14" s="85"/>
      <c r="AW14" s="85"/>
      <c r="AX14" s="85"/>
      <c r="AY14" s="85"/>
      <c r="AZ14" s="85"/>
      <c r="BA14" s="85"/>
      <c r="BB14" s="85"/>
      <c r="BC14" s="85"/>
      <c r="BD14" s="85"/>
      <c r="BE14" s="85"/>
      <c r="BF14" s="85"/>
      <c r="BG14" s="85"/>
    </row>
    <row r="15" spans="1:60" hidden="1" x14ac:dyDescent="0.25">
      <c r="A15" s="1393" t="str">
        <f>COA!B11</f>
        <v>1005 Undeposited Funds</v>
      </c>
      <c r="B15" s="1390">
        <f>_xlfn.XLOOKUP(A15,'TB.1 - F25'!A:A,'TB.1 - F25'!D:D,0,0,1)</f>
        <v>0</v>
      </c>
      <c r="C15" s="1390">
        <f>_xlfn.XLOOKUP(A15,'TB.1 - F25'!A:A,'TB.1 - F25'!H:H,0,0,1)</f>
        <v>0</v>
      </c>
      <c r="D15" s="1390">
        <f>_xlfn.XLOOKUP(A15,'AJE.1 - F25'!A:A,'AJE.1 - F25'!F:F,0,0,1)</f>
        <v>0</v>
      </c>
      <c r="E15" s="1390"/>
      <c r="F15" s="219">
        <f>ROUND(SUM(B15:E15),0)</f>
        <v>0</v>
      </c>
      <c r="G15" s="1390">
        <f>_xlfn.XLOOKUP($A15,TB.PRO!$A:$A,TB.PRO!F:F,0,0,1)</f>
        <v>0</v>
      </c>
      <c r="H15" s="1390">
        <f>_xlfn.XLOOKUP($A15,TB.PRO!$A:$A,TB.PRO!G:G,0,0,1)</f>
        <v>0</v>
      </c>
      <c r="I15" s="1390"/>
      <c r="J15" s="1390"/>
      <c r="K15" s="1390">
        <f>_xlfn.XLOOKUP($A15,'AJE.1 - F25'!$S$12:$S$21,'AJE.1 - F25'!$U$12:$U$21,0,0,1)</f>
        <v>0</v>
      </c>
      <c r="L15" s="665">
        <f>ROUND(SUM(G15:K15),0)</f>
        <v>0</v>
      </c>
      <c r="M15" s="1390">
        <f>_xlfn.XLOOKUP($A15,TB.PRO!$A:$A,TB.PRO!I:I,0,0,1)</f>
        <v>0</v>
      </c>
      <c r="N15" s="1390">
        <f>_xlfn.XLOOKUP($A15,TB.PRO!$A:$A,TB.PRO!J:J,0,0,1)</f>
        <v>0</v>
      </c>
      <c r="O15" s="1390"/>
      <c r="P15" s="1390"/>
      <c r="Q15" s="1390">
        <f>_xlfn.XLOOKUP($A15,'AJE.1 - F25'!$S$12:$S$21,'AJE.1 - F25'!$U$12:$U$21,0,0,1)</f>
        <v>0</v>
      </c>
      <c r="R15" s="665">
        <f>ROUND(SUM(M15:Q15),0)</f>
        <v>0</v>
      </c>
      <c r="S15" s="1390">
        <f>M15+O15</f>
        <v>0</v>
      </c>
      <c r="T15" s="1390">
        <f>N15+P15</f>
        <v>0</v>
      </c>
      <c r="U15" s="1390"/>
      <c r="V15" s="1390"/>
      <c r="W15" s="1390">
        <f>_xlfn.XLOOKUP($A15,'AJE.1 - F25'!$S$12:$S$21,'AJE.1 - F25'!$U$12:$U$21,0,0,1)</f>
        <v>0</v>
      </c>
      <c r="X15" s="665">
        <f>ROUND(SUM(S15:W15),0)</f>
        <v>0</v>
      </c>
      <c r="Y15" s="1390">
        <f>S15+U15</f>
        <v>0</v>
      </c>
      <c r="Z15" s="1390">
        <f>T15+V15</f>
        <v>0</v>
      </c>
      <c r="AA15" s="1390"/>
      <c r="AB15" s="1390"/>
      <c r="AC15" s="1390">
        <f>_xlfn.XLOOKUP($A15,'AJE.1 - F25'!$S$12:$S$21,'AJE.1 - F25'!$U$12:$U$21,0,0,1)</f>
        <v>0</v>
      </c>
      <c r="AD15" s="219">
        <f>ROUND(SUM(Y15:AC15),0)</f>
        <v>0</v>
      </c>
      <c r="AE15" s="1390">
        <f>Y15+AA15</f>
        <v>0</v>
      </c>
      <c r="AF15" s="1390">
        <f>Z15+AB15</f>
        <v>0</v>
      </c>
      <c r="AG15" s="1390"/>
      <c r="AH15" s="1390"/>
      <c r="AI15" s="1390">
        <f>_xlfn.XLOOKUP($A15,'AJE.1 - F25'!$S$12:$S$21,'AJE.1 - F25'!$U$12:$U$21,0,0,1)</f>
        <v>0</v>
      </c>
      <c r="AJ15" s="219">
        <f>ROUND(SUM(AE15:AI15),0)</f>
        <v>0</v>
      </c>
      <c r="AK15" s="178" t="str">
        <f>_xlfn.XLOOKUP($A15,COA!$B:$B,COA!$C:$C,0,0,1)</f>
        <v>Cash</v>
      </c>
      <c r="AL15" s="178" t="str">
        <f>_xlfn.XLOOKUP($A15,COA!$B:$B,COA!$D:$D,0,0,1)</f>
        <v>Cash</v>
      </c>
      <c r="AM15" s="178" t="str">
        <f>_xlfn.XLOOKUP($A15,COA!$B:$B,COA!$E:$E,0,0,1)</f>
        <v>Cash</v>
      </c>
      <c r="AO15" s="85" t="str">
        <f t="shared" ref="AO15:AO17" si="11">AM15</f>
        <v>Cash</v>
      </c>
      <c r="AP15" s="85"/>
      <c r="AQ15" s="85"/>
      <c r="AR15" s="85"/>
      <c r="AS15" s="85"/>
      <c r="AT15" s="85"/>
      <c r="AU15" s="85"/>
      <c r="AV15" s="85"/>
      <c r="AW15" s="85"/>
      <c r="AX15" s="85"/>
      <c r="AY15" s="85"/>
      <c r="AZ15" s="85"/>
      <c r="BA15" s="85"/>
      <c r="BB15" s="85"/>
      <c r="BC15" s="85"/>
      <c r="BD15" s="85"/>
      <c r="BE15" s="85"/>
      <c r="BF15" s="85"/>
      <c r="BG15" s="85"/>
    </row>
    <row r="16" spans="1:60" x14ac:dyDescent="0.25">
      <c r="A16" s="1393" t="str">
        <f>COA!B12</f>
        <v>1005 Interior Savings - 5224</v>
      </c>
      <c r="B16" s="1390">
        <f>_xlfn.XLOOKUP(A16,'TB.1 - F25'!A:A,'TB.1 - F25'!D:D,0,0,1)</f>
        <v>0</v>
      </c>
      <c r="C16" s="1390">
        <f>_xlfn.XLOOKUP(A16,'TB.1 - F25'!A:A,'TB.1 - F25'!H:H,0,0,1)</f>
        <v>242.6</v>
      </c>
      <c r="D16" s="1390">
        <f>_xlfn.XLOOKUP(A16,'AJE.1 - F25'!A:A,'AJE.1 - F25'!F:F,0,0,1)</f>
        <v>0</v>
      </c>
      <c r="E16" s="1390"/>
      <c r="F16" s="219">
        <f>ROUND(SUM(B16:E16),0)</f>
        <v>243</v>
      </c>
      <c r="G16" s="1390">
        <f>_xlfn.XLOOKUP($A16,TB.PRO!$A:$A,TB.PRO!F:F,0,0,1)</f>
        <v>0</v>
      </c>
      <c r="H16" s="1390">
        <f>_xlfn.XLOOKUP($A16,TB.PRO!$A:$A,TB.PRO!G:G,0,0,1)</f>
        <v>242.6</v>
      </c>
      <c r="I16" s="1390"/>
      <c r="J16" s="1390"/>
      <c r="K16" s="1390">
        <f>_xlfn.XLOOKUP($A16,'AJE.1 - F25'!$S$12:$S$21,'AJE.1 - F25'!$U$12:$U$21,0,0,1)</f>
        <v>0</v>
      </c>
      <c r="L16" s="665">
        <f>ROUND(SUM(G16:K16),0)</f>
        <v>243</v>
      </c>
      <c r="M16" s="1390">
        <f>_xlfn.XLOOKUP($A16,TB.PRO!$A:$A,TB.PRO!I:I,0,0,1)</f>
        <v>0</v>
      </c>
      <c r="N16" s="1390">
        <f>_xlfn.XLOOKUP($A16,TB.PRO!$A:$A,TB.PRO!J:J,0,0,1)</f>
        <v>242.6</v>
      </c>
      <c r="O16" s="1390"/>
      <c r="P16" s="1390"/>
      <c r="Q16" s="1390">
        <f>_xlfn.XLOOKUP($A16,'AJE.1 - F25'!$S$12:$S$21,'AJE.1 - F25'!$U$12:$U$21,0,0,1)</f>
        <v>0</v>
      </c>
      <c r="R16" s="665">
        <f>ROUND(SUM(M16:Q16),0)</f>
        <v>243</v>
      </c>
      <c r="S16" s="1390">
        <f>M16+O16</f>
        <v>0</v>
      </c>
      <c r="T16" s="1390">
        <f>N16+P16</f>
        <v>242.6</v>
      </c>
      <c r="U16" s="1390"/>
      <c r="V16" s="1390"/>
      <c r="W16" s="1390">
        <f>_xlfn.XLOOKUP($A16,'AJE.1 - F25'!$S$12:$S$21,'AJE.1 - F25'!$U$12:$U$21,0,0,1)</f>
        <v>0</v>
      </c>
      <c r="X16" s="665">
        <f>ROUND(SUM(S16:W16),0)</f>
        <v>243</v>
      </c>
      <c r="Y16" s="1390">
        <f>S16+U16</f>
        <v>0</v>
      </c>
      <c r="Z16" s="1390">
        <f>T16+V16</f>
        <v>242.6</v>
      </c>
      <c r="AA16" s="1390"/>
      <c r="AB16" s="1390"/>
      <c r="AC16" s="1390">
        <f>_xlfn.XLOOKUP($A16,'AJE.1 - F25'!$S$12:$S$21,'AJE.1 - F25'!$U$12:$U$21,0,0,1)</f>
        <v>0</v>
      </c>
      <c r="AD16" s="219">
        <f>ROUND(SUM(Y16:AC16),0)</f>
        <v>243</v>
      </c>
      <c r="AE16" s="1390">
        <f>Y16+AA16</f>
        <v>0</v>
      </c>
      <c r="AF16" s="1390">
        <f>Z16+AB16</f>
        <v>242.6</v>
      </c>
      <c r="AG16" s="1390"/>
      <c r="AH16" s="1390"/>
      <c r="AI16" s="1390">
        <f>_xlfn.XLOOKUP($A16,'AJE.1 - F25'!$S$12:$S$21,'AJE.1 - F25'!$U$12:$U$21,0,0,1)</f>
        <v>0</v>
      </c>
      <c r="AJ16" s="219">
        <f>ROUND(SUM(AE16:AI16),0)</f>
        <v>243</v>
      </c>
      <c r="AK16" s="178" t="str">
        <f>_xlfn.XLOOKUP($A16,COA!$B:$B,COA!$C:$C,0,0,1)</f>
        <v>Cash</v>
      </c>
      <c r="AL16" s="178" t="str">
        <f>_xlfn.XLOOKUP($A16,COA!$B:$B,COA!$D:$D,0,0,1)</f>
        <v>Cash</v>
      </c>
      <c r="AM16" s="178" t="str">
        <f>_xlfn.XLOOKUP($A16,COA!$B:$B,COA!$E:$E,0,0,1)</f>
        <v>Cash</v>
      </c>
      <c r="AO16" s="85" t="str">
        <f t="shared" si="11"/>
        <v>Cash</v>
      </c>
      <c r="AP16" s="85"/>
      <c r="AQ16" s="85"/>
      <c r="AR16" s="85"/>
      <c r="AS16" s="85"/>
      <c r="AT16" s="85"/>
      <c r="AU16" s="85"/>
      <c r="AV16" s="85"/>
      <c r="AW16" s="85"/>
      <c r="AX16" s="85"/>
      <c r="AY16" s="85"/>
      <c r="AZ16" s="85"/>
      <c r="BA16" s="85"/>
      <c r="BB16" s="85"/>
      <c r="BC16" s="85"/>
      <c r="BD16" s="85"/>
      <c r="BE16" s="85"/>
      <c r="BF16" s="85"/>
      <c r="BG16" s="85"/>
    </row>
    <row r="17" spans="1:59" x14ac:dyDescent="0.25">
      <c r="A17" s="1393" t="str">
        <f>COA!B13</f>
        <v>1006 Interior Savings - Member Shares 5182</v>
      </c>
      <c r="B17" s="1390">
        <f>_xlfn.XLOOKUP(A17,'TB.1 - F25'!A:A,'TB.1 - F25'!D:D,0,0,1)</f>
        <v>0</v>
      </c>
      <c r="C17" s="1390">
        <f>_xlfn.XLOOKUP(A17,'TB.1 - F25'!A:A,'TB.1 - F25'!H:H,0,0,1)</f>
        <v>6.04</v>
      </c>
      <c r="D17" s="1390">
        <f>_xlfn.XLOOKUP(A17,'AJE.1 - F25'!A:A,'AJE.1 - F25'!F:F,0,0,1)</f>
        <v>0</v>
      </c>
      <c r="E17" s="1390"/>
      <c r="F17" s="219">
        <f>ROUND(SUM(B17:E17),0)</f>
        <v>6</v>
      </c>
      <c r="G17" s="1390">
        <f>_xlfn.XLOOKUP($A17,TB.PRO!$A:$A,TB.PRO!F:F,0,0,1)</f>
        <v>0</v>
      </c>
      <c r="H17" s="1390">
        <f>_xlfn.XLOOKUP($A17,TB.PRO!$A:$A,TB.PRO!G:G,0,0,1)</f>
        <v>6.04</v>
      </c>
      <c r="I17" s="1390"/>
      <c r="J17" s="1390"/>
      <c r="K17" s="1390">
        <f>_xlfn.XLOOKUP($A17,'AJE.1 - F25'!$S$12:$S$21,'AJE.1 - F25'!$U$12:$U$21,0,0,1)</f>
        <v>0</v>
      </c>
      <c r="L17" s="665">
        <f>ROUND(SUM(G17:K17),0)</f>
        <v>6</v>
      </c>
      <c r="M17" s="1390">
        <f>_xlfn.XLOOKUP($A17,TB.PRO!$A:$A,TB.PRO!I:I,0,0,1)</f>
        <v>0</v>
      </c>
      <c r="N17" s="1390">
        <f>_xlfn.XLOOKUP($A17,TB.PRO!$A:$A,TB.PRO!J:J,0,0,1)</f>
        <v>6.04</v>
      </c>
      <c r="O17" s="1390"/>
      <c r="P17" s="1390"/>
      <c r="Q17" s="1390">
        <f>_xlfn.XLOOKUP($A17,'AJE.1 - F25'!$S$12:$S$21,'AJE.1 - F25'!$U$12:$U$21,0,0,1)</f>
        <v>0</v>
      </c>
      <c r="R17" s="665">
        <f>ROUND(SUM(M17:Q17),0)</f>
        <v>6</v>
      </c>
      <c r="S17" s="1390">
        <f>M17+O17</f>
        <v>0</v>
      </c>
      <c r="T17" s="1390">
        <f>N17+P17</f>
        <v>6.04</v>
      </c>
      <c r="U17" s="1390"/>
      <c r="V17" s="1390"/>
      <c r="W17" s="1390">
        <f>_xlfn.XLOOKUP($A17,'AJE.1 - F25'!$S$12:$S$21,'AJE.1 - F25'!$U$12:$U$21,0,0,1)</f>
        <v>0</v>
      </c>
      <c r="X17" s="665">
        <f>ROUND(SUM(S17:W17),0)</f>
        <v>6</v>
      </c>
      <c r="Y17" s="1390">
        <f>S17+U17</f>
        <v>0</v>
      </c>
      <c r="Z17" s="1390">
        <f>T17+V17</f>
        <v>6.04</v>
      </c>
      <c r="AA17" s="1390"/>
      <c r="AB17" s="1390"/>
      <c r="AC17" s="1390">
        <f>_xlfn.XLOOKUP($A17,'AJE.1 - F25'!$S$12:$S$21,'AJE.1 - F25'!$U$12:$U$21,0,0,1)</f>
        <v>0</v>
      </c>
      <c r="AD17" s="219">
        <f>ROUND(SUM(Y17:AC17),0)</f>
        <v>6</v>
      </c>
      <c r="AE17" s="1390">
        <f>Y17+AA17</f>
        <v>0</v>
      </c>
      <c r="AF17" s="1390">
        <f>Z17+AB17</f>
        <v>6.04</v>
      </c>
      <c r="AG17" s="1390"/>
      <c r="AH17" s="1390"/>
      <c r="AI17" s="1390">
        <f>_xlfn.XLOOKUP($A17,'AJE.1 - F25'!$S$12:$S$21,'AJE.1 - F25'!$U$12:$U$21,0,0,1)</f>
        <v>0</v>
      </c>
      <c r="AJ17" s="219">
        <f>ROUND(SUM(AE17:AI17),0)</f>
        <v>6</v>
      </c>
      <c r="AK17" s="178" t="str">
        <f>_xlfn.XLOOKUP($A17,COA!$B:$B,COA!$C:$C,0,0,1)</f>
        <v>Cash</v>
      </c>
      <c r="AL17" s="178" t="str">
        <f>_xlfn.XLOOKUP($A17,COA!$B:$B,COA!$D:$D,0,0,1)</f>
        <v>Cash</v>
      </c>
      <c r="AM17" s="178" t="str">
        <f>_xlfn.XLOOKUP($A17,COA!$B:$B,COA!$E:$E,0,0,1)</f>
        <v>Cash</v>
      </c>
      <c r="AO17" s="85" t="str">
        <f t="shared" si="11"/>
        <v>Cash</v>
      </c>
      <c r="AP17" s="85"/>
      <c r="AQ17" s="85"/>
      <c r="AR17" s="85"/>
      <c r="AS17" s="85"/>
      <c r="AT17" s="85"/>
      <c r="AU17" s="85"/>
      <c r="AV17" s="85"/>
      <c r="AW17" s="85"/>
      <c r="AX17" s="85"/>
      <c r="AY17" s="85"/>
      <c r="AZ17" s="85"/>
      <c r="BA17" s="85"/>
      <c r="BB17" s="85"/>
      <c r="BC17" s="85"/>
      <c r="BD17" s="85"/>
      <c r="BE17" s="85"/>
      <c r="BF17" s="85"/>
      <c r="BG17" s="85"/>
    </row>
    <row r="18" spans="1:59" x14ac:dyDescent="0.25">
      <c r="A18" s="1393" t="str">
        <f>COA!B14</f>
        <v>1010 Bank - suspense</v>
      </c>
      <c r="B18" s="1390">
        <f>_xlfn.XLOOKUP(A18,'TB.1 - F25'!A:A,'TB.1 - F25'!D:D,0,0,1)</f>
        <v>0</v>
      </c>
      <c r="C18" s="1390">
        <f>_xlfn.XLOOKUP(A18,'TB.1 - F25'!A:A,'TB.1 - F25'!H:H,0,0,1)</f>
        <v>-5.5</v>
      </c>
      <c r="D18" s="1390">
        <f>_xlfn.XLOOKUP(A18,'AJE.1 - F25'!A:A,'AJE.1 - F25'!F:F,0,0,1)</f>
        <v>0</v>
      </c>
      <c r="E18" s="1390"/>
      <c r="F18" s="219">
        <f>ROUND(SUM(B18:E18),0)</f>
        <v>-6</v>
      </c>
      <c r="G18" s="1390">
        <f>_xlfn.XLOOKUP($A18,TB.PRO!$A:$A,TB.PRO!F:F,0,0,1)</f>
        <v>0</v>
      </c>
      <c r="H18" s="1390">
        <f>_xlfn.XLOOKUP($A18,TB.PRO!$A:$A,TB.PRO!G:G,0,0,1)</f>
        <v>-5.5</v>
      </c>
      <c r="I18" s="1390"/>
      <c r="J18" s="1390"/>
      <c r="K18" s="1390">
        <f>_xlfn.XLOOKUP($A18,'AJE.1 - F25'!$S$12:$S$21,'AJE.1 - F25'!$U$12:$U$21,0,0,1)</f>
        <v>0</v>
      </c>
      <c r="L18" s="665">
        <f>ROUND(SUM(G18:K18),0)</f>
        <v>-6</v>
      </c>
      <c r="M18" s="1390">
        <f>_xlfn.XLOOKUP($A18,TB.PRO!$A:$A,TB.PRO!I:I,0,0,1)</f>
        <v>0</v>
      </c>
      <c r="N18" s="1390">
        <f>_xlfn.XLOOKUP($A18,TB.PRO!$A:$A,TB.PRO!J:J,0,0,1)</f>
        <v>-5.5</v>
      </c>
      <c r="O18" s="1390"/>
      <c r="P18" s="1390"/>
      <c r="Q18" s="1390">
        <f>-Q98</f>
        <v>1</v>
      </c>
      <c r="R18" s="665">
        <f>ROUND(SUM(M18:Q18),0)</f>
        <v>-5</v>
      </c>
      <c r="S18" s="1390">
        <f>M18+O18</f>
        <v>0</v>
      </c>
      <c r="T18" s="1390">
        <f>N18+P18</f>
        <v>-5.5</v>
      </c>
      <c r="U18" s="1390"/>
      <c r="V18" s="1390"/>
      <c r="W18" s="1390">
        <f>-W98</f>
        <v>2</v>
      </c>
      <c r="X18" s="665">
        <f>ROUND(SUM(S18:W18),0)</f>
        <v>-4</v>
      </c>
      <c r="Y18" s="1390">
        <f>S18+U18</f>
        <v>0</v>
      </c>
      <c r="Z18" s="1390">
        <f>T18+V18</f>
        <v>-5.5</v>
      </c>
      <c r="AA18" s="1390"/>
      <c r="AB18" s="1390"/>
      <c r="AC18" s="1390">
        <f>-AC98</f>
        <v>2</v>
      </c>
      <c r="AD18" s="219">
        <f>ROUND(SUM(Y18:AC18),0)</f>
        <v>-4</v>
      </c>
      <c r="AE18" s="1390">
        <f>Y18+AA18</f>
        <v>0</v>
      </c>
      <c r="AF18" s="1390">
        <f>Z18+AB18</f>
        <v>-5.5</v>
      </c>
      <c r="AG18" s="1390"/>
      <c r="AH18" s="1390"/>
      <c r="AI18" s="1390">
        <f>-AI98</f>
        <v>3</v>
      </c>
      <c r="AJ18" s="219">
        <f>ROUND(SUM(AE18:AI18),0)</f>
        <v>-3</v>
      </c>
      <c r="AK18" s="178" t="str">
        <f>_xlfn.XLOOKUP($A18,COA!$B:$B,COA!$C:$C,0,0,1)</f>
        <v>Cash</v>
      </c>
      <c r="AL18" s="178" t="str">
        <f>_xlfn.XLOOKUP($A18,COA!$B:$B,COA!$D:$D,0,0,1)</f>
        <v>Cash</v>
      </c>
      <c r="AM18" s="178" t="str">
        <f>_xlfn.XLOOKUP($A18,COA!$B:$B,COA!$E:$E,0,0,1)</f>
        <v>Cash</v>
      </c>
      <c r="AO18" s="85" t="str">
        <f>_xlfn.XLOOKUP(AM18,FS.1!A:A,AM:AM,0,0,1)</f>
        <v>Cash</v>
      </c>
      <c r="AP18" s="85"/>
      <c r="AQ18" s="85"/>
      <c r="AR18" s="85"/>
      <c r="AS18" s="85"/>
      <c r="AT18" s="85"/>
      <c r="AU18" s="85"/>
      <c r="AV18" s="85"/>
      <c r="AW18" s="85"/>
      <c r="AX18" s="85"/>
      <c r="AY18" s="85"/>
      <c r="AZ18" s="85"/>
      <c r="BA18" s="85"/>
      <c r="BB18" s="85"/>
      <c r="BC18" s="85"/>
      <c r="BD18" s="85"/>
      <c r="BE18" s="85"/>
      <c r="BF18" s="85"/>
      <c r="BG18" s="85"/>
    </row>
    <row r="19" spans="1:59" hidden="1" x14ac:dyDescent="0.25">
      <c r="A19" s="1393" t="str">
        <f>COA!B15</f>
        <v>1100 Accounts Receivable (A/R)</v>
      </c>
      <c r="B19" s="1390">
        <f>_xlfn.XLOOKUP(A19,'TB.1 - F25'!A:A,'TB.1 - F25'!D:D,0,0,1)</f>
        <v>0</v>
      </c>
      <c r="C19" s="1390">
        <f>_xlfn.XLOOKUP(A19,'TB.1 - F25'!A:A,'TB.1 - F25'!H:H,0,0,1)</f>
        <v>0</v>
      </c>
      <c r="D19" s="1390">
        <f>_xlfn.XLOOKUP(A19,'AJE.1 - F25'!A:A,'AJE.1 - F25'!F:F,0,0,1)</f>
        <v>0</v>
      </c>
      <c r="E19" s="1390"/>
      <c r="F19" s="219">
        <f>ROUND(SUM(B19:E19),0)</f>
        <v>0</v>
      </c>
      <c r="G19" s="1390">
        <f>_xlfn.XLOOKUP($A19,TB.PRO!$A:$A,TB.PRO!F:F,0,0,1)</f>
        <v>0</v>
      </c>
      <c r="H19" s="1390">
        <f>_xlfn.XLOOKUP($A19,TB.PRO!$A:$A,TB.PRO!G:G,0,0,1)</f>
        <v>0</v>
      </c>
      <c r="I19" s="1390"/>
      <c r="J19" s="1390"/>
      <c r="K19" s="1390">
        <f>_xlfn.XLOOKUP($A19,'AJE.1 - F25'!$S$12:$S$21,'AJE.1 - F25'!$U$12:$U$21,0,0,1)</f>
        <v>0</v>
      </c>
      <c r="L19" s="665">
        <f>ROUND(SUM(G19:K19),0)</f>
        <v>0</v>
      </c>
      <c r="M19" s="1390">
        <f>_xlfn.XLOOKUP($A19,TB.PRO!$A:$A,TB.PRO!I:I,0,0,1)</f>
        <v>0</v>
      </c>
      <c r="N19" s="1390">
        <f>_xlfn.XLOOKUP($A19,TB.PRO!$A:$A,TB.PRO!J:J,0,0,1)</f>
        <v>0</v>
      </c>
      <c r="O19" s="1390"/>
      <c r="P19" s="1390"/>
      <c r="Q19" s="1390">
        <f>_xlfn.XLOOKUP($A19,'AJE.1 - F25'!$S$12:$S$21,'AJE.1 - F25'!$U$12:$U$21,0,0,1)</f>
        <v>0</v>
      </c>
      <c r="R19" s="665">
        <f>ROUND(SUM(M19:Q19),0)</f>
        <v>0</v>
      </c>
      <c r="S19" s="1390">
        <f>M19+O19</f>
        <v>0</v>
      </c>
      <c r="T19" s="1390">
        <f>N19+P19</f>
        <v>0</v>
      </c>
      <c r="U19" s="1390"/>
      <c r="V19" s="1390"/>
      <c r="W19" s="1390">
        <f>_xlfn.XLOOKUP($A19,'AJE.1 - F25'!$S$12:$S$21,'AJE.1 - F25'!$U$12:$U$21,0,0,1)</f>
        <v>0</v>
      </c>
      <c r="X19" s="665">
        <f>ROUND(SUM(S19:W19),0)</f>
        <v>0</v>
      </c>
      <c r="Y19" s="1390">
        <f>S19+U19</f>
        <v>0</v>
      </c>
      <c r="Z19" s="1390">
        <f>T19+V19</f>
        <v>0</v>
      </c>
      <c r="AA19" s="1390"/>
      <c r="AB19" s="1390"/>
      <c r="AC19" s="1390">
        <f>_xlfn.XLOOKUP($A19,'AJE.1 - F25'!$S$12:$S$21,'AJE.1 - F25'!$U$12:$U$21,0,0,1)</f>
        <v>0</v>
      </c>
      <c r="AD19" s="219">
        <f>ROUND(SUM(Y19:AC19),0)</f>
        <v>0</v>
      </c>
      <c r="AE19" s="1390">
        <f>Y19+AA19</f>
        <v>0</v>
      </c>
      <c r="AF19" s="1390">
        <f>Z19+AB19</f>
        <v>0</v>
      </c>
      <c r="AG19" s="1390"/>
      <c r="AH19" s="1390"/>
      <c r="AI19" s="1390">
        <f>_xlfn.XLOOKUP($A19,'AJE.1 - F25'!$S$12:$S$21,'AJE.1 - F25'!$U$12:$U$21,0,0,1)</f>
        <v>0</v>
      </c>
      <c r="AJ19" s="219">
        <f>ROUND(SUM(AE19:AI19),0)</f>
        <v>0</v>
      </c>
      <c r="AK19" s="178" t="str">
        <f>_xlfn.XLOOKUP($A19,COA!$B:$B,COA!$C:$C,0,0,1)</f>
        <v>Receivables</v>
      </c>
      <c r="AL19" s="178" t="str">
        <f>_xlfn.XLOOKUP($A19,COA!$B:$B,COA!$D:$D,0,0,1)</f>
        <v>Receivables</v>
      </c>
      <c r="AM19" s="178" t="str">
        <f>_xlfn.XLOOKUP($A19,COA!$B:$B,COA!$E:$E,0,0,1)</f>
        <v>Receivables</v>
      </c>
      <c r="AO19" s="85" t="str">
        <f>_xlfn.XLOOKUP(AM19,FS.1!A:A,AM:AM,0,0,1)</f>
        <v>Cash</v>
      </c>
      <c r="AP19" s="85"/>
      <c r="AQ19" s="85"/>
      <c r="AR19" s="85"/>
      <c r="AS19" s="85"/>
      <c r="AT19" s="85"/>
      <c r="AU19" s="85"/>
      <c r="AV19" s="85"/>
      <c r="AW19" s="85"/>
      <c r="AX19" s="85"/>
      <c r="AY19" s="85"/>
      <c r="AZ19" s="85"/>
      <c r="BA19" s="85"/>
      <c r="BB19" s="85"/>
      <c r="BC19" s="85"/>
      <c r="BD19" s="85"/>
      <c r="BE19" s="85"/>
      <c r="BF19" s="85"/>
      <c r="BG19" s="85"/>
    </row>
    <row r="20" spans="1:59" x14ac:dyDescent="0.25">
      <c r="A20" s="1393" t="str">
        <f>COA!B16</f>
        <v>1100 Accounts Receivable</v>
      </c>
      <c r="B20" s="1390">
        <f>_xlfn.XLOOKUP(A20,'TB.1 - F25'!A:A,'TB.1 - F25'!D:D,0,0,1)</f>
        <v>0</v>
      </c>
      <c r="C20" s="1390">
        <f>_xlfn.XLOOKUP(A20,'TB.1 - F25'!A:A,'TB.1 - F25'!H:H,0,0,1)</f>
        <v>0</v>
      </c>
      <c r="D20" s="1390">
        <f>_xlfn.XLOOKUP(A20,'AJE.1 - F25'!A:A,'AJE.1 - F25'!F:F,0,0,1)</f>
        <v>0</v>
      </c>
      <c r="E20" s="1390"/>
      <c r="F20" s="219">
        <f>ROUND(SUM(B20:E20),0)</f>
        <v>0</v>
      </c>
      <c r="G20" s="1390">
        <f>_xlfn.XLOOKUP($A20,TB.PRO!$A:$A,TB.PRO!F:F,0,0,1)</f>
        <v>0</v>
      </c>
      <c r="H20" s="1390">
        <f>_xlfn.XLOOKUP($A20,TB.PRO!$A:$A,TB.PRO!G:G,0,0,1)</f>
        <v>17.5</v>
      </c>
      <c r="I20" s="1390"/>
      <c r="J20" s="1390"/>
      <c r="K20" s="1390">
        <f>_xlfn.XLOOKUP($A20,'AJE.1 - F25'!$S$12:$S$21,'AJE.1 - F25'!$U$12:$U$21,0,0,1)</f>
        <v>0</v>
      </c>
      <c r="L20" s="665">
        <f>ROUND(SUM(G20:K20),0)</f>
        <v>18</v>
      </c>
      <c r="M20" s="1390">
        <f>_xlfn.XLOOKUP($A20,TB.PRO!$A:$A,TB.PRO!I:I,0,0,1)</f>
        <v>0</v>
      </c>
      <c r="N20" s="1390">
        <f>_xlfn.XLOOKUP($A20,TB.PRO!$A:$A,TB.PRO!J:J,0,0,1)</f>
        <v>17.5</v>
      </c>
      <c r="O20" s="1390"/>
      <c r="P20" s="1390"/>
      <c r="Q20" s="1390">
        <f>_xlfn.XLOOKUP($A20,'AJE.1 - F25'!$S$12:$S$21,'AJE.1 - F25'!$U$12:$U$21,0,0,1)</f>
        <v>0</v>
      </c>
      <c r="R20" s="665">
        <f>ROUND(SUM(M20:Q20),0)</f>
        <v>18</v>
      </c>
      <c r="S20" s="1390">
        <f>M20+O20</f>
        <v>0</v>
      </c>
      <c r="T20" s="1390">
        <f>N20+P20</f>
        <v>17.5</v>
      </c>
      <c r="U20" s="1390"/>
      <c r="V20" s="1390"/>
      <c r="W20" s="1390">
        <f>_xlfn.XLOOKUP($A20,'AJE.1 - F25'!$S$12:$S$21,'AJE.1 - F25'!$U$12:$U$21,0,0,1)</f>
        <v>0</v>
      </c>
      <c r="X20" s="665">
        <f>ROUND(SUM(S20:W20),0)</f>
        <v>18</v>
      </c>
      <c r="Y20" s="1390">
        <f>S20+U20</f>
        <v>0</v>
      </c>
      <c r="Z20" s="1390">
        <f>T20+V20</f>
        <v>17.5</v>
      </c>
      <c r="AA20" s="1390"/>
      <c r="AB20" s="1390"/>
      <c r="AC20" s="1390">
        <f>_xlfn.XLOOKUP($A20,'AJE.1 - F25'!$S$12:$S$21,'AJE.1 - F25'!$U$12:$U$21,0,0,1)</f>
        <v>0</v>
      </c>
      <c r="AD20" s="219">
        <f>ROUND(SUM(Y20:AC20),0)</f>
        <v>18</v>
      </c>
      <c r="AE20" s="1390">
        <f>Y20+AA20</f>
        <v>0</v>
      </c>
      <c r="AF20" s="1390">
        <f>Z20+AB20</f>
        <v>17.5</v>
      </c>
      <c r="AG20" s="1390"/>
      <c r="AH20" s="1390"/>
      <c r="AI20" s="1390">
        <f>_xlfn.XLOOKUP($A20,'AJE.1 - F25'!$S$12:$S$21,'AJE.1 - F25'!$U$12:$U$21,0,0,1)</f>
        <v>0</v>
      </c>
      <c r="AJ20" s="219">
        <f>ROUND(SUM(AE20:AI20),0)</f>
        <v>18</v>
      </c>
      <c r="AK20" s="178" t="str">
        <f>_xlfn.XLOOKUP($A20,COA!$B:$B,COA!$C:$C,0,0,1)</f>
        <v>Receivables</v>
      </c>
      <c r="AL20" s="178" t="str">
        <f>_xlfn.XLOOKUP($A20,COA!$B:$B,COA!$D:$D,0,0,1)</f>
        <v>Receivables</v>
      </c>
      <c r="AM20" s="178" t="str">
        <f>_xlfn.XLOOKUP($A20,COA!$B:$B,COA!$E:$E,0,0,1)</f>
        <v>Receivables</v>
      </c>
      <c r="AO20" s="85" t="str">
        <f>AM20</f>
        <v>Receivables</v>
      </c>
      <c r="AP20" s="85"/>
      <c r="AQ20" s="85"/>
      <c r="AR20" s="85"/>
      <c r="AS20" s="85"/>
      <c r="AT20" s="85"/>
      <c r="AU20" s="85"/>
      <c r="AV20" s="85"/>
      <c r="AW20" s="85"/>
      <c r="AX20" s="85"/>
      <c r="AY20" s="85"/>
      <c r="AZ20" s="85"/>
      <c r="BA20" s="85"/>
      <c r="BB20" s="85"/>
      <c r="BC20" s="85"/>
      <c r="BD20" s="85"/>
      <c r="BE20" s="85"/>
      <c r="BF20" s="85"/>
      <c r="BG20" s="85"/>
    </row>
    <row r="21" spans="1:59" x14ac:dyDescent="0.25">
      <c r="A21" s="1393" t="str">
        <f>COA!B17</f>
        <v>1120 Work in progress inventory</v>
      </c>
      <c r="B21" s="1390">
        <f>_xlfn.XLOOKUP(A21,'TB.1 - F25'!A:A,'TB.1 - F25'!D:D,0,0,1)</f>
        <v>0</v>
      </c>
      <c r="C21" s="1390">
        <f>_xlfn.XLOOKUP(A21,'TB.1 - F25'!A:A,'TB.1 - F25'!H:H,0,0,1)</f>
        <v>161256.15</v>
      </c>
      <c r="D21" s="1390">
        <f>_xlfn.XLOOKUP(A21,'AJE.1 - F25'!A:A,'AJE.1 - F25'!F:F,0,0,1)</f>
        <v>0</v>
      </c>
      <c r="E21" s="1390"/>
      <c r="F21" s="219">
        <f>ROUND(SUM(B21:E21),0)</f>
        <v>161256</v>
      </c>
      <c r="G21" s="1390">
        <f>_xlfn.XLOOKUP($A21,TB.PRO!$A:$A,TB.PRO!F:F,0,0,1)</f>
        <v>0</v>
      </c>
      <c r="H21" s="1390">
        <f>_xlfn.XLOOKUP($A21,TB.PRO!$A:$A,TB.PRO!G:G,0,0,1)</f>
        <v>159516.72</v>
      </c>
      <c r="I21" s="1390"/>
      <c r="J21" s="1390"/>
      <c r="K21" s="1581"/>
      <c r="L21" s="665">
        <f>ROUND(SUM(G21:K21),0)</f>
        <v>159517</v>
      </c>
      <c r="M21" s="1390">
        <f>_xlfn.XLOOKUP($A21,TB.PRO!$A:$A,TB.PRO!I:I,0,0,1)</f>
        <v>0</v>
      </c>
      <c r="N21" s="1390">
        <f>_xlfn.XLOOKUP($A21,TB.PRO!$A:$A,TB.PRO!J:J,0,0,1)</f>
        <v>159516.72</v>
      </c>
      <c r="O21" s="1390"/>
      <c r="P21" s="1581">
        <f>J21-P110</f>
        <v>443333.33333333331</v>
      </c>
      <c r="Q21" s="1581"/>
      <c r="R21" s="665">
        <f>ROUND(SUM(M21:Q21),0)</f>
        <v>602850</v>
      </c>
      <c r="S21" s="1390">
        <f>M21+O21</f>
        <v>0</v>
      </c>
      <c r="T21" s="1390">
        <f>N21+P21</f>
        <v>602850.05333333334</v>
      </c>
      <c r="U21" s="1390"/>
      <c r="V21" s="1581">
        <f>-V110</f>
        <v>1540000</v>
      </c>
      <c r="W21" s="1581">
        <f>-W110</f>
        <v>0</v>
      </c>
      <c r="X21" s="665">
        <f>ROUND(SUM(S21:W21),0)</f>
        <v>2142850</v>
      </c>
      <c r="Y21" s="1390">
        <f>S21+U21</f>
        <v>0</v>
      </c>
      <c r="Z21" s="1390">
        <f>T21+V21</f>
        <v>2142850.0533333332</v>
      </c>
      <c r="AA21" s="1390"/>
      <c r="AB21" s="1581">
        <f>-AB110</f>
        <v>3126666.666666666</v>
      </c>
      <c r="AC21" s="1581">
        <f>-AC110</f>
        <v>0</v>
      </c>
      <c r="AD21" s="219">
        <f>ROUND(SUM(Y21:AC21),0)</f>
        <v>5269517</v>
      </c>
      <c r="AE21" s="1390">
        <f>Y21+AA21</f>
        <v>0</v>
      </c>
      <c r="AF21" s="1390">
        <f>Z21+AB21</f>
        <v>5269516.7199999988</v>
      </c>
      <c r="AG21" s="1390"/>
      <c r="AH21" s="1581">
        <f>-AH110</f>
        <v>8166666.666666666</v>
      </c>
      <c r="AI21" s="1581">
        <f>-AI110</f>
        <v>-3126666.666666666</v>
      </c>
      <c r="AJ21" s="219">
        <f>ROUND(SUM(AE21:AI21),0)</f>
        <v>10309517</v>
      </c>
      <c r="AK21" s="178" t="str">
        <f>_xlfn.XLOOKUP($A21,COA!$B:$B,COA!$C:$C,0,0,1)</f>
        <v>Inventory</v>
      </c>
      <c r="AL21" s="178" t="str">
        <f>_xlfn.XLOOKUP($A21,COA!$B:$B,COA!$D:$D,0,0,1)</f>
        <v>Inventory</v>
      </c>
      <c r="AM21" s="178" t="str">
        <f>_xlfn.XLOOKUP($A21,COA!$B:$B,COA!$E:$E,0,0,1)</f>
        <v>Inventory</v>
      </c>
      <c r="AO21" s="85" t="str">
        <f>_xlfn.XLOOKUP(AM21,FS.1!A:A,AM:AM,0,0,1)</f>
        <v>Cash</v>
      </c>
      <c r="AP21" s="85"/>
      <c r="AQ21" s="85"/>
      <c r="AR21" s="85"/>
      <c r="AS21" s="85"/>
      <c r="AT21" s="85"/>
      <c r="AU21" s="85"/>
      <c r="AV21" s="85"/>
      <c r="AW21" s="85"/>
      <c r="AX21" s="85"/>
      <c r="AY21" s="85"/>
      <c r="AZ21" s="85"/>
      <c r="BA21" s="85"/>
      <c r="BB21" s="85"/>
      <c r="BC21" s="85"/>
      <c r="BD21" s="85"/>
      <c r="BE21" s="85"/>
      <c r="BF21" s="85"/>
      <c r="BG21" s="85"/>
    </row>
    <row r="22" spans="1:59" hidden="1" x14ac:dyDescent="0.25">
      <c r="A22" s="1393" t="str">
        <f>COA!B18</f>
        <v>1020 Prepaid expenses</v>
      </c>
      <c r="B22" s="1390">
        <f>_xlfn.XLOOKUP(A22,'TB.1 - F25'!A:A,'TB.1 - F25'!D:D,0,0,1)</f>
        <v>0</v>
      </c>
      <c r="C22" s="1390">
        <f>_xlfn.XLOOKUP(A22,'TB.1 - F25'!A:A,'TB.1 - F25'!H:H,0,0,1)</f>
        <v>0</v>
      </c>
      <c r="D22" s="1390">
        <f>_xlfn.XLOOKUP(A22,'AJE.1 - F25'!A:A,'AJE.1 - F25'!F:F,0,0,1)</f>
        <v>0</v>
      </c>
      <c r="E22" s="1390"/>
      <c r="F22" s="219">
        <f>ROUND(SUM(B22:E22),0)</f>
        <v>0</v>
      </c>
      <c r="G22" s="1390">
        <f>_xlfn.XLOOKUP($A22,TB.PRO!$A:$A,TB.PRO!F:F,0,0,1)</f>
        <v>0</v>
      </c>
      <c r="H22" s="1390">
        <f>_xlfn.XLOOKUP($A22,TB.PRO!$A:$A,TB.PRO!G:G,0,0,1)</f>
        <v>0</v>
      </c>
      <c r="I22" s="1390"/>
      <c r="J22" s="1390"/>
      <c r="K22" s="1390">
        <f>_xlfn.XLOOKUP($A22,'AJE.1 - F25'!$S$12:$S$21,'AJE.1 - F25'!$U$12:$U$21,0,0,1)</f>
        <v>0</v>
      </c>
      <c r="L22" s="665">
        <f>ROUND(SUM(G22:K22),0)</f>
        <v>0</v>
      </c>
      <c r="M22" s="1390">
        <f>_xlfn.XLOOKUP($A22,TB.PRO!$A:$A,TB.PRO!I:I,0,0,1)</f>
        <v>0</v>
      </c>
      <c r="N22" s="1390">
        <f>_xlfn.XLOOKUP($A22,TB.PRO!$A:$A,TB.PRO!J:J,0,0,1)</f>
        <v>0</v>
      </c>
      <c r="O22" s="1390"/>
      <c r="P22" s="1390"/>
      <c r="Q22" s="1390">
        <f>_xlfn.XLOOKUP($A22,'AJE.1 - F25'!$S$12:$S$21,'AJE.1 - F25'!$U$12:$U$21,0,0,1)</f>
        <v>0</v>
      </c>
      <c r="R22" s="665">
        <f>ROUND(SUM(M22:Q22),0)</f>
        <v>0</v>
      </c>
      <c r="S22" s="1390">
        <f>M22+O22</f>
        <v>0</v>
      </c>
      <c r="T22" s="1390">
        <f>N22+P22</f>
        <v>0</v>
      </c>
      <c r="U22" s="1390"/>
      <c r="V22" s="1390"/>
      <c r="W22" s="1390">
        <f>_xlfn.XLOOKUP($A22,'AJE.1 - F25'!$S$12:$S$21,'AJE.1 - F25'!$U$12:$U$21,0,0,1)</f>
        <v>0</v>
      </c>
      <c r="X22" s="665">
        <f>ROUND(SUM(S22:W22),0)</f>
        <v>0</v>
      </c>
      <c r="Y22" s="1390">
        <f>S22+U22</f>
        <v>0</v>
      </c>
      <c r="Z22" s="1390">
        <f>T22+V22</f>
        <v>0</v>
      </c>
      <c r="AA22" s="1390"/>
      <c r="AB22" s="1390"/>
      <c r="AC22" s="1390">
        <f>_xlfn.XLOOKUP($A22,'AJE.1 - F25'!$S$12:$S$21,'AJE.1 - F25'!$U$12:$U$21,0,0,1)</f>
        <v>0</v>
      </c>
      <c r="AD22" s="219">
        <f>ROUND(SUM(Y22:AC22),0)</f>
        <v>0</v>
      </c>
      <c r="AE22" s="1390">
        <f>Y22+AA22</f>
        <v>0</v>
      </c>
      <c r="AF22" s="1390">
        <f>Z22+AB22</f>
        <v>0</v>
      </c>
      <c r="AG22" s="1390"/>
      <c r="AH22" s="1390"/>
      <c r="AI22" s="1390">
        <f>_xlfn.XLOOKUP($A22,'AJE.1 - F25'!$S$12:$S$21,'AJE.1 - F25'!$U$12:$U$21,0,0,1)</f>
        <v>0</v>
      </c>
      <c r="AJ22" s="219">
        <f>ROUND(SUM(AE22:AI22),0)</f>
        <v>0</v>
      </c>
      <c r="AK22" s="178" t="str">
        <f>_xlfn.XLOOKUP($A22,COA!$B:$B,COA!$C:$C,0,0,1)</f>
        <v>Prepaid expenses</v>
      </c>
      <c r="AL22" s="178" t="str">
        <f>_xlfn.XLOOKUP($A22,COA!$B:$B,COA!$D:$D,0,0,1)</f>
        <v>Prepaid expenses</v>
      </c>
      <c r="AM22" s="178" t="str">
        <f>_xlfn.XLOOKUP($A22,COA!$B:$B,COA!$E:$E,0,0,1)</f>
        <v>Prepaid expenses</v>
      </c>
      <c r="AO22" s="85" t="str">
        <f>_xlfn.XLOOKUP(AM22,FS.1!A:A,AM:AM,0,0,1)</f>
        <v>Cash</v>
      </c>
      <c r="AP22" s="85"/>
      <c r="AQ22" s="85"/>
      <c r="AR22" s="85"/>
      <c r="AS22" s="85"/>
      <c r="AT22" s="85"/>
      <c r="AU22" s="85"/>
      <c r="AV22" s="85"/>
      <c r="AW22" s="85"/>
      <c r="AX22" s="85"/>
      <c r="AY22" s="85"/>
      <c r="AZ22" s="85"/>
      <c r="BA22" s="85"/>
      <c r="BB22" s="85"/>
      <c r="BC22" s="85"/>
      <c r="BD22" s="85"/>
      <c r="BE22" s="85"/>
      <c r="BF22" s="85"/>
      <c r="BG22" s="85"/>
    </row>
    <row r="23" spans="1:59" hidden="1" x14ac:dyDescent="0.25">
      <c r="A23" s="1393" t="str">
        <f>COA!B19</f>
        <v>1200 Prepaid expenses</v>
      </c>
      <c r="B23" s="1390">
        <f>_xlfn.XLOOKUP(A23,'TB.1 - F25'!A:A,'TB.1 - F25'!D:D,0,0,1)</f>
        <v>0</v>
      </c>
      <c r="C23" s="1390">
        <f>_xlfn.XLOOKUP(A23,'TB.1 - F25'!A:A,'TB.1 - F25'!H:H,0,0,1)</f>
        <v>0</v>
      </c>
      <c r="D23" s="1390">
        <f>_xlfn.XLOOKUP(A23,'AJE.1 - F25'!A:A,'AJE.1 - F25'!F:F,0,0,1)</f>
        <v>0</v>
      </c>
      <c r="E23" s="1390"/>
      <c r="F23" s="219">
        <f>ROUND(SUM(B23:E23),0)</f>
        <v>0</v>
      </c>
      <c r="G23" s="1390">
        <f>_xlfn.XLOOKUP($A23,TB.PRO!$A:$A,TB.PRO!F:F,0,0,1)</f>
        <v>0</v>
      </c>
      <c r="H23" s="1390">
        <f>_xlfn.XLOOKUP($A23,TB.PRO!$A:$A,TB.PRO!G:G,0,0,1)</f>
        <v>0</v>
      </c>
      <c r="I23" s="1390"/>
      <c r="J23" s="1390"/>
      <c r="K23" s="1390">
        <f>_xlfn.XLOOKUP($A23,'AJE.1 - F25'!$S$12:$S$21,'AJE.1 - F25'!$U$12:$U$21,0,0,1)</f>
        <v>0</v>
      </c>
      <c r="L23" s="665">
        <f>ROUND(SUM(G23:K23),0)</f>
        <v>0</v>
      </c>
      <c r="M23" s="1390">
        <f>_xlfn.XLOOKUP($A23,TB.PRO!$A:$A,TB.PRO!I:I,0,0,1)</f>
        <v>0</v>
      </c>
      <c r="N23" s="1390">
        <f>_xlfn.XLOOKUP($A23,TB.PRO!$A:$A,TB.PRO!J:J,0,0,1)</f>
        <v>0</v>
      </c>
      <c r="O23" s="1390"/>
      <c r="P23" s="1390"/>
      <c r="Q23" s="1390">
        <f>_xlfn.XLOOKUP($A23,'AJE.1 - F25'!$S$12:$S$21,'AJE.1 - F25'!$U$12:$U$21,0,0,1)</f>
        <v>0</v>
      </c>
      <c r="R23" s="665">
        <f>ROUND(SUM(M23:Q23),0)</f>
        <v>0</v>
      </c>
      <c r="S23" s="1390">
        <f>M23+O23</f>
        <v>0</v>
      </c>
      <c r="T23" s="1390">
        <f>N23+P23</f>
        <v>0</v>
      </c>
      <c r="U23" s="1390"/>
      <c r="V23" s="1390"/>
      <c r="W23" s="1390">
        <f>_xlfn.XLOOKUP($A23,'AJE.1 - F25'!$S$12:$S$21,'AJE.1 - F25'!$U$12:$U$21,0,0,1)</f>
        <v>0</v>
      </c>
      <c r="X23" s="665">
        <f>ROUND(SUM(S23:W23),0)</f>
        <v>0</v>
      </c>
      <c r="Y23" s="1390">
        <f>S23+U23</f>
        <v>0</v>
      </c>
      <c r="Z23" s="1390">
        <f>T23+V23</f>
        <v>0</v>
      </c>
      <c r="AA23" s="1390"/>
      <c r="AB23" s="1390"/>
      <c r="AC23" s="1390">
        <f>_xlfn.XLOOKUP($A23,'AJE.1 - F25'!$S$12:$S$21,'AJE.1 - F25'!$U$12:$U$21,0,0,1)</f>
        <v>0</v>
      </c>
      <c r="AD23" s="219">
        <f>ROUND(SUM(Y23:AC23),0)</f>
        <v>0</v>
      </c>
      <c r="AE23" s="1390">
        <f>Y23+AA23</f>
        <v>0</v>
      </c>
      <c r="AF23" s="1390">
        <f>Z23+AB23</f>
        <v>0</v>
      </c>
      <c r="AG23" s="1390"/>
      <c r="AH23" s="1390"/>
      <c r="AI23" s="1390">
        <f>_xlfn.XLOOKUP($A23,'AJE.1 - F25'!$S$12:$S$21,'AJE.1 - F25'!$U$12:$U$21,0,0,1)</f>
        <v>0</v>
      </c>
      <c r="AJ23" s="219">
        <f>ROUND(SUM(AE23:AI23),0)</f>
        <v>0</v>
      </c>
      <c r="AK23" s="667" t="s">
        <v>644</v>
      </c>
      <c r="AL23" s="667" t="str">
        <f>AK23</f>
        <v>Intercompany</v>
      </c>
      <c r="AM23" s="667" t="str">
        <f>AL23</f>
        <v>Intercompany</v>
      </c>
      <c r="AO23" s="85" t="str">
        <f>AM23</f>
        <v>Intercompany</v>
      </c>
      <c r="AP23" s="85"/>
      <c r="AQ23" s="85"/>
      <c r="AR23" s="85"/>
      <c r="AS23" s="85"/>
      <c r="AT23" s="85"/>
      <c r="AU23" s="85"/>
      <c r="AV23" s="85"/>
      <c r="AW23" s="85"/>
      <c r="AX23" s="85"/>
      <c r="AY23" s="85"/>
      <c r="AZ23" s="85"/>
      <c r="BA23" s="85"/>
      <c r="BB23" s="85"/>
      <c r="BC23" s="85"/>
      <c r="BD23" s="85"/>
      <c r="BE23" s="85"/>
      <c r="BF23" s="85"/>
      <c r="BG23" s="85"/>
    </row>
    <row r="24" spans="1:59" x14ac:dyDescent="0.25">
      <c r="A24" s="1393" t="str">
        <f>COA!B20</f>
        <v>1300 Current portion of loan receivable</v>
      </c>
      <c r="B24" s="1390">
        <f>_xlfn.XLOOKUP(A24,'TB.1 - F25'!A:A,'TB.1 - F25'!D:D,0,0,1)</f>
        <v>556400</v>
      </c>
      <c r="C24" s="1390">
        <f>_xlfn.XLOOKUP(A24,'TB.1 - F25'!A:A,'TB.1 - F25'!H:H,0,0,1)</f>
        <v>0</v>
      </c>
      <c r="D24" s="1390">
        <f>_xlfn.XLOOKUP(A24,'AJE.1 - F25'!A:A,'AJE.1 - F25'!F:F,0,0,1)</f>
        <v>0</v>
      </c>
      <c r="E24" s="1390"/>
      <c r="F24" s="219">
        <f>ROUND(SUM(B24:E24),0)</f>
        <v>556400</v>
      </c>
      <c r="G24" s="1390">
        <f>_xlfn.XLOOKUP($A24,TB.PRO!$A:$A,TB.PRO!F:F,0,0,1)</f>
        <v>556400</v>
      </c>
      <c r="H24" s="1390">
        <f>_xlfn.XLOOKUP($A24,TB.PRO!$A:$A,TB.PRO!G:G,0,0,1)</f>
        <v>0</v>
      </c>
      <c r="I24" s="1390"/>
      <c r="J24" s="1390"/>
      <c r="K24" s="1390">
        <f>_xlfn.XLOOKUP($A24,'AJE.1 - F25'!$S$12:$S$21,'AJE.1 - F25'!$U$12:$U$21,0,0,1)</f>
        <v>0</v>
      </c>
      <c r="L24" s="665">
        <f>ROUND(SUM(G24:K24),0)</f>
        <v>556400</v>
      </c>
      <c r="M24" s="1390">
        <f>_xlfn.XLOOKUP($A24,TB.PRO!$A:$A,TB.PRO!I:I,0,0,1)</f>
        <v>556400</v>
      </c>
      <c r="N24" s="1390">
        <f>_xlfn.XLOOKUP($A24,TB.PRO!$A:$A,TB.PRO!J:J,0,0,1)</f>
        <v>0</v>
      </c>
      <c r="O24" s="1390"/>
      <c r="P24" s="1390"/>
      <c r="Q24" s="1390">
        <f>_xlfn.XLOOKUP($A24,'AJE.1 - F25'!$S$12:$S$21,'AJE.1 - F25'!$U$12:$U$21,0,0,1)</f>
        <v>0</v>
      </c>
      <c r="R24" s="665">
        <f>ROUND(SUM(M24:Q24),0)</f>
        <v>556400</v>
      </c>
      <c r="S24" s="1390">
        <f>M24+O24</f>
        <v>556400</v>
      </c>
      <c r="T24" s="1390">
        <f>N24+P24</f>
        <v>0</v>
      </c>
      <c r="U24" s="1390"/>
      <c r="V24" s="1390"/>
      <c r="W24" s="1390">
        <f>_xlfn.XLOOKUP($A24,'AJE.1 - F25'!$S$12:$S$21,'AJE.1 - F25'!$U$12:$U$21,0,0,1)</f>
        <v>0</v>
      </c>
      <c r="X24" s="665">
        <f>ROUND(SUM(S24:W24),0)</f>
        <v>556400</v>
      </c>
      <c r="Y24" s="1390">
        <f>S24+U24</f>
        <v>556400</v>
      </c>
      <c r="Z24" s="1390">
        <f>T24+V24</f>
        <v>0</v>
      </c>
      <c r="AA24" s="1390"/>
      <c r="AB24" s="1390"/>
      <c r="AC24" s="1390">
        <f>_xlfn.XLOOKUP($A24,'AJE.1 - F25'!$S$12:$S$21,'AJE.1 - F25'!$U$12:$U$21,0,0,1)</f>
        <v>0</v>
      </c>
      <c r="AD24" s="219">
        <f>ROUND(SUM(Y24:AC24),0)</f>
        <v>556400</v>
      </c>
      <c r="AE24" s="1390">
        <f>Y24+AA24</f>
        <v>556400</v>
      </c>
      <c r="AF24" s="1390">
        <f>Z24+AB24</f>
        <v>0</v>
      </c>
      <c r="AG24" s="1390"/>
      <c r="AH24" s="1390"/>
      <c r="AI24" s="1390">
        <f>_xlfn.XLOOKUP($A24,'AJE.1 - F25'!$S$12:$S$21,'AJE.1 - F25'!$U$12:$U$21,0,0,1)</f>
        <v>0</v>
      </c>
      <c r="AJ24" s="219">
        <f>ROUND(SUM(AE24:AI24),0)</f>
        <v>556400</v>
      </c>
      <c r="AK24" s="667" t="s">
        <v>644</v>
      </c>
      <c r="AL24" s="667" t="str">
        <f>AK24</f>
        <v>Intercompany</v>
      </c>
      <c r="AM24" s="667" t="str">
        <f>AL24</f>
        <v>Intercompany</v>
      </c>
      <c r="AO24" s="85">
        <f>_xlfn.XLOOKUP(AM24,FS.1!A:A,AM:AM,0,0,1)</f>
        <v>0</v>
      </c>
      <c r="AP24" s="85"/>
      <c r="AQ24" s="85"/>
      <c r="AR24" s="85"/>
      <c r="AS24" s="85"/>
      <c r="AT24" s="85"/>
      <c r="AU24" s="85"/>
      <c r="AV24" s="85"/>
      <c r="AW24" s="85"/>
      <c r="AX24" s="85"/>
      <c r="AY24" s="85"/>
      <c r="AZ24" s="85"/>
      <c r="BA24" s="85"/>
      <c r="BB24" s="85"/>
      <c r="BC24" s="85"/>
      <c r="BD24" s="85"/>
      <c r="BE24" s="85"/>
      <c r="BF24" s="85"/>
      <c r="BG24" s="85"/>
    </row>
    <row r="25" spans="1:59" hidden="1" x14ac:dyDescent="0.25">
      <c r="A25" s="1393" t="str">
        <f>COA!B21</f>
        <v>1400 Other current assets</v>
      </c>
      <c r="B25" s="1390">
        <f>_xlfn.XLOOKUP(A25,'TB.1 - F25'!A:A,'TB.1 - F25'!D:D,0,0,1)</f>
        <v>0</v>
      </c>
      <c r="C25" s="1390">
        <f>_xlfn.XLOOKUP(A25,'TB.1 - F25'!A:A,'TB.1 - F25'!H:H,0,0,1)</f>
        <v>0</v>
      </c>
      <c r="D25" s="1390">
        <f>_xlfn.XLOOKUP(A25,'AJE.1 - F25'!A:A,'AJE.1 - F25'!F:F,0,0,1)</f>
        <v>0</v>
      </c>
      <c r="E25" s="1390"/>
      <c r="F25" s="219">
        <f>ROUND(SUM(B25:E25),0)</f>
        <v>0</v>
      </c>
      <c r="G25" s="1390">
        <f>_xlfn.XLOOKUP($A25,TB.PRO!$A:$A,TB.PRO!F:F,0,0,1)</f>
        <v>0</v>
      </c>
      <c r="H25" s="1390">
        <f>_xlfn.XLOOKUP($A25,TB.PRO!$A:$A,TB.PRO!G:G,0,0,1)</f>
        <v>0</v>
      </c>
      <c r="I25" s="1390"/>
      <c r="J25" s="1390"/>
      <c r="K25" s="1390">
        <f>_xlfn.XLOOKUP($A25,'AJE.1 - F25'!$S$12:$S$21,'AJE.1 - F25'!$U$12:$U$21,0,0,1)</f>
        <v>0</v>
      </c>
      <c r="L25" s="665">
        <f>ROUND(SUM(G25:K25),0)</f>
        <v>0</v>
      </c>
      <c r="M25" s="1390">
        <f>_xlfn.XLOOKUP($A25,TB.PRO!$A:$A,TB.PRO!I:I,0,0,1)</f>
        <v>0</v>
      </c>
      <c r="N25" s="1390">
        <f>_xlfn.XLOOKUP($A25,TB.PRO!$A:$A,TB.PRO!J:J,0,0,1)</f>
        <v>0</v>
      </c>
      <c r="O25" s="1390"/>
      <c r="P25" s="1390"/>
      <c r="Q25" s="1390">
        <f>_xlfn.XLOOKUP($A25,'AJE.1 - F25'!$S$12:$S$21,'AJE.1 - F25'!$U$12:$U$21,0,0,1)</f>
        <v>0</v>
      </c>
      <c r="R25" s="665">
        <f>ROUND(SUM(M25:Q25),0)</f>
        <v>0</v>
      </c>
      <c r="S25" s="1390">
        <f>M25+O25</f>
        <v>0</v>
      </c>
      <c r="T25" s="1390">
        <f>N25+P25</f>
        <v>0</v>
      </c>
      <c r="U25" s="1390"/>
      <c r="V25" s="1390"/>
      <c r="W25" s="1390">
        <f>_xlfn.XLOOKUP($A25,'AJE.1 - F25'!$S$12:$S$21,'AJE.1 - F25'!$U$12:$U$21,0,0,1)</f>
        <v>0</v>
      </c>
      <c r="X25" s="665">
        <f>ROUND(SUM(S25:W25),0)</f>
        <v>0</v>
      </c>
      <c r="Y25" s="1390">
        <f>S25+U25</f>
        <v>0</v>
      </c>
      <c r="Z25" s="1390">
        <f>T25+V25</f>
        <v>0</v>
      </c>
      <c r="AA25" s="1390"/>
      <c r="AB25" s="1390"/>
      <c r="AC25" s="1390">
        <f>_xlfn.XLOOKUP($A25,'AJE.1 - F25'!$S$12:$S$21,'AJE.1 - F25'!$U$12:$U$21,0,0,1)</f>
        <v>0</v>
      </c>
      <c r="AD25" s="219">
        <f>ROUND(SUM(Y25:AC25),0)</f>
        <v>0</v>
      </c>
      <c r="AE25" s="1390">
        <f>Y25+AA25</f>
        <v>0</v>
      </c>
      <c r="AF25" s="1390">
        <f>Z25+AB25</f>
        <v>0</v>
      </c>
      <c r="AG25" s="1390"/>
      <c r="AH25" s="1390"/>
      <c r="AI25" s="1390">
        <f>_xlfn.XLOOKUP($A25,'AJE.1 - F25'!$S$12:$S$21,'AJE.1 - F25'!$U$12:$U$21,0,0,1)</f>
        <v>0</v>
      </c>
      <c r="AJ25" s="219">
        <f>ROUND(SUM(AE25:AI25),0)</f>
        <v>0</v>
      </c>
      <c r="AK25" s="178" t="str">
        <f>_xlfn.XLOOKUP($A25,COA!$B:$B,COA!$C:$C,0,0,1)</f>
        <v>Other current assets</v>
      </c>
      <c r="AL25" s="178" t="str">
        <f>_xlfn.XLOOKUP($A25,COA!$B:$B,COA!$D:$D,0,0,1)</f>
        <v>Other current assets</v>
      </c>
      <c r="AM25" s="178" t="str">
        <f>_xlfn.XLOOKUP($A25,COA!$B:$B,COA!$E:$E,0,0,1)</f>
        <v>Other current assets</v>
      </c>
      <c r="AO25" s="85" t="str">
        <f t="shared" ref="AO25:AO26" si="12">AM25</f>
        <v>Other current assets</v>
      </c>
      <c r="AP25" s="85"/>
      <c r="AQ25" s="85"/>
      <c r="AR25" s="85"/>
      <c r="AS25" s="85"/>
      <c r="AT25" s="85"/>
      <c r="AU25" s="85"/>
      <c r="AV25" s="85"/>
      <c r="AW25" s="85"/>
      <c r="AX25" s="85"/>
      <c r="AY25" s="85"/>
      <c r="AZ25" s="85"/>
      <c r="BA25" s="85"/>
      <c r="BB25" s="85"/>
      <c r="BC25" s="85"/>
      <c r="BD25" s="85"/>
      <c r="BE25" s="85"/>
      <c r="BF25" s="85"/>
      <c r="BG25" s="85"/>
    </row>
    <row r="26" spans="1:59" x14ac:dyDescent="0.25">
      <c r="A26" s="1393" t="str">
        <f>COA!B22</f>
        <v>1420 Intangible assets</v>
      </c>
      <c r="B26" s="1390">
        <f>_xlfn.XLOOKUP(A26,'TB.1 - F25'!A:A,'TB.1 - F25'!D:D,0,0,1)</f>
        <v>450000</v>
      </c>
      <c r="C26" s="1390">
        <f>_xlfn.XLOOKUP(A26,'TB.1 - F25'!A:A,'TB.1 - F25'!H:H,0,0,1)</f>
        <v>0</v>
      </c>
      <c r="D26" s="1390">
        <f>_xlfn.XLOOKUP(A26,'AJE.1 - F25'!A:A,'AJE.1 - F25'!F:F,0,0,1)</f>
        <v>6281822</v>
      </c>
      <c r="E26" s="1390"/>
      <c r="F26" s="219">
        <f>ROUND(SUM(B26:E26),0)</f>
        <v>6731822</v>
      </c>
      <c r="G26" s="1390">
        <f>_xlfn.XLOOKUP($A26,TB.PRO!$A:$A,TB.PRO!F:F,0,0,1)</f>
        <v>450000</v>
      </c>
      <c r="H26" s="1390">
        <f>_xlfn.XLOOKUP($A26,TB.PRO!$A:$A,TB.PRO!G:G,0,0,1)</f>
        <v>6281822</v>
      </c>
      <c r="I26" s="1390"/>
      <c r="J26" s="1390"/>
      <c r="K26" s="1390">
        <f>_xlfn.XLOOKUP($A26,'AJE.1 - F25'!$S$12:$S$21,'AJE.1 - F25'!$U$12:$U$21,0,0,1)</f>
        <v>0</v>
      </c>
      <c r="L26" s="665">
        <f>ROUND(SUM(G26:K26),0)</f>
        <v>6731822</v>
      </c>
      <c r="M26" s="1390">
        <f>_xlfn.XLOOKUP($A26,TB.PRO!$A:$A,TB.PRO!I:I,0,0,1)</f>
        <v>450000</v>
      </c>
      <c r="N26" s="1390">
        <f>_xlfn.XLOOKUP($A26,TB.PRO!$A:$A,TB.PRO!J:J,0,0,1)</f>
        <v>6281822</v>
      </c>
      <c r="O26" s="1390"/>
      <c r="P26" s="1390"/>
      <c r="Q26" s="1390">
        <f>_xlfn.XLOOKUP($A26,'AJE.1 - F25'!$S$12:$S$21,'AJE.1 - F25'!$U$12:$U$21,0,0,1)</f>
        <v>0</v>
      </c>
      <c r="R26" s="665">
        <f>ROUND(SUM(M26:Q26),0)</f>
        <v>6731822</v>
      </c>
      <c r="S26" s="1390">
        <f>M26+O26</f>
        <v>450000</v>
      </c>
      <c r="T26" s="1390">
        <f>N26+P26</f>
        <v>6281822</v>
      </c>
      <c r="U26" s="1390"/>
      <c r="V26" s="1390"/>
      <c r="W26" s="1390">
        <f>_xlfn.XLOOKUP($A26,'AJE.1 - F25'!$S$12:$S$21,'AJE.1 - F25'!$U$12:$U$21,0,0,1)</f>
        <v>0</v>
      </c>
      <c r="X26" s="665">
        <f>ROUND(SUM(S26:W26),0)</f>
        <v>6731822</v>
      </c>
      <c r="Y26" s="1390">
        <f>S26+U26</f>
        <v>450000</v>
      </c>
      <c r="Z26" s="1390">
        <f>T26+V26</f>
        <v>6281822</v>
      </c>
      <c r="AA26" s="1390"/>
      <c r="AB26" s="1390"/>
      <c r="AC26" s="1390">
        <f>_xlfn.XLOOKUP($A26,'AJE.1 - F25'!$S$12:$S$21,'AJE.1 - F25'!$U$12:$U$21,0,0,1)</f>
        <v>0</v>
      </c>
      <c r="AD26" s="219">
        <f>ROUND(SUM(Y26:AC26),0)</f>
        <v>6731822</v>
      </c>
      <c r="AE26" s="1390">
        <f>Y26+AA26</f>
        <v>450000</v>
      </c>
      <c r="AF26" s="1390">
        <f>Z26+AB26</f>
        <v>6281822</v>
      </c>
      <c r="AG26" s="1390"/>
      <c r="AH26" s="1390"/>
      <c r="AI26" s="1390">
        <f>_xlfn.XLOOKUP($A26,'AJE.1 - F25'!$S$12:$S$21,'AJE.1 - F25'!$U$12:$U$21,0,0,1)</f>
        <v>0</v>
      </c>
      <c r="AJ26" s="219">
        <f>ROUND(SUM(AE26:AI26),0)</f>
        <v>6731822</v>
      </c>
      <c r="AK26" s="178" t="str">
        <f>_xlfn.XLOOKUP($A26,COA!$B:$B,COA!$C:$C,0,0,1)</f>
        <v>Intangible assets</v>
      </c>
      <c r="AL26" s="178" t="str">
        <f>_xlfn.XLOOKUP($A26,COA!$B:$B,COA!$D:$D,0,0,1)</f>
        <v>Intangible assets</v>
      </c>
      <c r="AM26" s="178" t="str">
        <f>_xlfn.XLOOKUP($A26,COA!$B:$B,COA!$E:$E,0,0,1)</f>
        <v>Intangible assets</v>
      </c>
      <c r="AO26" s="85" t="str">
        <f t="shared" si="12"/>
        <v>Intangible assets</v>
      </c>
      <c r="AP26" s="85"/>
      <c r="AQ26" s="85"/>
      <c r="AR26" s="85"/>
      <c r="AS26" s="85"/>
      <c r="AT26" s="85"/>
      <c r="AU26" s="85"/>
      <c r="AV26" s="85"/>
      <c r="AW26" s="85"/>
      <c r="AX26" s="85"/>
      <c r="AY26" s="85"/>
      <c r="AZ26" s="85"/>
      <c r="BA26" s="85"/>
      <c r="BB26" s="85"/>
      <c r="BC26" s="85"/>
      <c r="BD26" s="85"/>
      <c r="BE26" s="85"/>
      <c r="BF26" s="85"/>
      <c r="BG26" s="85"/>
    </row>
    <row r="27" spans="1:59" x14ac:dyDescent="0.25">
      <c r="A27" s="1393" t="str">
        <f>COA!B23</f>
        <v>1421 Accumulated amortization</v>
      </c>
      <c r="B27" s="1390">
        <f>_xlfn.XLOOKUP(A27,'TB.1 - F25'!A:A,'TB.1 - F25'!D:D,0,0,1)</f>
        <v>0</v>
      </c>
      <c r="C27" s="1390">
        <f>_xlfn.XLOOKUP(A27,'TB.1 - F25'!A:A,'TB.1 - F25'!H:H,0,0,1)</f>
        <v>0</v>
      </c>
      <c r="D27" s="1390">
        <f>_xlfn.XLOOKUP(A27,'AJE.1 - F25'!A:A,'AJE.1 - F25'!F:F,0,0,1)</f>
        <v>-2460380</v>
      </c>
      <c r="E27" s="1390"/>
      <c r="F27" s="219">
        <f>ROUND(SUM(B27:E27),0)</f>
        <v>-2460380</v>
      </c>
      <c r="G27" s="1390">
        <f>_xlfn.XLOOKUP($A27,TB.PRO!$A:$A,TB.PRO!F:F,0,0,1)</f>
        <v>0</v>
      </c>
      <c r="H27" s="1390">
        <f>_xlfn.XLOOKUP($A27,TB.PRO!$A:$A,TB.PRO!G:G,0,0,1)</f>
        <v>-2774471</v>
      </c>
      <c r="I27" s="1390">
        <f>-I185</f>
        <v>-942273</v>
      </c>
      <c r="J27" s="1390"/>
      <c r="K27" s="1390">
        <f>_xlfn.XLOOKUP($A27,'AJE.1 - F25'!$S$12:$S$21,'AJE.1 - F25'!$U$12:$U$21,0,0,1)</f>
        <v>0</v>
      </c>
      <c r="L27" s="665">
        <f>ROUND(SUM(G27:K27),0)</f>
        <v>-3716744</v>
      </c>
      <c r="M27" s="1390">
        <f>_xlfn.XLOOKUP($A27,TB.PRO!$A:$A,TB.PRO!I:I,0,0,1)</f>
        <v>0</v>
      </c>
      <c r="N27" s="1390">
        <f>_xlfn.XLOOKUP($A27,TB.PRO!$A:$A,TB.PRO!J:J,0,0,1)</f>
        <v>-2774471</v>
      </c>
      <c r="O27" s="1390">
        <f>I27-O185</f>
        <v>-2198637</v>
      </c>
      <c r="P27" s="1390"/>
      <c r="Q27" s="1390">
        <f>_xlfn.XLOOKUP($A27,'AJE.1 - F25'!$S$12:$S$21,'AJE.1 - F25'!$U$12:$U$21,0,0,1)</f>
        <v>0</v>
      </c>
      <c r="R27" s="665">
        <f>ROUND(SUM(M27:Q27),0)</f>
        <v>-4973108</v>
      </c>
      <c r="S27" s="1390">
        <f>M27+O27</f>
        <v>-2198637</v>
      </c>
      <c r="T27" s="1390">
        <f>N27+P27</f>
        <v>-2774471</v>
      </c>
      <c r="U27" s="1390">
        <f>-U185</f>
        <v>-1256364</v>
      </c>
      <c r="V27" s="1390"/>
      <c r="W27" s="1390">
        <f>_xlfn.XLOOKUP($A27,'AJE.1 - F25'!$S$12:$S$21,'AJE.1 - F25'!$U$12:$U$21,0,0,1)</f>
        <v>0</v>
      </c>
      <c r="X27" s="665">
        <f>ROUND(SUM(S27:W27),0)</f>
        <v>-6229472</v>
      </c>
      <c r="Y27" s="1390">
        <f>S27+U27</f>
        <v>-3455001</v>
      </c>
      <c r="Z27" s="1390">
        <f>T27+V27</f>
        <v>-2774471</v>
      </c>
      <c r="AA27" s="1390">
        <f>-AA185</f>
        <v>-188259</v>
      </c>
      <c r="AB27" s="1390"/>
      <c r="AC27" s="1390">
        <f>_xlfn.XLOOKUP($A27,'AJE.1 - F25'!$S$12:$S$21,'AJE.1 - F25'!$U$12:$U$21,0,0,1)</f>
        <v>0</v>
      </c>
      <c r="AD27" s="219">
        <f>ROUND(SUM(Y27:AC27),0)</f>
        <v>-6417731</v>
      </c>
      <c r="AE27" s="1390">
        <f>Y27+AA27</f>
        <v>-3643260</v>
      </c>
      <c r="AF27" s="1390">
        <f>Z27+AB27</f>
        <v>-2774471</v>
      </c>
      <c r="AG27" s="1390">
        <f>-AG185</f>
        <v>0</v>
      </c>
      <c r="AH27" s="1390">
        <f>AB27</f>
        <v>0</v>
      </c>
      <c r="AI27" s="1390">
        <f>_xlfn.XLOOKUP($A27,'AJE.1 - F25'!$S$12:$S$21,'AJE.1 - F25'!$U$12:$U$21,0,0,1)</f>
        <v>0</v>
      </c>
      <c r="AJ27" s="219">
        <f>ROUND(SUM(AE27:AI27),0)</f>
        <v>-6417731</v>
      </c>
      <c r="AK27" s="178" t="str">
        <f>_xlfn.XLOOKUP($A27,COA!$B:$B,COA!$C:$C,0,0,1)</f>
        <v>Intangible assets</v>
      </c>
      <c r="AL27" s="178" t="str">
        <f>_xlfn.XLOOKUP($A27,COA!$B:$B,COA!$D:$D,0,0,1)</f>
        <v>Intangible assets</v>
      </c>
      <c r="AM27" s="178" t="str">
        <f>_xlfn.XLOOKUP($A27,COA!$B:$B,COA!$E:$E,0,0,1)</f>
        <v>Intangible assets</v>
      </c>
      <c r="AO27" s="85" t="str">
        <f>_xlfn.XLOOKUP(AM27,FS.1!A:A,AM:AM,0,0,1)</f>
        <v>Intercompany</v>
      </c>
      <c r="AP27" s="85"/>
      <c r="AQ27" s="85"/>
      <c r="AR27" s="85"/>
      <c r="AS27" s="85"/>
      <c r="AT27" s="85"/>
      <c r="AU27" s="85"/>
      <c r="AV27" s="85"/>
      <c r="AW27" s="85"/>
      <c r="AX27" s="85"/>
      <c r="AY27" s="85"/>
      <c r="AZ27" s="85"/>
      <c r="BA27" s="85"/>
      <c r="BB27" s="85"/>
      <c r="BC27" s="85"/>
      <c r="BD27" s="85"/>
      <c r="BE27" s="85"/>
      <c r="BF27" s="85"/>
      <c r="BG27" s="85"/>
    </row>
    <row r="28" spans="1:59" hidden="1" x14ac:dyDescent="0.25">
      <c r="A28" s="1393" t="str">
        <f>COA!B24</f>
        <v>1500 Payroll Advances Receivable</v>
      </c>
      <c r="B28" s="1390">
        <f>_xlfn.XLOOKUP(A28,'TB.1 - F25'!A:A,'TB.1 - F25'!D:D,0,0,1)</f>
        <v>0</v>
      </c>
      <c r="C28" s="1390">
        <f>_xlfn.XLOOKUP(A28,'TB.1 - F25'!A:A,'TB.1 - F25'!H:H,0,0,1)</f>
        <v>0</v>
      </c>
      <c r="D28" s="1390">
        <f>_xlfn.XLOOKUP(A28,'AJE.1 - F25'!A:A,'AJE.1 - F25'!F:F,0,0,1)</f>
        <v>0</v>
      </c>
      <c r="E28" s="1390"/>
      <c r="F28" s="219">
        <f>ROUND(SUM(B28:E28),0)</f>
        <v>0</v>
      </c>
      <c r="G28" s="1390">
        <f>_xlfn.XLOOKUP($A28,TB.PRO!$A:$A,TB.PRO!F:F,0,0,1)</f>
        <v>0</v>
      </c>
      <c r="H28" s="1390">
        <f>_xlfn.XLOOKUP($A28,TB.PRO!$A:$A,TB.PRO!G:G,0,0,1)</f>
        <v>0</v>
      </c>
      <c r="I28" s="1390"/>
      <c r="J28" s="1390"/>
      <c r="K28" s="1390">
        <f>_xlfn.XLOOKUP($A28,'AJE.1 - F25'!$S$12:$S$21,'AJE.1 - F25'!$U$12:$U$21,0,0,1)</f>
        <v>0</v>
      </c>
      <c r="L28" s="665">
        <f>ROUND(SUM(G28:K28),0)</f>
        <v>0</v>
      </c>
      <c r="M28" s="1390">
        <f>_xlfn.XLOOKUP($A28,TB.PRO!$A:$A,TB.PRO!I:I,0,0,1)</f>
        <v>0</v>
      </c>
      <c r="N28" s="1390">
        <f>_xlfn.XLOOKUP($A28,TB.PRO!$A:$A,TB.PRO!J:J,0,0,1)</f>
        <v>0</v>
      </c>
      <c r="O28" s="1390"/>
      <c r="P28" s="1390"/>
      <c r="Q28" s="1390">
        <f>_xlfn.XLOOKUP($A28,'AJE.1 - F25'!$S$12:$S$21,'AJE.1 - F25'!$U$12:$U$21,0,0,1)</f>
        <v>0</v>
      </c>
      <c r="R28" s="665">
        <f>ROUND(SUM(M28:Q28),0)</f>
        <v>0</v>
      </c>
      <c r="S28" s="1390">
        <f>M28+O28</f>
        <v>0</v>
      </c>
      <c r="T28" s="1390">
        <f>N28+P28</f>
        <v>0</v>
      </c>
      <c r="U28" s="1390"/>
      <c r="V28" s="1390"/>
      <c r="W28" s="1390">
        <f>_xlfn.XLOOKUP($A28,'AJE.1 - F25'!$S$12:$S$21,'AJE.1 - F25'!$U$12:$U$21,0,0,1)</f>
        <v>0</v>
      </c>
      <c r="X28" s="665">
        <f>ROUND(SUM(S28:W28),0)</f>
        <v>0</v>
      </c>
      <c r="Y28" s="1390">
        <f>S28+U28</f>
        <v>0</v>
      </c>
      <c r="Z28" s="1390">
        <f>T28+V28</f>
        <v>0</v>
      </c>
      <c r="AA28" s="1390"/>
      <c r="AB28" s="1390"/>
      <c r="AC28" s="1390">
        <f>_xlfn.XLOOKUP($A28,'AJE.1 - F25'!$S$12:$S$21,'AJE.1 - F25'!$U$12:$U$21,0,0,1)</f>
        <v>0</v>
      </c>
      <c r="AD28" s="219">
        <f>ROUND(SUM(Y28:AC28),0)</f>
        <v>0</v>
      </c>
      <c r="AE28" s="1390">
        <f>Y28+AA28</f>
        <v>0</v>
      </c>
      <c r="AF28" s="1390">
        <f>Z28+AB28</f>
        <v>0</v>
      </c>
      <c r="AG28" s="1390"/>
      <c r="AH28" s="1390"/>
      <c r="AI28" s="1390">
        <f>_xlfn.XLOOKUP($A28,'AJE.1 - F25'!$S$12:$S$21,'AJE.1 - F25'!$U$12:$U$21,0,0,1)</f>
        <v>0</v>
      </c>
      <c r="AJ28" s="219">
        <f>ROUND(SUM(AE28:AI28),0)</f>
        <v>0</v>
      </c>
      <c r="AK28" s="178" t="str">
        <f>_xlfn.XLOOKUP($A28,COA!$B:$B,COA!$C:$C,0,0,1)</f>
        <v>Receivables</v>
      </c>
      <c r="AL28" s="178" t="str">
        <f>_xlfn.XLOOKUP($A28,COA!$B:$B,COA!$D:$D,0,0,1)</f>
        <v>Receivables</v>
      </c>
      <c r="AM28" s="178" t="str">
        <f>_xlfn.XLOOKUP($A28,COA!$B:$B,COA!$E:$E,0,0,1)</f>
        <v>Receivables</v>
      </c>
      <c r="AO28" s="85" t="str">
        <f>AM28</f>
        <v>Receivables</v>
      </c>
      <c r="AP28" s="85"/>
      <c r="AQ28" s="85"/>
      <c r="AR28" s="85"/>
      <c r="AS28" s="85"/>
      <c r="AT28" s="85"/>
      <c r="AU28" s="85"/>
      <c r="AV28" s="85"/>
      <c r="AW28" s="85"/>
      <c r="AX28" s="85"/>
      <c r="AY28" s="85"/>
      <c r="AZ28" s="85"/>
      <c r="BA28" s="85"/>
      <c r="BB28" s="85"/>
      <c r="BC28" s="85"/>
      <c r="BD28" s="85"/>
      <c r="BE28" s="85"/>
      <c r="BF28" s="85"/>
      <c r="BG28" s="85"/>
    </row>
    <row r="29" spans="1:59" x14ac:dyDescent="0.25">
      <c r="A29" s="1393" t="str">
        <f>COA!B25</f>
        <v>1500 Intercompany - Due from Hallor Industries Inc.</v>
      </c>
      <c r="B29" s="1390">
        <f>_xlfn.XLOOKUP(A29,'TB.1 - F25'!A:A,'TB.1 - F25'!D:D,0,0,1)</f>
        <v>109064.08</v>
      </c>
      <c r="C29" s="1390">
        <f>_xlfn.XLOOKUP(A29,'TB.1 - F25'!A:A,'TB.1 - F25'!H:H,0,0,1)</f>
        <v>0</v>
      </c>
      <c r="D29" s="1390">
        <f>_xlfn.XLOOKUP(A29,'AJE.1 - F25'!A:A,'AJE.1 - F25'!F:F,0,0,1)</f>
        <v>0</v>
      </c>
      <c r="E29" s="1390">
        <v>26</v>
      </c>
      <c r="F29" s="219">
        <f>ROUND(SUM(B29:E29),0)</f>
        <v>109090</v>
      </c>
      <c r="G29" s="1390">
        <f>_xlfn.XLOOKUP($A29,TB.PRO!$A:$A,TB.PRO!F:F,0,0,1)</f>
        <v>88831.23</v>
      </c>
      <c r="H29" s="1390">
        <f>_xlfn.XLOOKUP($A29,TB.PRO!$A:$A,TB.PRO!G:G,0,0,1)</f>
        <v>0</v>
      </c>
      <c r="I29" s="1390"/>
      <c r="J29" s="1390">
        <v>73</v>
      </c>
      <c r="K29" s="1390">
        <f>_xlfn.XLOOKUP($A29,'AJE.1 - F25'!$S$12:$S$21,'AJE.1 - F25'!$U$12:$U$21,0,0,1)</f>
        <v>0</v>
      </c>
      <c r="L29" s="665">
        <f>ROUND(SUM(G29:K29),0)</f>
        <v>88904</v>
      </c>
      <c r="M29" s="1390">
        <f>_xlfn.XLOOKUP($A29,TB.PRO!$A:$A,TB.PRO!I:I,0,0,1)</f>
        <v>88831.23</v>
      </c>
      <c r="N29" s="1390">
        <f>_xlfn.XLOOKUP($A29,TB.PRO!$A:$A,TB.PRO!J:J,0,0,1)</f>
        <v>0</v>
      </c>
      <c r="O29" s="1390"/>
      <c r="P29" s="1390">
        <v>73</v>
      </c>
      <c r="Q29" s="1390">
        <f>_xlfn.XLOOKUP($A29,'AJE.1 - F25'!$S$12:$S$21,'AJE.1 - F25'!$U$12:$U$21,0,0,1)</f>
        <v>0</v>
      </c>
      <c r="R29" s="665">
        <f>ROUND(SUM(M29:Q29),0)</f>
        <v>88904</v>
      </c>
      <c r="S29" s="1390">
        <f>M29+O29</f>
        <v>88831.23</v>
      </c>
      <c r="T29" s="1390">
        <f>N29+P29</f>
        <v>73</v>
      </c>
      <c r="U29" s="1390"/>
      <c r="V29" s="1390"/>
      <c r="W29" s="1390">
        <f>_xlfn.XLOOKUP($A29,'AJE.1 - F25'!$S$12:$S$21,'AJE.1 - F25'!$U$12:$U$21,0,0,1)</f>
        <v>0</v>
      </c>
      <c r="X29" s="665">
        <f>ROUND(SUM(S29:W29),0)</f>
        <v>88904</v>
      </c>
      <c r="Y29" s="1390">
        <f>S29+U29</f>
        <v>88831.23</v>
      </c>
      <c r="Z29" s="1390">
        <f>T29+V29</f>
        <v>73</v>
      </c>
      <c r="AA29" s="1390"/>
      <c r="AB29" s="1390"/>
      <c r="AC29" s="1390">
        <f>_xlfn.XLOOKUP($A29,'AJE.1 - F25'!$S$12:$S$21,'AJE.1 - F25'!$U$12:$U$21,0,0,1)</f>
        <v>0</v>
      </c>
      <c r="AD29" s="219">
        <f>ROUND(SUM(Y29:AC29),0)</f>
        <v>88904</v>
      </c>
      <c r="AE29" s="1390">
        <f>Y29+AA29</f>
        <v>88831.23</v>
      </c>
      <c r="AF29" s="1390">
        <f>Z29+AB29</f>
        <v>73</v>
      </c>
      <c r="AG29" s="1390"/>
      <c r="AH29" s="1390"/>
      <c r="AI29" s="1390">
        <f>_xlfn.XLOOKUP($A29,'AJE.1 - F25'!$S$12:$S$21,'AJE.1 - F25'!$U$12:$U$21,0,0,1)</f>
        <v>0</v>
      </c>
      <c r="AJ29" s="219">
        <f>ROUND(SUM(AE29:AI29),0)</f>
        <v>88904</v>
      </c>
      <c r="AK29" s="178" t="str">
        <f>_xlfn.XLOOKUP($A29,COA!$B:$B,COA!$C:$C,0,0,1)</f>
        <v>Intercompany</v>
      </c>
      <c r="AL29" s="178" t="str">
        <f>_xlfn.XLOOKUP($A29,COA!$B:$B,COA!$D:$D,0,0,1)</f>
        <v>Intercompany</v>
      </c>
      <c r="AM29" s="178" t="str">
        <f>_xlfn.XLOOKUP($A29,COA!$B:$B,COA!$E:$E,0,0,1)</f>
        <v>Intercompany</v>
      </c>
      <c r="AO29" s="85">
        <f>_xlfn.XLOOKUP(AM29,FS.1!A:A,AM:AM,0,0,1)</f>
        <v>0</v>
      </c>
      <c r="AP29" s="85"/>
      <c r="AQ29" s="85"/>
      <c r="AR29" s="85"/>
      <c r="AS29" s="85"/>
      <c r="AT29" s="85"/>
      <c r="AU29" s="85"/>
      <c r="AV29" s="85"/>
      <c r="AW29" s="85"/>
      <c r="AX29" s="85"/>
      <c r="AY29" s="85"/>
      <c r="AZ29" s="85"/>
      <c r="BA29" s="85"/>
      <c r="BB29" s="85"/>
      <c r="BC29" s="85"/>
      <c r="BD29" s="85"/>
      <c r="BE29" s="85"/>
      <c r="BF29" s="85"/>
      <c r="BG29" s="85"/>
    </row>
    <row r="30" spans="1:59" hidden="1" x14ac:dyDescent="0.25">
      <c r="A30" s="1393" t="str">
        <f>COA!B26</f>
        <v>1600 Investment in Hallor Industries</v>
      </c>
      <c r="B30" s="1390">
        <f>_xlfn.XLOOKUP(A30,'TB.1 - F25'!A:A,'TB.1 - F25'!D:D,0,0,1)</f>
        <v>6000000</v>
      </c>
      <c r="C30" s="1390">
        <f>_xlfn.XLOOKUP(A30,'TB.1 - F25'!A:A,'TB.1 - F25'!H:H,0,0,1)</f>
        <v>0</v>
      </c>
      <c r="D30" s="1390">
        <f>_xlfn.XLOOKUP(A30,'AJE.1 - F25'!A:A,'AJE.1 - F25'!F:F,0,0,1)</f>
        <v>-6000000</v>
      </c>
      <c r="E30" s="1390"/>
      <c r="F30" s="219">
        <f>ROUND(SUM(B30:E30),0)</f>
        <v>0</v>
      </c>
      <c r="G30" s="1390">
        <f>_xlfn.XLOOKUP($A30,TB.PRO!$A:$A,TB.PRO!F:F,0,0,1)</f>
        <v>6000000</v>
      </c>
      <c r="H30" s="1390">
        <f>_xlfn.XLOOKUP($A30,TB.PRO!$A:$A,TB.PRO!G:G,0,0,1)</f>
        <v>0</v>
      </c>
      <c r="I30" s="1390"/>
      <c r="J30" s="1390"/>
      <c r="K30" s="1390">
        <f>_xlfn.XLOOKUP($A30,'AJE.1 - F25'!$S$12:$S$21,'AJE.1 - F25'!$U$12:$U$21,0,0,1)</f>
        <v>-6000000</v>
      </c>
      <c r="L30" s="665">
        <f>ROUND(SUM(G30:K30),0)</f>
        <v>0</v>
      </c>
      <c r="M30" s="1390">
        <f>_xlfn.XLOOKUP($A30,TB.PRO!$A:$A,TB.PRO!I:I,0,0,1)</f>
        <v>6000000</v>
      </c>
      <c r="N30" s="1390">
        <f>_xlfn.XLOOKUP($A30,TB.PRO!$A:$A,TB.PRO!J:J,0,0,1)</f>
        <v>0</v>
      </c>
      <c r="O30" s="1390"/>
      <c r="P30" s="1390"/>
      <c r="Q30" s="1390">
        <f>_xlfn.XLOOKUP($A30,'AJE.1 - F25'!$S$12:$S$21,'AJE.1 - F25'!$U$12:$U$21,0,0,1)</f>
        <v>-6000000</v>
      </c>
      <c r="R30" s="665">
        <f>ROUND(SUM(M30:Q30),0)</f>
        <v>0</v>
      </c>
      <c r="S30" s="1390">
        <f>M30+O30</f>
        <v>6000000</v>
      </c>
      <c r="T30" s="1390">
        <f>N30+P30</f>
        <v>0</v>
      </c>
      <c r="U30" s="1390"/>
      <c r="V30" s="1390"/>
      <c r="W30" s="1390">
        <f>_xlfn.XLOOKUP($A30,'AJE.1 - F25'!$S$12:$S$21,'AJE.1 - F25'!$U$12:$U$21,0,0,1)</f>
        <v>-6000000</v>
      </c>
      <c r="X30" s="665">
        <f>ROUND(SUM(S30:W30),0)</f>
        <v>0</v>
      </c>
      <c r="Y30" s="1390">
        <f>S30+U30</f>
        <v>6000000</v>
      </c>
      <c r="Z30" s="1390">
        <f>T30+V30</f>
        <v>0</v>
      </c>
      <c r="AA30" s="1390"/>
      <c r="AB30" s="1390"/>
      <c r="AC30" s="1390">
        <f>_xlfn.XLOOKUP($A30,'AJE.1 - F25'!$S$12:$S$21,'AJE.1 - F25'!$U$12:$U$21,0,0,1)</f>
        <v>-6000000</v>
      </c>
      <c r="AD30" s="219">
        <f>ROUND(SUM(Y30:AC30),0)</f>
        <v>0</v>
      </c>
      <c r="AE30" s="1390">
        <f>Y30+AA30</f>
        <v>6000000</v>
      </c>
      <c r="AF30" s="1390">
        <f>Z30+AB30</f>
        <v>0</v>
      </c>
      <c r="AG30" s="1390"/>
      <c r="AH30" s="1390"/>
      <c r="AI30" s="1390">
        <f>_xlfn.XLOOKUP($A30,'AJE.1 - F25'!$S$12:$S$21,'AJE.1 - F25'!$U$12:$U$21,0,0,1)</f>
        <v>-6000000</v>
      </c>
      <c r="AJ30" s="219">
        <f>ROUND(SUM(AE30:AI30),0)</f>
        <v>0</v>
      </c>
      <c r="AK30" s="178" t="str">
        <f>_xlfn.XLOOKUP($A30,COA!$B:$B,COA!$C:$C,0,0,1)</f>
        <v>Investment in subsidiary</v>
      </c>
      <c r="AL30" s="178" t="str">
        <f>_xlfn.XLOOKUP($A30,COA!$B:$B,COA!$D:$D,0,0,1)</f>
        <v>Investment in subsidiary</v>
      </c>
      <c r="AM30" s="178" t="str">
        <f>_xlfn.XLOOKUP($A30,COA!$B:$B,COA!$E:$E,0,0,1)</f>
        <v>Investment in subsidiary</v>
      </c>
      <c r="AO30" s="85">
        <f>_xlfn.XLOOKUP(AM30,FS.1!A:A,AM:AM,0,0,1)</f>
        <v>0</v>
      </c>
      <c r="AP30" s="85"/>
      <c r="AQ30" s="85"/>
      <c r="AR30" s="85"/>
      <c r="AS30" s="85"/>
      <c r="AT30" s="85"/>
      <c r="AU30" s="85"/>
      <c r="AV30" s="85"/>
      <c r="AW30" s="85"/>
      <c r="AX30" s="85"/>
      <c r="AY30" s="85"/>
      <c r="AZ30" s="85"/>
      <c r="BA30" s="85"/>
      <c r="BB30" s="85"/>
      <c r="BC30" s="85"/>
      <c r="BD30" s="85"/>
      <c r="BE30" s="85"/>
      <c r="BF30" s="85"/>
      <c r="BG30" s="85"/>
    </row>
    <row r="31" spans="1:59" hidden="1" x14ac:dyDescent="0.25">
      <c r="A31" s="1393" t="str">
        <f>COA!B27</f>
        <v>1800 Computer Equipment</v>
      </c>
      <c r="B31" s="1390">
        <f>_xlfn.XLOOKUP(A31,'TB.1 - F25'!A:A,'TB.1 - F25'!D:D,0,0,1)</f>
        <v>0</v>
      </c>
      <c r="C31" s="1390">
        <f>_xlfn.XLOOKUP(A31,'TB.1 - F25'!A:A,'TB.1 - F25'!H:H,0,0,1)</f>
        <v>0</v>
      </c>
      <c r="D31" s="1390">
        <f>_xlfn.XLOOKUP(A31,'AJE.1 - F25'!A:A,'AJE.1 - F25'!F:F,0,0,1)</f>
        <v>0</v>
      </c>
      <c r="E31" s="1390"/>
      <c r="F31" s="219">
        <f>ROUND(SUM(B31:E31),0)</f>
        <v>0</v>
      </c>
      <c r="G31" s="1390">
        <f>_xlfn.XLOOKUP($A31,TB.PRO!$A:$A,TB.PRO!F:F,0,0,1)</f>
        <v>0</v>
      </c>
      <c r="H31" s="1390">
        <f>_xlfn.XLOOKUP($A31,TB.PRO!$A:$A,TB.PRO!G:G,0,0,1)</f>
        <v>0</v>
      </c>
      <c r="I31" s="1390"/>
      <c r="J31" s="1390"/>
      <c r="K31" s="1390">
        <f>_xlfn.XLOOKUP($A31,'AJE.1 - F25'!$S$12:$S$21,'AJE.1 - F25'!$U$12:$U$21,0,0,1)</f>
        <v>0</v>
      </c>
      <c r="L31" s="665">
        <f>ROUND(SUM(G31:K31),0)</f>
        <v>0</v>
      </c>
      <c r="M31" s="1390">
        <f>_xlfn.XLOOKUP($A31,TB.PRO!$A:$A,TB.PRO!I:I,0,0,1)</f>
        <v>0</v>
      </c>
      <c r="N31" s="1390">
        <f>_xlfn.XLOOKUP($A31,TB.PRO!$A:$A,TB.PRO!J:J,0,0,1)</f>
        <v>0</v>
      </c>
      <c r="O31" s="1390"/>
      <c r="P31" s="1390"/>
      <c r="Q31" s="1390">
        <f>_xlfn.XLOOKUP($A31,'AJE.1 - F25'!$S$12:$S$21,'AJE.1 - F25'!$U$12:$U$21,0,0,1)</f>
        <v>0</v>
      </c>
      <c r="R31" s="665">
        <f>ROUND(SUM(M31:Q31),0)</f>
        <v>0</v>
      </c>
      <c r="S31" s="1390">
        <f>M31+O31</f>
        <v>0</v>
      </c>
      <c r="T31" s="1390">
        <f>N31+P31</f>
        <v>0</v>
      </c>
      <c r="U31" s="1390"/>
      <c r="V31" s="1390"/>
      <c r="W31" s="1390">
        <f>_xlfn.XLOOKUP($A31,'AJE.1 - F25'!$S$12:$S$21,'AJE.1 - F25'!$U$12:$U$21,0,0,1)</f>
        <v>0</v>
      </c>
      <c r="X31" s="665">
        <f>ROUND(SUM(S31:W31),0)</f>
        <v>0</v>
      </c>
      <c r="Y31" s="1390">
        <f>S31+U31</f>
        <v>0</v>
      </c>
      <c r="Z31" s="1390">
        <f>T31+V31</f>
        <v>0</v>
      </c>
      <c r="AA31" s="1390"/>
      <c r="AB31" s="1390"/>
      <c r="AC31" s="1390">
        <f>_xlfn.XLOOKUP($A31,'AJE.1 - F25'!$S$12:$S$21,'AJE.1 - F25'!$U$12:$U$21,0,0,1)</f>
        <v>0</v>
      </c>
      <c r="AD31" s="219">
        <f>ROUND(SUM(Y31:AC31),0)</f>
        <v>0</v>
      </c>
      <c r="AE31" s="1390">
        <f>Y31+AA31</f>
        <v>0</v>
      </c>
      <c r="AF31" s="1390">
        <f>Z31+AB31</f>
        <v>0</v>
      </c>
      <c r="AG31" s="1390"/>
      <c r="AH31" s="1390"/>
      <c r="AI31" s="1390">
        <f>_xlfn.XLOOKUP($A31,'AJE.1 - F25'!$S$12:$S$21,'AJE.1 - F25'!$U$12:$U$21,0,0,1)</f>
        <v>0</v>
      </c>
      <c r="AJ31" s="219">
        <f>ROUND(SUM(AE31:AI31),0)</f>
        <v>0</v>
      </c>
      <c r="AK31" s="178" t="str">
        <f>_xlfn.XLOOKUP($A31,COA!$B:$B,COA!$C:$C,0,0,1)</f>
        <v>Equipment</v>
      </c>
      <c r="AL31" s="178" t="str">
        <f>_xlfn.XLOOKUP($A31,COA!$B:$B,COA!$D:$D,0,0,1)</f>
        <v>Equipment</v>
      </c>
      <c r="AM31" s="178" t="str">
        <f>_xlfn.XLOOKUP($A31,COA!$B:$B,COA!$E:$E,0,0,1)</f>
        <v>Equipment</v>
      </c>
      <c r="AO31" s="85" t="str">
        <f>_xlfn.XLOOKUP(AM31,FS.1!A:A,AM:AM,0,0,1)</f>
        <v>Intercompany</v>
      </c>
      <c r="AP31" s="85"/>
      <c r="AQ31" s="85"/>
      <c r="AR31" s="85"/>
      <c r="AS31" s="85"/>
      <c r="AT31" s="85"/>
      <c r="AU31" s="85"/>
      <c r="AV31" s="85"/>
      <c r="AW31" s="85"/>
      <c r="AX31" s="85"/>
      <c r="AY31" s="85"/>
      <c r="AZ31" s="85"/>
      <c r="BA31" s="85"/>
      <c r="BB31" s="85"/>
      <c r="BC31" s="85"/>
      <c r="BD31" s="85"/>
      <c r="BE31" s="85"/>
      <c r="BF31" s="85"/>
      <c r="BG31" s="85"/>
    </row>
    <row r="32" spans="1:59" hidden="1" x14ac:dyDescent="0.25">
      <c r="A32" s="1393" t="str">
        <f>COA!B28</f>
        <v>1801 Computer Equipment:Accumulated Depreciation</v>
      </c>
      <c r="B32" s="1390">
        <f>_xlfn.XLOOKUP(A32,'TB.1 - F25'!A:A,'TB.1 - F25'!D:D,0,0,1)</f>
        <v>0</v>
      </c>
      <c r="C32" s="1390">
        <f>_xlfn.XLOOKUP(A32,'TB.1 - F25'!A:A,'TB.1 - F25'!H:H,0,0,1)</f>
        <v>0</v>
      </c>
      <c r="D32" s="1390">
        <f>_xlfn.XLOOKUP(A32,'AJE.1 - F25'!A:A,'AJE.1 - F25'!F:F,0,0,1)</f>
        <v>0</v>
      </c>
      <c r="E32" s="1390"/>
      <c r="F32" s="219">
        <f>ROUND(SUM(B32:E32),0)</f>
        <v>0</v>
      </c>
      <c r="G32" s="1390">
        <f>_xlfn.XLOOKUP($A32,TB.PRO!$A:$A,TB.PRO!F:F,0,0,1)</f>
        <v>0</v>
      </c>
      <c r="H32" s="1390">
        <f>_xlfn.XLOOKUP($A32,TB.PRO!$A:$A,TB.PRO!G:G,0,0,1)</f>
        <v>0</v>
      </c>
      <c r="I32" s="1390"/>
      <c r="J32" s="1390"/>
      <c r="K32" s="1390">
        <f>_xlfn.XLOOKUP($A32,'AJE.1 - F25'!$S$12:$S$21,'AJE.1 - F25'!$U$12:$U$21,0,0,1)</f>
        <v>0</v>
      </c>
      <c r="L32" s="665">
        <f>ROUND(SUM(G32:K32),0)</f>
        <v>0</v>
      </c>
      <c r="M32" s="1390">
        <f>_xlfn.XLOOKUP($A32,TB.PRO!$A:$A,TB.PRO!I:I,0,0,1)</f>
        <v>0</v>
      </c>
      <c r="N32" s="1390">
        <f>_xlfn.XLOOKUP($A32,TB.PRO!$A:$A,TB.PRO!J:J,0,0,1)</f>
        <v>0</v>
      </c>
      <c r="O32" s="1390"/>
      <c r="P32" s="1390"/>
      <c r="Q32" s="1390">
        <f>_xlfn.XLOOKUP($A32,'AJE.1 - F25'!$S$12:$S$21,'AJE.1 - F25'!$U$12:$U$21,0,0,1)</f>
        <v>0</v>
      </c>
      <c r="R32" s="665">
        <f>ROUND(SUM(M32:Q32),0)</f>
        <v>0</v>
      </c>
      <c r="S32" s="1390">
        <f>M32+O32</f>
        <v>0</v>
      </c>
      <c r="T32" s="1390">
        <f>N32+P32</f>
        <v>0</v>
      </c>
      <c r="U32" s="1390"/>
      <c r="V32" s="1390"/>
      <c r="W32" s="1390">
        <f>_xlfn.XLOOKUP($A32,'AJE.1 - F25'!$S$12:$S$21,'AJE.1 - F25'!$U$12:$U$21,0,0,1)</f>
        <v>0</v>
      </c>
      <c r="X32" s="665">
        <f>ROUND(SUM(S32:W32),0)</f>
        <v>0</v>
      </c>
      <c r="Y32" s="1390">
        <f>S32+U32</f>
        <v>0</v>
      </c>
      <c r="Z32" s="1390">
        <f>T32+V32</f>
        <v>0</v>
      </c>
      <c r="AA32" s="1390"/>
      <c r="AB32" s="1390"/>
      <c r="AC32" s="1390">
        <f>_xlfn.XLOOKUP($A32,'AJE.1 - F25'!$S$12:$S$21,'AJE.1 - F25'!$U$12:$U$21,0,0,1)</f>
        <v>0</v>
      </c>
      <c r="AD32" s="219">
        <f>ROUND(SUM(Y32:AC32),0)</f>
        <v>0</v>
      </c>
      <c r="AE32" s="1390">
        <f>Y32+AA32</f>
        <v>0</v>
      </c>
      <c r="AF32" s="1390">
        <f>Z32+AB32</f>
        <v>0</v>
      </c>
      <c r="AG32" s="1390"/>
      <c r="AH32" s="1390"/>
      <c r="AI32" s="1390">
        <f>_xlfn.XLOOKUP($A32,'AJE.1 - F25'!$S$12:$S$21,'AJE.1 - F25'!$U$12:$U$21,0,0,1)</f>
        <v>0</v>
      </c>
      <c r="AJ32" s="219">
        <f>ROUND(SUM(AE32:AI32),0)</f>
        <v>0</v>
      </c>
      <c r="AK32" s="178" t="str">
        <f>_xlfn.XLOOKUP($A32,COA!$B:$B,COA!$C:$C,0,0,1)</f>
        <v>Equipment</v>
      </c>
      <c r="AL32" s="178" t="str">
        <f>_xlfn.XLOOKUP($A32,COA!$B:$B,COA!$D:$D,0,0,1)</f>
        <v>Equipment</v>
      </c>
      <c r="AM32" s="178" t="str">
        <f>_xlfn.XLOOKUP($A32,COA!$B:$B,COA!$E:$E,0,0,1)</f>
        <v>Equipment</v>
      </c>
      <c r="AO32" s="85" t="str">
        <f>_xlfn.XLOOKUP(AM32,FS.1!A:A,AM:AM,0,0,1)</f>
        <v>Intercompany</v>
      </c>
      <c r="AP32" s="85"/>
      <c r="AQ32" s="85"/>
      <c r="AR32" s="85"/>
      <c r="AS32" s="85"/>
      <c r="AT32" s="85"/>
      <c r="AU32" s="85"/>
      <c r="AV32" s="85"/>
      <c r="AW32" s="85"/>
      <c r="AX32" s="85"/>
      <c r="AY32" s="85"/>
      <c r="AZ32" s="85"/>
      <c r="BA32" s="85"/>
      <c r="BB32" s="85"/>
      <c r="BC32" s="85"/>
      <c r="BD32" s="85"/>
      <c r="BE32" s="85"/>
      <c r="BF32" s="85"/>
      <c r="BG32" s="85"/>
    </row>
    <row r="33" spans="1:59" hidden="1" x14ac:dyDescent="0.25">
      <c r="A33" s="1393" t="str">
        <f>COA!B29</f>
        <v>1810 Office Furniture</v>
      </c>
      <c r="B33" s="1390">
        <f>_xlfn.XLOOKUP(A33,'TB.1 - F25'!A:A,'TB.1 - F25'!D:D,0,0,1)</f>
        <v>0</v>
      </c>
      <c r="C33" s="1390">
        <f>_xlfn.XLOOKUP(A33,'TB.1 - F25'!A:A,'TB.1 - F25'!H:H,0,0,1)</f>
        <v>0</v>
      </c>
      <c r="D33" s="1390">
        <f>_xlfn.XLOOKUP(A33,'AJE.1 - F25'!A:A,'AJE.1 - F25'!F:F,0,0,1)</f>
        <v>0</v>
      </c>
      <c r="E33" s="1390"/>
      <c r="F33" s="219">
        <f>ROUND(SUM(B33:E33),0)</f>
        <v>0</v>
      </c>
      <c r="G33" s="1390">
        <f>_xlfn.XLOOKUP($A33,TB.PRO!$A:$A,TB.PRO!F:F,0,0,1)</f>
        <v>0</v>
      </c>
      <c r="H33" s="1390">
        <f>_xlfn.XLOOKUP($A33,TB.PRO!$A:$A,TB.PRO!G:G,0,0,1)</f>
        <v>0</v>
      </c>
      <c r="I33" s="1390"/>
      <c r="J33" s="1390"/>
      <c r="K33" s="1390">
        <f>_xlfn.XLOOKUP($A33,'AJE.1 - F25'!$S$12:$S$21,'AJE.1 - F25'!$U$12:$U$21,0,0,1)</f>
        <v>0</v>
      </c>
      <c r="L33" s="665">
        <f>ROUND(SUM(G33:K33),0)</f>
        <v>0</v>
      </c>
      <c r="M33" s="1390">
        <f>_xlfn.XLOOKUP($A33,TB.PRO!$A:$A,TB.PRO!I:I,0,0,1)</f>
        <v>0</v>
      </c>
      <c r="N33" s="1390">
        <f>_xlfn.XLOOKUP($A33,TB.PRO!$A:$A,TB.PRO!J:J,0,0,1)</f>
        <v>0</v>
      </c>
      <c r="O33" s="1390"/>
      <c r="P33" s="1390"/>
      <c r="Q33" s="1390">
        <f>_xlfn.XLOOKUP($A33,'AJE.1 - F25'!$S$12:$S$21,'AJE.1 - F25'!$U$12:$U$21,0,0,1)</f>
        <v>0</v>
      </c>
      <c r="R33" s="665">
        <f>ROUND(SUM(M33:Q33),0)</f>
        <v>0</v>
      </c>
      <c r="S33" s="1390">
        <f>M33+O33</f>
        <v>0</v>
      </c>
      <c r="T33" s="1390">
        <f>N33+P33</f>
        <v>0</v>
      </c>
      <c r="U33" s="1390"/>
      <c r="V33" s="1390"/>
      <c r="W33" s="1390">
        <f>_xlfn.XLOOKUP($A33,'AJE.1 - F25'!$S$12:$S$21,'AJE.1 - F25'!$U$12:$U$21,0,0,1)</f>
        <v>0</v>
      </c>
      <c r="X33" s="665">
        <f>ROUND(SUM(S33:W33),0)</f>
        <v>0</v>
      </c>
      <c r="Y33" s="1390">
        <f>S33+U33</f>
        <v>0</v>
      </c>
      <c r="Z33" s="1390">
        <f>T33+V33</f>
        <v>0</v>
      </c>
      <c r="AA33" s="1390"/>
      <c r="AB33" s="1390"/>
      <c r="AC33" s="1390">
        <f>_xlfn.XLOOKUP($A33,'AJE.1 - F25'!$S$12:$S$21,'AJE.1 - F25'!$U$12:$U$21,0,0,1)</f>
        <v>0</v>
      </c>
      <c r="AD33" s="219">
        <f>ROUND(SUM(Y33:AC33),0)</f>
        <v>0</v>
      </c>
      <c r="AE33" s="1390">
        <f>Y33+AA33</f>
        <v>0</v>
      </c>
      <c r="AF33" s="1390">
        <f>Z33+AB33</f>
        <v>0</v>
      </c>
      <c r="AG33" s="1390"/>
      <c r="AH33" s="1390"/>
      <c r="AI33" s="1390">
        <f>_xlfn.XLOOKUP($A33,'AJE.1 - F25'!$S$12:$S$21,'AJE.1 - F25'!$U$12:$U$21,0,0,1)</f>
        <v>0</v>
      </c>
      <c r="AJ33" s="219">
        <f>ROUND(SUM(AE33:AI33),0)</f>
        <v>0</v>
      </c>
      <c r="AK33" s="178" t="str">
        <f>_xlfn.XLOOKUP($A33,COA!$B:$B,COA!$C:$C,0,0,1)</f>
        <v>Equipment</v>
      </c>
      <c r="AL33" s="178" t="str">
        <f>_xlfn.XLOOKUP($A33,COA!$B:$B,COA!$D:$D,0,0,1)</f>
        <v>Equipment</v>
      </c>
      <c r="AM33" s="178" t="str">
        <f>_xlfn.XLOOKUP($A33,COA!$B:$B,COA!$E:$E,0,0,1)</f>
        <v>Equipment</v>
      </c>
      <c r="AO33" s="85" t="str">
        <f>_xlfn.XLOOKUP(AM33,FS.1!A:A,AM:AM,0,0,1)</f>
        <v>Intercompany</v>
      </c>
      <c r="AP33" s="85"/>
      <c r="AQ33" s="85"/>
      <c r="AR33" s="85"/>
      <c r="AS33" s="85"/>
      <c r="AT33" s="85"/>
      <c r="AU33" s="85"/>
      <c r="AV33" s="85"/>
      <c r="AW33" s="85"/>
      <c r="AX33" s="85"/>
      <c r="AY33" s="85"/>
      <c r="AZ33" s="85"/>
      <c r="BA33" s="85"/>
      <c r="BB33" s="85"/>
      <c r="BC33" s="85"/>
      <c r="BD33" s="85"/>
      <c r="BE33" s="85"/>
      <c r="BF33" s="85"/>
      <c r="BG33" s="85"/>
    </row>
    <row r="34" spans="1:59" hidden="1" x14ac:dyDescent="0.25">
      <c r="A34" s="1393" t="str">
        <f>COA!B30</f>
        <v>1811 Office Furniture:Accumulated Depreciation</v>
      </c>
      <c r="B34" s="1390">
        <f>_xlfn.XLOOKUP(A34,'TB.1 - F25'!A:A,'TB.1 - F25'!D:D,0,0,1)</f>
        <v>0</v>
      </c>
      <c r="C34" s="1390">
        <f>_xlfn.XLOOKUP(A34,'TB.1 - F25'!A:A,'TB.1 - F25'!H:H,0,0,1)</f>
        <v>0</v>
      </c>
      <c r="D34" s="1390">
        <f>_xlfn.XLOOKUP(A34,'AJE.1 - F25'!A:A,'AJE.1 - F25'!F:F,0,0,1)</f>
        <v>0</v>
      </c>
      <c r="E34" s="1390"/>
      <c r="F34" s="219">
        <f>ROUND(SUM(B34:E34),0)</f>
        <v>0</v>
      </c>
      <c r="G34" s="1390">
        <f>_xlfn.XLOOKUP($A34,TB.PRO!$A:$A,TB.PRO!F:F,0,0,1)</f>
        <v>0</v>
      </c>
      <c r="H34" s="1390">
        <f>_xlfn.XLOOKUP($A34,TB.PRO!$A:$A,TB.PRO!G:G,0,0,1)</f>
        <v>0</v>
      </c>
      <c r="I34" s="1390"/>
      <c r="J34" s="1390"/>
      <c r="K34" s="1390">
        <f>_xlfn.XLOOKUP($A34,'AJE.1 - F25'!$S$12:$S$21,'AJE.1 - F25'!$U$12:$U$21,0,0,1)</f>
        <v>0</v>
      </c>
      <c r="L34" s="665">
        <f>ROUND(SUM(G34:K34),0)</f>
        <v>0</v>
      </c>
      <c r="M34" s="1390">
        <f>_xlfn.XLOOKUP($A34,TB.PRO!$A:$A,TB.PRO!I:I,0,0,1)</f>
        <v>0</v>
      </c>
      <c r="N34" s="1390">
        <f>_xlfn.XLOOKUP($A34,TB.PRO!$A:$A,TB.PRO!J:J,0,0,1)</f>
        <v>0</v>
      </c>
      <c r="O34" s="1390"/>
      <c r="P34" s="1390"/>
      <c r="Q34" s="1390">
        <f>_xlfn.XLOOKUP($A34,'AJE.1 - F25'!$S$12:$S$21,'AJE.1 - F25'!$U$12:$U$21,0,0,1)</f>
        <v>0</v>
      </c>
      <c r="R34" s="665">
        <f>ROUND(SUM(M34:Q34),0)</f>
        <v>0</v>
      </c>
      <c r="S34" s="1390">
        <f>M34+O34</f>
        <v>0</v>
      </c>
      <c r="T34" s="1390">
        <f>N34+P34</f>
        <v>0</v>
      </c>
      <c r="U34" s="1390"/>
      <c r="V34" s="1390"/>
      <c r="W34" s="1390">
        <f>_xlfn.XLOOKUP($A34,'AJE.1 - F25'!$S$12:$S$21,'AJE.1 - F25'!$U$12:$U$21,0,0,1)</f>
        <v>0</v>
      </c>
      <c r="X34" s="665">
        <f>ROUND(SUM(S34:W34),0)</f>
        <v>0</v>
      </c>
      <c r="Y34" s="1390">
        <f>S34+U34</f>
        <v>0</v>
      </c>
      <c r="Z34" s="1390">
        <f>T34+V34</f>
        <v>0</v>
      </c>
      <c r="AA34" s="1390"/>
      <c r="AB34" s="1390"/>
      <c r="AC34" s="1390">
        <f>_xlfn.XLOOKUP($A34,'AJE.1 - F25'!$S$12:$S$21,'AJE.1 - F25'!$U$12:$U$21,0,0,1)</f>
        <v>0</v>
      </c>
      <c r="AD34" s="219">
        <f>ROUND(SUM(Y34:AC34),0)</f>
        <v>0</v>
      </c>
      <c r="AE34" s="1390">
        <f>Y34+AA34</f>
        <v>0</v>
      </c>
      <c r="AF34" s="1390">
        <f>Z34+AB34</f>
        <v>0</v>
      </c>
      <c r="AG34" s="1390"/>
      <c r="AH34" s="1390"/>
      <c r="AI34" s="1390">
        <f>_xlfn.XLOOKUP($A34,'AJE.1 - F25'!$S$12:$S$21,'AJE.1 - F25'!$U$12:$U$21,0,0,1)</f>
        <v>0</v>
      </c>
      <c r="AJ34" s="219">
        <f>ROUND(SUM(AE34:AI34),0)</f>
        <v>0</v>
      </c>
      <c r="AK34" s="178" t="str">
        <f>_xlfn.XLOOKUP($A34,COA!$B:$B,COA!$C:$C,0,0,1)</f>
        <v>Equipment</v>
      </c>
      <c r="AL34" s="178" t="str">
        <f>_xlfn.XLOOKUP($A34,COA!$B:$B,COA!$D:$D,0,0,1)</f>
        <v>Equipment</v>
      </c>
      <c r="AM34" s="178" t="str">
        <f>_xlfn.XLOOKUP($A34,COA!$B:$B,COA!$E:$E,0,0,1)</f>
        <v>Equipment</v>
      </c>
      <c r="AO34" s="85" t="str">
        <f t="shared" ref="AO34:AO35" si="13">AM34</f>
        <v>Equipment</v>
      </c>
      <c r="AP34" s="85"/>
      <c r="AQ34" s="85"/>
      <c r="AR34" s="85"/>
      <c r="AS34" s="85"/>
      <c r="AT34" s="85"/>
      <c r="AU34" s="85"/>
      <c r="AV34" s="85"/>
      <c r="AW34" s="85"/>
      <c r="AX34" s="85"/>
      <c r="AY34" s="85"/>
      <c r="AZ34" s="85"/>
      <c r="BA34" s="85"/>
      <c r="BB34" s="85"/>
      <c r="BC34" s="85"/>
      <c r="BD34" s="85"/>
      <c r="BE34" s="85"/>
      <c r="BF34" s="85"/>
      <c r="BG34" s="85"/>
    </row>
    <row r="35" spans="1:59" x14ac:dyDescent="0.25">
      <c r="A35" s="1393" t="str">
        <f>COA!B31</f>
        <v>1900 Shop Equipment</v>
      </c>
      <c r="B35" s="1390">
        <f>_xlfn.XLOOKUP(A35,'TB.1 - F25'!A:A,'TB.1 - F25'!D:D,0,0,1)</f>
        <v>0</v>
      </c>
      <c r="C35" s="1390">
        <f>_xlfn.XLOOKUP(A35,'TB.1 - F25'!A:A,'TB.1 - F25'!H:H,0,0,1)</f>
        <v>6288.98</v>
      </c>
      <c r="D35" s="1390">
        <f>_xlfn.XLOOKUP(A35,'AJE.1 - F25'!A:A,'AJE.1 - F25'!F:F,0,0,1)</f>
        <v>0</v>
      </c>
      <c r="E35" s="1390"/>
      <c r="F35" s="219">
        <f>ROUND(SUM(B35:E35),0)</f>
        <v>6289</v>
      </c>
      <c r="G35" s="1390">
        <f>_xlfn.XLOOKUP($A35,TB.PRO!$A:$A,TB.PRO!F:F,0,0,1)</f>
        <v>0</v>
      </c>
      <c r="H35" s="1390">
        <f>_xlfn.XLOOKUP($A35,TB.PRO!$A:$A,TB.PRO!G:G,0,0,1)</f>
        <v>6288.98</v>
      </c>
      <c r="I35" s="1390"/>
      <c r="J35" s="1390"/>
      <c r="K35" s="1390">
        <f>_xlfn.XLOOKUP($A35,'AJE.1 - F25'!$S$12:$S$21,'AJE.1 - F25'!$U$12:$U$21,0,0,1)</f>
        <v>0</v>
      </c>
      <c r="L35" s="665">
        <f>ROUND(SUM(G35:K35),0)</f>
        <v>6289</v>
      </c>
      <c r="M35" s="1390">
        <f>_xlfn.XLOOKUP($A35,TB.PRO!$A:$A,TB.PRO!I:I,0,0,1)</f>
        <v>0</v>
      </c>
      <c r="N35" s="1390">
        <f>_xlfn.XLOOKUP($A35,TB.PRO!$A:$A,TB.PRO!J:J,0,0,1)</f>
        <v>6288.98</v>
      </c>
      <c r="O35" s="1390"/>
      <c r="P35" s="1390"/>
      <c r="Q35" s="1390">
        <f>_xlfn.XLOOKUP($A35,'AJE.1 - F25'!$S$12:$S$21,'AJE.1 - F25'!$U$12:$U$21,0,0,1)</f>
        <v>0</v>
      </c>
      <c r="R35" s="665">
        <f>ROUND(SUM(M35:Q35),0)</f>
        <v>6289</v>
      </c>
      <c r="S35" s="1390">
        <f>M35+O35</f>
        <v>0</v>
      </c>
      <c r="T35" s="1390">
        <f>N35+P35</f>
        <v>6288.98</v>
      </c>
      <c r="U35" s="1390"/>
      <c r="V35" s="1390"/>
      <c r="W35" s="1390">
        <f>_xlfn.XLOOKUP($A35,'AJE.1 - F25'!$S$12:$S$21,'AJE.1 - F25'!$U$12:$U$21,0,0,1)</f>
        <v>0</v>
      </c>
      <c r="X35" s="665">
        <f>ROUND(SUM(S35:W35),0)</f>
        <v>6289</v>
      </c>
      <c r="Y35" s="1390">
        <f>S35+U35</f>
        <v>0</v>
      </c>
      <c r="Z35" s="1390">
        <f>T35+V35</f>
        <v>6288.98</v>
      </c>
      <c r="AA35" s="1390"/>
      <c r="AB35" s="1390"/>
      <c r="AC35" s="1390">
        <f>_xlfn.XLOOKUP($A35,'AJE.1 - F25'!$S$12:$S$21,'AJE.1 - F25'!$U$12:$U$21,0,0,1)</f>
        <v>0</v>
      </c>
      <c r="AD35" s="219">
        <f>ROUND(SUM(Y35:AC35),0)</f>
        <v>6289</v>
      </c>
      <c r="AE35" s="1390">
        <f>Y35+AA35</f>
        <v>0</v>
      </c>
      <c r="AF35" s="1390">
        <f>Z35+AB35</f>
        <v>6288.98</v>
      </c>
      <c r="AG35" s="1390"/>
      <c r="AH35" s="1390"/>
      <c r="AI35" s="1390">
        <f>_xlfn.XLOOKUP($A35,'AJE.1 - F25'!$S$12:$S$21,'AJE.1 - F25'!$U$12:$U$21,0,0,1)</f>
        <v>0</v>
      </c>
      <c r="AJ35" s="219">
        <f>ROUND(SUM(AE35:AI35),0)</f>
        <v>6289</v>
      </c>
      <c r="AK35" s="178" t="str">
        <f>_xlfn.XLOOKUP($A35,COA!$B:$B,COA!$C:$C,0,0,1)</f>
        <v>Equipment</v>
      </c>
      <c r="AL35" s="178" t="str">
        <f>_xlfn.XLOOKUP($A35,COA!$B:$B,COA!$D:$D,0,0,1)</f>
        <v>Equipment</v>
      </c>
      <c r="AM35" s="178" t="str">
        <f>_xlfn.XLOOKUP($A35,COA!$B:$B,COA!$E:$E,0,0,1)</f>
        <v>Equipment</v>
      </c>
      <c r="AO35" s="85" t="str">
        <f t="shared" si="13"/>
        <v>Equipment</v>
      </c>
      <c r="AP35" s="85"/>
      <c r="AQ35" s="85"/>
      <c r="AR35" s="85"/>
      <c r="AS35" s="85"/>
      <c r="AT35" s="85"/>
      <c r="AU35" s="85"/>
      <c r="AV35" s="85"/>
      <c r="AW35" s="85"/>
      <c r="AX35" s="85"/>
      <c r="AY35" s="85"/>
      <c r="AZ35" s="85"/>
      <c r="BA35" s="85"/>
      <c r="BB35" s="85"/>
      <c r="BC35" s="85"/>
      <c r="BD35" s="85"/>
      <c r="BE35" s="85"/>
      <c r="BF35" s="85"/>
      <c r="BG35" s="85"/>
    </row>
    <row r="36" spans="1:59" x14ac:dyDescent="0.25">
      <c r="A36" s="1393" t="str">
        <f>COA!B32</f>
        <v>1901 Shop Equipment:Accum deprec - shop equipment</v>
      </c>
      <c r="B36" s="1390">
        <f>_xlfn.XLOOKUP(A36,'TB.1 - F25'!A:A,'TB.1 - F25'!D:D,0,0,1)</f>
        <v>0</v>
      </c>
      <c r="C36" s="1390">
        <f>_xlfn.XLOOKUP(A36,'TB.1 - F25'!A:A,'TB.1 - F25'!H:H,0,0,1)</f>
        <v>-948.31</v>
      </c>
      <c r="D36" s="1390">
        <f>_xlfn.XLOOKUP(A36,'AJE.1 - F25'!A:A,'AJE.1 - F25'!F:F,0,0,1)</f>
        <v>0</v>
      </c>
      <c r="E36" s="1390"/>
      <c r="F36" s="219">
        <f>ROUND(SUM(B36:E36),0)</f>
        <v>-948</v>
      </c>
      <c r="G36" s="1390">
        <f>_xlfn.XLOOKUP($A36,TB.PRO!$A:$A,TB.PRO!F:F,0,0,1)</f>
        <v>0</v>
      </c>
      <c r="H36" s="1390">
        <f>_xlfn.XLOOKUP($A36,TB.PRO!$A:$A,TB.PRO!G:G,0,0,1)</f>
        <v>-2847.07</v>
      </c>
      <c r="I36" s="1390"/>
      <c r="J36" s="1390"/>
      <c r="K36" s="1390">
        <f>_xlfn.XLOOKUP($A36,'AJE.1 - F25'!$S$12:$S$21,'AJE.1 - F25'!$U$12:$U$21,0,0,1)</f>
        <v>0</v>
      </c>
      <c r="L36" s="665">
        <f>ROUND(SUM(G36:K36),0)</f>
        <v>-2847</v>
      </c>
      <c r="M36" s="1390">
        <f>_xlfn.XLOOKUP($A36,TB.PRO!$A:$A,TB.PRO!I:I,0,0,1)</f>
        <v>0</v>
      </c>
      <c r="N36" s="1390">
        <f>_xlfn.XLOOKUP($A36,TB.PRO!$A:$A,TB.PRO!J:J,0,0,1)</f>
        <v>-2847.07</v>
      </c>
      <c r="O36" s="1390"/>
      <c r="P36" s="1390"/>
      <c r="Q36" s="1390">
        <f>_xlfn.XLOOKUP($A36,'AJE.1 - F25'!$S$12:$S$21,'AJE.1 - F25'!$U$12:$U$21,0,0,1)</f>
        <v>0</v>
      </c>
      <c r="R36" s="665">
        <f>ROUND(SUM(M36:Q36),0)</f>
        <v>-2847</v>
      </c>
      <c r="S36" s="1390">
        <f>M36+O36</f>
        <v>0</v>
      </c>
      <c r="T36" s="1390">
        <f>N36+P36</f>
        <v>-2847.07</v>
      </c>
      <c r="U36" s="1390"/>
      <c r="V36" s="1390"/>
      <c r="W36" s="1390">
        <f>_xlfn.XLOOKUP($A36,'AJE.1 - F25'!$S$12:$S$21,'AJE.1 - F25'!$U$12:$U$21,0,0,1)</f>
        <v>0</v>
      </c>
      <c r="X36" s="665">
        <f>ROUND(SUM(S36:W36),0)</f>
        <v>-2847</v>
      </c>
      <c r="Y36" s="1390">
        <f>S36+U36</f>
        <v>0</v>
      </c>
      <c r="Z36" s="1390">
        <f>T36+V36</f>
        <v>-2847.07</v>
      </c>
      <c r="AA36" s="1390"/>
      <c r="AB36" s="1390"/>
      <c r="AC36" s="1390">
        <f>_xlfn.XLOOKUP($A36,'AJE.1 - F25'!$S$12:$S$21,'AJE.1 - F25'!$U$12:$U$21,0,0,1)</f>
        <v>0</v>
      </c>
      <c r="AD36" s="219">
        <f>ROUND(SUM(Y36:AC36),0)</f>
        <v>-2847</v>
      </c>
      <c r="AE36" s="1390">
        <f>Y36+AA36</f>
        <v>0</v>
      </c>
      <c r="AF36" s="1390">
        <f>Z36+AB36</f>
        <v>-2847.07</v>
      </c>
      <c r="AG36" s="1390"/>
      <c r="AH36" s="1390"/>
      <c r="AI36" s="1390">
        <f>_xlfn.XLOOKUP($A36,'AJE.1 - F25'!$S$12:$S$21,'AJE.1 - F25'!$U$12:$U$21,0,0,1)</f>
        <v>0</v>
      </c>
      <c r="AJ36" s="219">
        <f>ROUND(SUM(AE36:AI36),0)</f>
        <v>-2847</v>
      </c>
      <c r="AK36" s="178" t="str">
        <f>_xlfn.XLOOKUP($A36,COA!$B:$B,COA!$C:$C,0,0,1)</f>
        <v>Equipment</v>
      </c>
      <c r="AL36" s="178" t="str">
        <f>_xlfn.XLOOKUP($A36,COA!$B:$B,COA!$D:$D,0,0,1)</f>
        <v>Equipment</v>
      </c>
      <c r="AM36" s="178" t="str">
        <f>_xlfn.XLOOKUP($A36,COA!$B:$B,COA!$E:$E,0,0,1)</f>
        <v>Equipment</v>
      </c>
      <c r="AO36" s="85" t="str">
        <f>_xlfn.XLOOKUP(AM36,FS.1!A:A,AM:AM,0,0,1)</f>
        <v>Intercompany</v>
      </c>
      <c r="AP36" s="85"/>
      <c r="AQ36" s="85"/>
      <c r="AR36" s="85"/>
      <c r="AS36" s="85"/>
      <c r="AT36" s="85"/>
      <c r="AU36" s="85"/>
      <c r="AV36" s="85"/>
      <c r="AW36" s="85"/>
      <c r="AX36" s="85"/>
      <c r="AY36" s="85"/>
      <c r="AZ36" s="85"/>
      <c r="BA36" s="85"/>
      <c r="BB36" s="85"/>
      <c r="BC36" s="85"/>
      <c r="BD36" s="85"/>
      <c r="BE36" s="85"/>
      <c r="BF36" s="85"/>
      <c r="BG36" s="85"/>
    </row>
    <row r="37" spans="1:59" hidden="1" x14ac:dyDescent="0.25">
      <c r="A37" s="1393" t="str">
        <f>COA!B33</f>
        <v>1999 Uncategorized Asset</v>
      </c>
      <c r="B37" s="1390">
        <f>_xlfn.XLOOKUP(A37,'TB.1 - F25'!A:A,'TB.1 - F25'!D:D,0,0,1)</f>
        <v>0</v>
      </c>
      <c r="C37" s="1390">
        <f>_xlfn.XLOOKUP(A37,'TB.1 - F25'!A:A,'TB.1 - F25'!H:H,0,0,1)</f>
        <v>0</v>
      </c>
      <c r="D37" s="1390">
        <f>_xlfn.XLOOKUP(A37,'AJE.1 - F25'!A:A,'AJE.1 - F25'!F:F,0,0,1)</f>
        <v>0</v>
      </c>
      <c r="E37" s="1390"/>
      <c r="F37" s="219">
        <f>ROUND(SUM(B37:E37),0)</f>
        <v>0</v>
      </c>
      <c r="G37" s="1390">
        <f>_xlfn.XLOOKUP($A37,TB.PRO!$A:$A,TB.PRO!F:F,0,0,1)</f>
        <v>0</v>
      </c>
      <c r="H37" s="1390">
        <f>_xlfn.XLOOKUP($A37,TB.PRO!$A:$A,TB.PRO!G:G,0,0,1)</f>
        <v>0</v>
      </c>
      <c r="I37" s="1390"/>
      <c r="J37" s="1390"/>
      <c r="K37" s="1390">
        <f>_xlfn.XLOOKUP($A37,'AJE.1 - F25'!$S$12:$S$21,'AJE.1 - F25'!$U$12:$U$21,0,0,1)</f>
        <v>0</v>
      </c>
      <c r="L37" s="665">
        <f>ROUND(SUM(G37:K37),0)</f>
        <v>0</v>
      </c>
      <c r="M37" s="1390">
        <f>_xlfn.XLOOKUP($A37,TB.PRO!$A:$A,TB.PRO!I:I,0,0,1)</f>
        <v>0</v>
      </c>
      <c r="N37" s="1390">
        <f>_xlfn.XLOOKUP($A37,TB.PRO!$A:$A,TB.PRO!J:J,0,0,1)</f>
        <v>0</v>
      </c>
      <c r="O37" s="1390"/>
      <c r="P37" s="1390"/>
      <c r="Q37" s="1390">
        <f>_xlfn.XLOOKUP($A37,'AJE.1 - F25'!$S$12:$S$21,'AJE.1 - F25'!$U$12:$U$21,0,0,1)</f>
        <v>0</v>
      </c>
      <c r="R37" s="665">
        <f>ROUND(SUM(M37:Q37),0)</f>
        <v>0</v>
      </c>
      <c r="S37" s="1390">
        <f>M37+O37</f>
        <v>0</v>
      </c>
      <c r="T37" s="1390">
        <f>N37+P37</f>
        <v>0</v>
      </c>
      <c r="U37" s="1390"/>
      <c r="V37" s="1390"/>
      <c r="W37" s="1390">
        <f>_xlfn.XLOOKUP($A37,'AJE.1 - F25'!$S$12:$S$21,'AJE.1 - F25'!$U$12:$U$21,0,0,1)</f>
        <v>0</v>
      </c>
      <c r="X37" s="665">
        <f>ROUND(SUM(S37:W37),0)</f>
        <v>0</v>
      </c>
      <c r="Y37" s="1390">
        <f>S37+U37</f>
        <v>0</v>
      </c>
      <c r="Z37" s="1390">
        <f>T37+V37</f>
        <v>0</v>
      </c>
      <c r="AA37" s="1390"/>
      <c r="AB37" s="1390"/>
      <c r="AC37" s="1390">
        <f>_xlfn.XLOOKUP($A37,'AJE.1 - F25'!$S$12:$S$21,'AJE.1 - F25'!$U$12:$U$21,0,0,1)</f>
        <v>0</v>
      </c>
      <c r="AD37" s="219">
        <f>ROUND(SUM(Y37:AC37),0)</f>
        <v>0</v>
      </c>
      <c r="AE37" s="1390">
        <f>Y37+AA37</f>
        <v>0</v>
      </c>
      <c r="AF37" s="1390">
        <f>Z37+AB37</f>
        <v>0</v>
      </c>
      <c r="AG37" s="1390"/>
      <c r="AH37" s="1390"/>
      <c r="AI37" s="1390">
        <f>_xlfn.XLOOKUP($A37,'AJE.1 - F25'!$S$12:$S$21,'AJE.1 - F25'!$U$12:$U$21,0,0,1)</f>
        <v>0</v>
      </c>
      <c r="AJ37" s="219">
        <f>ROUND(SUM(AE37:AI37),0)</f>
        <v>0</v>
      </c>
      <c r="AK37" s="178" t="str">
        <f>_xlfn.XLOOKUP($A37,COA!$B:$B,COA!$C:$C,0,0,1)</f>
        <v>Other current assets</v>
      </c>
      <c r="AL37" s="178" t="str">
        <f>_xlfn.XLOOKUP($A37,COA!$B:$B,COA!$D:$D,0,0,1)</f>
        <v>Other current assets</v>
      </c>
      <c r="AM37" s="178" t="str">
        <f>_xlfn.XLOOKUP($A37,COA!$B:$B,COA!$E:$E,0,0,1)</f>
        <v>Other current assets</v>
      </c>
      <c r="AO37" s="85" t="str">
        <f t="shared" ref="AO37:AO40" si="14">AM37</f>
        <v>Other current assets</v>
      </c>
      <c r="AP37" s="85"/>
      <c r="AQ37" s="85"/>
      <c r="AR37" s="85"/>
      <c r="AS37" s="85"/>
      <c r="AT37" s="85"/>
      <c r="AU37" s="85"/>
      <c r="AV37" s="85"/>
      <c r="AW37" s="85"/>
      <c r="AX37" s="85"/>
      <c r="AY37" s="85"/>
      <c r="AZ37" s="85"/>
      <c r="BA37" s="85"/>
      <c r="BB37" s="85"/>
      <c r="BC37" s="85"/>
      <c r="BD37" s="85"/>
      <c r="BE37" s="85"/>
      <c r="BF37" s="85"/>
      <c r="BG37" s="85"/>
    </row>
    <row r="38" spans="1:59" hidden="1" x14ac:dyDescent="0.25">
      <c r="A38" s="1393" t="str">
        <f>COA!B34</f>
        <v>2000 Accounts Payable (A/P)</v>
      </c>
      <c r="B38" s="1390">
        <f>_xlfn.XLOOKUP(A38,'TB.1 - F25'!A:A,'TB.1 - F25'!D:D,0,0,1)</f>
        <v>-307036.95</v>
      </c>
      <c r="C38" s="1390">
        <f>_xlfn.XLOOKUP(A38,'TB.1 - F25'!A:A,'TB.1 - F25'!H:H,0,0,1)</f>
        <v>0</v>
      </c>
      <c r="D38" s="1390">
        <f>_xlfn.XLOOKUP(A38,'AJE.1 - F25'!A:A,'AJE.1 - F25'!F:F,0,0,1)</f>
        <v>0</v>
      </c>
      <c r="E38" s="1390"/>
      <c r="F38" s="219">
        <f>ROUND(SUM(B38:E38),0)</f>
        <v>-307037</v>
      </c>
      <c r="G38" s="1390">
        <f>_xlfn.XLOOKUP($A38,TB.PRO!$A:$A,TB.PRO!F:F,0,0,1)</f>
        <v>-308086.95</v>
      </c>
      <c r="H38" s="1390">
        <f>_xlfn.XLOOKUP($A38,TB.PRO!$A:$A,TB.PRO!G:G,0,0,1)</f>
        <v>0</v>
      </c>
      <c r="I38" s="1390">
        <f>-SUM(I137:I175)</f>
        <v>-233410.17333333334</v>
      </c>
      <c r="J38" s="1390"/>
      <c r="K38" s="1581">
        <f>-SUM(G38:I38)</f>
        <v>541497.12333333329</v>
      </c>
      <c r="L38" s="665">
        <f>ROUND(SUM(G38:K38),0)</f>
        <v>0</v>
      </c>
      <c r="M38" s="1390">
        <f>_xlfn.XLOOKUP($A38,TB.PRO!$A:$A,TB.PRO!I:I,0,0,1)</f>
        <v>-308086.95</v>
      </c>
      <c r="N38" s="1390">
        <f>_xlfn.XLOOKUP($A38,TB.PRO!$A:$A,TB.PRO!J:J,0,0,1)</f>
        <v>0</v>
      </c>
      <c r="O38" s="1390">
        <f>I38</f>
        <v>-233410.17333333334</v>
      </c>
      <c r="P38" s="1390"/>
      <c r="Q38" s="1581">
        <f>K38</f>
        <v>541497.12333333329</v>
      </c>
      <c r="R38" s="665">
        <f>ROUND(SUM(M38:Q38),0)</f>
        <v>0</v>
      </c>
      <c r="S38" s="1390">
        <f>M38+O38+Q38</f>
        <v>0</v>
      </c>
      <c r="T38" s="1390">
        <f>N38+P38</f>
        <v>0</v>
      </c>
      <c r="U38" s="1390"/>
      <c r="V38" s="1390"/>
      <c r="W38" s="1390">
        <f>_xlfn.XLOOKUP($A38,'AJE.1 - F25'!$S$12:$S$21,'AJE.1 - F25'!$U$12:$U$21,0,0,1)</f>
        <v>0</v>
      </c>
      <c r="X38" s="665">
        <f>ROUND(SUM(S38:W38),0)</f>
        <v>0</v>
      </c>
      <c r="Y38" s="1390">
        <f>S38+U38</f>
        <v>0</v>
      </c>
      <c r="Z38" s="1390">
        <f>T38+V38</f>
        <v>0</v>
      </c>
      <c r="AA38" s="1390">
        <f>-Y38</f>
        <v>0</v>
      </c>
      <c r="AB38" s="1390"/>
      <c r="AC38" s="1390">
        <f>_xlfn.XLOOKUP($A38,'AJE.1 - F25'!$S$12:$S$21,'AJE.1 - F25'!$U$12:$U$21,0,0,1)</f>
        <v>0</v>
      </c>
      <c r="AD38" s="219">
        <f>ROUND(SUM(Y38:AC38),0)</f>
        <v>0</v>
      </c>
      <c r="AE38" s="1390">
        <f>Y38+AA38</f>
        <v>0</v>
      </c>
      <c r="AF38" s="1390">
        <f>Z38+AB38</f>
        <v>0</v>
      </c>
      <c r="AG38" s="1390">
        <f>-AE38</f>
        <v>0</v>
      </c>
      <c r="AH38" s="1390"/>
      <c r="AI38" s="1390">
        <f>_xlfn.XLOOKUP($A38,'AJE.1 - F25'!$S$12:$S$21,'AJE.1 - F25'!$U$12:$U$21,0,0,1)</f>
        <v>0</v>
      </c>
      <c r="AJ38" s="219">
        <f>ROUND(SUM(AE38:AI38),0)</f>
        <v>0</v>
      </c>
      <c r="AK38" s="178" t="str">
        <f>_xlfn.XLOOKUP($A38,COA!$B:$B,COA!$C:$C,0,0,1)</f>
        <v>Accounts payables and accrued liabilities</v>
      </c>
      <c r="AL38" s="178" t="str">
        <f>_xlfn.XLOOKUP($A38,COA!$B:$B,COA!$D:$D,0,0,1)</f>
        <v>Accounts payables and accrued liabilities</v>
      </c>
      <c r="AM38" s="178" t="str">
        <f>_xlfn.XLOOKUP($A38,COA!$B:$B,COA!$E:$E,0,0,1)</f>
        <v>Accounts payables and accrued liabilities</v>
      </c>
      <c r="AO38" s="85" t="str">
        <f t="shared" si="14"/>
        <v>Accounts payables and accrued liabilities</v>
      </c>
      <c r="AP38" s="85"/>
      <c r="AQ38" s="85"/>
      <c r="AR38" s="85"/>
      <c r="AS38" s="85"/>
      <c r="AT38" s="85"/>
      <c r="AU38" s="85"/>
      <c r="AV38" s="85"/>
      <c r="AW38" s="85"/>
      <c r="AX38" s="85"/>
      <c r="AY38" s="85"/>
      <c r="AZ38" s="85"/>
      <c r="BA38" s="85"/>
      <c r="BB38" s="85"/>
      <c r="BC38" s="85"/>
      <c r="BD38" s="85"/>
      <c r="BE38" s="85"/>
      <c r="BF38" s="85"/>
      <c r="BG38" s="85"/>
    </row>
    <row r="39" spans="1:59" hidden="1" x14ac:dyDescent="0.25">
      <c r="A39" s="1393" t="str">
        <f>COA!B35</f>
        <v>2000 Accounts Payable</v>
      </c>
      <c r="B39" s="1390">
        <f>_xlfn.XLOOKUP(A39,'TB.1 - F25'!A:A,'TB.1 - F25'!D:D,0,0,1)</f>
        <v>0</v>
      </c>
      <c r="C39" s="1390">
        <f>_xlfn.XLOOKUP(A39,'TB.1 - F25'!A:A,'TB.1 - F25'!H:H,0,0,1)</f>
        <v>-175040.55</v>
      </c>
      <c r="D39" s="1390">
        <f>_xlfn.XLOOKUP(A39,'AJE.1 - F25'!A:A,'AJE.1 - F25'!F:F,0,0,1)</f>
        <v>0</v>
      </c>
      <c r="E39" s="1390"/>
      <c r="F39" s="219">
        <f>ROUND(SUM(B39:E39),0)</f>
        <v>-175041</v>
      </c>
      <c r="G39" s="1390">
        <f>_xlfn.XLOOKUP($A39,TB.PRO!$A:$A,TB.PRO!F:F,0,0,1)</f>
        <v>0</v>
      </c>
      <c r="H39" s="1390">
        <f>_xlfn.XLOOKUP($A39,TB.PRO!$A:$A,TB.PRO!G:G,0,0,1)</f>
        <v>-340678.05</v>
      </c>
      <c r="I39" s="1390"/>
      <c r="J39" s="1390"/>
      <c r="K39" s="1581">
        <f>-SUM(G39:I39)</f>
        <v>340678.05</v>
      </c>
      <c r="L39" s="665">
        <f>ROUND(SUM(G39:K39),0)</f>
        <v>0</v>
      </c>
      <c r="M39" s="1390">
        <f>_xlfn.XLOOKUP($A39,TB.PRO!$A:$A,TB.PRO!I:I,0,0,1)</f>
        <v>0</v>
      </c>
      <c r="N39" s="1390">
        <f>_xlfn.XLOOKUP($A39,TB.PRO!$A:$A,TB.PRO!J:J,0,0,1)</f>
        <v>-340678.05</v>
      </c>
      <c r="O39" s="1390"/>
      <c r="P39" s="1390"/>
      <c r="Q39" s="1581">
        <f>K39</f>
        <v>340678.05</v>
      </c>
      <c r="R39" s="665">
        <f>ROUND(SUM(M39:Q39),0)</f>
        <v>0</v>
      </c>
      <c r="S39" s="1390">
        <f>M39+O39+Q39</f>
        <v>340678.05</v>
      </c>
      <c r="T39" s="1390">
        <f>N39+P39</f>
        <v>-340678.05</v>
      </c>
      <c r="U39" s="1390"/>
      <c r="V39" s="1390"/>
      <c r="W39" s="1390">
        <f>_xlfn.XLOOKUP($A39,'AJE.1 - F25'!$S$12:$S$21,'AJE.1 - F25'!$U$12:$U$21,0,0,1)</f>
        <v>0</v>
      </c>
      <c r="X39" s="665">
        <f>ROUND(SUM(S39:W39),0)</f>
        <v>0</v>
      </c>
      <c r="Y39" s="1390">
        <f>S39+U39</f>
        <v>340678.05</v>
      </c>
      <c r="Z39" s="1390">
        <f>T39+V39</f>
        <v>-340678.05</v>
      </c>
      <c r="AA39" s="1390"/>
      <c r="AB39" s="1390"/>
      <c r="AC39" s="1390">
        <f>_xlfn.XLOOKUP($A39,'AJE.1 - F25'!$S$12:$S$21,'AJE.1 - F25'!$U$12:$U$21,0,0,1)</f>
        <v>0</v>
      </c>
      <c r="AD39" s="219">
        <f>ROUND(SUM(Y39:AC39),0)</f>
        <v>0</v>
      </c>
      <c r="AE39" s="1390">
        <f>Y39+AA39</f>
        <v>340678.05</v>
      </c>
      <c r="AF39" s="1390">
        <f>Z39+AB39</f>
        <v>-340678.05</v>
      </c>
      <c r="AG39" s="1390"/>
      <c r="AH39" s="1390"/>
      <c r="AI39" s="1390">
        <f>_xlfn.XLOOKUP($A39,'AJE.1 - F25'!$S$12:$S$21,'AJE.1 - F25'!$U$12:$U$21,0,0,1)</f>
        <v>0</v>
      </c>
      <c r="AJ39" s="219">
        <f>ROUND(SUM(AE39:AI39),0)</f>
        <v>0</v>
      </c>
      <c r="AK39" s="178" t="str">
        <f>_xlfn.XLOOKUP($A39,COA!$B:$B,COA!$C:$C,0,0,1)</f>
        <v>Accounts payables and accrued liabilities</v>
      </c>
      <c r="AL39" s="178" t="str">
        <f>_xlfn.XLOOKUP($A39,COA!$B:$B,COA!$D:$D,0,0,1)</f>
        <v>Accounts payables and accrued liabilities</v>
      </c>
      <c r="AM39" s="178" t="str">
        <f>_xlfn.XLOOKUP($A39,COA!$B:$B,COA!$E:$E,0,0,1)</f>
        <v>Accounts payables and accrued liabilities</v>
      </c>
      <c r="AO39" s="85" t="str">
        <f t="shared" si="14"/>
        <v>Accounts payables and accrued liabilities</v>
      </c>
      <c r="AP39" s="85"/>
      <c r="AQ39" s="85"/>
      <c r="AR39" s="85"/>
      <c r="AS39" s="85"/>
      <c r="AT39" s="85"/>
      <c r="AU39" s="85"/>
      <c r="AV39" s="85"/>
      <c r="AW39" s="85"/>
      <c r="AX39" s="85"/>
      <c r="AY39" s="85"/>
      <c r="AZ39" s="85"/>
      <c r="BA39" s="85"/>
      <c r="BB39" s="85"/>
      <c r="BC39" s="85"/>
      <c r="BD39" s="85"/>
      <c r="BE39" s="85"/>
      <c r="BF39" s="85"/>
      <c r="BG39" s="85"/>
    </row>
    <row r="40" spans="1:59" hidden="1" x14ac:dyDescent="0.25">
      <c r="A40" s="1393" t="str">
        <f>COA!B36</f>
        <v>2001 Accounts Payable (A/P) - USD</v>
      </c>
      <c r="B40" s="1390">
        <f>_xlfn.XLOOKUP(A40,'TB.1 - F25'!A:A,'TB.1 - F25'!D:D,0,0,1)</f>
        <v>0</v>
      </c>
      <c r="C40" s="1390">
        <f>_xlfn.XLOOKUP(A40,'TB.1 - F25'!A:A,'TB.1 - F25'!H:H,0,0,1)</f>
        <v>-373.45</v>
      </c>
      <c r="D40" s="1390">
        <f>_xlfn.XLOOKUP(A40,'AJE.1 - F25'!A:A,'AJE.1 - F25'!F:F,0,0,1)</f>
        <v>0</v>
      </c>
      <c r="E40" s="1390"/>
      <c r="F40" s="219">
        <f>ROUND(SUM(B40:E40),0)</f>
        <v>-373</v>
      </c>
      <c r="G40" s="1390">
        <f>_xlfn.XLOOKUP($A40,TB.PRO!$A:$A,TB.PRO!F:F,0,0,1)</f>
        <v>0</v>
      </c>
      <c r="H40" s="1390">
        <f>_xlfn.XLOOKUP($A40,TB.PRO!$A:$A,TB.PRO!G:G,0,0,1)</f>
        <v>-85.95</v>
      </c>
      <c r="I40" s="1390"/>
      <c r="J40" s="1390"/>
      <c r="K40" s="1581">
        <f>-SUM(G40:I40)</f>
        <v>85.95</v>
      </c>
      <c r="L40" s="665">
        <f>ROUND(SUM(G40:K40),0)</f>
        <v>0</v>
      </c>
      <c r="M40" s="1390">
        <f>_xlfn.XLOOKUP($A40,TB.PRO!$A:$A,TB.PRO!I:I,0,0,1)</f>
        <v>0</v>
      </c>
      <c r="N40" s="1390">
        <f>_xlfn.XLOOKUP($A40,TB.PRO!$A:$A,TB.PRO!J:J,0,0,1)</f>
        <v>-85.95</v>
      </c>
      <c r="O40" s="1390"/>
      <c r="P40" s="1390"/>
      <c r="Q40" s="1581">
        <f>K40</f>
        <v>85.95</v>
      </c>
      <c r="R40" s="665">
        <f>ROUND(SUM(M40:Q40),0)</f>
        <v>0</v>
      </c>
      <c r="S40" s="1390">
        <f>M40+O40+Q40</f>
        <v>85.95</v>
      </c>
      <c r="T40" s="1390">
        <f>N40+P40</f>
        <v>-85.95</v>
      </c>
      <c r="U40" s="1390"/>
      <c r="V40" s="1390"/>
      <c r="W40" s="1390">
        <f>_xlfn.XLOOKUP($A40,'AJE.1 - F25'!$S$12:$S$21,'AJE.1 - F25'!$U$12:$U$21,0,0,1)</f>
        <v>0</v>
      </c>
      <c r="X40" s="665">
        <f>ROUND(SUM(S40:W40),0)</f>
        <v>0</v>
      </c>
      <c r="Y40" s="1390">
        <f>S40+U40</f>
        <v>85.95</v>
      </c>
      <c r="Z40" s="1390">
        <f>T40+V40</f>
        <v>-85.95</v>
      </c>
      <c r="AA40" s="1390"/>
      <c r="AB40" s="1390"/>
      <c r="AC40" s="1390">
        <f>_xlfn.XLOOKUP($A40,'AJE.1 - F25'!$S$12:$S$21,'AJE.1 - F25'!$U$12:$U$21,0,0,1)</f>
        <v>0</v>
      </c>
      <c r="AD40" s="219">
        <f>ROUND(SUM(Y40:AC40),0)</f>
        <v>0</v>
      </c>
      <c r="AE40" s="1390">
        <f>Y40+AA40</f>
        <v>85.95</v>
      </c>
      <c r="AF40" s="1390">
        <f>Z40+AB40</f>
        <v>-85.95</v>
      </c>
      <c r="AG40" s="1390"/>
      <c r="AH40" s="1390"/>
      <c r="AI40" s="1390">
        <f>_xlfn.XLOOKUP($A40,'AJE.1 - F25'!$S$12:$S$21,'AJE.1 - F25'!$U$12:$U$21,0,0,1)</f>
        <v>0</v>
      </c>
      <c r="AJ40" s="219">
        <f>ROUND(SUM(AE40:AI40),0)</f>
        <v>0</v>
      </c>
      <c r="AK40" s="178" t="str">
        <f>_xlfn.XLOOKUP($A40,COA!$B:$B,COA!$C:$C,0,0,1)</f>
        <v>Accounts payables and accrued liabilities</v>
      </c>
      <c r="AL40" s="178" t="str">
        <f>_xlfn.XLOOKUP($A40,COA!$B:$B,COA!$D:$D,0,0,1)</f>
        <v>Accounts payables and accrued liabilities</v>
      </c>
      <c r="AM40" s="178" t="str">
        <f>_xlfn.XLOOKUP($A40,COA!$B:$B,COA!$E:$E,0,0,1)</f>
        <v>Accounts payables and accrued liabilities</v>
      </c>
      <c r="AO40" s="85" t="str">
        <f t="shared" si="14"/>
        <v>Accounts payables and accrued liabilities</v>
      </c>
      <c r="AP40" s="85"/>
      <c r="AQ40" s="85"/>
      <c r="AR40" s="85"/>
      <c r="AS40" s="85"/>
      <c r="AT40" s="85"/>
      <c r="AU40" s="85"/>
      <c r="AV40" s="85"/>
      <c r="AW40" s="85"/>
      <c r="AX40" s="85"/>
      <c r="AY40" s="85"/>
      <c r="AZ40" s="85"/>
      <c r="BA40" s="85"/>
      <c r="BB40" s="85"/>
      <c r="BC40" s="85"/>
      <c r="BD40" s="85"/>
      <c r="BE40" s="85"/>
      <c r="BF40" s="85"/>
      <c r="BG40" s="85"/>
    </row>
    <row r="41" spans="1:59" x14ac:dyDescent="0.25">
      <c r="A41" s="1393" t="str">
        <f>COA!B37</f>
        <v>2010 Accrued Liabilities</v>
      </c>
      <c r="B41" s="1390">
        <f>_xlfn.XLOOKUP(A41,'TB.1 - F25'!A:A,'TB.1 - F25'!D:D,0,0,1)</f>
        <v>0</v>
      </c>
      <c r="C41" s="1390">
        <f>_xlfn.XLOOKUP(A41,'TB.1 - F25'!A:A,'TB.1 - F25'!H:H,0,0,1)</f>
        <v>-60000</v>
      </c>
      <c r="D41" s="1390">
        <f>_xlfn.XLOOKUP(A41,'AJE.1 - F25'!A:A,'AJE.1 - F25'!F:F,0,0,1)</f>
        <v>0</v>
      </c>
      <c r="E41" s="1390"/>
      <c r="F41" s="219">
        <f>ROUND(SUM(B41:E41),0)</f>
        <v>-60000</v>
      </c>
      <c r="G41" s="1390">
        <f>_xlfn.XLOOKUP($A41,TB.PRO!$A:$A,TB.PRO!F:F,0,0,1)</f>
        <v>0</v>
      </c>
      <c r="H41" s="1390">
        <f>_xlfn.XLOOKUP($A41,TB.PRO!$A:$A,TB.PRO!G:G,0,0,1)</f>
        <v>-54750</v>
      </c>
      <c r="I41" s="1390">
        <f>-I176</f>
        <v>-9756</v>
      </c>
      <c r="J41" s="1390"/>
      <c r="K41" s="1390">
        <f>_xlfn.XLOOKUP($A41,'AJE.1 - F25'!$S$12:$S$21,'AJE.1 - F25'!$U$12:$U$21,0,0,1)</f>
        <v>0</v>
      </c>
      <c r="L41" s="665">
        <f>ROUND(SUM(G41:K41),0)</f>
        <v>-64506</v>
      </c>
      <c r="M41" s="1390">
        <f>_xlfn.XLOOKUP($A41,TB.PRO!$A:$A,TB.PRO!I:I,0,0,1)</f>
        <v>0</v>
      </c>
      <c r="N41" s="1390">
        <f>_xlfn.XLOOKUP($A41,TB.PRO!$A:$A,TB.PRO!J:J,0,0,1)</f>
        <v>-54750</v>
      </c>
      <c r="O41" s="1390">
        <f>I41-O176</f>
        <v>-152256</v>
      </c>
      <c r="P41" s="1390">
        <f>-P180</f>
        <v>0</v>
      </c>
      <c r="Q41" s="1626">
        <f>(-0.2*O41)</f>
        <v>30451.200000000001</v>
      </c>
      <c r="R41" s="665">
        <f>ROUND(SUM(M41:Q41),0)</f>
        <v>-176555</v>
      </c>
      <c r="S41" s="1390">
        <f>M41+O41+Q41</f>
        <v>-121804.8</v>
      </c>
      <c r="T41" s="1390">
        <f>N41+P41</f>
        <v>-54750</v>
      </c>
      <c r="U41" s="1390">
        <f>-U176</f>
        <v>-637500</v>
      </c>
      <c r="V41" s="1390"/>
      <c r="W41" s="1626">
        <f>-(0.2*U41)-(0.2*O41)</f>
        <v>157951.20000000001</v>
      </c>
      <c r="X41" s="665">
        <f>ROUND(SUM(S41:W41),0)</f>
        <v>-656104</v>
      </c>
      <c r="Y41" s="1390">
        <f>S41+U41</f>
        <v>-759304.8</v>
      </c>
      <c r="Z41" s="1390">
        <f>T41+V41</f>
        <v>-54750</v>
      </c>
      <c r="AA41" s="1390">
        <f>-AA176</f>
        <v>-1500000</v>
      </c>
      <c r="AB41" s="1390"/>
      <c r="AC41" s="1626">
        <f>-(0.2*AA41)-(0.2*U41)-(0.2*O41)</f>
        <v>457951.2</v>
      </c>
      <c r="AD41" s="219">
        <f>ROUND(SUM(Y41:AC41),0)</f>
        <v>-1856104</v>
      </c>
      <c r="AE41" s="1390">
        <f>Y41+AA41</f>
        <v>-2259304.7999999998</v>
      </c>
      <c r="AF41" s="1390">
        <f>Z41+AB41</f>
        <v>-54750</v>
      </c>
      <c r="AG41" s="1390">
        <f>-AG176</f>
        <v>-2625000</v>
      </c>
      <c r="AH41" s="1390"/>
      <c r="AI41" s="1626">
        <f>-(0.2*AG41)-(0.2*AA41)-(0.2*U41)-(0.2*O41)</f>
        <v>982951.2</v>
      </c>
      <c r="AJ41" s="219">
        <f>ROUND(SUM(AE41:AI41),0)</f>
        <v>-3956104</v>
      </c>
      <c r="AK41" s="667" t="s">
        <v>2288</v>
      </c>
      <c r="AL41" s="667" t="str">
        <f>AK41</f>
        <v>Accrued Warranty Liability</v>
      </c>
      <c r="AM41" s="667" t="str">
        <f>AL41</f>
        <v>Accrued Warranty Liability</v>
      </c>
      <c r="AO41" s="85">
        <f>_xlfn.XLOOKUP(AM41,FS.1!A:A,AM:AM,0,0,1)</f>
        <v>0</v>
      </c>
      <c r="AP41" s="85"/>
      <c r="AQ41" s="85"/>
      <c r="AR41" s="85"/>
      <c r="AS41" s="85"/>
      <c r="AT41" s="85"/>
      <c r="AU41" s="85"/>
      <c r="AV41" s="85"/>
      <c r="AW41" s="85"/>
      <c r="AX41" s="85"/>
      <c r="AY41" s="85"/>
      <c r="AZ41" s="85"/>
      <c r="BA41" s="85"/>
      <c r="BB41" s="85"/>
      <c r="BC41" s="85"/>
      <c r="BD41" s="85"/>
      <c r="BE41" s="85"/>
      <c r="BF41" s="85"/>
      <c r="BG41" s="85"/>
    </row>
    <row r="42" spans="1:59" hidden="1" x14ac:dyDescent="0.25">
      <c r="A42" s="1393" t="str">
        <f>COA!B38</f>
        <v>2030 Cutomer prepayments</v>
      </c>
      <c r="B42" s="1390">
        <f>_xlfn.XLOOKUP(A42,'TB.1 - F25'!A:A,'TB.1 - F25'!D:D,0,0,1)</f>
        <v>0</v>
      </c>
      <c r="C42" s="1390">
        <f>_xlfn.XLOOKUP(A42,'TB.1 - F25'!A:A,'TB.1 - F25'!H:H,0,0,1)</f>
        <v>0</v>
      </c>
      <c r="D42" s="1390">
        <f>_xlfn.XLOOKUP(A42,'AJE.1 - F25'!A:A,'AJE.1 - F25'!F:F,0,0,1)</f>
        <v>0</v>
      </c>
      <c r="E42" s="1390"/>
      <c r="F42" s="219">
        <f>ROUND(SUM(B42:E42),0)</f>
        <v>0</v>
      </c>
      <c r="G42" s="1390">
        <f>_xlfn.XLOOKUP($A42,TB.PRO!$A:$A,TB.PRO!F:F,0,0,1)</f>
        <v>0</v>
      </c>
      <c r="H42" s="1390">
        <f>_xlfn.XLOOKUP($A42,TB.PRO!$A:$A,TB.PRO!G:G,0,0,1)</f>
        <v>0</v>
      </c>
      <c r="I42" s="1390"/>
      <c r="J42" s="1390"/>
      <c r="K42" s="1390">
        <f>_xlfn.XLOOKUP($A42,'AJE.1 - F25'!$S$12:$S$21,'AJE.1 - F25'!$U$12:$U$21,0,0,1)</f>
        <v>0</v>
      </c>
      <c r="L42" s="665">
        <f>ROUND(SUM(G42:K42),0)</f>
        <v>0</v>
      </c>
      <c r="M42" s="1390">
        <f>_xlfn.XLOOKUP($A42,TB.PRO!$A:$A,TB.PRO!I:I,0,0,1)</f>
        <v>0</v>
      </c>
      <c r="N42" s="1390">
        <f>_xlfn.XLOOKUP($A42,TB.PRO!$A:$A,TB.PRO!J:J,0,0,1)</f>
        <v>0</v>
      </c>
      <c r="O42" s="1390"/>
      <c r="P42" s="1390"/>
      <c r="Q42" s="1390">
        <f>_xlfn.XLOOKUP($A42,'AJE.1 - F25'!$S$12:$S$21,'AJE.1 - F25'!$U$12:$U$21,0,0,1)</f>
        <v>0</v>
      </c>
      <c r="R42" s="665">
        <f>ROUND(SUM(M42:Q42),0)</f>
        <v>0</v>
      </c>
      <c r="S42" s="1390">
        <f>M42+O42</f>
        <v>0</v>
      </c>
      <c r="T42" s="1390">
        <f>N42+P42</f>
        <v>0</v>
      </c>
      <c r="U42" s="1390"/>
      <c r="V42" s="1390"/>
      <c r="W42" s="1390">
        <f>_xlfn.XLOOKUP($A42,'AJE.1 - F25'!$S$12:$S$21,'AJE.1 - F25'!$U$12:$U$21,0,0,1)</f>
        <v>0</v>
      </c>
      <c r="X42" s="665">
        <f>ROUND(SUM(S42:W42),0)</f>
        <v>0</v>
      </c>
      <c r="Y42" s="1390">
        <f>S42+U42</f>
        <v>0</v>
      </c>
      <c r="Z42" s="1390">
        <f>T42+V42</f>
        <v>0</v>
      </c>
      <c r="AA42" s="1390"/>
      <c r="AB42" s="1390"/>
      <c r="AC42" s="1390">
        <f>_xlfn.XLOOKUP($A42,'AJE.1 - F25'!$S$12:$S$21,'AJE.1 - F25'!$U$12:$U$21,0,0,1)</f>
        <v>0</v>
      </c>
      <c r="AD42" s="219">
        <f>ROUND(SUM(Y42:AC42),0)</f>
        <v>0</v>
      </c>
      <c r="AE42" s="1390">
        <f>Y42+AA42</f>
        <v>0</v>
      </c>
      <c r="AF42" s="1390">
        <f>Z42+AB42</f>
        <v>0</v>
      </c>
      <c r="AG42" s="1390"/>
      <c r="AH42" s="1390"/>
      <c r="AI42" s="1390">
        <f>_xlfn.XLOOKUP($A42,'AJE.1 - F25'!$S$12:$S$21,'AJE.1 - F25'!$U$12:$U$21,0,0,1)</f>
        <v>0</v>
      </c>
      <c r="AJ42" s="219">
        <f>ROUND(SUM(AE42:AI42),0)</f>
        <v>0</v>
      </c>
      <c r="AK42" s="178" t="str">
        <f>_xlfn.XLOOKUP($A42,COA!$B:$B,COA!$C:$C,0,0,1)</f>
        <v>Deferred revenue</v>
      </c>
      <c r="AL42" s="178" t="str">
        <f>_xlfn.XLOOKUP($A42,COA!$B:$B,COA!$D:$D,0,0,1)</f>
        <v>Deferred revenue</v>
      </c>
      <c r="AM42" s="178" t="str">
        <f>_xlfn.XLOOKUP($A42,COA!$B:$B,COA!$E:$E,0,0,1)</f>
        <v>Deferred revenue</v>
      </c>
      <c r="AO42" s="85" t="str">
        <f>AM42</f>
        <v>Deferred revenue</v>
      </c>
      <c r="AP42" s="85"/>
      <c r="AQ42" s="85"/>
      <c r="AR42" s="85"/>
      <c r="AS42" s="85"/>
      <c r="AT42" s="85"/>
      <c r="AU42" s="85"/>
      <c r="AV42" s="85"/>
      <c r="AW42" s="85"/>
      <c r="AX42" s="85"/>
      <c r="AY42" s="85"/>
      <c r="AZ42" s="85"/>
      <c r="BA42" s="85"/>
      <c r="BB42" s="85"/>
      <c r="BC42" s="85"/>
      <c r="BD42" s="85"/>
      <c r="BE42" s="85"/>
      <c r="BF42" s="85"/>
      <c r="BG42" s="85"/>
    </row>
    <row r="43" spans="1:59" hidden="1" x14ac:dyDescent="0.25">
      <c r="A43" s="1393" t="str">
        <f>COA!B39</f>
        <v>2063 Due to RPT - Dean Kneider</v>
      </c>
      <c r="B43" s="1390">
        <f>_xlfn.XLOOKUP(A43,'TB.1 - F25'!A:A,'TB.1 - F25'!D:D,0,0,1)</f>
        <v>0</v>
      </c>
      <c r="C43" s="1390">
        <f>_xlfn.XLOOKUP(A43,'TB.1 - F25'!A:A,'TB.1 - F25'!H:H,0,0,1)</f>
        <v>0</v>
      </c>
      <c r="D43" s="1390">
        <f>_xlfn.XLOOKUP(A43,'AJE.1 - F25'!A:A,'AJE.1 - F25'!F:F,0,0,1)</f>
        <v>0</v>
      </c>
      <c r="E43" s="1390"/>
      <c r="F43" s="219">
        <f>ROUND(SUM(B43:E43),0)</f>
        <v>0</v>
      </c>
      <c r="G43" s="1390">
        <f>_xlfn.XLOOKUP($A43,TB.PRO!$A:$A,TB.PRO!F:F,0,0,1)</f>
        <v>0</v>
      </c>
      <c r="H43" s="1390">
        <f>_xlfn.XLOOKUP($A43,TB.PRO!$A:$A,TB.PRO!G:G,0,0,1)</f>
        <v>0</v>
      </c>
      <c r="I43" s="1390"/>
      <c r="J43" s="1390"/>
      <c r="K43" s="1390">
        <f>_xlfn.XLOOKUP($A43,'AJE.1 - F25'!$S$12:$S$21,'AJE.1 - F25'!$U$12:$U$21,0,0,1)</f>
        <v>0</v>
      </c>
      <c r="L43" s="665">
        <f>ROUND(SUM(G43:K43),0)</f>
        <v>0</v>
      </c>
      <c r="M43" s="1390">
        <f>_xlfn.XLOOKUP($A43,TB.PRO!$A:$A,TB.PRO!I:I,0,0,1)</f>
        <v>0</v>
      </c>
      <c r="N43" s="1390">
        <f>_xlfn.XLOOKUP($A43,TB.PRO!$A:$A,TB.PRO!J:J,0,0,1)</f>
        <v>0</v>
      </c>
      <c r="O43" s="1390"/>
      <c r="P43" s="1390"/>
      <c r="Q43" s="1390">
        <f>_xlfn.XLOOKUP($A43,'AJE.1 - F25'!$S$12:$S$21,'AJE.1 - F25'!$U$12:$U$21,0,0,1)</f>
        <v>0</v>
      </c>
      <c r="R43" s="665">
        <f>ROUND(SUM(M43:Q43),0)</f>
        <v>0</v>
      </c>
      <c r="S43" s="1390">
        <f>M43+O43</f>
        <v>0</v>
      </c>
      <c r="T43" s="1390">
        <f>N43+P43</f>
        <v>0</v>
      </c>
      <c r="U43" s="1390"/>
      <c r="V43" s="1390"/>
      <c r="W43" s="1390">
        <f>_xlfn.XLOOKUP($A43,'AJE.1 - F25'!$S$12:$S$21,'AJE.1 - F25'!$U$12:$U$21,0,0,1)</f>
        <v>0</v>
      </c>
      <c r="X43" s="665">
        <f>ROUND(SUM(S43:W43),0)</f>
        <v>0</v>
      </c>
      <c r="Y43" s="1390">
        <f>S43+U43</f>
        <v>0</v>
      </c>
      <c r="Z43" s="1390">
        <f>T43+V43</f>
        <v>0</v>
      </c>
      <c r="AA43" s="1390"/>
      <c r="AB43" s="1390"/>
      <c r="AC43" s="1390">
        <f>_xlfn.XLOOKUP($A43,'AJE.1 - F25'!$S$12:$S$21,'AJE.1 - F25'!$U$12:$U$21,0,0,1)</f>
        <v>0</v>
      </c>
      <c r="AD43" s="219">
        <f>ROUND(SUM(Y43:AC43),0)</f>
        <v>0</v>
      </c>
      <c r="AE43" s="1390">
        <f>Y43+AA43</f>
        <v>0</v>
      </c>
      <c r="AF43" s="1390">
        <f>Z43+AB43</f>
        <v>0</v>
      </c>
      <c r="AG43" s="1390"/>
      <c r="AH43" s="1390"/>
      <c r="AI43" s="1390">
        <f>_xlfn.XLOOKUP($A43,'AJE.1 - F25'!$S$12:$S$21,'AJE.1 - F25'!$U$12:$U$21,0,0,1)</f>
        <v>0</v>
      </c>
      <c r="AJ43" s="219">
        <f>ROUND(SUM(AE43:AI43),0)</f>
        <v>0</v>
      </c>
      <c r="AK43" s="178" t="str">
        <f>_xlfn.XLOOKUP($A43,COA!$B:$B,COA!$C:$C,0,0,1)</f>
        <v>Due to related parties</v>
      </c>
      <c r="AL43" s="178" t="str">
        <f>_xlfn.XLOOKUP($A43,COA!$B:$B,COA!$D:$D,0,0,1)</f>
        <v>Due to related parties</v>
      </c>
      <c r="AM43" s="178" t="str">
        <f>_xlfn.XLOOKUP($A43,COA!$B:$B,COA!$E:$E,0,0,1)</f>
        <v>Due to related parties</v>
      </c>
      <c r="AO43" s="85" t="str">
        <f>_xlfn.XLOOKUP(AM43,FS.1!A:A,AM:AM,0,0,1)</f>
        <v>Equipment</v>
      </c>
      <c r="AP43" s="85"/>
      <c r="AQ43" s="85"/>
      <c r="AR43" s="85"/>
      <c r="AS43" s="85"/>
      <c r="AT43" s="85"/>
      <c r="AU43" s="85"/>
      <c r="AV43" s="85"/>
      <c r="AW43" s="85"/>
      <c r="AX43" s="85"/>
      <c r="AY43" s="85"/>
      <c r="AZ43" s="85"/>
      <c r="BA43" s="85"/>
      <c r="BB43" s="85"/>
      <c r="BC43" s="85"/>
      <c r="BD43" s="85"/>
      <c r="BE43" s="85"/>
      <c r="BF43" s="85"/>
      <c r="BG43" s="85"/>
    </row>
    <row r="44" spans="1:59" x14ac:dyDescent="0.25">
      <c r="A44" s="1393" t="str">
        <f>COA!B40</f>
        <v>2050 Deferred revenue</v>
      </c>
      <c r="B44" s="1390">
        <f>_xlfn.XLOOKUP(A44,'TB.1 - F25'!A:A,'TB.1 - F25'!D:D,0,0,1)</f>
        <v>0</v>
      </c>
      <c r="C44" s="1390">
        <f>_xlfn.XLOOKUP(A44,'TB.1 - F25'!A:A,'TB.1 - F25'!H:H,0,0,1)</f>
        <v>0</v>
      </c>
      <c r="D44" s="1390">
        <f>_xlfn.XLOOKUP(A44,'AJE.1 - F25'!A:A,'AJE.1 - F25'!F:F,0,0,1)</f>
        <v>0</v>
      </c>
      <c r="E44" s="1390"/>
      <c r="F44" s="219">
        <f>ROUND(SUM(B44:E44),0)</f>
        <v>0</v>
      </c>
      <c r="G44" s="1390">
        <f>_xlfn.XLOOKUP($A44,TB.PRO!$A:$A,TB.PRO!F:F,0,0,1)</f>
        <v>0</v>
      </c>
      <c r="H44" s="1390">
        <f>_xlfn.XLOOKUP($A44,TB.PRO!$A:$A,TB.PRO!G:G,0,0,1)</f>
        <v>-507800</v>
      </c>
      <c r="I44" s="1390"/>
      <c r="J44" s="1390">
        <f>-H44</f>
        <v>507800</v>
      </c>
      <c r="K44" s="1390">
        <f>_xlfn.XLOOKUP($A44,'AJE.1 - F25'!$S$12:$S$21,'AJE.1 - F25'!$U$12:$U$21,0,0,1)</f>
        <v>0</v>
      </c>
      <c r="L44" s="665">
        <f>ROUND(SUM(G44:K44),0)</f>
        <v>0</v>
      </c>
      <c r="M44" s="1390">
        <f>_xlfn.XLOOKUP($A44,TB.PRO!$A:$A,TB.PRO!I:I,0,0,1)</f>
        <v>0</v>
      </c>
      <c r="N44" s="1390">
        <f>_xlfn.XLOOKUP($A44,TB.PRO!$A:$A,TB.PRO!J:J,0,0,1)</f>
        <v>-507800</v>
      </c>
      <c r="O44" s="1390"/>
      <c r="P44" s="1581">
        <f>J44-P101</f>
        <v>-85950</v>
      </c>
      <c r="Q44" s="1581">
        <f>_xlfn.XLOOKUP($A44,'AJE.1 - F25'!$S$12:$S$21,'AJE.1 - F25'!$U$12:$U$21,0,0,1)</f>
        <v>0</v>
      </c>
      <c r="R44" s="665">
        <f>ROUND(SUM(M44:Q44),0)</f>
        <v>-593750</v>
      </c>
      <c r="S44" s="1390">
        <f>M44+O44</f>
        <v>0</v>
      </c>
      <c r="T44" s="1390">
        <f>N44+P44</f>
        <v>-593750</v>
      </c>
      <c r="U44" s="1390"/>
      <c r="V44" s="1581">
        <f>-V101</f>
        <v>-2062500</v>
      </c>
      <c r="W44" s="1581">
        <f>-W101</f>
        <v>0</v>
      </c>
      <c r="X44" s="665">
        <f>ROUND(SUM(S44:W44),0)</f>
        <v>-2656250</v>
      </c>
      <c r="Y44" s="1390">
        <f>S44+U44</f>
        <v>0</v>
      </c>
      <c r="Z44" s="1390">
        <f>T44+V44</f>
        <v>-2656250</v>
      </c>
      <c r="AA44" s="1390"/>
      <c r="AB44" s="1581">
        <f>-AB101</f>
        <v>-4187500</v>
      </c>
      <c r="AC44" s="1581">
        <f>-AC101</f>
        <v>0</v>
      </c>
      <c r="AD44" s="219">
        <f>ROUND(SUM(Y44:AC44),0)</f>
        <v>-6843750</v>
      </c>
      <c r="AE44" s="1390">
        <f>Y44+AA44</f>
        <v>0</v>
      </c>
      <c r="AF44" s="1390">
        <f>Z44+AB44</f>
        <v>-6843750</v>
      </c>
      <c r="AG44" s="1390"/>
      <c r="AH44" s="1581">
        <f>-AH101</f>
        <v>-10937500</v>
      </c>
      <c r="AI44" s="1581">
        <f>-AI101</f>
        <v>4187500</v>
      </c>
      <c r="AJ44" s="219">
        <f>ROUND(SUM(AE44:AI44),0)</f>
        <v>-13593750</v>
      </c>
      <c r="AK44" s="178" t="str">
        <f>_xlfn.XLOOKUP($A44,COA!$B:$B,COA!$C:$C,0,0,1)</f>
        <v>Deferred revenue</v>
      </c>
      <c r="AL44" s="178" t="str">
        <f>_xlfn.XLOOKUP($A44,COA!$B:$B,COA!$D:$D,0,0,1)</f>
        <v>Deferred revenue</v>
      </c>
      <c r="AM44" s="178" t="str">
        <f>_xlfn.XLOOKUP($A44,COA!$B:$B,COA!$E:$E,0,0,1)</f>
        <v>Deferred revenue</v>
      </c>
      <c r="AO44" s="85">
        <f>_xlfn.XLOOKUP(AM44,FS.1!A:A,AM:AM,0,0,1)</f>
        <v>0</v>
      </c>
      <c r="AP44" s="85"/>
      <c r="AQ44" s="85"/>
      <c r="AR44" s="85"/>
      <c r="AS44" s="85"/>
      <c r="AT44" s="85"/>
      <c r="AU44" s="85"/>
      <c r="AV44" s="85"/>
      <c r="AW44" s="85"/>
      <c r="AX44" s="85"/>
      <c r="AY44" s="85"/>
      <c r="AZ44" s="85"/>
      <c r="BA44" s="85"/>
      <c r="BB44" s="85"/>
      <c r="BC44" s="85"/>
      <c r="BD44" s="85"/>
      <c r="BE44" s="85"/>
      <c r="BF44" s="85"/>
      <c r="BG44" s="85"/>
    </row>
    <row r="45" spans="1:59" hidden="1" x14ac:dyDescent="0.25">
      <c r="A45" s="1393" t="str">
        <f>COA!B41</f>
        <v>2100 Accrued Liabilities</v>
      </c>
      <c r="B45" s="1390">
        <f>_xlfn.XLOOKUP(A45,'TB.1 - F25'!A:A,'TB.1 - F25'!D:D,0,0,1)</f>
        <v>-53625</v>
      </c>
      <c r="C45" s="1390">
        <f>_xlfn.XLOOKUP(A45,'TB.1 - F25'!A:A,'TB.1 - F25'!H:H,0,0,1)</f>
        <v>0</v>
      </c>
      <c r="D45" s="1390">
        <f>_xlfn.XLOOKUP(A45,'AJE.1 - F25'!A:A,'AJE.1 - F25'!F:F,0,0,1)</f>
        <v>0</v>
      </c>
      <c r="E45" s="1390"/>
      <c r="F45" s="219">
        <f>ROUND(SUM(B45:E45),0)</f>
        <v>-53625</v>
      </c>
      <c r="G45" s="1390">
        <f>_xlfn.XLOOKUP($A45,TB.PRO!$A:$A,TB.PRO!F:F,0,0,1)</f>
        <v>-53625</v>
      </c>
      <c r="H45" s="1390">
        <f>_xlfn.XLOOKUP($A45,TB.PRO!$A:$A,TB.PRO!G:G,0,0,1)</f>
        <v>0</v>
      </c>
      <c r="I45" s="1390"/>
      <c r="J45" s="1390"/>
      <c r="K45" s="1581">
        <f>-SUM(G45:I45)</f>
        <v>53625</v>
      </c>
      <c r="L45" s="665">
        <f>ROUND(SUM(G45:K45),0)</f>
        <v>0</v>
      </c>
      <c r="M45" s="1390">
        <f>_xlfn.XLOOKUP($A45,TB.PRO!$A:$A,TB.PRO!I:I,0,0,1)</f>
        <v>-53625</v>
      </c>
      <c r="N45" s="1390">
        <f>_xlfn.XLOOKUP($A45,TB.PRO!$A:$A,TB.PRO!J:J,0,0,1)</f>
        <v>0</v>
      </c>
      <c r="O45" s="1390"/>
      <c r="P45" s="1390"/>
      <c r="Q45" s="1581">
        <f>K45</f>
        <v>53625</v>
      </c>
      <c r="R45" s="665">
        <f>ROUND(SUM(M45:Q45),0)</f>
        <v>0</v>
      </c>
      <c r="S45" s="1390">
        <f>M45+O45+Q45</f>
        <v>0</v>
      </c>
      <c r="T45" s="1390">
        <f>N45+P45</f>
        <v>0</v>
      </c>
      <c r="U45" s="1390"/>
      <c r="V45" s="1390"/>
      <c r="W45" s="1390">
        <f>_xlfn.XLOOKUP($A45,'AJE.1 - F25'!$S$12:$S$21,'AJE.1 - F25'!$U$12:$U$21,0,0,1)</f>
        <v>0</v>
      </c>
      <c r="X45" s="665">
        <f>ROUND(SUM(S45:W45),0)</f>
        <v>0</v>
      </c>
      <c r="Y45" s="1390">
        <f>S45+U45</f>
        <v>0</v>
      </c>
      <c r="Z45" s="1390">
        <f>T45+V45</f>
        <v>0</v>
      </c>
      <c r="AA45" s="1390"/>
      <c r="AB45" s="1390"/>
      <c r="AC45" s="1390">
        <f>_xlfn.XLOOKUP($A45,'AJE.1 - F25'!$S$12:$S$21,'AJE.1 - F25'!$U$12:$U$21,0,0,1)</f>
        <v>0</v>
      </c>
      <c r="AD45" s="219">
        <f>ROUND(SUM(Y45:AC45),0)</f>
        <v>0</v>
      </c>
      <c r="AE45" s="1390">
        <f>Y45+AA45</f>
        <v>0</v>
      </c>
      <c r="AF45" s="1390">
        <f>Z45+AB45</f>
        <v>0</v>
      </c>
      <c r="AG45" s="1390"/>
      <c r="AH45" s="1390"/>
      <c r="AI45" s="1390">
        <f>_xlfn.XLOOKUP($A45,'AJE.1 - F25'!$S$12:$S$21,'AJE.1 - F25'!$U$12:$U$21,0,0,1)</f>
        <v>0</v>
      </c>
      <c r="AJ45" s="219">
        <f>ROUND(SUM(AE45:AI45),0)</f>
        <v>0</v>
      </c>
      <c r="AK45" s="178" t="str">
        <f>_xlfn.XLOOKUP($A45,COA!$B:$B,COA!$C:$C,0,0,1)</f>
        <v>Accounts payables and accrued liabilities</v>
      </c>
      <c r="AL45" s="178" t="str">
        <f>_xlfn.XLOOKUP($A45,COA!$B:$B,COA!$D:$D,0,0,1)</f>
        <v>Accounts payables and accrued liabilities</v>
      </c>
      <c r="AM45" s="178" t="str">
        <f>_xlfn.XLOOKUP($A45,COA!$B:$B,COA!$E:$E,0,0,1)</f>
        <v>Accounts payables and accrued liabilities</v>
      </c>
      <c r="AO45" s="85" t="str">
        <f>_xlfn.XLOOKUP(AM45,FS.1!A:A,AM:AM,0,0,1)</f>
        <v>Investment in subsidiary</v>
      </c>
      <c r="AP45" s="85"/>
      <c r="AQ45" s="85"/>
      <c r="AR45" s="85"/>
      <c r="AS45" s="85"/>
      <c r="AT45" s="85"/>
      <c r="AU45" s="85"/>
      <c r="AV45" s="85"/>
      <c r="AW45" s="85"/>
      <c r="AX45" s="85"/>
      <c r="AY45" s="85"/>
      <c r="AZ45" s="85"/>
      <c r="BA45" s="85"/>
      <c r="BB45" s="85"/>
      <c r="BC45" s="85"/>
      <c r="BD45" s="85"/>
      <c r="BE45" s="85"/>
      <c r="BF45" s="85"/>
      <c r="BG45" s="85"/>
    </row>
    <row r="46" spans="1:59" hidden="1" x14ac:dyDescent="0.25">
      <c r="A46" s="1393" t="str">
        <f>COA!B42</f>
        <v>2100 Payroll Liabilities</v>
      </c>
      <c r="B46" s="1390">
        <f>_xlfn.XLOOKUP(A46,'TB.1 - F25'!A:A,'TB.1 - F25'!D:D,0,0,1)</f>
        <v>0</v>
      </c>
      <c r="C46" s="1390">
        <f>_xlfn.XLOOKUP(A46,'TB.1 - F25'!A:A,'TB.1 - F25'!H:H,0,0,1)</f>
        <v>0</v>
      </c>
      <c r="D46" s="1390">
        <f>_xlfn.XLOOKUP(A46,'AJE.1 - F25'!A:A,'AJE.1 - F25'!F:F,0,0,1)</f>
        <v>0</v>
      </c>
      <c r="E46" s="1390"/>
      <c r="F46" s="219">
        <f>ROUND(SUM(B46:E46),0)</f>
        <v>0</v>
      </c>
      <c r="G46" s="1390">
        <f>_xlfn.XLOOKUP($A46,TB.PRO!$A:$A,TB.PRO!F:F,0,0,1)</f>
        <v>0</v>
      </c>
      <c r="H46" s="1390">
        <f>_xlfn.XLOOKUP($A46,TB.PRO!$A:$A,TB.PRO!G:G,0,0,1)</f>
        <v>0</v>
      </c>
      <c r="I46" s="1390"/>
      <c r="J46" s="1390"/>
      <c r="K46" s="1390">
        <f>_xlfn.XLOOKUP($A46,'AJE.1 - F25'!$S$12:$S$21,'AJE.1 - F25'!$U$12:$U$21,0,0,1)</f>
        <v>0</v>
      </c>
      <c r="L46" s="665">
        <f>ROUND(SUM(G46:K46),0)</f>
        <v>0</v>
      </c>
      <c r="M46" s="1390">
        <f>_xlfn.XLOOKUP($A46,TB.PRO!$A:$A,TB.PRO!I:I,0,0,1)</f>
        <v>0</v>
      </c>
      <c r="N46" s="1390">
        <f>_xlfn.XLOOKUP($A46,TB.PRO!$A:$A,TB.PRO!J:J,0,0,1)</f>
        <v>0</v>
      </c>
      <c r="O46" s="1390"/>
      <c r="P46" s="1390"/>
      <c r="Q46" s="1390">
        <f>_xlfn.XLOOKUP($A46,'AJE.1 - F25'!$S$12:$S$21,'AJE.1 - F25'!$U$12:$U$21,0,0,1)</f>
        <v>0</v>
      </c>
      <c r="R46" s="665">
        <f>ROUND(SUM(M46:Q46),0)</f>
        <v>0</v>
      </c>
      <c r="S46" s="1390">
        <f>M46+O46</f>
        <v>0</v>
      </c>
      <c r="T46" s="1390">
        <f>N46+P46</f>
        <v>0</v>
      </c>
      <c r="U46" s="1390"/>
      <c r="V46" s="1390"/>
      <c r="W46" s="1390">
        <f>_xlfn.XLOOKUP($A46,'AJE.1 - F25'!$S$12:$S$21,'AJE.1 - F25'!$U$12:$U$21,0,0,1)</f>
        <v>0</v>
      </c>
      <c r="X46" s="665">
        <f>ROUND(SUM(S46:W46),0)</f>
        <v>0</v>
      </c>
      <c r="Y46" s="1390">
        <f>S46+U46</f>
        <v>0</v>
      </c>
      <c r="Z46" s="1390">
        <f>T46+V46</f>
        <v>0</v>
      </c>
      <c r="AA46" s="1390"/>
      <c r="AB46" s="1390"/>
      <c r="AC46" s="1390">
        <f>_xlfn.XLOOKUP($A46,'AJE.1 - F25'!$S$12:$S$21,'AJE.1 - F25'!$U$12:$U$21,0,0,1)</f>
        <v>0</v>
      </c>
      <c r="AD46" s="219">
        <f>ROUND(SUM(Y46:AC46),0)</f>
        <v>0</v>
      </c>
      <c r="AE46" s="1390">
        <f>Y46+AA46</f>
        <v>0</v>
      </c>
      <c r="AF46" s="1390">
        <f>Z46+AB46</f>
        <v>0</v>
      </c>
      <c r="AG46" s="1390"/>
      <c r="AH46" s="1390"/>
      <c r="AI46" s="1390">
        <f>_xlfn.XLOOKUP($A46,'AJE.1 - F25'!$S$12:$S$21,'AJE.1 - F25'!$U$12:$U$21,0,0,1)</f>
        <v>0</v>
      </c>
      <c r="AJ46" s="219">
        <f>ROUND(SUM(AE46:AI46),0)</f>
        <v>0</v>
      </c>
      <c r="AK46" s="178" t="str">
        <f>_xlfn.XLOOKUP($A46,COA!$B:$B,COA!$C:$C,0,0,1)</f>
        <v>Payroll liabilities</v>
      </c>
      <c r="AL46" s="178" t="str">
        <f>_xlfn.XLOOKUP($A46,COA!$B:$B,COA!$D:$D,0,0,1)</f>
        <v>Payroll liabilities</v>
      </c>
      <c r="AM46" s="178" t="str">
        <f>_xlfn.XLOOKUP($A46,COA!$B:$B,COA!$E:$E,0,0,1)</f>
        <v>Payroll liabilities</v>
      </c>
      <c r="AO46" s="85">
        <f>_xlfn.XLOOKUP(AM46,FS.1!A:A,AM:AM,0,0,1)</f>
        <v>0</v>
      </c>
      <c r="AP46" s="85"/>
      <c r="AQ46" s="85"/>
      <c r="AR46" s="85"/>
      <c r="AS46" s="85"/>
      <c r="AT46" s="85"/>
      <c r="AU46" s="85"/>
      <c r="AV46" s="85"/>
      <c r="AW46" s="85"/>
      <c r="AX46" s="85"/>
      <c r="AY46" s="85"/>
      <c r="AZ46" s="85"/>
      <c r="BA46" s="85"/>
      <c r="BB46" s="85"/>
      <c r="BC46" s="85"/>
      <c r="BD46" s="85"/>
      <c r="BE46" s="85"/>
      <c r="BF46" s="85"/>
      <c r="BG46" s="85"/>
    </row>
    <row r="47" spans="1:59" hidden="1" x14ac:dyDescent="0.25">
      <c r="A47" s="1393" t="str">
        <f>COA!B43</f>
        <v>2110 Payroll Liabilities:Payroll Taxes</v>
      </c>
      <c r="B47" s="1390">
        <f>_xlfn.XLOOKUP(A47,'TB.1 - F25'!A:A,'TB.1 - F25'!D:D,0,0,1)</f>
        <v>0</v>
      </c>
      <c r="C47" s="1390">
        <f>_xlfn.XLOOKUP(A47,'TB.1 - F25'!A:A,'TB.1 - F25'!H:H,0,0,1)</f>
        <v>0</v>
      </c>
      <c r="D47" s="1390">
        <f>_xlfn.XLOOKUP(A47,'AJE.1 - F25'!A:A,'AJE.1 - F25'!F:F,0,0,1)</f>
        <v>0</v>
      </c>
      <c r="E47" s="1390"/>
      <c r="F47" s="219">
        <f>ROUND(SUM(B47:E47),0)</f>
        <v>0</v>
      </c>
      <c r="G47" s="1390">
        <f>_xlfn.XLOOKUP($A47,TB.PRO!$A:$A,TB.PRO!F:F,0,0,1)</f>
        <v>0</v>
      </c>
      <c r="H47" s="1390">
        <f>_xlfn.XLOOKUP($A47,TB.PRO!$A:$A,TB.PRO!G:G,0,0,1)</f>
        <v>0</v>
      </c>
      <c r="I47" s="1390"/>
      <c r="J47" s="1390"/>
      <c r="K47" s="1390">
        <f>_xlfn.XLOOKUP($A47,'AJE.1 - F25'!$S$12:$S$21,'AJE.1 - F25'!$U$12:$U$21,0,0,1)</f>
        <v>0</v>
      </c>
      <c r="L47" s="665">
        <f>ROUND(SUM(G47:K47),0)</f>
        <v>0</v>
      </c>
      <c r="M47" s="1390">
        <f>_xlfn.XLOOKUP($A47,TB.PRO!$A:$A,TB.PRO!I:I,0,0,1)</f>
        <v>0</v>
      </c>
      <c r="N47" s="1390">
        <f>_xlfn.XLOOKUP($A47,TB.PRO!$A:$A,TB.PRO!J:J,0,0,1)</f>
        <v>0</v>
      </c>
      <c r="O47" s="1390"/>
      <c r="P47" s="1390"/>
      <c r="Q47" s="1390">
        <f>_xlfn.XLOOKUP($A47,'AJE.1 - F25'!$S$12:$S$21,'AJE.1 - F25'!$U$12:$U$21,0,0,1)</f>
        <v>0</v>
      </c>
      <c r="R47" s="665">
        <f>ROUND(SUM(M47:Q47),0)</f>
        <v>0</v>
      </c>
      <c r="S47" s="1390">
        <f>M47+O47</f>
        <v>0</v>
      </c>
      <c r="T47" s="1390">
        <f>N47+P47</f>
        <v>0</v>
      </c>
      <c r="U47" s="1390"/>
      <c r="V47" s="1390"/>
      <c r="W47" s="1390">
        <f>_xlfn.XLOOKUP($A47,'AJE.1 - F25'!$S$12:$S$21,'AJE.1 - F25'!$U$12:$U$21,0,0,1)</f>
        <v>0</v>
      </c>
      <c r="X47" s="665">
        <f>ROUND(SUM(S47:W47),0)</f>
        <v>0</v>
      </c>
      <c r="Y47" s="1390">
        <f>S47+U47</f>
        <v>0</v>
      </c>
      <c r="Z47" s="1390">
        <f>T47+V47</f>
        <v>0</v>
      </c>
      <c r="AA47" s="1390"/>
      <c r="AB47" s="1390"/>
      <c r="AC47" s="1390">
        <f>_xlfn.XLOOKUP($A47,'AJE.1 - F25'!$S$12:$S$21,'AJE.1 - F25'!$U$12:$U$21,0,0,1)</f>
        <v>0</v>
      </c>
      <c r="AD47" s="219">
        <f>ROUND(SUM(Y47:AC47),0)</f>
        <v>0</v>
      </c>
      <c r="AE47" s="1390">
        <f>Y47+AA47</f>
        <v>0</v>
      </c>
      <c r="AF47" s="1390">
        <f>Z47+AB47</f>
        <v>0</v>
      </c>
      <c r="AG47" s="1390"/>
      <c r="AH47" s="1390"/>
      <c r="AI47" s="1390">
        <f>_xlfn.XLOOKUP($A47,'AJE.1 - F25'!$S$12:$S$21,'AJE.1 - F25'!$U$12:$U$21,0,0,1)</f>
        <v>0</v>
      </c>
      <c r="AJ47" s="219">
        <f>ROUND(SUM(AE47:AI47),0)</f>
        <v>0</v>
      </c>
      <c r="AK47" s="178" t="str">
        <f>_xlfn.XLOOKUP($A47,COA!$B:$B,COA!$C:$C,0,0,1)</f>
        <v>Payroll liabilities</v>
      </c>
      <c r="AL47" s="178" t="str">
        <f>_xlfn.XLOOKUP($A47,COA!$B:$B,COA!$D:$D,0,0,1)</f>
        <v>Payroll liabilities</v>
      </c>
      <c r="AM47" s="178" t="str">
        <f>_xlfn.XLOOKUP($A47,COA!$B:$B,COA!$E:$E,0,0,1)</f>
        <v>Payroll liabilities</v>
      </c>
      <c r="AO47" s="85">
        <f>_xlfn.XLOOKUP(AM47,FS.1!A:A,AM:AM,0,0,1)</f>
        <v>0</v>
      </c>
      <c r="AP47" s="85"/>
      <c r="AQ47" s="85"/>
      <c r="AR47" s="85"/>
      <c r="AS47" s="85"/>
      <c r="AT47" s="85"/>
      <c r="AU47" s="85"/>
      <c r="AV47" s="85"/>
      <c r="AW47" s="85"/>
      <c r="AX47" s="85"/>
      <c r="AY47" s="85"/>
      <c r="AZ47" s="85"/>
      <c r="BA47" s="85"/>
      <c r="BB47" s="85"/>
      <c r="BC47" s="85"/>
      <c r="BD47" s="85"/>
      <c r="BE47" s="85"/>
      <c r="BF47" s="85"/>
      <c r="BG47" s="85"/>
    </row>
    <row r="48" spans="1:59" hidden="1" x14ac:dyDescent="0.25">
      <c r="A48" s="1393" t="str">
        <f>COA!B44</f>
        <v>2120 Payroll Liabilities:Vacation Pay Due</v>
      </c>
      <c r="B48" s="1390">
        <f>_xlfn.XLOOKUP(A48,'TB.1 - F25'!A:A,'TB.1 - F25'!D:D,0,0,1)</f>
        <v>0</v>
      </c>
      <c r="C48" s="1390">
        <f>_xlfn.XLOOKUP(A48,'TB.1 - F25'!A:A,'TB.1 - F25'!H:H,0,0,1)</f>
        <v>0</v>
      </c>
      <c r="D48" s="1390">
        <f>_xlfn.XLOOKUP(A48,'AJE.1 - F25'!A:A,'AJE.1 - F25'!F:F,0,0,1)</f>
        <v>0</v>
      </c>
      <c r="E48" s="1390"/>
      <c r="F48" s="219">
        <f>ROUND(SUM(B48:E48),0)</f>
        <v>0</v>
      </c>
      <c r="G48" s="1390">
        <f>_xlfn.XLOOKUP($A48,TB.PRO!$A:$A,TB.PRO!F:F,0,0,1)</f>
        <v>0</v>
      </c>
      <c r="H48" s="1390">
        <f>_xlfn.XLOOKUP($A48,TB.PRO!$A:$A,TB.PRO!G:G,0,0,1)</f>
        <v>0</v>
      </c>
      <c r="I48" s="1390"/>
      <c r="J48" s="1390"/>
      <c r="K48" s="1390">
        <f>_xlfn.XLOOKUP($A48,'AJE.1 - F25'!$S$12:$S$21,'AJE.1 - F25'!$U$12:$U$21,0,0,1)</f>
        <v>0</v>
      </c>
      <c r="L48" s="665">
        <f>ROUND(SUM(G48:K48),0)</f>
        <v>0</v>
      </c>
      <c r="M48" s="1390">
        <f>_xlfn.XLOOKUP($A48,TB.PRO!$A:$A,TB.PRO!I:I,0,0,1)</f>
        <v>0</v>
      </c>
      <c r="N48" s="1390">
        <f>_xlfn.XLOOKUP($A48,TB.PRO!$A:$A,TB.PRO!J:J,0,0,1)</f>
        <v>0</v>
      </c>
      <c r="O48" s="1390"/>
      <c r="P48" s="1390"/>
      <c r="Q48" s="1390">
        <f>_xlfn.XLOOKUP($A48,'AJE.1 - F25'!$S$12:$S$21,'AJE.1 - F25'!$U$12:$U$21,0,0,1)</f>
        <v>0</v>
      </c>
      <c r="R48" s="665">
        <f>ROUND(SUM(M48:Q48),0)</f>
        <v>0</v>
      </c>
      <c r="S48" s="1390">
        <f>M48+O48</f>
        <v>0</v>
      </c>
      <c r="T48" s="1390">
        <f>N48+P48</f>
        <v>0</v>
      </c>
      <c r="U48" s="1390"/>
      <c r="V48" s="1390"/>
      <c r="W48" s="1390">
        <f>_xlfn.XLOOKUP($A48,'AJE.1 - F25'!$S$12:$S$21,'AJE.1 - F25'!$U$12:$U$21,0,0,1)</f>
        <v>0</v>
      </c>
      <c r="X48" s="665">
        <f>ROUND(SUM(S48:W48),0)</f>
        <v>0</v>
      </c>
      <c r="Y48" s="1390">
        <f>S48+U48</f>
        <v>0</v>
      </c>
      <c r="Z48" s="1390">
        <f>T48+V48</f>
        <v>0</v>
      </c>
      <c r="AA48" s="1390"/>
      <c r="AB48" s="1390"/>
      <c r="AC48" s="1390">
        <f>_xlfn.XLOOKUP($A48,'AJE.1 - F25'!$S$12:$S$21,'AJE.1 - F25'!$U$12:$U$21,0,0,1)</f>
        <v>0</v>
      </c>
      <c r="AD48" s="219">
        <f>ROUND(SUM(Y48:AC48),0)</f>
        <v>0</v>
      </c>
      <c r="AE48" s="1390">
        <f>Y48+AA48</f>
        <v>0</v>
      </c>
      <c r="AF48" s="1390">
        <f>Z48+AB48</f>
        <v>0</v>
      </c>
      <c r="AG48" s="1390"/>
      <c r="AH48" s="1390"/>
      <c r="AI48" s="1390">
        <f>_xlfn.XLOOKUP($A48,'AJE.1 - F25'!$S$12:$S$21,'AJE.1 - F25'!$U$12:$U$21,0,0,1)</f>
        <v>0</v>
      </c>
      <c r="AJ48" s="219">
        <f>ROUND(SUM(AE48:AI48),0)</f>
        <v>0</v>
      </c>
      <c r="AK48" s="667" t="s">
        <v>618</v>
      </c>
      <c r="AL48" s="667" t="str">
        <f>AK48</f>
        <v>Sales tax receivable</v>
      </c>
      <c r="AM48" s="667" t="str">
        <f>AL48</f>
        <v>Sales tax receivable</v>
      </c>
      <c r="AO48" s="85" t="str">
        <f>AM48</f>
        <v>Sales tax receivable</v>
      </c>
      <c r="AP48" s="85"/>
      <c r="AQ48" s="85"/>
      <c r="AR48" s="85"/>
      <c r="AS48" s="85"/>
      <c r="AT48" s="85"/>
      <c r="AU48" s="85"/>
      <c r="AV48" s="85"/>
      <c r="AW48" s="85"/>
      <c r="AX48" s="85"/>
      <c r="AY48" s="85"/>
      <c r="AZ48" s="85"/>
      <c r="BA48" s="85"/>
      <c r="BB48" s="85"/>
      <c r="BC48" s="85"/>
      <c r="BD48" s="85"/>
      <c r="BE48" s="85"/>
      <c r="BF48" s="85"/>
      <c r="BG48" s="85"/>
    </row>
    <row r="49" spans="1:59" hidden="1" x14ac:dyDescent="0.25">
      <c r="A49" s="1393" t="str">
        <f>COA!B45</f>
        <v>2130 Payroll Liabilities:WCB to be paid/(refunded)</v>
      </c>
      <c r="B49" s="1390">
        <f>_xlfn.XLOOKUP(A49,'TB.1 - F25'!A:A,'TB.1 - F25'!D:D,0,0,1)</f>
        <v>0</v>
      </c>
      <c r="C49" s="1390">
        <f>_xlfn.XLOOKUP(A49,'TB.1 - F25'!A:A,'TB.1 - F25'!H:H,0,0,1)</f>
        <v>0</v>
      </c>
      <c r="D49" s="1390">
        <f>_xlfn.XLOOKUP(A49,'AJE.1 - F25'!A:A,'AJE.1 - F25'!F:F,0,0,1)</f>
        <v>0</v>
      </c>
      <c r="E49" s="1390"/>
      <c r="F49" s="219">
        <f>ROUND(SUM(B49:E49),0)</f>
        <v>0</v>
      </c>
      <c r="G49" s="1390">
        <f>_xlfn.XLOOKUP($A49,TB.PRO!$A:$A,TB.PRO!F:F,0,0,1)</f>
        <v>0</v>
      </c>
      <c r="H49" s="1390">
        <f>_xlfn.XLOOKUP($A49,TB.PRO!$A:$A,TB.PRO!G:G,0,0,1)</f>
        <v>0</v>
      </c>
      <c r="I49" s="1390"/>
      <c r="J49" s="1390"/>
      <c r="K49" s="1390">
        <f>_xlfn.XLOOKUP($A49,'AJE.1 - F25'!$S$12:$S$21,'AJE.1 - F25'!$U$12:$U$21,0,0,1)</f>
        <v>0</v>
      </c>
      <c r="L49" s="665">
        <f>ROUND(SUM(G49:K49),0)</f>
        <v>0</v>
      </c>
      <c r="M49" s="1390">
        <f>_xlfn.XLOOKUP($A49,TB.PRO!$A:$A,TB.PRO!I:I,0,0,1)</f>
        <v>0</v>
      </c>
      <c r="N49" s="1390">
        <f>_xlfn.XLOOKUP($A49,TB.PRO!$A:$A,TB.PRO!J:J,0,0,1)</f>
        <v>0</v>
      </c>
      <c r="O49" s="1390"/>
      <c r="P49" s="1390"/>
      <c r="Q49" s="1390">
        <f>_xlfn.XLOOKUP($A49,'AJE.1 - F25'!$S$12:$S$21,'AJE.1 - F25'!$U$12:$U$21,0,0,1)</f>
        <v>0</v>
      </c>
      <c r="R49" s="665">
        <f>ROUND(SUM(M49:Q49),0)</f>
        <v>0</v>
      </c>
      <c r="S49" s="1390">
        <f>M49+O49</f>
        <v>0</v>
      </c>
      <c r="T49" s="1390">
        <f>N49+P49</f>
        <v>0</v>
      </c>
      <c r="U49" s="1390"/>
      <c r="V49" s="1390"/>
      <c r="W49" s="1390">
        <f>_xlfn.XLOOKUP($A49,'AJE.1 - F25'!$S$12:$S$21,'AJE.1 - F25'!$U$12:$U$21,0,0,1)</f>
        <v>0</v>
      </c>
      <c r="X49" s="665">
        <f>ROUND(SUM(S49:W49),0)</f>
        <v>0</v>
      </c>
      <c r="Y49" s="1390">
        <f>S49+U49</f>
        <v>0</v>
      </c>
      <c r="Z49" s="1390">
        <f>T49+V49</f>
        <v>0</v>
      </c>
      <c r="AA49" s="1390"/>
      <c r="AB49" s="1390"/>
      <c r="AC49" s="1390">
        <f>_xlfn.XLOOKUP($A49,'AJE.1 - F25'!$S$12:$S$21,'AJE.1 - F25'!$U$12:$U$21,0,0,1)</f>
        <v>0</v>
      </c>
      <c r="AD49" s="219">
        <f>ROUND(SUM(Y49:AC49),0)</f>
        <v>0</v>
      </c>
      <c r="AE49" s="1390">
        <f>Y49+AA49</f>
        <v>0</v>
      </c>
      <c r="AF49" s="1390">
        <f>Z49+AB49</f>
        <v>0</v>
      </c>
      <c r="AG49" s="1390"/>
      <c r="AH49" s="1390"/>
      <c r="AI49" s="1390">
        <f>_xlfn.XLOOKUP($A49,'AJE.1 - F25'!$S$12:$S$21,'AJE.1 - F25'!$U$12:$U$21,0,0,1)</f>
        <v>0</v>
      </c>
      <c r="AJ49" s="219">
        <f>ROUND(SUM(AE49:AI49),0)</f>
        <v>0</v>
      </c>
      <c r="AK49" s="178" t="str">
        <f>_xlfn.XLOOKUP($A49,COA!$B:$B,COA!$C:$C,0,0,1)</f>
        <v>Payroll liabilities</v>
      </c>
      <c r="AL49" s="178" t="str">
        <f>_xlfn.XLOOKUP($A49,COA!$B:$B,COA!$D:$D,0,0,1)</f>
        <v>Sales tax receivable</v>
      </c>
      <c r="AM49" s="178" t="str">
        <f>_xlfn.XLOOKUP($A49,COA!$B:$B,COA!$E:$E,0,0,1)</f>
        <v>Payroll liabilities</v>
      </c>
      <c r="AO49" s="85">
        <f>_xlfn.XLOOKUP(AM49,FS.1!A:A,AM:AM,0,0,1)</f>
        <v>0</v>
      </c>
      <c r="AP49" s="85"/>
      <c r="AQ49" s="85"/>
      <c r="AR49" s="85"/>
      <c r="AS49" s="85"/>
      <c r="AT49" s="85"/>
      <c r="AU49" s="85"/>
      <c r="AV49" s="85"/>
      <c r="AW49" s="85"/>
      <c r="AX49" s="85"/>
      <c r="AY49" s="85"/>
      <c r="AZ49" s="85"/>
      <c r="BA49" s="85"/>
      <c r="BB49" s="85"/>
      <c r="BC49" s="85"/>
      <c r="BD49" s="85"/>
      <c r="BE49" s="85"/>
      <c r="BF49" s="85"/>
      <c r="BG49" s="85"/>
    </row>
    <row r="50" spans="1:59" hidden="1" x14ac:dyDescent="0.25">
      <c r="A50" s="1393" t="str">
        <f>COA!B46</f>
        <v>2140 Payroll Liabilities:Vacation Pay Payable</v>
      </c>
      <c r="B50" s="1390">
        <f>_xlfn.XLOOKUP(A50,'TB.1 - F25'!A:A,'TB.1 - F25'!D:D,0,0,1)</f>
        <v>0</v>
      </c>
      <c r="C50" s="1390">
        <f>_xlfn.XLOOKUP(A50,'TB.1 - F25'!A:A,'TB.1 - F25'!H:H,0,0,1)</f>
        <v>0</v>
      </c>
      <c r="D50" s="1390">
        <f>_xlfn.XLOOKUP(A50,'AJE.1 - F25'!A:A,'AJE.1 - F25'!F:F,0,0,1)</f>
        <v>0</v>
      </c>
      <c r="E50" s="1390"/>
      <c r="F50" s="219">
        <f>ROUND(SUM(B50:E50),0)</f>
        <v>0</v>
      </c>
      <c r="G50" s="1390">
        <f>_xlfn.XLOOKUP($A50,TB.PRO!$A:$A,TB.PRO!F:F,0,0,1)</f>
        <v>0</v>
      </c>
      <c r="H50" s="1390">
        <f>_xlfn.XLOOKUP($A50,TB.PRO!$A:$A,TB.PRO!G:G,0,0,1)</f>
        <v>0</v>
      </c>
      <c r="I50" s="1390"/>
      <c r="J50" s="1390"/>
      <c r="K50" s="1390">
        <f>_xlfn.XLOOKUP($A50,'AJE.1 - F25'!$S$12:$S$21,'AJE.1 - F25'!$U$12:$U$21,0,0,1)</f>
        <v>0</v>
      </c>
      <c r="L50" s="665">
        <f>ROUND(SUM(G50:K50),0)</f>
        <v>0</v>
      </c>
      <c r="M50" s="1390">
        <f>_xlfn.XLOOKUP($A50,TB.PRO!$A:$A,TB.PRO!I:I,0,0,1)</f>
        <v>0</v>
      </c>
      <c r="N50" s="1390">
        <f>_xlfn.XLOOKUP($A50,TB.PRO!$A:$A,TB.PRO!J:J,0,0,1)</f>
        <v>0</v>
      </c>
      <c r="O50" s="1390"/>
      <c r="P50" s="1390"/>
      <c r="Q50" s="1390">
        <f>_xlfn.XLOOKUP($A50,'AJE.1 - F25'!$S$12:$S$21,'AJE.1 - F25'!$U$12:$U$21,0,0,1)</f>
        <v>0</v>
      </c>
      <c r="R50" s="665">
        <f>ROUND(SUM(M50:Q50),0)</f>
        <v>0</v>
      </c>
      <c r="S50" s="1390">
        <f>M50+O50</f>
        <v>0</v>
      </c>
      <c r="T50" s="1390">
        <f>N50+P50</f>
        <v>0</v>
      </c>
      <c r="U50" s="1390"/>
      <c r="V50" s="1390"/>
      <c r="W50" s="1390">
        <f>_xlfn.XLOOKUP($A50,'AJE.1 - F25'!$S$12:$S$21,'AJE.1 - F25'!$U$12:$U$21,0,0,1)</f>
        <v>0</v>
      </c>
      <c r="X50" s="665">
        <f>ROUND(SUM(S50:W50),0)</f>
        <v>0</v>
      </c>
      <c r="Y50" s="1390">
        <f>S50+U50</f>
        <v>0</v>
      </c>
      <c r="Z50" s="1390">
        <f>T50+V50</f>
        <v>0</v>
      </c>
      <c r="AA50" s="1390"/>
      <c r="AB50" s="1390"/>
      <c r="AC50" s="1390">
        <f>_xlfn.XLOOKUP($A50,'AJE.1 - F25'!$S$12:$S$21,'AJE.1 - F25'!$U$12:$U$21,0,0,1)</f>
        <v>0</v>
      </c>
      <c r="AD50" s="219">
        <f>ROUND(SUM(Y50:AC50),0)</f>
        <v>0</v>
      </c>
      <c r="AE50" s="1390">
        <f>Y50+AA50</f>
        <v>0</v>
      </c>
      <c r="AF50" s="1390">
        <f>Z50+AB50</f>
        <v>0</v>
      </c>
      <c r="AG50" s="1390"/>
      <c r="AH50" s="1390"/>
      <c r="AI50" s="1390">
        <f>_xlfn.XLOOKUP($A50,'AJE.1 - F25'!$S$12:$S$21,'AJE.1 - F25'!$U$12:$U$21,0,0,1)</f>
        <v>0</v>
      </c>
      <c r="AJ50" s="219">
        <f>ROUND(SUM(AE50:AI50),0)</f>
        <v>0</v>
      </c>
      <c r="AK50" s="178" t="str">
        <f>_xlfn.XLOOKUP($A50,COA!$B:$B,COA!$C:$C,0,0,1)</f>
        <v>Payroll liabilities</v>
      </c>
      <c r="AL50" s="178" t="str">
        <f>_xlfn.XLOOKUP($A50,COA!$B:$B,COA!$D:$D,0,0,1)</f>
        <v>Sales tax receivable</v>
      </c>
      <c r="AM50" s="178" t="str">
        <f>_xlfn.XLOOKUP($A50,COA!$B:$B,COA!$E:$E,0,0,1)</f>
        <v>Payroll liabilities</v>
      </c>
      <c r="AO50" s="85">
        <f>_xlfn.XLOOKUP(AM50,FS.1!A:A,AM:AM,0,0,1)</f>
        <v>0</v>
      </c>
      <c r="AP50" s="85"/>
      <c r="AQ50" s="85"/>
      <c r="AR50" s="85"/>
      <c r="AS50" s="85"/>
      <c r="AT50" s="85"/>
      <c r="AU50" s="85"/>
      <c r="AV50" s="85"/>
      <c r="AW50" s="85"/>
      <c r="AX50" s="85"/>
      <c r="AY50" s="85"/>
      <c r="AZ50" s="85"/>
      <c r="BA50" s="85"/>
      <c r="BB50" s="85"/>
      <c r="BC50" s="85"/>
      <c r="BD50" s="85"/>
      <c r="BE50" s="85"/>
      <c r="BF50" s="85"/>
      <c r="BG50" s="85"/>
    </row>
    <row r="51" spans="1:59" hidden="1" x14ac:dyDescent="0.25">
      <c r="A51" s="1393" t="str">
        <f>COA!B47</f>
        <v>2200 PST Payable (BC)</v>
      </c>
      <c r="B51" s="1390">
        <f>_xlfn.XLOOKUP(A51,'TB.1 - F25'!A:A,'TB.1 - F25'!D:D,0,0,1)</f>
        <v>3.78</v>
      </c>
      <c r="C51" s="1390">
        <f>_xlfn.XLOOKUP(A51,'TB.1 - F25'!A:A,'TB.1 - F25'!H:H,0,0,1)</f>
        <v>0</v>
      </c>
      <c r="D51" s="1390">
        <f>_xlfn.XLOOKUP(A51,'AJE.1 - F25'!A:A,'AJE.1 - F25'!F:F,0,0,1)</f>
        <v>0</v>
      </c>
      <c r="E51" s="1390"/>
      <c r="F51" s="219">
        <f>ROUND(SUM(B51:E51),0)</f>
        <v>4</v>
      </c>
      <c r="G51" s="1390">
        <f>_xlfn.XLOOKUP($A51,TB.PRO!$A:$A,TB.PRO!F:F,0,0,1)</f>
        <v>0</v>
      </c>
      <c r="H51" s="1390">
        <f>_xlfn.XLOOKUP($A51,TB.PRO!$A:$A,TB.PRO!G:G,0,0,1)</f>
        <v>0</v>
      </c>
      <c r="I51" s="1390"/>
      <c r="J51" s="1390"/>
      <c r="K51" s="1390">
        <f>_xlfn.XLOOKUP($A51,'AJE.1 - F25'!$S$12:$S$21,'AJE.1 - F25'!$U$12:$U$21,0,0,1)</f>
        <v>0</v>
      </c>
      <c r="L51" s="665">
        <f>ROUND(SUM(G51:K51),0)</f>
        <v>0</v>
      </c>
      <c r="M51" s="1390">
        <f>_xlfn.XLOOKUP($A51,TB.PRO!$A:$A,TB.PRO!I:I,0,0,1)</f>
        <v>0</v>
      </c>
      <c r="N51" s="1390">
        <f>_xlfn.XLOOKUP($A51,TB.PRO!$A:$A,TB.PRO!J:J,0,0,1)</f>
        <v>0</v>
      </c>
      <c r="O51" s="1390"/>
      <c r="P51" s="1390"/>
      <c r="Q51" s="1390">
        <f>_xlfn.XLOOKUP($A51,'AJE.1 - F25'!$S$12:$S$21,'AJE.1 - F25'!$U$12:$U$21,0,0,1)</f>
        <v>0</v>
      </c>
      <c r="R51" s="665">
        <f>ROUND(SUM(M51:Q51),0)</f>
        <v>0</v>
      </c>
      <c r="S51" s="1390">
        <f>M51+O51</f>
        <v>0</v>
      </c>
      <c r="T51" s="1390">
        <f>N51+P51</f>
        <v>0</v>
      </c>
      <c r="U51" s="1390"/>
      <c r="V51" s="1390"/>
      <c r="W51" s="1390">
        <f>_xlfn.XLOOKUP($A51,'AJE.1 - F25'!$S$12:$S$21,'AJE.1 - F25'!$U$12:$U$21,0,0,1)</f>
        <v>0</v>
      </c>
      <c r="X51" s="665">
        <f>ROUND(SUM(S51:W51),0)</f>
        <v>0</v>
      </c>
      <c r="Y51" s="1390">
        <f>S51+U51</f>
        <v>0</v>
      </c>
      <c r="Z51" s="1390">
        <f>T51+V51</f>
        <v>0</v>
      </c>
      <c r="AA51" s="1390"/>
      <c r="AB51" s="1390"/>
      <c r="AC51" s="1390">
        <f>_xlfn.XLOOKUP($A51,'AJE.1 - F25'!$S$12:$S$21,'AJE.1 - F25'!$U$12:$U$21,0,0,1)</f>
        <v>0</v>
      </c>
      <c r="AD51" s="219">
        <f>ROUND(SUM(Y51:AC51),0)</f>
        <v>0</v>
      </c>
      <c r="AE51" s="1390">
        <f>Y51+AA51</f>
        <v>0</v>
      </c>
      <c r="AF51" s="1390">
        <f>Z51+AB51</f>
        <v>0</v>
      </c>
      <c r="AG51" s="1390"/>
      <c r="AH51" s="1390"/>
      <c r="AI51" s="1390">
        <f>_xlfn.XLOOKUP($A51,'AJE.1 - F25'!$S$12:$S$21,'AJE.1 - F25'!$U$12:$U$21,0,0,1)</f>
        <v>0</v>
      </c>
      <c r="AJ51" s="219">
        <f>ROUND(SUM(AE51:AI51),0)</f>
        <v>0</v>
      </c>
      <c r="AK51" s="178" t="str">
        <f>_xlfn.XLOOKUP($A51,COA!$B:$B,COA!$C:$C,0,0,1)</f>
        <v>Sales tax payable</v>
      </c>
      <c r="AL51" s="178" t="str">
        <f>_xlfn.XLOOKUP($A51,COA!$B:$B,COA!$D:$D,0,0,1)</f>
        <v>Sales tax payable</v>
      </c>
      <c r="AM51" s="178" t="str">
        <f>_xlfn.XLOOKUP($A51,COA!$B:$B,COA!$E:$E,0,0,1)</f>
        <v>Sales tax payable</v>
      </c>
      <c r="AO51" s="85" t="str">
        <f t="shared" ref="AO51:AO54" si="15">AM51</f>
        <v>Sales tax payable</v>
      </c>
      <c r="AP51" s="85"/>
      <c r="AQ51" s="85"/>
      <c r="AR51" s="85"/>
      <c r="AS51" s="85"/>
      <c r="AT51" s="85"/>
      <c r="AU51" s="85"/>
      <c r="AV51" s="85"/>
      <c r="AW51" s="85"/>
      <c r="AX51" s="85"/>
      <c r="AY51" s="85"/>
      <c r="AZ51" s="85"/>
      <c r="BA51" s="85"/>
      <c r="BB51" s="85"/>
      <c r="BC51" s="85"/>
      <c r="BD51" s="85"/>
      <c r="BE51" s="85"/>
      <c r="BF51" s="85"/>
      <c r="BG51" s="85"/>
    </row>
    <row r="52" spans="1:59" hidden="1" x14ac:dyDescent="0.25">
      <c r="A52" s="1393" t="str">
        <f>COA!B48</f>
        <v>2200 GST Payable/(Refund)</v>
      </c>
      <c r="B52" s="1390">
        <f>_xlfn.XLOOKUP(A52,'TB.1 - F25'!A:A,'TB.1 - F25'!D:D,0,0,1)</f>
        <v>0</v>
      </c>
      <c r="C52" s="1390">
        <f>_xlfn.XLOOKUP(A52,'TB.1 - F25'!A:A,'TB.1 - F25'!H:H,0,0,1)</f>
        <v>0</v>
      </c>
      <c r="D52" s="1390">
        <f>_xlfn.XLOOKUP(A52,'AJE.1 - F25'!A:A,'AJE.1 - F25'!F:F,0,0,1)</f>
        <v>0</v>
      </c>
      <c r="E52" s="1390"/>
      <c r="F52" s="219">
        <f>ROUND(SUM(B52:E52),0)</f>
        <v>0</v>
      </c>
      <c r="G52" s="1390">
        <f>_xlfn.XLOOKUP($A52,TB.PRO!$A:$A,TB.PRO!F:F,0,0,1)</f>
        <v>0</v>
      </c>
      <c r="H52" s="1390">
        <f>_xlfn.XLOOKUP($A52,TB.PRO!$A:$A,TB.PRO!G:G,0,0,1)</f>
        <v>0</v>
      </c>
      <c r="I52" s="1390"/>
      <c r="J52" s="1390"/>
      <c r="K52" s="1390">
        <f>_xlfn.XLOOKUP($A52,'AJE.1 - F25'!$S$12:$S$21,'AJE.1 - F25'!$U$12:$U$21,0,0,1)</f>
        <v>0</v>
      </c>
      <c r="L52" s="665">
        <f>ROUND(SUM(G52:K52),0)</f>
        <v>0</v>
      </c>
      <c r="M52" s="1390">
        <f>_xlfn.XLOOKUP($A52,TB.PRO!$A:$A,TB.PRO!I:I,0,0,1)</f>
        <v>0</v>
      </c>
      <c r="N52" s="1390">
        <f>_xlfn.XLOOKUP($A52,TB.PRO!$A:$A,TB.PRO!J:J,0,0,1)</f>
        <v>0</v>
      </c>
      <c r="O52" s="1390"/>
      <c r="P52" s="1390"/>
      <c r="Q52" s="1390">
        <f>_xlfn.XLOOKUP($A52,'AJE.1 - F25'!$S$12:$S$21,'AJE.1 - F25'!$U$12:$U$21,0,0,1)</f>
        <v>0</v>
      </c>
      <c r="R52" s="665">
        <f>ROUND(SUM(M52:Q52),0)</f>
        <v>0</v>
      </c>
      <c r="S52" s="1390">
        <f>M52+O52</f>
        <v>0</v>
      </c>
      <c r="T52" s="1390">
        <f>N52+P52</f>
        <v>0</v>
      </c>
      <c r="U52" s="1390"/>
      <c r="V52" s="1390"/>
      <c r="W52" s="1390">
        <f>_xlfn.XLOOKUP($A52,'AJE.1 - F25'!$S$12:$S$21,'AJE.1 - F25'!$U$12:$U$21,0,0,1)</f>
        <v>0</v>
      </c>
      <c r="X52" s="665">
        <f>ROUND(SUM(S52:W52),0)</f>
        <v>0</v>
      </c>
      <c r="Y52" s="1390">
        <f>S52+U52</f>
        <v>0</v>
      </c>
      <c r="Z52" s="1390">
        <f>T52+V52</f>
        <v>0</v>
      </c>
      <c r="AA52" s="1390"/>
      <c r="AB52" s="1390"/>
      <c r="AC52" s="1390">
        <f>_xlfn.XLOOKUP($A52,'AJE.1 - F25'!$S$12:$S$21,'AJE.1 - F25'!$U$12:$U$21,0,0,1)</f>
        <v>0</v>
      </c>
      <c r="AD52" s="219">
        <f>ROUND(SUM(Y52:AC52),0)</f>
        <v>0</v>
      </c>
      <c r="AE52" s="1390">
        <f>Y52+AA52</f>
        <v>0</v>
      </c>
      <c r="AF52" s="1390">
        <f>Z52+AB52</f>
        <v>0</v>
      </c>
      <c r="AG52" s="1390"/>
      <c r="AH52" s="1390"/>
      <c r="AI52" s="1390">
        <f>_xlfn.XLOOKUP($A52,'AJE.1 - F25'!$S$12:$S$21,'AJE.1 - F25'!$U$12:$U$21,0,0,1)</f>
        <v>0</v>
      </c>
      <c r="AJ52" s="219">
        <f>ROUND(SUM(AE52:AI52),0)</f>
        <v>0</v>
      </c>
      <c r="AK52" s="178" t="str">
        <f>_xlfn.XLOOKUP($A52,COA!$B:$B,COA!$C:$C,0,0,1)</f>
        <v>Sales tax receivable</v>
      </c>
      <c r="AL52" s="178" t="str">
        <f>_xlfn.XLOOKUP($A52,COA!$B:$B,COA!$D:$D,0,0,1)</f>
        <v>Sales tax receivable</v>
      </c>
      <c r="AM52" s="178" t="str">
        <f>_xlfn.XLOOKUP($A52,COA!$B:$B,COA!$E:$E,0,0,1)</f>
        <v>Sales tax receivable</v>
      </c>
      <c r="AO52" s="85" t="str">
        <f t="shared" si="15"/>
        <v>Sales tax receivable</v>
      </c>
      <c r="AP52" s="85"/>
      <c r="AQ52" s="85"/>
      <c r="AR52" s="85"/>
      <c r="AS52" s="85"/>
      <c r="AT52" s="85"/>
      <c r="AU52" s="85"/>
      <c r="AV52" s="85"/>
      <c r="AW52" s="85"/>
      <c r="AX52" s="85"/>
      <c r="AY52" s="85"/>
      <c r="AZ52" s="85"/>
      <c r="BA52" s="85"/>
      <c r="BB52" s="85"/>
      <c r="BC52" s="85"/>
      <c r="BD52" s="85"/>
      <c r="BE52" s="85"/>
      <c r="BF52" s="85"/>
      <c r="BG52" s="85"/>
    </row>
    <row r="53" spans="1:59" hidden="1" x14ac:dyDescent="0.25">
      <c r="A53" s="1393" t="str">
        <f>COA!B49</f>
        <v>2201 PST Suspense (BC)</v>
      </c>
      <c r="B53" s="1390">
        <f>_xlfn.XLOOKUP(A53,'TB.1 - F25'!A:A,'TB.1 - F25'!D:D,0,0,1)</f>
        <v>0</v>
      </c>
      <c r="C53" s="1390">
        <f>_xlfn.XLOOKUP(A53,'TB.1 - F25'!A:A,'TB.1 - F25'!H:H,0,0,1)</f>
        <v>0</v>
      </c>
      <c r="D53" s="1390">
        <f>_xlfn.XLOOKUP(A53,'AJE.1 - F25'!A:A,'AJE.1 - F25'!F:F,0,0,1)</f>
        <v>0</v>
      </c>
      <c r="E53" s="1390"/>
      <c r="F53" s="219">
        <f>ROUND(SUM(B53:E53),0)</f>
        <v>0</v>
      </c>
      <c r="G53" s="1390">
        <f>_xlfn.XLOOKUP($A53,TB.PRO!$A:$A,TB.PRO!F:F,0,0,1)</f>
        <v>0</v>
      </c>
      <c r="H53" s="1390">
        <f>_xlfn.XLOOKUP($A53,TB.PRO!$A:$A,TB.PRO!G:G,0,0,1)</f>
        <v>0</v>
      </c>
      <c r="I53" s="1390"/>
      <c r="J53" s="1390"/>
      <c r="K53" s="1390">
        <f>_xlfn.XLOOKUP($A53,'AJE.1 - F25'!$S$12:$S$21,'AJE.1 - F25'!$U$12:$U$21,0,0,1)</f>
        <v>0</v>
      </c>
      <c r="L53" s="665">
        <f>ROUND(SUM(G53:K53),0)</f>
        <v>0</v>
      </c>
      <c r="M53" s="1390">
        <f>_xlfn.XLOOKUP($A53,TB.PRO!$A:$A,TB.PRO!I:I,0,0,1)</f>
        <v>0</v>
      </c>
      <c r="N53" s="1390">
        <f>_xlfn.XLOOKUP($A53,TB.PRO!$A:$A,TB.PRO!J:J,0,0,1)</f>
        <v>0</v>
      </c>
      <c r="O53" s="1390"/>
      <c r="P53" s="1390"/>
      <c r="Q53" s="1390">
        <f>_xlfn.XLOOKUP($A53,'AJE.1 - F25'!$S$12:$S$21,'AJE.1 - F25'!$U$12:$U$21,0,0,1)</f>
        <v>0</v>
      </c>
      <c r="R53" s="665">
        <f>ROUND(SUM(M53:Q53),0)</f>
        <v>0</v>
      </c>
      <c r="S53" s="1390">
        <f>M53+O53</f>
        <v>0</v>
      </c>
      <c r="T53" s="1390">
        <f>N53+P53</f>
        <v>0</v>
      </c>
      <c r="U53" s="1390"/>
      <c r="V53" s="1390"/>
      <c r="W53" s="1390">
        <f>_xlfn.XLOOKUP($A53,'AJE.1 - F25'!$S$12:$S$21,'AJE.1 - F25'!$U$12:$U$21,0,0,1)</f>
        <v>0</v>
      </c>
      <c r="X53" s="665">
        <f>ROUND(SUM(S53:W53),0)</f>
        <v>0</v>
      </c>
      <c r="Y53" s="1390">
        <f>S53+U53</f>
        <v>0</v>
      </c>
      <c r="Z53" s="1390">
        <f>T53+V53</f>
        <v>0</v>
      </c>
      <c r="AA53" s="1390"/>
      <c r="AB53" s="1390"/>
      <c r="AC53" s="1390">
        <f>_xlfn.XLOOKUP($A53,'AJE.1 - F25'!$S$12:$S$21,'AJE.1 - F25'!$U$12:$U$21,0,0,1)</f>
        <v>0</v>
      </c>
      <c r="AD53" s="219">
        <f>ROUND(SUM(Y53:AC53),0)</f>
        <v>0</v>
      </c>
      <c r="AE53" s="1390">
        <f>Y53+AA53</f>
        <v>0</v>
      </c>
      <c r="AF53" s="1390">
        <f>Z53+AB53</f>
        <v>0</v>
      </c>
      <c r="AG53" s="1390"/>
      <c r="AH53" s="1390"/>
      <c r="AI53" s="1390">
        <f>_xlfn.XLOOKUP($A53,'AJE.1 - F25'!$S$12:$S$21,'AJE.1 - F25'!$U$12:$U$21,0,0,1)</f>
        <v>0</v>
      </c>
      <c r="AJ53" s="219">
        <f>ROUND(SUM(AE53:AI53),0)</f>
        <v>0</v>
      </c>
      <c r="AK53" s="667" t="s">
        <v>618</v>
      </c>
      <c r="AL53" s="667" t="str">
        <f>AK53</f>
        <v>Sales tax receivable</v>
      </c>
      <c r="AM53" s="667" t="str">
        <f>AL53</f>
        <v>Sales tax receivable</v>
      </c>
      <c r="AO53" s="85" t="str">
        <f t="shared" si="15"/>
        <v>Sales tax receivable</v>
      </c>
      <c r="AP53" s="85"/>
      <c r="AQ53" s="85"/>
      <c r="AR53" s="85"/>
      <c r="AS53" s="85"/>
      <c r="AT53" s="85"/>
      <c r="AU53" s="85"/>
      <c r="AV53" s="85"/>
      <c r="AW53" s="85"/>
      <c r="AX53" s="85"/>
      <c r="AY53" s="85"/>
      <c r="AZ53" s="85"/>
      <c r="BA53" s="85"/>
      <c r="BB53" s="85"/>
      <c r="BC53" s="85"/>
      <c r="BD53" s="85"/>
      <c r="BE53" s="85"/>
      <c r="BF53" s="85"/>
      <c r="BG53" s="85"/>
    </row>
    <row r="54" spans="1:59" hidden="1" x14ac:dyDescent="0.25">
      <c r="A54" s="1393" t="str">
        <f>COA!B50</f>
        <v>2210 GST Payable/(Refund):GST Paid on Purchases</v>
      </c>
      <c r="B54" s="1390">
        <f>_xlfn.XLOOKUP(A54,'TB.1 - F25'!A:A,'TB.1 - F25'!D:D,0,0,1)</f>
        <v>0</v>
      </c>
      <c r="C54" s="1390">
        <f>_xlfn.XLOOKUP(A54,'TB.1 - F25'!A:A,'TB.1 - F25'!H:H,0,0,1)</f>
        <v>1288.7</v>
      </c>
      <c r="D54" s="1390">
        <f>_xlfn.XLOOKUP(A54,'AJE.1 - F25'!A:A,'AJE.1 - F25'!F:F,0,0,1)</f>
        <v>0</v>
      </c>
      <c r="E54" s="1390"/>
      <c r="F54" s="219">
        <f>ROUND(SUM(B54:E54),0)</f>
        <v>1289</v>
      </c>
      <c r="G54" s="1390">
        <f>_xlfn.XLOOKUP($A54,TB.PRO!$A:$A,TB.PRO!F:F,0,0,1)</f>
        <v>0</v>
      </c>
      <c r="H54" s="1390">
        <f>_xlfn.XLOOKUP($A54,TB.PRO!$A:$A,TB.PRO!G:G,0,0,1)</f>
        <v>1288.7</v>
      </c>
      <c r="I54" s="1390"/>
      <c r="J54" s="1390">
        <f>-SUM(G54:H54)</f>
        <v>-1288.7</v>
      </c>
      <c r="K54" s="1390">
        <f>_xlfn.XLOOKUP($A54,'AJE.1 - F25'!$S$12:$S$21,'AJE.1 - F25'!$U$12:$U$21,0,0,1)</f>
        <v>0</v>
      </c>
      <c r="L54" s="665">
        <f>ROUND(SUM(G54:K54),0)</f>
        <v>0</v>
      </c>
      <c r="M54" s="1390">
        <f>_xlfn.XLOOKUP($A54,TB.PRO!$A:$A,TB.PRO!I:I,0,0,1)</f>
        <v>0</v>
      </c>
      <c r="N54" s="1390">
        <f>_xlfn.XLOOKUP($A54,TB.PRO!$A:$A,TB.PRO!J:J,0,0,1)</f>
        <v>1288.7</v>
      </c>
      <c r="O54" s="1390"/>
      <c r="P54" s="1390">
        <f>-SUM(M54:N54)</f>
        <v>-1288.7</v>
      </c>
      <c r="Q54" s="1390">
        <f>_xlfn.XLOOKUP($A54,'AJE.1 - F25'!$S$12:$S$21,'AJE.1 - F25'!$U$12:$U$21,0,0,1)</f>
        <v>0</v>
      </c>
      <c r="R54" s="665">
        <f>ROUND(SUM(M54:Q54),0)</f>
        <v>0</v>
      </c>
      <c r="S54" s="1390">
        <f>M54+O54</f>
        <v>0</v>
      </c>
      <c r="T54" s="1390">
        <f>N54+P54</f>
        <v>0</v>
      </c>
      <c r="U54" s="1390"/>
      <c r="V54" s="1390"/>
      <c r="W54" s="1390">
        <f>_xlfn.XLOOKUP($A54,'AJE.1 - F25'!$S$12:$S$21,'AJE.1 - F25'!$U$12:$U$21,0,0,1)</f>
        <v>0</v>
      </c>
      <c r="X54" s="665">
        <f>ROUND(SUM(S54:W54),0)</f>
        <v>0</v>
      </c>
      <c r="Y54" s="1390">
        <f>S54+U54</f>
        <v>0</v>
      </c>
      <c r="Z54" s="1390">
        <f>T54+V54</f>
        <v>0</v>
      </c>
      <c r="AA54" s="1390"/>
      <c r="AB54" s="1390"/>
      <c r="AC54" s="1390">
        <f>_xlfn.XLOOKUP($A54,'AJE.1 - F25'!$S$12:$S$21,'AJE.1 - F25'!$U$12:$U$21,0,0,1)</f>
        <v>0</v>
      </c>
      <c r="AD54" s="219">
        <f>ROUND(SUM(Y54:AC54),0)</f>
        <v>0</v>
      </c>
      <c r="AE54" s="1390">
        <f>Y54+AA54</f>
        <v>0</v>
      </c>
      <c r="AF54" s="1390">
        <f>Z54+AB54</f>
        <v>0</v>
      </c>
      <c r="AG54" s="1390"/>
      <c r="AH54" s="1390"/>
      <c r="AI54" s="1390">
        <f>_xlfn.XLOOKUP($A54,'AJE.1 - F25'!$S$12:$S$21,'AJE.1 - F25'!$U$12:$U$21,0,0,1)</f>
        <v>0</v>
      </c>
      <c r="AJ54" s="219">
        <f>ROUND(SUM(AE54:AI54),0)</f>
        <v>0</v>
      </c>
      <c r="AK54" s="667" t="s">
        <v>239</v>
      </c>
      <c r="AL54" s="667" t="str">
        <f>AK54</f>
        <v>Sales tax payable</v>
      </c>
      <c r="AM54" s="667" t="str">
        <f>AL54</f>
        <v>Sales tax payable</v>
      </c>
      <c r="AO54" s="85" t="str">
        <f t="shared" si="15"/>
        <v>Sales tax payable</v>
      </c>
      <c r="AP54" s="85"/>
      <c r="AQ54" s="85"/>
      <c r="AR54" s="85"/>
      <c r="AS54" s="85"/>
      <c r="AT54" s="85"/>
      <c r="AU54" s="85"/>
      <c r="AV54" s="85"/>
      <c r="AW54" s="85"/>
      <c r="AX54" s="85"/>
      <c r="AY54" s="85"/>
      <c r="AZ54" s="85"/>
      <c r="BA54" s="85"/>
      <c r="BB54" s="85"/>
      <c r="BC54" s="85"/>
      <c r="BD54" s="85"/>
      <c r="BE54" s="85"/>
      <c r="BF54" s="85"/>
      <c r="BG54" s="85"/>
    </row>
    <row r="55" spans="1:59" hidden="1" x14ac:dyDescent="0.25">
      <c r="A55" s="1393" t="str">
        <f>COA!B51</f>
        <v>2220 GST Payable/(Refund):GST Collected on Sales</v>
      </c>
      <c r="B55" s="1390">
        <f>_xlfn.XLOOKUP(A55,'TB.1 - F25'!A:A,'TB.1 - F25'!D:D,0,0,1)</f>
        <v>0</v>
      </c>
      <c r="C55" s="1390">
        <f>_xlfn.XLOOKUP(A55,'TB.1 - F25'!A:A,'TB.1 - F25'!H:H,0,0,1)</f>
        <v>4540.67</v>
      </c>
      <c r="D55" s="1390">
        <f>_xlfn.XLOOKUP(A55,'AJE.1 - F25'!A:A,'AJE.1 - F25'!F:F,0,0,1)</f>
        <v>0</v>
      </c>
      <c r="E55" s="1390"/>
      <c r="F55" s="219">
        <f>ROUND(SUM(B55:E55),0)</f>
        <v>4541</v>
      </c>
      <c r="G55" s="1390">
        <f>_xlfn.XLOOKUP($A55,TB.PRO!$A:$A,TB.PRO!F:F,0,0,1)</f>
        <v>0</v>
      </c>
      <c r="H55" s="1390">
        <f>_xlfn.XLOOKUP($A55,TB.PRO!$A:$A,TB.PRO!G:G,0,0,1)</f>
        <v>-9093.16</v>
      </c>
      <c r="I55" s="1390"/>
      <c r="J55" s="1390">
        <f>-SUM(G55:H55)</f>
        <v>9093.16</v>
      </c>
      <c r="K55" s="1390">
        <f>_xlfn.XLOOKUP($A55,'AJE.1 - F25'!$S$12:$S$21,'AJE.1 - F25'!$U$12:$U$21,0,0,1)</f>
        <v>0</v>
      </c>
      <c r="L55" s="665">
        <f>ROUND(SUM(G55:K55),0)</f>
        <v>0</v>
      </c>
      <c r="M55" s="1390">
        <f>_xlfn.XLOOKUP($A55,TB.PRO!$A:$A,TB.PRO!I:I,0,0,1)</f>
        <v>0</v>
      </c>
      <c r="N55" s="1390">
        <f>_xlfn.XLOOKUP($A55,TB.PRO!$A:$A,TB.PRO!J:J,0,0,1)</f>
        <v>-9093.16</v>
      </c>
      <c r="O55" s="1390"/>
      <c r="P55" s="1390">
        <f>-SUM(M55:N55)</f>
        <v>9093.16</v>
      </c>
      <c r="Q55" s="1390">
        <f>_xlfn.XLOOKUP($A55,'AJE.1 - F25'!$S$12:$S$21,'AJE.1 - F25'!$U$12:$U$21,0,0,1)</f>
        <v>0</v>
      </c>
      <c r="R55" s="665">
        <f>ROUND(SUM(M55:Q55),0)</f>
        <v>0</v>
      </c>
      <c r="S55" s="1390">
        <f>M55+O55</f>
        <v>0</v>
      </c>
      <c r="T55" s="1390">
        <f>N55+P55</f>
        <v>0</v>
      </c>
      <c r="U55" s="1390"/>
      <c r="V55" s="1390"/>
      <c r="W55" s="1390">
        <f>_xlfn.XLOOKUP($A55,'AJE.1 - F25'!$S$12:$S$21,'AJE.1 - F25'!$U$12:$U$21,0,0,1)</f>
        <v>0</v>
      </c>
      <c r="X55" s="665">
        <f>ROUND(SUM(S55:W55),0)</f>
        <v>0</v>
      </c>
      <c r="Y55" s="1390">
        <f>S55+U55</f>
        <v>0</v>
      </c>
      <c r="Z55" s="1390">
        <f>T55+V55</f>
        <v>0</v>
      </c>
      <c r="AA55" s="1390"/>
      <c r="AB55" s="1390"/>
      <c r="AC55" s="1390">
        <f>_xlfn.XLOOKUP($A55,'AJE.1 - F25'!$S$12:$S$21,'AJE.1 - F25'!$U$12:$U$21,0,0,1)</f>
        <v>0</v>
      </c>
      <c r="AD55" s="219">
        <f>ROUND(SUM(Y55:AC55),0)</f>
        <v>0</v>
      </c>
      <c r="AE55" s="1390">
        <f>Y55+AA55</f>
        <v>0</v>
      </c>
      <c r="AF55" s="1390">
        <f>Z55+AB55</f>
        <v>0</v>
      </c>
      <c r="AG55" s="1390"/>
      <c r="AH55" s="1390"/>
      <c r="AI55" s="1390">
        <f>_xlfn.XLOOKUP($A55,'AJE.1 - F25'!$S$12:$S$21,'AJE.1 - F25'!$U$12:$U$21,0,0,1)</f>
        <v>0</v>
      </c>
      <c r="AJ55" s="219">
        <f>ROUND(SUM(AE55:AI55),0)</f>
        <v>0</v>
      </c>
      <c r="AK55" s="667" t="s">
        <v>239</v>
      </c>
      <c r="AL55" s="667" t="str">
        <f>AK55</f>
        <v>Sales tax payable</v>
      </c>
      <c r="AM55" s="667" t="str">
        <f>AL55</f>
        <v>Sales tax payable</v>
      </c>
      <c r="AO55" s="85">
        <f>_xlfn.XLOOKUP(AM55,FS.1!A:A,AM:AM,0,0,1)</f>
        <v>0</v>
      </c>
      <c r="AP55" s="85"/>
      <c r="AQ55" s="85"/>
      <c r="AR55" s="85"/>
      <c r="AS55" s="85"/>
      <c r="AT55" s="85"/>
      <c r="AU55" s="85"/>
      <c r="AV55" s="85"/>
      <c r="AW55" s="85"/>
      <c r="AX55" s="85"/>
      <c r="AY55" s="85"/>
      <c r="AZ55" s="85"/>
      <c r="BA55" s="85"/>
      <c r="BB55" s="85"/>
      <c r="BC55" s="85"/>
      <c r="BD55" s="85"/>
      <c r="BE55" s="85"/>
      <c r="BF55" s="85"/>
      <c r="BG55" s="85"/>
    </row>
    <row r="56" spans="1:59" hidden="1" x14ac:dyDescent="0.25">
      <c r="A56" s="1393" t="str">
        <f>COA!B52</f>
        <v>2210 GST/HST Payable</v>
      </c>
      <c r="B56" s="1390">
        <f>_xlfn.XLOOKUP(A56,'TB.1 - F25'!A:A,'TB.1 - F25'!D:D,0,0,1)</f>
        <v>31778.63</v>
      </c>
      <c r="C56" s="1390">
        <f>_xlfn.XLOOKUP(A56,'TB.1 - F25'!A:A,'TB.1 - F25'!H:H,0,0,1)</f>
        <v>0</v>
      </c>
      <c r="D56" s="1390">
        <f>_xlfn.XLOOKUP(A56,'AJE.1 - F25'!A:A,'AJE.1 - F25'!F:F,0,0,1)</f>
        <v>0</v>
      </c>
      <c r="E56" s="1390"/>
      <c r="F56" s="219">
        <f>ROUND(SUM(B56:E56),0)</f>
        <v>31779</v>
      </c>
      <c r="G56" s="1390">
        <f>_xlfn.XLOOKUP($A56,TB.PRO!$A:$A,TB.PRO!F:F,0,0,1)</f>
        <v>32552.23</v>
      </c>
      <c r="H56" s="1390">
        <f>_xlfn.XLOOKUP($A56,TB.PRO!$A:$A,TB.PRO!G:G,0,0,1)</f>
        <v>0</v>
      </c>
      <c r="I56" s="1390"/>
      <c r="J56" s="1390">
        <f>-SUM(G56:H56)</f>
        <v>-32552.23</v>
      </c>
      <c r="K56" s="1390">
        <f>_xlfn.XLOOKUP($A56,'AJE.1 - F25'!$S$12:$S$21,'AJE.1 - F25'!$U$12:$U$21,0,0,1)</f>
        <v>0</v>
      </c>
      <c r="L56" s="665">
        <f>ROUND(SUM(G56:K56),0)</f>
        <v>0</v>
      </c>
      <c r="M56" s="1390">
        <f>_xlfn.XLOOKUP($A56,TB.PRO!$A:$A,TB.PRO!I:I,0,0,1)</f>
        <v>32552.23</v>
      </c>
      <c r="N56" s="1390">
        <f>_xlfn.XLOOKUP($A56,TB.PRO!$A:$A,TB.PRO!J:J,0,0,1)</f>
        <v>0</v>
      </c>
      <c r="O56" s="1390"/>
      <c r="P56" s="1390">
        <f>-SUM(M56:N56)</f>
        <v>-32552.23</v>
      </c>
      <c r="Q56" s="1390">
        <f>_xlfn.XLOOKUP($A56,'AJE.1 - F25'!$S$12:$S$21,'AJE.1 - F25'!$U$12:$U$21,0,0,1)</f>
        <v>0</v>
      </c>
      <c r="R56" s="665">
        <f>ROUND(SUM(M56:Q56),0)</f>
        <v>0</v>
      </c>
      <c r="S56" s="1390">
        <f>M56+O56</f>
        <v>32552.23</v>
      </c>
      <c r="T56" s="1390">
        <f>N56+P56</f>
        <v>-32552.23</v>
      </c>
      <c r="U56" s="1390"/>
      <c r="V56" s="1390"/>
      <c r="W56" s="1390">
        <f>_xlfn.XLOOKUP($A56,'AJE.1 - F25'!$S$12:$S$21,'AJE.1 - F25'!$U$12:$U$21,0,0,1)</f>
        <v>0</v>
      </c>
      <c r="X56" s="665">
        <f>ROUND(SUM(S56:W56),0)</f>
        <v>0</v>
      </c>
      <c r="Y56" s="1390">
        <f>S56+U56</f>
        <v>32552.23</v>
      </c>
      <c r="Z56" s="1390">
        <f>T56+V56</f>
        <v>-32552.23</v>
      </c>
      <c r="AA56" s="1390"/>
      <c r="AB56" s="1390"/>
      <c r="AC56" s="1390">
        <f>_xlfn.XLOOKUP($A56,'AJE.1 - F25'!$S$12:$S$21,'AJE.1 - F25'!$U$12:$U$21,0,0,1)</f>
        <v>0</v>
      </c>
      <c r="AD56" s="219">
        <f>ROUND(SUM(Y56:AC56),0)</f>
        <v>0</v>
      </c>
      <c r="AE56" s="1390">
        <f>Y56+AA56</f>
        <v>32552.23</v>
      </c>
      <c r="AF56" s="1390">
        <f>Z56+AB56</f>
        <v>-32552.23</v>
      </c>
      <c r="AG56" s="1390"/>
      <c r="AH56" s="1390"/>
      <c r="AI56" s="1390">
        <f>_xlfn.XLOOKUP($A56,'AJE.1 - F25'!$S$12:$S$21,'AJE.1 - F25'!$U$12:$U$21,0,0,1)</f>
        <v>0</v>
      </c>
      <c r="AJ56" s="219">
        <f>ROUND(SUM(AE56:AI56),0)</f>
        <v>0</v>
      </c>
      <c r="AK56" s="178" t="str">
        <f>_xlfn.XLOOKUP($A56,COA!$B:$B,COA!$C:$C,0,0,1)</f>
        <v>Sales tax payable</v>
      </c>
      <c r="AL56" s="178" t="str">
        <f>_xlfn.XLOOKUP($A56,COA!$B:$B,COA!$D:$D,0,0,1)</f>
        <v>Sales tax payable</v>
      </c>
      <c r="AM56" s="178" t="str">
        <f>_xlfn.XLOOKUP($A56,COA!$B:$B,COA!$E:$E,0,0,1)</f>
        <v>Sales tax payable</v>
      </c>
      <c r="AO56" s="85">
        <f>_xlfn.XLOOKUP(AM56,FS.1!A:A,AM:AM,0,0,1)</f>
        <v>0</v>
      </c>
      <c r="AP56" s="85"/>
      <c r="AQ56" s="85"/>
      <c r="AR56" s="85"/>
      <c r="AS56" s="85"/>
      <c r="AT56" s="85"/>
      <c r="AU56" s="85"/>
      <c r="AV56" s="85"/>
      <c r="AW56" s="85"/>
      <c r="AX56" s="85"/>
      <c r="AY56" s="85"/>
      <c r="AZ56" s="85"/>
      <c r="BA56" s="85"/>
      <c r="BB56" s="85"/>
      <c r="BC56" s="85"/>
      <c r="BD56" s="85"/>
      <c r="BE56" s="85"/>
      <c r="BF56" s="85"/>
      <c r="BG56" s="85"/>
    </row>
    <row r="57" spans="1:59" hidden="1" x14ac:dyDescent="0.25">
      <c r="A57" s="1393" t="str">
        <f>COA!B53</f>
        <v>2230 GST Payable/(Refund):GST to Paid/(refunded)</v>
      </c>
      <c r="B57" s="1390">
        <f>_xlfn.XLOOKUP(A57,'TB.1 - F25'!A:A,'TB.1 - F25'!D:D,0,0,1)</f>
        <v>0</v>
      </c>
      <c r="C57" s="1390">
        <f>_xlfn.XLOOKUP(A57,'TB.1 - F25'!A:A,'TB.1 - F25'!H:H,0,0,1)</f>
        <v>389.61</v>
      </c>
      <c r="D57" s="1390">
        <f>_xlfn.XLOOKUP(A57,'AJE.1 - F25'!A:A,'AJE.1 - F25'!F:F,0,0,1)</f>
        <v>0</v>
      </c>
      <c r="E57" s="1390"/>
      <c r="F57" s="219">
        <f>ROUND(SUM(B57:E57),0)</f>
        <v>390</v>
      </c>
      <c r="G57" s="1390">
        <f>_xlfn.XLOOKUP($A57,TB.PRO!$A:$A,TB.PRO!F:F,0,0,1)</f>
        <v>0</v>
      </c>
      <c r="H57" s="1390">
        <f>_xlfn.XLOOKUP($A57,TB.PRO!$A:$A,TB.PRO!G:G,0,0,1)</f>
        <v>389.61</v>
      </c>
      <c r="I57" s="1390"/>
      <c r="J57" s="1390">
        <f>-SUM(G57:H57)</f>
        <v>-389.61</v>
      </c>
      <c r="K57" s="1390">
        <f>_xlfn.XLOOKUP($A57,'AJE.1 - F25'!$S$12:$S$21,'AJE.1 - F25'!$U$12:$U$21,0,0,1)</f>
        <v>0</v>
      </c>
      <c r="L57" s="665">
        <f>ROUND(SUM(G57:K57),0)</f>
        <v>0</v>
      </c>
      <c r="M57" s="1390">
        <f>_xlfn.XLOOKUP($A57,TB.PRO!$A:$A,TB.PRO!I:I,0,0,1)</f>
        <v>0</v>
      </c>
      <c r="N57" s="1390">
        <f>_xlfn.XLOOKUP($A57,TB.PRO!$A:$A,TB.PRO!J:J,0,0,1)</f>
        <v>389.61</v>
      </c>
      <c r="O57" s="1390"/>
      <c r="P57" s="1390">
        <f>-SUM(M57:N57)</f>
        <v>-389.61</v>
      </c>
      <c r="Q57" s="1390">
        <f>_xlfn.XLOOKUP($A57,'AJE.1 - F25'!$S$12:$S$21,'AJE.1 - F25'!$U$12:$U$21,0,0,1)</f>
        <v>0</v>
      </c>
      <c r="R57" s="665">
        <f>ROUND(SUM(M57:Q57),0)</f>
        <v>0</v>
      </c>
      <c r="S57" s="1390">
        <f>M57+O57</f>
        <v>0</v>
      </c>
      <c r="T57" s="1390">
        <f>N57+P57</f>
        <v>0</v>
      </c>
      <c r="U57" s="1390"/>
      <c r="V57" s="1390"/>
      <c r="W57" s="1390">
        <f>_xlfn.XLOOKUP($A57,'AJE.1 - F25'!$S$12:$S$21,'AJE.1 - F25'!$U$12:$U$21,0,0,1)</f>
        <v>0</v>
      </c>
      <c r="X57" s="665">
        <f>ROUND(SUM(S57:W57),0)</f>
        <v>0</v>
      </c>
      <c r="Y57" s="1390">
        <f>S57+U57</f>
        <v>0</v>
      </c>
      <c r="Z57" s="1390">
        <f>T57+V57</f>
        <v>0</v>
      </c>
      <c r="AA57" s="1390"/>
      <c r="AB57" s="1390"/>
      <c r="AC57" s="1390">
        <f>_xlfn.XLOOKUP($A57,'AJE.1 - F25'!$S$12:$S$21,'AJE.1 - F25'!$U$12:$U$21,0,0,1)</f>
        <v>0</v>
      </c>
      <c r="AD57" s="219">
        <f>ROUND(SUM(Y57:AC57),0)</f>
        <v>0</v>
      </c>
      <c r="AE57" s="1390">
        <f>Y57+AA57</f>
        <v>0</v>
      </c>
      <c r="AF57" s="1390">
        <f>Z57+AB57</f>
        <v>0</v>
      </c>
      <c r="AG57" s="1390"/>
      <c r="AH57" s="1390"/>
      <c r="AI57" s="1390">
        <f>_xlfn.XLOOKUP($A57,'AJE.1 - F25'!$S$12:$S$21,'AJE.1 - F25'!$U$12:$U$21,0,0,1)</f>
        <v>0</v>
      </c>
      <c r="AJ57" s="219">
        <f>ROUND(SUM(AE57:AI57),0)</f>
        <v>0</v>
      </c>
      <c r="AK57" s="667" t="s">
        <v>239</v>
      </c>
      <c r="AL57" s="667" t="str">
        <f>AK57</f>
        <v>Sales tax payable</v>
      </c>
      <c r="AM57" s="667" t="str">
        <f>AL57</f>
        <v>Sales tax payable</v>
      </c>
      <c r="AO57" s="85" t="str">
        <f>AM57</f>
        <v>Sales tax payable</v>
      </c>
      <c r="AP57" s="85"/>
      <c r="AQ57" s="85"/>
      <c r="AR57" s="85"/>
      <c r="AS57" s="85"/>
      <c r="AT57" s="85"/>
      <c r="AU57" s="85"/>
      <c r="AV57" s="85"/>
      <c r="AW57" s="85"/>
      <c r="AX57" s="85"/>
      <c r="AY57" s="85"/>
      <c r="AZ57" s="85"/>
      <c r="BA57" s="85"/>
      <c r="BB57" s="85"/>
      <c r="BC57" s="85"/>
      <c r="BD57" s="85"/>
      <c r="BE57" s="85"/>
      <c r="BF57" s="85"/>
      <c r="BG57" s="85"/>
    </row>
    <row r="58" spans="1:59" hidden="1" x14ac:dyDescent="0.25">
      <c r="A58" s="1393" t="str">
        <f>COA!B54</f>
        <v>2211 GST/HST Suspense</v>
      </c>
      <c r="B58" s="1390">
        <f>_xlfn.XLOOKUP(A58,'TB.1 - F25'!A:A,'TB.1 - F25'!D:D,0,0,1)</f>
        <v>0</v>
      </c>
      <c r="C58" s="1390">
        <f>_xlfn.XLOOKUP(A58,'TB.1 - F25'!A:A,'TB.1 - F25'!H:H,0,0,1)</f>
        <v>0</v>
      </c>
      <c r="D58" s="1390">
        <f>_xlfn.XLOOKUP(A58,'AJE.1 - F25'!A:A,'AJE.1 - F25'!F:F,0,0,1)</f>
        <v>0</v>
      </c>
      <c r="E58" s="1390"/>
      <c r="F58" s="219">
        <f>ROUND(SUM(B58:E58),0)</f>
        <v>0</v>
      </c>
      <c r="G58" s="1390">
        <f>_xlfn.XLOOKUP($A58,TB.PRO!$A:$A,TB.PRO!F:F,0,0,1)</f>
        <v>0</v>
      </c>
      <c r="H58" s="1390">
        <f>_xlfn.XLOOKUP($A58,TB.PRO!$A:$A,TB.PRO!G:G,0,0,1)</f>
        <v>0</v>
      </c>
      <c r="I58" s="1390"/>
      <c r="J58" s="1390"/>
      <c r="K58" s="1390">
        <f>_xlfn.XLOOKUP($A58,'AJE.1 - F25'!$S$12:$S$21,'AJE.1 - F25'!$U$12:$U$21,0,0,1)</f>
        <v>0</v>
      </c>
      <c r="L58" s="665">
        <f>ROUND(SUM(G58:K58),0)</f>
        <v>0</v>
      </c>
      <c r="M58" s="1390">
        <f>_xlfn.XLOOKUP($A58,TB.PRO!$A:$A,TB.PRO!I:I,0,0,1)</f>
        <v>0</v>
      </c>
      <c r="N58" s="1390">
        <f>_xlfn.XLOOKUP($A58,TB.PRO!$A:$A,TB.PRO!J:J,0,0,1)</f>
        <v>0</v>
      </c>
      <c r="O58" s="1390"/>
      <c r="P58" s="1390"/>
      <c r="Q58" s="1390">
        <f>_xlfn.XLOOKUP($A58,'AJE.1 - F25'!$S$12:$S$21,'AJE.1 - F25'!$U$12:$U$21,0,0,1)</f>
        <v>0</v>
      </c>
      <c r="R58" s="665">
        <f>ROUND(SUM(M58:Q58),0)</f>
        <v>0</v>
      </c>
      <c r="S58" s="1390">
        <f>M58+O58</f>
        <v>0</v>
      </c>
      <c r="T58" s="1390">
        <f>N58+P58</f>
        <v>0</v>
      </c>
      <c r="U58" s="1390"/>
      <c r="V58" s="1390"/>
      <c r="W58" s="1390">
        <f>_xlfn.XLOOKUP($A58,'AJE.1 - F25'!$S$12:$S$21,'AJE.1 - F25'!$U$12:$U$21,0,0,1)</f>
        <v>0</v>
      </c>
      <c r="X58" s="665">
        <f>ROUND(SUM(S58:W58),0)</f>
        <v>0</v>
      </c>
      <c r="Y58" s="1390">
        <f>S58+U58</f>
        <v>0</v>
      </c>
      <c r="Z58" s="1390">
        <f>T58+V58</f>
        <v>0</v>
      </c>
      <c r="AA58" s="1390"/>
      <c r="AB58" s="1390"/>
      <c r="AC58" s="1390">
        <f>_xlfn.XLOOKUP($A58,'AJE.1 - F25'!$S$12:$S$21,'AJE.1 - F25'!$U$12:$U$21,0,0,1)</f>
        <v>0</v>
      </c>
      <c r="AD58" s="219">
        <f>ROUND(SUM(Y58:AC58),0)</f>
        <v>0</v>
      </c>
      <c r="AE58" s="1390">
        <f>Y58+AA58</f>
        <v>0</v>
      </c>
      <c r="AF58" s="1390">
        <f>Z58+AB58</f>
        <v>0</v>
      </c>
      <c r="AG58" s="1390"/>
      <c r="AH58" s="1390"/>
      <c r="AI58" s="1390">
        <f>_xlfn.XLOOKUP($A58,'AJE.1 - F25'!$S$12:$S$21,'AJE.1 - F25'!$U$12:$U$21,0,0,1)</f>
        <v>0</v>
      </c>
      <c r="AJ58" s="219">
        <f>ROUND(SUM(AE58:AI58),0)</f>
        <v>0</v>
      </c>
      <c r="AK58" s="178" t="str">
        <f>_xlfn.XLOOKUP($A58,COA!$B:$B,COA!$C:$C,0,0,1)</f>
        <v>Sales tax payable</v>
      </c>
      <c r="AL58" s="178" t="str">
        <f>_xlfn.XLOOKUP($A58,COA!$B:$B,COA!$D:$D,0,0,1)</f>
        <v>Sales tax payable</v>
      </c>
      <c r="AM58" s="178" t="str">
        <f>_xlfn.XLOOKUP($A58,COA!$B:$B,COA!$E:$E,0,0,1)</f>
        <v>Sales tax payable</v>
      </c>
      <c r="AO58" s="85">
        <f>_xlfn.XLOOKUP(AM58,FS.1!A:A,AM:AM,0,0,1)</f>
        <v>0</v>
      </c>
      <c r="AP58" s="85"/>
      <c r="AQ58" s="85"/>
      <c r="AR58" s="85"/>
      <c r="AS58" s="85"/>
      <c r="AT58" s="85"/>
      <c r="AU58" s="85"/>
      <c r="AV58" s="85"/>
      <c r="AW58" s="85"/>
      <c r="AX58" s="85"/>
      <c r="AY58" s="85"/>
      <c r="AZ58" s="85"/>
      <c r="BA58" s="85"/>
      <c r="BB58" s="85"/>
      <c r="BC58" s="85"/>
      <c r="BD58" s="85"/>
      <c r="BE58" s="85"/>
      <c r="BF58" s="85"/>
      <c r="BG58" s="85"/>
    </row>
    <row r="59" spans="1:59" hidden="1" x14ac:dyDescent="0.25">
      <c r="A59" s="1393" t="str">
        <f>COA!B55</f>
        <v>2201 GST and HST Suspense</v>
      </c>
      <c r="B59" s="1390">
        <f>_xlfn.XLOOKUP(A59,'TB.1 - F25'!A:A,'TB.1 - F25'!D:D,0,0,1)</f>
        <v>0</v>
      </c>
      <c r="C59" s="1390">
        <f>_xlfn.XLOOKUP(A59,'TB.1 - F25'!A:A,'TB.1 - F25'!H:H,0,0,1)</f>
        <v>0</v>
      </c>
      <c r="D59" s="1390">
        <f>_xlfn.XLOOKUP(A59,'AJE.1 - F25'!A:A,'AJE.1 - F25'!F:F,0,0,1)</f>
        <v>0</v>
      </c>
      <c r="E59" s="1390"/>
      <c r="F59" s="219">
        <f>ROUND(SUM(B59:E59),0)</f>
        <v>0</v>
      </c>
      <c r="G59" s="1390">
        <f>_xlfn.XLOOKUP($A59,TB.PRO!$A:$A,TB.PRO!F:F,0,0,1)</f>
        <v>0</v>
      </c>
      <c r="H59" s="1390">
        <f>_xlfn.XLOOKUP($A59,TB.PRO!$A:$A,TB.PRO!G:G,0,0,1)</f>
        <v>0</v>
      </c>
      <c r="I59" s="1390"/>
      <c r="J59" s="1390"/>
      <c r="K59" s="1390">
        <f>_xlfn.XLOOKUP($A59,'AJE.1 - F25'!$S$12:$S$21,'AJE.1 - F25'!$U$12:$U$21,0,0,1)</f>
        <v>0</v>
      </c>
      <c r="L59" s="665">
        <f>ROUND(SUM(G59:K59),0)</f>
        <v>0</v>
      </c>
      <c r="M59" s="1390">
        <f>_xlfn.XLOOKUP($A59,TB.PRO!$A:$A,TB.PRO!I:I,0,0,1)</f>
        <v>0</v>
      </c>
      <c r="N59" s="1390">
        <f>_xlfn.XLOOKUP($A59,TB.PRO!$A:$A,TB.PRO!J:J,0,0,1)</f>
        <v>0</v>
      </c>
      <c r="O59" s="1390"/>
      <c r="P59" s="1390"/>
      <c r="Q59" s="1390">
        <f>_xlfn.XLOOKUP($A59,'AJE.1 - F25'!$S$12:$S$21,'AJE.1 - F25'!$U$12:$U$21,0,0,1)</f>
        <v>0</v>
      </c>
      <c r="R59" s="665">
        <f>ROUND(SUM(M59:Q59),0)</f>
        <v>0</v>
      </c>
      <c r="S59" s="1390">
        <f>M59+O59</f>
        <v>0</v>
      </c>
      <c r="T59" s="1390">
        <f>N59+P59</f>
        <v>0</v>
      </c>
      <c r="U59" s="1390"/>
      <c r="V59" s="1390"/>
      <c r="W59" s="1390">
        <f>_xlfn.XLOOKUP($A59,'AJE.1 - F25'!$S$12:$S$21,'AJE.1 - F25'!$U$12:$U$21,0,0,1)</f>
        <v>0</v>
      </c>
      <c r="X59" s="665">
        <f>ROUND(SUM(S59:W59),0)</f>
        <v>0</v>
      </c>
      <c r="Y59" s="1390">
        <f>S59+U59</f>
        <v>0</v>
      </c>
      <c r="Z59" s="1390">
        <f>T59+V59</f>
        <v>0</v>
      </c>
      <c r="AA59" s="1390"/>
      <c r="AB59" s="1390"/>
      <c r="AC59" s="1390">
        <f>_xlfn.XLOOKUP($A59,'AJE.1 - F25'!$S$12:$S$21,'AJE.1 - F25'!$U$12:$U$21,0,0,1)</f>
        <v>0</v>
      </c>
      <c r="AD59" s="219">
        <f>ROUND(SUM(Y59:AC59),0)</f>
        <v>0</v>
      </c>
      <c r="AE59" s="1390">
        <f>Y59+AA59</f>
        <v>0</v>
      </c>
      <c r="AF59" s="1390">
        <f>Z59+AB59</f>
        <v>0</v>
      </c>
      <c r="AG59" s="1390"/>
      <c r="AH59" s="1390"/>
      <c r="AI59" s="1390">
        <f>_xlfn.XLOOKUP($A59,'AJE.1 - F25'!$S$12:$S$21,'AJE.1 - F25'!$U$12:$U$21,0,0,1)</f>
        <v>0</v>
      </c>
      <c r="AJ59" s="219">
        <f>ROUND(SUM(AE59:AI59),0)</f>
        <v>0</v>
      </c>
      <c r="AK59" s="667" t="s">
        <v>618</v>
      </c>
      <c r="AL59" s="667" t="str">
        <f>AK59</f>
        <v>Sales tax receivable</v>
      </c>
      <c r="AM59" s="667" t="str">
        <f>AL59</f>
        <v>Sales tax receivable</v>
      </c>
      <c r="AO59" s="85" t="str">
        <f>AM59</f>
        <v>Sales tax receivable</v>
      </c>
      <c r="AP59" s="85"/>
      <c r="AQ59" s="85"/>
      <c r="AR59" s="85"/>
      <c r="AS59" s="85"/>
      <c r="AT59" s="85"/>
      <c r="AU59" s="85"/>
      <c r="AV59" s="85"/>
      <c r="AW59" s="85"/>
      <c r="AX59" s="85"/>
      <c r="AY59" s="85"/>
      <c r="AZ59" s="85"/>
      <c r="BA59" s="85"/>
      <c r="BB59" s="85"/>
      <c r="BC59" s="85"/>
      <c r="BD59" s="85"/>
      <c r="BE59" s="85"/>
      <c r="BF59" s="85"/>
      <c r="BG59" s="85"/>
    </row>
    <row r="60" spans="1:59" hidden="1" x14ac:dyDescent="0.25">
      <c r="A60" s="1393" t="str">
        <f>COA!B56</f>
        <v>2202 Receiver General Suspense</v>
      </c>
      <c r="B60" s="1390">
        <f>_xlfn.XLOOKUP(A60,'TB.1 - F25'!A:A,'TB.1 - F25'!D:D,0,0,1)</f>
        <v>0</v>
      </c>
      <c r="C60" s="1390">
        <f>_xlfn.XLOOKUP(A60,'TB.1 - F25'!A:A,'TB.1 - F25'!H:H,0,0,1)</f>
        <v>395.6</v>
      </c>
      <c r="D60" s="1390">
        <f>_xlfn.XLOOKUP(A60,'AJE.1 - F25'!A:A,'AJE.1 - F25'!F:F,0,0,1)</f>
        <v>0</v>
      </c>
      <c r="E60" s="1390"/>
      <c r="F60" s="219">
        <f>ROUND(SUM(B60:E60),0)</f>
        <v>396</v>
      </c>
      <c r="G60" s="1390">
        <f>_xlfn.XLOOKUP($A60,TB.PRO!$A:$A,TB.PRO!F:F,0,0,1)</f>
        <v>0</v>
      </c>
      <c r="H60" s="1390">
        <f>_xlfn.XLOOKUP($A60,TB.PRO!$A:$A,TB.PRO!G:G,0,0,1)</f>
        <v>395.6</v>
      </c>
      <c r="I60" s="1390"/>
      <c r="J60" s="1390">
        <f>-SUM(G60:H60)</f>
        <v>-395.6</v>
      </c>
      <c r="K60" s="1390">
        <f>_xlfn.XLOOKUP($A60,'AJE.1 - F25'!$S$12:$S$21,'AJE.1 - F25'!$U$12:$U$21,0,0,1)</f>
        <v>0</v>
      </c>
      <c r="L60" s="665">
        <f>ROUND(SUM(G60:K60),0)</f>
        <v>0</v>
      </c>
      <c r="M60" s="1390">
        <f>_xlfn.XLOOKUP($A60,TB.PRO!$A:$A,TB.PRO!I:I,0,0,1)</f>
        <v>0</v>
      </c>
      <c r="N60" s="1390">
        <f>_xlfn.XLOOKUP($A60,TB.PRO!$A:$A,TB.PRO!J:J,0,0,1)</f>
        <v>395.6</v>
      </c>
      <c r="O60" s="1390"/>
      <c r="P60" s="1390">
        <f>-SUM(M60:N60)</f>
        <v>-395.6</v>
      </c>
      <c r="Q60" s="1390">
        <f>_xlfn.XLOOKUP($A60,'AJE.1 - F25'!$S$12:$S$21,'AJE.1 - F25'!$U$12:$U$21,0,0,1)</f>
        <v>0</v>
      </c>
      <c r="R60" s="665">
        <f>ROUND(SUM(M60:Q60),0)</f>
        <v>0</v>
      </c>
      <c r="S60" s="1390">
        <f>M60+O60</f>
        <v>0</v>
      </c>
      <c r="T60" s="1390">
        <f>N60+P60</f>
        <v>0</v>
      </c>
      <c r="U60" s="1390"/>
      <c r="V60" s="1390"/>
      <c r="W60" s="1390">
        <f>_xlfn.XLOOKUP($A60,'AJE.1 - F25'!$S$12:$S$21,'AJE.1 - F25'!$U$12:$U$21,0,0,1)</f>
        <v>0</v>
      </c>
      <c r="X60" s="665">
        <f>ROUND(SUM(S60:W60),0)</f>
        <v>0</v>
      </c>
      <c r="Y60" s="1390">
        <f>S60+U60</f>
        <v>0</v>
      </c>
      <c r="Z60" s="1390">
        <f>T60+V60</f>
        <v>0</v>
      </c>
      <c r="AA60" s="1390"/>
      <c r="AB60" s="1390"/>
      <c r="AC60" s="1390">
        <f>_xlfn.XLOOKUP($A60,'AJE.1 - F25'!$S$12:$S$21,'AJE.1 - F25'!$U$12:$U$21,0,0,1)</f>
        <v>0</v>
      </c>
      <c r="AD60" s="219">
        <f>ROUND(SUM(Y60:AC60),0)</f>
        <v>0</v>
      </c>
      <c r="AE60" s="1390">
        <f>Y60+AA60</f>
        <v>0</v>
      </c>
      <c r="AF60" s="1390">
        <f>Z60+AB60</f>
        <v>0</v>
      </c>
      <c r="AG60" s="1390"/>
      <c r="AH60" s="1390"/>
      <c r="AI60" s="1390">
        <f>_xlfn.XLOOKUP($A60,'AJE.1 - F25'!$S$12:$S$21,'AJE.1 - F25'!$U$12:$U$21,0,0,1)</f>
        <v>0</v>
      </c>
      <c r="AJ60" s="219">
        <f>ROUND(SUM(AE60:AI60),0)</f>
        <v>0</v>
      </c>
      <c r="AK60" s="667" t="s">
        <v>239</v>
      </c>
      <c r="AL60" s="667" t="str">
        <f>AK60</f>
        <v>Sales tax payable</v>
      </c>
      <c r="AM60" s="667" t="str">
        <f>AL60</f>
        <v>Sales tax payable</v>
      </c>
      <c r="AO60" s="85">
        <f>_xlfn.XLOOKUP(AM60,FS.1!A:A,AM:AM,0,0,1)</f>
        <v>0</v>
      </c>
      <c r="AP60" s="85"/>
      <c r="AQ60" s="85"/>
      <c r="AR60" s="85"/>
      <c r="AS60" s="85"/>
      <c r="AT60" s="85"/>
      <c r="AU60" s="85"/>
      <c r="AV60" s="85"/>
      <c r="AW60" s="85"/>
      <c r="AX60" s="85"/>
      <c r="AY60" s="85"/>
      <c r="AZ60" s="85"/>
      <c r="BA60" s="85"/>
      <c r="BB60" s="85"/>
      <c r="BC60" s="85"/>
      <c r="BD60" s="85"/>
      <c r="BE60" s="85"/>
      <c r="BF60" s="85"/>
      <c r="BG60" s="85"/>
    </row>
    <row r="61" spans="1:59" hidden="1" x14ac:dyDescent="0.25">
      <c r="A61" s="1393" t="str">
        <f>COA!B57</f>
        <v>2280 PST Payable</v>
      </c>
      <c r="B61" s="1390">
        <f>_xlfn.XLOOKUP(A61,'TB.1 - F25'!A:A,'TB.1 - F25'!D:D,0,0,1)</f>
        <v>0</v>
      </c>
      <c r="C61" s="1390">
        <f>_xlfn.XLOOKUP(A61,'TB.1 - F25'!A:A,'TB.1 - F25'!H:H,0,0,1)</f>
        <v>0</v>
      </c>
      <c r="D61" s="1390">
        <f>_xlfn.XLOOKUP(A61,'AJE.1 - F25'!A:A,'AJE.1 - F25'!F:F,0,0,1)</f>
        <v>0</v>
      </c>
      <c r="E61" s="1390"/>
      <c r="F61" s="219">
        <f>ROUND(SUM(B61:E61),0)</f>
        <v>0</v>
      </c>
      <c r="G61" s="1390">
        <f>_xlfn.XLOOKUP($A61,TB.PRO!$A:$A,TB.PRO!F:F,0,0,1)</f>
        <v>0</v>
      </c>
      <c r="H61" s="1390">
        <f>_xlfn.XLOOKUP($A61,TB.PRO!$A:$A,TB.PRO!G:G,0,0,1)</f>
        <v>0</v>
      </c>
      <c r="I61" s="1390"/>
      <c r="J61" s="1390"/>
      <c r="K61" s="1390">
        <f>_xlfn.XLOOKUP($A61,'AJE.1 - F25'!$S$12:$S$21,'AJE.1 - F25'!$U$12:$U$21,0,0,1)</f>
        <v>0</v>
      </c>
      <c r="L61" s="665">
        <f>ROUND(SUM(G61:K61),0)</f>
        <v>0</v>
      </c>
      <c r="M61" s="1390">
        <f>_xlfn.XLOOKUP($A61,TB.PRO!$A:$A,TB.PRO!I:I,0,0,1)</f>
        <v>0</v>
      </c>
      <c r="N61" s="1390">
        <f>_xlfn.XLOOKUP($A61,TB.PRO!$A:$A,TB.PRO!J:J,0,0,1)</f>
        <v>0</v>
      </c>
      <c r="O61" s="1390"/>
      <c r="P61" s="1390"/>
      <c r="Q61" s="1390">
        <f>_xlfn.XLOOKUP($A61,'AJE.1 - F25'!$S$12:$S$21,'AJE.1 - F25'!$U$12:$U$21,0,0,1)</f>
        <v>0</v>
      </c>
      <c r="R61" s="665">
        <f>ROUND(SUM(M61:Q61),0)</f>
        <v>0</v>
      </c>
      <c r="S61" s="1390">
        <f>M61+O61</f>
        <v>0</v>
      </c>
      <c r="T61" s="1390">
        <f>N61+P61</f>
        <v>0</v>
      </c>
      <c r="U61" s="1390"/>
      <c r="V61" s="1390"/>
      <c r="W61" s="1390">
        <f>_xlfn.XLOOKUP($A61,'AJE.1 - F25'!$S$12:$S$21,'AJE.1 - F25'!$U$12:$U$21,0,0,1)</f>
        <v>0</v>
      </c>
      <c r="X61" s="665">
        <f>ROUND(SUM(S61:W61),0)</f>
        <v>0</v>
      </c>
      <c r="Y61" s="1390">
        <f>S61+U61</f>
        <v>0</v>
      </c>
      <c r="Z61" s="1390">
        <f>T61+V61</f>
        <v>0</v>
      </c>
      <c r="AA61" s="1390"/>
      <c r="AB61" s="1390"/>
      <c r="AC61" s="1390">
        <f>_xlfn.XLOOKUP($A61,'AJE.1 - F25'!$S$12:$S$21,'AJE.1 - F25'!$U$12:$U$21,0,0,1)</f>
        <v>0</v>
      </c>
      <c r="AD61" s="219">
        <f>ROUND(SUM(Y61:AC61),0)</f>
        <v>0</v>
      </c>
      <c r="AE61" s="1390">
        <f>Y61+AA61</f>
        <v>0</v>
      </c>
      <c r="AF61" s="1390">
        <f>Z61+AB61</f>
        <v>0</v>
      </c>
      <c r="AG61" s="1390"/>
      <c r="AH61" s="1390"/>
      <c r="AI61" s="1390">
        <f>_xlfn.XLOOKUP($A61,'AJE.1 - F25'!$S$12:$S$21,'AJE.1 - F25'!$U$12:$U$21,0,0,1)</f>
        <v>0</v>
      </c>
      <c r="AJ61" s="219">
        <f>ROUND(SUM(AE61:AI61),0)</f>
        <v>0</v>
      </c>
      <c r="AK61" s="667" t="s">
        <v>618</v>
      </c>
      <c r="AL61" s="667" t="str">
        <f>AK61</f>
        <v>Sales tax receivable</v>
      </c>
      <c r="AM61" s="667" t="str">
        <f>AL61</f>
        <v>Sales tax receivable</v>
      </c>
      <c r="AO61" s="85" t="str">
        <f t="shared" ref="AO61:AO62" si="16">AM61</f>
        <v>Sales tax receivable</v>
      </c>
      <c r="AP61" s="87"/>
      <c r="AQ61" s="87"/>
      <c r="AR61" s="87"/>
      <c r="AS61" s="87"/>
      <c r="AT61" s="85"/>
      <c r="AU61" s="85"/>
      <c r="AV61" s="85"/>
      <c r="AW61" s="85"/>
      <c r="AX61" s="85"/>
      <c r="AY61" s="85"/>
      <c r="AZ61" s="85"/>
      <c r="BA61" s="85"/>
      <c r="BB61" s="85"/>
      <c r="BC61" s="85"/>
      <c r="BD61" s="85"/>
      <c r="BE61" s="85"/>
      <c r="BF61" s="85"/>
      <c r="BG61" s="85"/>
    </row>
    <row r="62" spans="1:59" hidden="1" x14ac:dyDescent="0.25">
      <c r="A62" s="1393" t="str">
        <f>COA!B58</f>
        <v>2240 PST Payable:PST Collected on Sales</v>
      </c>
      <c r="B62" s="1390">
        <f>_xlfn.XLOOKUP(A62,'TB.1 - F25'!A:A,'TB.1 - F25'!D:D,0,0,1)</f>
        <v>0</v>
      </c>
      <c r="C62" s="1390">
        <f>_xlfn.XLOOKUP(A62,'TB.1 - F25'!A:A,'TB.1 - F25'!H:H,0,0,1)</f>
        <v>-396</v>
      </c>
      <c r="D62" s="1390">
        <f>_xlfn.XLOOKUP(A62,'AJE.1 - F25'!A:A,'AJE.1 - F25'!F:F,0,0,1)</f>
        <v>0</v>
      </c>
      <c r="E62" s="1390"/>
      <c r="F62" s="219">
        <f>ROUND(SUM(B62:E62),0)</f>
        <v>-396</v>
      </c>
      <c r="G62" s="1390">
        <f>_xlfn.XLOOKUP($A62,TB.PRO!$A:$A,TB.PRO!F:F,0,0,1)</f>
        <v>0</v>
      </c>
      <c r="H62" s="1390">
        <f>_xlfn.XLOOKUP($A62,TB.PRO!$A:$A,TB.PRO!G:G,0,0,1)</f>
        <v>-34542</v>
      </c>
      <c r="I62" s="1390"/>
      <c r="J62" s="1390">
        <f>-SUM(G62:H62)</f>
        <v>34542</v>
      </c>
      <c r="K62" s="1390">
        <f>_xlfn.XLOOKUP($A62,'AJE.1 - F25'!$S$12:$S$21,'AJE.1 - F25'!$U$12:$U$21,0,0,1)</f>
        <v>0</v>
      </c>
      <c r="L62" s="665">
        <f>ROUND(SUM(G62:K62),0)</f>
        <v>0</v>
      </c>
      <c r="M62" s="1390">
        <f>_xlfn.XLOOKUP($A62,TB.PRO!$A:$A,TB.PRO!I:I,0,0,1)</f>
        <v>0</v>
      </c>
      <c r="N62" s="1390">
        <f>_xlfn.XLOOKUP($A62,TB.PRO!$A:$A,TB.PRO!J:J,0,0,1)</f>
        <v>-34542</v>
      </c>
      <c r="O62" s="1390"/>
      <c r="P62" s="1390">
        <f>-SUM(M62:N62)</f>
        <v>34542</v>
      </c>
      <c r="Q62" s="1390">
        <f>_xlfn.XLOOKUP($A62,'AJE.1 - F25'!$S$12:$S$21,'AJE.1 - F25'!$U$12:$U$21,0,0,1)</f>
        <v>0</v>
      </c>
      <c r="R62" s="665">
        <f>ROUND(SUM(M62:Q62),0)</f>
        <v>0</v>
      </c>
      <c r="S62" s="1390">
        <f>M62+O62</f>
        <v>0</v>
      </c>
      <c r="T62" s="1390">
        <f>N62+P62</f>
        <v>0</v>
      </c>
      <c r="U62" s="1390"/>
      <c r="V62" s="1390"/>
      <c r="W62" s="1390">
        <f>_xlfn.XLOOKUP($A62,'AJE.1 - F25'!$S$12:$S$21,'AJE.1 - F25'!$U$12:$U$21,0,0,1)</f>
        <v>0</v>
      </c>
      <c r="X62" s="665">
        <f>ROUND(SUM(S62:W62),0)</f>
        <v>0</v>
      </c>
      <c r="Y62" s="1390">
        <f>S62+U62</f>
        <v>0</v>
      </c>
      <c r="Z62" s="1390">
        <f>T62+V62</f>
        <v>0</v>
      </c>
      <c r="AA62" s="1390"/>
      <c r="AB62" s="1390"/>
      <c r="AC62" s="1390">
        <f>_xlfn.XLOOKUP($A62,'AJE.1 - F25'!$S$12:$S$21,'AJE.1 - F25'!$U$12:$U$21,0,0,1)</f>
        <v>0</v>
      </c>
      <c r="AD62" s="219">
        <f>ROUND(SUM(Y62:AC62),0)</f>
        <v>0</v>
      </c>
      <c r="AE62" s="1390">
        <f>Y62+AA62</f>
        <v>0</v>
      </c>
      <c r="AF62" s="1390">
        <f>Z62+AB62</f>
        <v>0</v>
      </c>
      <c r="AG62" s="1390"/>
      <c r="AH62" s="1390"/>
      <c r="AI62" s="1390">
        <f>_xlfn.XLOOKUP($A62,'AJE.1 - F25'!$S$12:$S$21,'AJE.1 - F25'!$U$12:$U$21,0,0,1)</f>
        <v>0</v>
      </c>
      <c r="AJ62" s="219">
        <f>ROUND(SUM(AE62:AI62),0)</f>
        <v>0</v>
      </c>
      <c r="AK62" s="178" t="str">
        <f>_xlfn.XLOOKUP($A62,COA!$B:$B,COA!$C:$C,0,0,1)</f>
        <v>Sales tax payable</v>
      </c>
      <c r="AL62" s="178" t="str">
        <f>_xlfn.XLOOKUP($A62,COA!$B:$B,COA!$D:$D,0,0,1)</f>
        <v>Sales tax payable</v>
      </c>
      <c r="AM62" s="178" t="str">
        <f>_xlfn.XLOOKUP($A62,COA!$B:$B,COA!$E:$E,0,0,1)</f>
        <v>Sales tax payable</v>
      </c>
      <c r="AO62" s="85" t="str">
        <f t="shared" si="16"/>
        <v>Sales tax payable</v>
      </c>
      <c r="AP62" s="87"/>
      <c r="AQ62" s="87"/>
      <c r="AR62" s="87"/>
      <c r="AS62" s="87"/>
      <c r="AT62" s="85"/>
      <c r="AU62" s="85"/>
      <c r="AV62" s="85"/>
      <c r="AW62" s="85"/>
      <c r="AX62" s="85"/>
      <c r="AY62" s="85"/>
      <c r="AZ62" s="85"/>
      <c r="BA62" s="85"/>
      <c r="BB62" s="85"/>
      <c r="BC62" s="85"/>
      <c r="BD62" s="85"/>
      <c r="BE62" s="85"/>
      <c r="BF62" s="85"/>
      <c r="BG62" s="85"/>
    </row>
    <row r="63" spans="1:59" hidden="1" x14ac:dyDescent="0.25">
      <c r="A63" s="1393" t="str">
        <f>COA!B59</f>
        <v>2245 PST Payable:PST Payable</v>
      </c>
      <c r="B63" s="1390">
        <f>_xlfn.XLOOKUP(A63,'TB.1 - F25'!A:A,'TB.1 - F25'!D:D,0,0,1)</f>
        <v>0</v>
      </c>
      <c r="C63" s="1390">
        <f>_xlfn.XLOOKUP(A63,'TB.1 - F25'!A:A,'TB.1 - F25'!H:H,0,0,1)</f>
        <v>0</v>
      </c>
      <c r="D63" s="1390">
        <f>_xlfn.XLOOKUP(A63,'AJE.1 - F25'!A:A,'AJE.1 - F25'!F:F,0,0,1)</f>
        <v>0</v>
      </c>
      <c r="E63" s="1390"/>
      <c r="F63" s="219">
        <f>ROUND(SUM(B63:E63),0)</f>
        <v>0</v>
      </c>
      <c r="G63" s="1390">
        <f>_xlfn.XLOOKUP($A63,TB.PRO!$A:$A,TB.PRO!F:F,0,0,1)</f>
        <v>0</v>
      </c>
      <c r="H63" s="1390">
        <f>_xlfn.XLOOKUP($A63,TB.PRO!$A:$A,TB.PRO!G:G,0,0,1)</f>
        <v>0</v>
      </c>
      <c r="I63" s="1390"/>
      <c r="J63" s="1390"/>
      <c r="K63" s="1390">
        <f>_xlfn.XLOOKUP($A63,'AJE.1 - F25'!$S$12:$S$21,'AJE.1 - F25'!$U$12:$U$21,0,0,1)</f>
        <v>0</v>
      </c>
      <c r="L63" s="665">
        <f>ROUND(SUM(G63:K63),0)</f>
        <v>0</v>
      </c>
      <c r="M63" s="1390">
        <f>_xlfn.XLOOKUP($A63,TB.PRO!$A:$A,TB.PRO!I:I,0,0,1)</f>
        <v>0</v>
      </c>
      <c r="N63" s="1390">
        <f>_xlfn.XLOOKUP($A63,TB.PRO!$A:$A,TB.PRO!J:J,0,0,1)</f>
        <v>0</v>
      </c>
      <c r="O63" s="1390"/>
      <c r="P63" s="1390"/>
      <c r="Q63" s="1390">
        <f>_xlfn.XLOOKUP($A63,'AJE.1 - F25'!$S$12:$S$21,'AJE.1 - F25'!$U$12:$U$21,0,0,1)</f>
        <v>0</v>
      </c>
      <c r="R63" s="665">
        <f>ROUND(SUM(M63:Q63),0)</f>
        <v>0</v>
      </c>
      <c r="S63" s="1390">
        <f>M63+O63</f>
        <v>0</v>
      </c>
      <c r="T63" s="1390">
        <f>N63+P63</f>
        <v>0</v>
      </c>
      <c r="U63" s="1390"/>
      <c r="V63" s="1390"/>
      <c r="W63" s="1390">
        <f>_xlfn.XLOOKUP($A63,'AJE.1 - F25'!$S$12:$S$21,'AJE.1 - F25'!$U$12:$U$21,0,0,1)</f>
        <v>0</v>
      </c>
      <c r="X63" s="665">
        <f>ROUND(SUM(S63:W63),0)</f>
        <v>0</v>
      </c>
      <c r="Y63" s="1390">
        <f>S63+U63</f>
        <v>0</v>
      </c>
      <c r="Z63" s="1390">
        <f>T63+V63</f>
        <v>0</v>
      </c>
      <c r="AA63" s="1390"/>
      <c r="AB63" s="1390"/>
      <c r="AC63" s="1390">
        <f>_xlfn.XLOOKUP($A63,'AJE.1 - F25'!$S$12:$S$21,'AJE.1 - F25'!$U$12:$U$21,0,0,1)</f>
        <v>0</v>
      </c>
      <c r="AD63" s="219">
        <f>ROUND(SUM(Y63:AC63),0)</f>
        <v>0</v>
      </c>
      <c r="AE63" s="1390">
        <f>Y63+AA63</f>
        <v>0</v>
      </c>
      <c r="AF63" s="1390">
        <f>Z63+AB63</f>
        <v>0</v>
      </c>
      <c r="AG63" s="1390"/>
      <c r="AH63" s="1390"/>
      <c r="AI63" s="1390">
        <f>_xlfn.XLOOKUP($A63,'AJE.1 - F25'!$S$12:$S$21,'AJE.1 - F25'!$U$12:$U$21,0,0,1)</f>
        <v>0</v>
      </c>
      <c r="AJ63" s="219">
        <f>ROUND(SUM(AE63:AI63),0)</f>
        <v>0</v>
      </c>
      <c r="AK63" s="178" t="str">
        <f>_xlfn.XLOOKUP($A63,COA!$B:$B,COA!$C:$C,0,0,1)</f>
        <v>Sales tax payable</v>
      </c>
      <c r="AL63" s="178" t="str">
        <f>_xlfn.XLOOKUP($A63,COA!$B:$B,COA!$D:$D,0,0,1)</f>
        <v>Sales tax payable</v>
      </c>
      <c r="AM63" s="178" t="str">
        <f>_xlfn.XLOOKUP($A63,COA!$B:$B,COA!$E:$E,0,0,1)</f>
        <v>Sales tax payable</v>
      </c>
      <c r="AO63" s="85">
        <f>_xlfn.XLOOKUP(AM63,FS.1!A:A,AM:AM,0,0,1)</f>
        <v>0</v>
      </c>
      <c r="AP63" s="87"/>
      <c r="AQ63" s="87"/>
      <c r="AR63" s="87"/>
      <c r="AS63" s="87"/>
      <c r="AT63" s="85"/>
      <c r="AU63" s="85"/>
      <c r="AV63" s="85"/>
      <c r="AW63" s="85"/>
      <c r="AX63" s="85"/>
      <c r="AY63" s="85"/>
      <c r="AZ63" s="85"/>
      <c r="BA63" s="85"/>
      <c r="BB63" s="85"/>
      <c r="BC63" s="85"/>
      <c r="BD63" s="85"/>
      <c r="BE63" s="85"/>
      <c r="BF63" s="85"/>
      <c r="BG63" s="85"/>
    </row>
    <row r="64" spans="1:59" hidden="1" x14ac:dyDescent="0.25">
      <c r="A64" s="1629" t="str">
        <f>COA!B60</f>
        <v>2300 Corporate Tax Payable</v>
      </c>
      <c r="B64" s="1390">
        <f>_xlfn.XLOOKUP(A64,'TB.1 - F25'!A:A,'TB.1 - F25'!D:D,0,0,1)</f>
        <v>0</v>
      </c>
      <c r="C64" s="1390">
        <f>_xlfn.XLOOKUP(A64,'TB.1 - F25'!A:A,'TB.1 - F25'!H:H,0,0,1)</f>
        <v>-98.09</v>
      </c>
      <c r="D64" s="1390">
        <f>_xlfn.XLOOKUP(A64,'AJE.1 - F25'!A:A,'AJE.1 - F25'!F:F,0,0,1)</f>
        <v>0</v>
      </c>
      <c r="E64" s="1390"/>
      <c r="F64" s="219">
        <f>ROUND(SUM(B64:E64),0)</f>
        <v>-98</v>
      </c>
      <c r="G64" s="1390">
        <f>_xlfn.XLOOKUP($A64,TB.PRO!$A:$A,TB.PRO!F:F,0,0,1)</f>
        <v>0</v>
      </c>
      <c r="H64" s="1390">
        <f>_xlfn.XLOOKUP($A64,TB.PRO!$A:$A,TB.PRO!G:G,0,0,1)</f>
        <v>-98.09</v>
      </c>
      <c r="I64" s="1390"/>
      <c r="J64" s="1390">
        <f>-SUM(G64:H64)</f>
        <v>98.09</v>
      </c>
      <c r="K64" s="1390">
        <f>_xlfn.XLOOKUP($A64,'AJE.1 - F25'!$S$12:$S$21,'AJE.1 - F25'!$U$12:$U$21,0,0,1)</f>
        <v>0</v>
      </c>
      <c r="L64" s="665">
        <f>ROUND(SUM(G64:K64),0)</f>
        <v>0</v>
      </c>
      <c r="M64" s="1390">
        <f>_xlfn.XLOOKUP($A64,TB.PRO!$A:$A,TB.PRO!I:I,0,0,1)</f>
        <v>0</v>
      </c>
      <c r="N64" s="1390">
        <f>_xlfn.XLOOKUP($A64,TB.PRO!$A:$A,TB.PRO!J:J,0,0,1)</f>
        <v>-98.09</v>
      </c>
      <c r="O64" s="1390"/>
      <c r="P64" s="1390">
        <f>-SUM(M64:N64)</f>
        <v>98.09</v>
      </c>
      <c r="Q64" s="1390">
        <f>_xlfn.XLOOKUP($A64,'AJE.1 - F25'!$S$12:$S$21,'AJE.1 - F25'!$U$12:$U$21,0,0,1)</f>
        <v>0</v>
      </c>
      <c r="R64" s="665">
        <f>ROUND(SUM(M64:Q64),0)</f>
        <v>0</v>
      </c>
      <c r="S64" s="1390">
        <f>M64+O64</f>
        <v>0</v>
      </c>
      <c r="T64" s="1390">
        <f>N64+P64</f>
        <v>0</v>
      </c>
      <c r="U64" s="1390"/>
      <c r="V64" s="1390"/>
      <c r="W64" s="1390">
        <f>_xlfn.XLOOKUP($A64,'AJE.1 - F25'!$S$12:$S$21,'AJE.1 - F25'!$U$12:$U$21,0,0,1)</f>
        <v>0</v>
      </c>
      <c r="X64" s="665">
        <f>ROUND(SUM(S64:W64),0)</f>
        <v>0</v>
      </c>
      <c r="Y64" s="1390">
        <f>S64+U64</f>
        <v>0</v>
      </c>
      <c r="Z64" s="1390">
        <f>T64+V64</f>
        <v>0</v>
      </c>
      <c r="AA64" s="1390"/>
      <c r="AB64" s="1390"/>
      <c r="AC64" s="1390">
        <f>_xlfn.XLOOKUP($A64,'AJE.1 - F25'!$S$12:$S$21,'AJE.1 - F25'!$U$12:$U$21,0,0,1)</f>
        <v>0</v>
      </c>
      <c r="AD64" s="219">
        <f>ROUND(SUM(Y64:AC64),0)</f>
        <v>0</v>
      </c>
      <c r="AE64" s="1390">
        <f>Y64+AA64</f>
        <v>0</v>
      </c>
      <c r="AF64" s="1390">
        <f>Z64+AB64</f>
        <v>0</v>
      </c>
      <c r="AG64" s="1390"/>
      <c r="AH64" s="1390"/>
      <c r="AI64" s="1390">
        <f>_xlfn.XLOOKUP($A64,'AJE.1 - F25'!$S$12:$S$21,'AJE.1 - F25'!$U$12:$U$21,0,0,1)</f>
        <v>0</v>
      </c>
      <c r="AJ64" s="219">
        <f>ROUND(SUM(AE64:AI64),0)</f>
        <v>0</v>
      </c>
      <c r="AK64" s="1630" t="str">
        <f>_xlfn.XLOOKUP($A64,COA!$B:$B,COA!$C:$C,0,0,1)</f>
        <v>Income tax payable</v>
      </c>
      <c r="AL64" s="1630" t="str">
        <f>_xlfn.XLOOKUP($A64,COA!$B:$B,COA!$D:$D,0,0,1)</f>
        <v>Income tax payable</v>
      </c>
      <c r="AM64" s="1630" t="str">
        <f>_xlfn.XLOOKUP($A64,COA!$B:$B,COA!$E:$E,0,0,1)</f>
        <v>Income tax payable</v>
      </c>
      <c r="AO64" s="85" t="str">
        <f>AM64</f>
        <v>Income tax payable</v>
      </c>
      <c r="AP64" s="87"/>
      <c r="AQ64" s="87"/>
      <c r="AR64" s="87"/>
      <c r="AS64" s="87"/>
      <c r="AT64" s="85"/>
      <c r="AU64" s="85"/>
      <c r="AV64" s="85"/>
      <c r="AW64" s="85"/>
      <c r="AX64" s="85"/>
      <c r="AY64" s="85"/>
      <c r="AZ64" s="85"/>
      <c r="BA64" s="85"/>
      <c r="BB64" s="85"/>
      <c r="BC64" s="85"/>
      <c r="BD64" s="85"/>
      <c r="BE64" s="85"/>
      <c r="BF64" s="85"/>
      <c r="BG64" s="85"/>
    </row>
    <row r="65" spans="1:59" hidden="1" x14ac:dyDescent="0.25">
      <c r="A65" s="1393" t="str">
        <f>COA!B61</f>
        <v>2500 Due to/(from) related parties</v>
      </c>
      <c r="B65" s="1390">
        <f>_xlfn.XLOOKUP(A65,'TB.1 - F25'!A:A,'TB.1 - F25'!D:D,0,0,1)</f>
        <v>-937.65</v>
      </c>
      <c r="C65" s="1390">
        <f>_xlfn.XLOOKUP(A65,'TB.1 - F25'!A:A,'TB.1 - F25'!H:H,0,0,1)</f>
        <v>0</v>
      </c>
      <c r="D65" s="1390">
        <f>_xlfn.XLOOKUP(A65,'AJE.1 - F25'!A:A,'AJE.1 - F25'!F:F,0,0,1)</f>
        <v>0</v>
      </c>
      <c r="E65" s="1390"/>
      <c r="F65" s="219">
        <f>ROUND(SUM(B65:E65),0)</f>
        <v>-938</v>
      </c>
      <c r="G65" s="1390">
        <f>_xlfn.XLOOKUP($A65,TB.PRO!$A:$A,TB.PRO!F:F,0,0,1)</f>
        <v>0</v>
      </c>
      <c r="H65" s="1390">
        <f>_xlfn.XLOOKUP($A65,TB.PRO!$A:$A,TB.PRO!G:G,0,0,1)</f>
        <v>0</v>
      </c>
      <c r="I65" s="1390"/>
      <c r="J65" s="1390"/>
      <c r="K65" s="1390">
        <f>_xlfn.XLOOKUP($A65,'AJE.1 - F25'!$S$12:$S$21,'AJE.1 - F25'!$U$12:$U$21,0,0,1)</f>
        <v>0</v>
      </c>
      <c r="L65" s="665">
        <f>ROUND(SUM(G65:K65),0)</f>
        <v>0</v>
      </c>
      <c r="M65" s="1390">
        <f>_xlfn.XLOOKUP($A65,TB.PRO!$A:$A,TB.PRO!I:I,0,0,1)</f>
        <v>0</v>
      </c>
      <c r="N65" s="1390">
        <f>_xlfn.XLOOKUP($A65,TB.PRO!$A:$A,TB.PRO!J:J,0,0,1)</f>
        <v>0</v>
      </c>
      <c r="O65" s="1390"/>
      <c r="P65" s="1390"/>
      <c r="Q65" s="1390">
        <f>_xlfn.XLOOKUP($A65,'AJE.1 - F25'!$S$12:$S$21,'AJE.1 - F25'!$U$12:$U$21,0,0,1)</f>
        <v>0</v>
      </c>
      <c r="R65" s="665">
        <f>ROUND(SUM(M65:Q65),0)</f>
        <v>0</v>
      </c>
      <c r="S65" s="1390">
        <f>M65+O65</f>
        <v>0</v>
      </c>
      <c r="T65" s="1390">
        <f>N65+P65</f>
        <v>0</v>
      </c>
      <c r="U65" s="1390"/>
      <c r="V65" s="1390"/>
      <c r="W65" s="1390">
        <f>_xlfn.XLOOKUP($A65,'AJE.1 - F25'!$S$12:$S$21,'AJE.1 - F25'!$U$12:$U$21,0,0,1)</f>
        <v>0</v>
      </c>
      <c r="X65" s="665">
        <f>ROUND(SUM(S65:W65),0)</f>
        <v>0</v>
      </c>
      <c r="Y65" s="1390">
        <f>S65+U65</f>
        <v>0</v>
      </c>
      <c r="Z65" s="1390">
        <f>T65+V65</f>
        <v>0</v>
      </c>
      <c r="AA65" s="1390"/>
      <c r="AB65" s="1390"/>
      <c r="AC65" s="1390">
        <f>_xlfn.XLOOKUP($A65,'AJE.1 - F25'!$S$12:$S$21,'AJE.1 - F25'!$U$12:$U$21,0,0,1)</f>
        <v>0</v>
      </c>
      <c r="AD65" s="219">
        <f>ROUND(SUM(Y65:AC65),0)</f>
        <v>0</v>
      </c>
      <c r="AE65" s="1390">
        <f>Y65+AA65</f>
        <v>0</v>
      </c>
      <c r="AF65" s="1390">
        <f>Z65+AB65</f>
        <v>0</v>
      </c>
      <c r="AG65" s="1390"/>
      <c r="AH65" s="1390"/>
      <c r="AI65" s="1390">
        <f>_xlfn.XLOOKUP($A65,'AJE.1 - F25'!$S$12:$S$21,'AJE.1 - F25'!$U$12:$U$21,0,0,1)</f>
        <v>0</v>
      </c>
      <c r="AJ65" s="219">
        <f>ROUND(SUM(AE65:AI65),0)</f>
        <v>0</v>
      </c>
      <c r="AK65" s="178" t="str">
        <f>_xlfn.XLOOKUP($A65,COA!$B:$B,COA!$C:$C,0,0,1)</f>
        <v>Due from related parties</v>
      </c>
      <c r="AL65" s="178" t="str">
        <f>_xlfn.XLOOKUP($A65,COA!$B:$B,COA!$D:$D,0,0,1)</f>
        <v>Due from related parties</v>
      </c>
      <c r="AM65" s="178" t="str">
        <f>_xlfn.XLOOKUP($A65,COA!$B:$B,COA!$E:$E,0,0,1)</f>
        <v>Due from related parties</v>
      </c>
      <c r="AO65" s="85" t="str">
        <f>_xlfn.XLOOKUP(AM65,FS.1!A:A,AM:AM,0,0,1)</f>
        <v>Cash</v>
      </c>
      <c r="AP65" s="87"/>
      <c r="AQ65" s="87"/>
      <c r="AR65" s="87"/>
      <c r="AS65" s="87"/>
      <c r="AT65" s="85"/>
      <c r="AU65" s="85"/>
      <c r="AV65" s="85"/>
      <c r="AW65" s="85"/>
      <c r="AX65" s="85"/>
      <c r="AY65" s="85"/>
      <c r="AZ65" s="85"/>
      <c r="BA65" s="85"/>
      <c r="BB65" s="85"/>
      <c r="BC65" s="85"/>
      <c r="BD65" s="85"/>
      <c r="BE65" s="85"/>
      <c r="BF65" s="85"/>
      <c r="BG65" s="85"/>
    </row>
    <row r="66" spans="1:59" hidden="1" x14ac:dyDescent="0.25">
      <c r="A66" s="1393" t="str">
        <f>COA!B62</f>
        <v>2501 Due to/(from) related parties:Due To/From SAK2</v>
      </c>
      <c r="B66" s="1390">
        <f>_xlfn.XLOOKUP(A66,'TB.1 - F25'!A:A,'TB.1 - F25'!D:D,0,0,1)</f>
        <v>0</v>
      </c>
      <c r="C66" s="1390">
        <f>_xlfn.XLOOKUP(A66,'TB.1 - F25'!A:A,'TB.1 - F25'!H:H,0,0,1)</f>
        <v>0</v>
      </c>
      <c r="D66" s="1390">
        <f>_xlfn.XLOOKUP(A66,'AJE.1 - F25'!A:A,'AJE.1 - F25'!F:F,0,0,1)</f>
        <v>0</v>
      </c>
      <c r="E66" s="1390"/>
      <c r="F66" s="219">
        <f>ROUND(SUM(B66:E66),0)</f>
        <v>0</v>
      </c>
      <c r="G66" s="1390">
        <f>_xlfn.XLOOKUP($A66,TB.PRO!$A:$A,TB.PRO!F:F,0,0,1)</f>
        <v>0</v>
      </c>
      <c r="H66" s="1390">
        <f>_xlfn.XLOOKUP($A66,TB.PRO!$A:$A,TB.PRO!G:G,0,0,1)</f>
        <v>0</v>
      </c>
      <c r="I66" s="1390"/>
      <c r="J66" s="1390"/>
      <c r="K66" s="1390">
        <f>_xlfn.XLOOKUP($A66,'AJE.1 - F25'!$S$12:$S$21,'AJE.1 - F25'!$U$12:$U$21,0,0,1)</f>
        <v>0</v>
      </c>
      <c r="L66" s="665">
        <f>ROUND(SUM(G66:K66),0)</f>
        <v>0</v>
      </c>
      <c r="M66" s="1390">
        <f>_xlfn.XLOOKUP($A66,TB.PRO!$A:$A,TB.PRO!I:I,0,0,1)</f>
        <v>0</v>
      </c>
      <c r="N66" s="1390">
        <f>_xlfn.XLOOKUP($A66,TB.PRO!$A:$A,TB.PRO!J:J,0,0,1)</f>
        <v>0</v>
      </c>
      <c r="O66" s="1390"/>
      <c r="P66" s="1390"/>
      <c r="Q66" s="1390">
        <f>_xlfn.XLOOKUP($A66,'AJE.1 - F25'!$S$12:$S$21,'AJE.1 - F25'!$U$12:$U$21,0,0,1)</f>
        <v>0</v>
      </c>
      <c r="R66" s="665">
        <f>ROUND(SUM(M66:Q66),0)</f>
        <v>0</v>
      </c>
      <c r="S66" s="1390">
        <f>M66+O66</f>
        <v>0</v>
      </c>
      <c r="T66" s="1390">
        <f>N66+P66</f>
        <v>0</v>
      </c>
      <c r="U66" s="1390"/>
      <c r="V66" s="1390"/>
      <c r="W66" s="1390">
        <f>_xlfn.XLOOKUP($A66,'AJE.1 - F25'!$S$12:$S$21,'AJE.1 - F25'!$U$12:$U$21,0,0,1)</f>
        <v>0</v>
      </c>
      <c r="X66" s="665">
        <f>ROUND(SUM(S66:W66),0)</f>
        <v>0</v>
      </c>
      <c r="Y66" s="1390">
        <f>S66+U66</f>
        <v>0</v>
      </c>
      <c r="Z66" s="1390">
        <f>T66+V66</f>
        <v>0</v>
      </c>
      <c r="AA66" s="1390"/>
      <c r="AB66" s="1390"/>
      <c r="AC66" s="1390">
        <f>_xlfn.XLOOKUP($A66,'AJE.1 - F25'!$S$12:$S$21,'AJE.1 - F25'!$U$12:$U$21,0,0,1)</f>
        <v>0</v>
      </c>
      <c r="AD66" s="219">
        <f>ROUND(SUM(Y66:AC66),0)</f>
        <v>0</v>
      </c>
      <c r="AE66" s="1390">
        <f>Y66+AA66</f>
        <v>0</v>
      </c>
      <c r="AF66" s="1390">
        <f>Z66+AB66</f>
        <v>0</v>
      </c>
      <c r="AG66" s="1390"/>
      <c r="AH66" s="1390"/>
      <c r="AI66" s="1390">
        <f>_xlfn.XLOOKUP($A66,'AJE.1 - F25'!$S$12:$S$21,'AJE.1 - F25'!$U$12:$U$21,0,0,1)</f>
        <v>0</v>
      </c>
      <c r="AJ66" s="219">
        <f>ROUND(SUM(AE66:AI66),0)</f>
        <v>0</v>
      </c>
      <c r="AK66" s="667" t="s">
        <v>100</v>
      </c>
      <c r="AL66" s="667" t="str">
        <f>AK66</f>
        <v>Due to related parties</v>
      </c>
      <c r="AM66" s="667" t="str">
        <f>AL66</f>
        <v>Due to related parties</v>
      </c>
      <c r="AO66" s="85" t="str">
        <f>AM66</f>
        <v>Due to related parties</v>
      </c>
      <c r="AP66" s="87"/>
      <c r="AQ66" s="87"/>
      <c r="AR66" s="87"/>
      <c r="AS66" s="87"/>
      <c r="AT66" s="85"/>
      <c r="AU66" s="85"/>
      <c r="AV66" s="85"/>
      <c r="AW66" s="85"/>
      <c r="AX66" s="85"/>
      <c r="AY66" s="85"/>
      <c r="AZ66" s="85"/>
      <c r="BA66" s="85"/>
      <c r="BB66" s="85"/>
      <c r="BC66" s="85"/>
      <c r="BD66" s="85"/>
      <c r="BE66" s="85"/>
      <c r="BF66" s="85"/>
      <c r="BG66" s="85"/>
    </row>
    <row r="67" spans="1:59" x14ac:dyDescent="0.25">
      <c r="A67" s="1393" t="str">
        <f>COA!B63</f>
        <v>2502 Due to/(from) related parties:Due To/From SAK6</v>
      </c>
      <c r="B67" s="1390">
        <f>_xlfn.XLOOKUP(A67,'TB.1 - F25'!A:A,'TB.1 - F25'!D:D,0,0,1)</f>
        <v>-900</v>
      </c>
      <c r="C67" s="1390">
        <f>_xlfn.XLOOKUP(A67,'TB.1 - F25'!A:A,'TB.1 - F25'!H:H,0,0,1)</f>
        <v>0</v>
      </c>
      <c r="D67" s="1390">
        <f>_xlfn.XLOOKUP(A67,'AJE.1 - F25'!A:A,'AJE.1 - F25'!F:F,0,0,1)</f>
        <v>0</v>
      </c>
      <c r="E67" s="1390"/>
      <c r="F67" s="219">
        <f>ROUND(SUM(B67:E67),0)</f>
        <v>-900</v>
      </c>
      <c r="G67" s="1390">
        <f>_xlfn.XLOOKUP($A67,TB.PRO!$A:$A,TB.PRO!F:F,0,0,1)</f>
        <v>-900</v>
      </c>
      <c r="H67" s="1390">
        <f>_xlfn.XLOOKUP($A67,TB.PRO!$A:$A,TB.PRO!G:G,0,0,1)</f>
        <v>0</v>
      </c>
      <c r="I67" s="1390"/>
      <c r="J67" s="1390"/>
      <c r="K67" s="1390">
        <f>_xlfn.XLOOKUP($A67,'AJE.1 - F25'!$S$12:$S$21,'AJE.1 - F25'!$U$12:$U$21,0,0,1)</f>
        <v>0</v>
      </c>
      <c r="L67" s="665">
        <f>ROUND(SUM(G67:K67),0)</f>
        <v>-900</v>
      </c>
      <c r="M67" s="1390">
        <f>_xlfn.XLOOKUP($A67,TB.PRO!$A:$A,TB.PRO!I:I,0,0,1)</f>
        <v>-900</v>
      </c>
      <c r="N67" s="1390">
        <f>_xlfn.XLOOKUP($A67,TB.PRO!$A:$A,TB.PRO!J:J,0,0,1)</f>
        <v>0</v>
      </c>
      <c r="O67" s="1390"/>
      <c r="P67" s="1390"/>
      <c r="Q67" s="1390">
        <f>_xlfn.XLOOKUP($A67,'AJE.1 - F25'!$S$12:$S$21,'AJE.1 - F25'!$U$12:$U$21,0,0,1)</f>
        <v>0</v>
      </c>
      <c r="R67" s="665">
        <f>ROUND(SUM(M67:Q67),0)</f>
        <v>-900</v>
      </c>
      <c r="S67" s="1390">
        <f>M67+O67</f>
        <v>-900</v>
      </c>
      <c r="T67" s="1390">
        <f>N67+P67</f>
        <v>0</v>
      </c>
      <c r="U67" s="1390"/>
      <c r="V67" s="1390"/>
      <c r="W67" s="1390">
        <f>_xlfn.XLOOKUP($A67,'AJE.1 - F25'!$S$12:$S$21,'AJE.1 - F25'!$U$12:$U$21,0,0,1)</f>
        <v>0</v>
      </c>
      <c r="X67" s="665">
        <f>ROUND(SUM(S67:W67),0)</f>
        <v>-900</v>
      </c>
      <c r="Y67" s="1390">
        <f>S67+U67</f>
        <v>-900</v>
      </c>
      <c r="Z67" s="1390">
        <f>T67+V67</f>
        <v>0</v>
      </c>
      <c r="AA67" s="1390"/>
      <c r="AB67" s="1390"/>
      <c r="AC67" s="1390">
        <f>_xlfn.XLOOKUP($A67,'AJE.1 - F25'!$S$12:$S$21,'AJE.1 - F25'!$U$12:$U$21,0,0,1)</f>
        <v>0</v>
      </c>
      <c r="AD67" s="219">
        <f>ROUND(SUM(Y67:AC67),0)</f>
        <v>-900</v>
      </c>
      <c r="AE67" s="1390">
        <f>Y67+AA67</f>
        <v>-900</v>
      </c>
      <c r="AF67" s="1390">
        <f>Z67+AB67</f>
        <v>0</v>
      </c>
      <c r="AG67" s="1390"/>
      <c r="AH67" s="1390"/>
      <c r="AI67" s="1390">
        <f>_xlfn.XLOOKUP($A67,'AJE.1 - F25'!$S$12:$S$21,'AJE.1 - F25'!$U$12:$U$21,0,0,1)</f>
        <v>0</v>
      </c>
      <c r="AJ67" s="219">
        <f>ROUND(SUM(AE67:AI67),0)</f>
        <v>-900</v>
      </c>
      <c r="AK67" s="667" t="s">
        <v>100</v>
      </c>
      <c r="AL67" s="667" t="str">
        <f>AK67</f>
        <v>Due to related parties</v>
      </c>
      <c r="AM67" s="667" t="str">
        <f>AL67</f>
        <v>Due to related parties</v>
      </c>
      <c r="AO67" s="85" t="str">
        <f>_xlfn.XLOOKUP(AM67,FS.1!A:A,AM:AM,0,0,1)</f>
        <v>Equipment</v>
      </c>
      <c r="AP67" s="87"/>
      <c r="AQ67" s="87"/>
      <c r="AR67" s="87"/>
      <c r="AS67" s="87"/>
      <c r="AT67" s="85"/>
      <c r="AU67" s="85"/>
      <c r="AV67" s="85"/>
      <c r="AW67" s="85"/>
      <c r="AX67" s="85"/>
      <c r="AY67" s="85"/>
      <c r="AZ67" s="85"/>
      <c r="BA67" s="85"/>
      <c r="BB67" s="85"/>
      <c r="BC67" s="85"/>
      <c r="BD67" s="85"/>
      <c r="BE67" s="85"/>
      <c r="BF67" s="85"/>
      <c r="BG67" s="85"/>
    </row>
    <row r="68" spans="1:59" hidden="1" x14ac:dyDescent="0.25">
      <c r="A68" s="1393" t="str">
        <f>COA!B64</f>
        <v>2503 Due to/(from) related parties:Due To/From UpCapital</v>
      </c>
      <c r="B68" s="1390">
        <f>_xlfn.XLOOKUP(A68,'TB.1 - F25'!A:A,'TB.1 - F25'!D:D,0,0,1)</f>
        <v>0</v>
      </c>
      <c r="C68" s="1390">
        <f>_xlfn.XLOOKUP(A68,'TB.1 - F25'!A:A,'TB.1 - F25'!H:H,0,0,1)</f>
        <v>0</v>
      </c>
      <c r="D68" s="1390">
        <f>_xlfn.XLOOKUP(A68,'AJE.1 - F25'!A:A,'AJE.1 - F25'!F:F,0,0,1)</f>
        <v>0</v>
      </c>
      <c r="E68" s="1390"/>
      <c r="F68" s="219">
        <f>ROUND(SUM(B68:E68),0)</f>
        <v>0</v>
      </c>
      <c r="G68" s="1390">
        <f>_xlfn.XLOOKUP($A68,TB.PRO!$A:$A,TB.PRO!F:F,0,0,1)</f>
        <v>0</v>
      </c>
      <c r="H68" s="1390">
        <f>_xlfn.XLOOKUP($A68,TB.PRO!$A:$A,TB.PRO!G:G,0,0,1)</f>
        <v>0</v>
      </c>
      <c r="I68" s="1390"/>
      <c r="J68" s="1390"/>
      <c r="K68" s="1390">
        <f>_xlfn.XLOOKUP($A68,'AJE.1 - F25'!$S$12:$S$21,'AJE.1 - F25'!$U$12:$U$21,0,0,1)</f>
        <v>0</v>
      </c>
      <c r="L68" s="665">
        <f>ROUND(SUM(G68:K68),0)</f>
        <v>0</v>
      </c>
      <c r="M68" s="1390">
        <f>_xlfn.XLOOKUP($A68,TB.PRO!$A:$A,TB.PRO!I:I,0,0,1)</f>
        <v>0</v>
      </c>
      <c r="N68" s="1390">
        <f>_xlfn.XLOOKUP($A68,TB.PRO!$A:$A,TB.PRO!J:J,0,0,1)</f>
        <v>0</v>
      </c>
      <c r="O68" s="1390"/>
      <c r="P68" s="1390"/>
      <c r="Q68" s="1390">
        <f>_xlfn.XLOOKUP($A68,'AJE.1 - F25'!$S$12:$S$21,'AJE.1 - F25'!$U$12:$U$21,0,0,1)</f>
        <v>0</v>
      </c>
      <c r="R68" s="665">
        <f>ROUND(SUM(M68:Q68),0)</f>
        <v>0</v>
      </c>
      <c r="S68" s="1390">
        <f>M68+O68</f>
        <v>0</v>
      </c>
      <c r="T68" s="1390">
        <f>N68+P68</f>
        <v>0</v>
      </c>
      <c r="U68" s="1390"/>
      <c r="V68" s="1390"/>
      <c r="W68" s="1390">
        <f>_xlfn.XLOOKUP($A68,'AJE.1 - F25'!$S$12:$S$21,'AJE.1 - F25'!$U$12:$U$21,0,0,1)</f>
        <v>0</v>
      </c>
      <c r="X68" s="665">
        <f>ROUND(SUM(S68:W68),0)</f>
        <v>0</v>
      </c>
      <c r="Y68" s="1390">
        <f>S68+U68</f>
        <v>0</v>
      </c>
      <c r="Z68" s="1390">
        <f>T68+V68</f>
        <v>0</v>
      </c>
      <c r="AA68" s="1390"/>
      <c r="AB68" s="1390"/>
      <c r="AC68" s="1390">
        <f>_xlfn.XLOOKUP($A68,'AJE.1 - F25'!$S$12:$S$21,'AJE.1 - F25'!$U$12:$U$21,0,0,1)</f>
        <v>0</v>
      </c>
      <c r="AD68" s="219">
        <f>ROUND(SUM(Y68:AC68),0)</f>
        <v>0</v>
      </c>
      <c r="AE68" s="1390">
        <f>Y68+AA68</f>
        <v>0</v>
      </c>
      <c r="AF68" s="1390">
        <f>Z68+AB68</f>
        <v>0</v>
      </c>
      <c r="AG68" s="1390"/>
      <c r="AH68" s="1390"/>
      <c r="AI68" s="1390">
        <f>_xlfn.XLOOKUP($A68,'AJE.1 - F25'!$S$12:$S$21,'AJE.1 - F25'!$U$12:$U$21,0,0,1)</f>
        <v>0</v>
      </c>
      <c r="AJ68" s="219">
        <f>ROUND(SUM(AE68:AI68),0)</f>
        <v>0</v>
      </c>
      <c r="AK68" s="178" t="str">
        <f>_xlfn.XLOOKUP($A68,COA!$B:$B,COA!$C:$C,0,0,1)</f>
        <v>Due from related parties</v>
      </c>
      <c r="AL68" s="178" t="str">
        <f>_xlfn.XLOOKUP($A68,COA!$B:$B,COA!$D:$D,0,0,1)</f>
        <v>Due from related parties</v>
      </c>
      <c r="AM68" s="178" t="str">
        <f>_xlfn.XLOOKUP($A68,COA!$B:$B,COA!$E:$E,0,0,1)</f>
        <v>Due from related parties</v>
      </c>
      <c r="AO68" s="85" t="str">
        <f>_xlfn.XLOOKUP(AM68,FS.1!A:A,AM:AM,0,0,1)</f>
        <v>Cash</v>
      </c>
      <c r="AP68" s="87"/>
      <c r="AQ68" s="87"/>
      <c r="AR68" s="87"/>
      <c r="AS68" s="87"/>
      <c r="AT68" s="85"/>
      <c r="AU68" s="85"/>
      <c r="AV68" s="85"/>
      <c r="AW68" s="85"/>
      <c r="AX68" s="85"/>
      <c r="AY68" s="85"/>
      <c r="AZ68" s="85"/>
      <c r="BA68" s="85"/>
      <c r="BB68" s="85"/>
      <c r="BC68" s="85"/>
      <c r="BD68" s="85"/>
      <c r="BE68" s="85"/>
      <c r="BF68" s="85"/>
      <c r="BG68" s="85"/>
    </row>
    <row r="69" spans="1:59" hidden="1" x14ac:dyDescent="0.25">
      <c r="A69" s="1393" t="str">
        <f>COA!B65</f>
        <v>2504 Due to/(from) related parties:Shareholder's Loan</v>
      </c>
      <c r="B69" s="1390">
        <f>_xlfn.XLOOKUP(A69,'TB.1 - F25'!A:A,'TB.1 - F25'!D:D,0,0,1)</f>
        <v>-3500</v>
      </c>
      <c r="C69" s="1390">
        <f>_xlfn.XLOOKUP(A69,'TB.1 - F25'!A:A,'TB.1 - F25'!H:H,0,0,1)</f>
        <v>0</v>
      </c>
      <c r="D69" s="1390">
        <f>_xlfn.XLOOKUP(A69,'AJE.1 - F25'!A:A,'AJE.1 - F25'!F:F,0,0,1)</f>
        <v>0</v>
      </c>
      <c r="E69" s="1390"/>
      <c r="F69" s="219">
        <f>ROUND(SUM(B69:E69),0)</f>
        <v>-3500</v>
      </c>
      <c r="G69" s="1390">
        <f>_xlfn.XLOOKUP($A69,TB.PRO!$A:$A,TB.PRO!F:F,0,0,1)</f>
        <v>0</v>
      </c>
      <c r="H69" s="1390">
        <f>_xlfn.XLOOKUP($A69,TB.PRO!$A:$A,TB.PRO!G:G,0,0,1)</f>
        <v>0</v>
      </c>
      <c r="I69" s="1390"/>
      <c r="J69" s="1390"/>
      <c r="K69" s="1390">
        <f>_xlfn.XLOOKUP($A69,'AJE.1 - F25'!$S$12:$S$21,'AJE.1 - F25'!$U$12:$U$21,0,0,1)</f>
        <v>0</v>
      </c>
      <c r="L69" s="665">
        <f>ROUND(SUM(G69:K69),0)</f>
        <v>0</v>
      </c>
      <c r="M69" s="1390">
        <f>_xlfn.XLOOKUP($A69,TB.PRO!$A:$A,TB.PRO!I:I,0,0,1)</f>
        <v>0</v>
      </c>
      <c r="N69" s="1390">
        <f>_xlfn.XLOOKUP($A69,TB.PRO!$A:$A,TB.PRO!J:J,0,0,1)</f>
        <v>0</v>
      </c>
      <c r="O69" s="1390"/>
      <c r="P69" s="1390"/>
      <c r="Q69" s="1390">
        <f>_xlfn.XLOOKUP($A69,'AJE.1 - F25'!$S$12:$S$21,'AJE.1 - F25'!$U$12:$U$21,0,0,1)</f>
        <v>0</v>
      </c>
      <c r="R69" s="665">
        <f>ROUND(SUM(M69:Q69),0)</f>
        <v>0</v>
      </c>
      <c r="S69" s="1390">
        <f>M69+O69</f>
        <v>0</v>
      </c>
      <c r="T69" s="1390">
        <f>N69+P69</f>
        <v>0</v>
      </c>
      <c r="U69" s="1390"/>
      <c r="V69" s="1390"/>
      <c r="W69" s="1390">
        <f>_xlfn.XLOOKUP($A69,'AJE.1 - F25'!$S$12:$S$21,'AJE.1 - F25'!$U$12:$U$21,0,0,1)</f>
        <v>0</v>
      </c>
      <c r="X69" s="665">
        <f>ROUND(SUM(S69:W69),0)</f>
        <v>0</v>
      </c>
      <c r="Y69" s="1390">
        <f>S69+U69</f>
        <v>0</v>
      </c>
      <c r="Z69" s="1390">
        <f>T69+V69</f>
        <v>0</v>
      </c>
      <c r="AA69" s="1390"/>
      <c r="AB69" s="1390"/>
      <c r="AC69" s="1390">
        <f>_xlfn.XLOOKUP($A69,'AJE.1 - F25'!$S$12:$S$21,'AJE.1 - F25'!$U$12:$U$21,0,0,1)</f>
        <v>0</v>
      </c>
      <c r="AD69" s="219">
        <f>ROUND(SUM(Y69:AC69),0)</f>
        <v>0</v>
      </c>
      <c r="AE69" s="1390">
        <f>Y69+AA69</f>
        <v>0</v>
      </c>
      <c r="AF69" s="1390">
        <f>Z69+AB69</f>
        <v>0</v>
      </c>
      <c r="AG69" s="1390"/>
      <c r="AH69" s="1390"/>
      <c r="AI69" s="1390">
        <f>_xlfn.XLOOKUP($A69,'AJE.1 - F25'!$S$12:$S$21,'AJE.1 - F25'!$U$12:$U$21,0,0,1)</f>
        <v>0</v>
      </c>
      <c r="AJ69" s="219">
        <f>ROUND(SUM(AE69:AI69),0)</f>
        <v>0</v>
      </c>
      <c r="AK69" s="178" t="str">
        <f>_xlfn.XLOOKUP($A69,COA!$B:$B,COA!$C:$C,0,0,1)</f>
        <v>Due from related parties</v>
      </c>
      <c r="AL69" s="178" t="str">
        <f>_xlfn.XLOOKUP($A69,COA!$B:$B,COA!$D:$D,0,0,1)</f>
        <v>Due from related parties</v>
      </c>
      <c r="AM69" s="178" t="str">
        <f>_xlfn.XLOOKUP($A69,COA!$B:$B,COA!$E:$E,0,0,1)</f>
        <v>Due from related parties</v>
      </c>
      <c r="AO69" s="85" t="str">
        <f>_xlfn.XLOOKUP(AM69,FS.1!A:A,AM:AM,0,0,1)</f>
        <v>Cash</v>
      </c>
      <c r="AP69" s="87"/>
      <c r="AQ69" s="87"/>
      <c r="AR69" s="87"/>
      <c r="AS69" s="87"/>
      <c r="AT69" s="85"/>
      <c r="AU69" s="85"/>
      <c r="AV69" s="85"/>
      <c r="AW69" s="85"/>
      <c r="AX69" s="85"/>
      <c r="AY69" s="85"/>
      <c r="AZ69" s="85"/>
      <c r="BA69" s="85"/>
      <c r="BB69" s="85"/>
      <c r="BC69" s="85"/>
      <c r="BD69" s="85"/>
      <c r="BE69" s="85"/>
      <c r="BF69" s="85"/>
      <c r="BG69" s="85"/>
    </row>
    <row r="70" spans="1:59" hidden="1" x14ac:dyDescent="0.25">
      <c r="A70" s="1393" t="str">
        <f>COA!B66</f>
        <v>2600 Current portion of loans and borrowings</v>
      </c>
      <c r="B70" s="1390">
        <f>_xlfn.XLOOKUP(A70,'TB.1 - F25'!A:A,'TB.1 - F25'!D:D,0,0,1)</f>
        <v>0</v>
      </c>
      <c r="C70" s="1390">
        <f>_xlfn.XLOOKUP(A70,'TB.1 - F25'!A:A,'TB.1 - F25'!H:H,0,0,1)</f>
        <v>0</v>
      </c>
      <c r="D70" s="1390">
        <f>_xlfn.XLOOKUP(A70,'AJE.1 - F25'!A:A,'AJE.1 - F25'!F:F,0,0,1)</f>
        <v>0</v>
      </c>
      <c r="E70" s="1390"/>
      <c r="F70" s="219">
        <f>ROUND(SUM(B70:E70),0)</f>
        <v>0</v>
      </c>
      <c r="G70" s="1390">
        <f>_xlfn.XLOOKUP($A70,TB.PRO!$A:$A,TB.PRO!F:F,0,0,1)</f>
        <v>0</v>
      </c>
      <c r="H70" s="1390">
        <f>_xlfn.XLOOKUP($A70,TB.PRO!$A:$A,TB.PRO!G:G,0,0,1)</f>
        <v>0</v>
      </c>
      <c r="I70" s="1390"/>
      <c r="J70" s="1390"/>
      <c r="K70" s="1390">
        <f>_xlfn.XLOOKUP($A70,'AJE.1 - F25'!$S$12:$S$21,'AJE.1 - F25'!$U$12:$U$21,0,0,1)</f>
        <v>0</v>
      </c>
      <c r="L70" s="665">
        <f>ROUND(SUM(G70:K70),0)</f>
        <v>0</v>
      </c>
      <c r="M70" s="1390">
        <f>_xlfn.XLOOKUP($A70,TB.PRO!$A:$A,TB.PRO!I:I,0,0,1)</f>
        <v>0</v>
      </c>
      <c r="N70" s="1390">
        <f>_xlfn.XLOOKUP($A70,TB.PRO!$A:$A,TB.PRO!J:J,0,0,1)</f>
        <v>0</v>
      </c>
      <c r="O70" s="1390"/>
      <c r="P70" s="1390"/>
      <c r="Q70" s="1390">
        <f>_xlfn.XLOOKUP($A70,'AJE.1 - F25'!$S$12:$S$21,'AJE.1 - F25'!$U$12:$U$21,0,0,1)</f>
        <v>0</v>
      </c>
      <c r="R70" s="665">
        <f>ROUND(SUM(M70:Q70),0)</f>
        <v>0</v>
      </c>
      <c r="S70" s="1390">
        <f>M70+O70</f>
        <v>0</v>
      </c>
      <c r="T70" s="1390">
        <f>N70+P70</f>
        <v>0</v>
      </c>
      <c r="U70" s="1390"/>
      <c r="V70" s="1390"/>
      <c r="W70" s="1390">
        <f>_xlfn.XLOOKUP($A70,'AJE.1 - F25'!$S$12:$S$21,'AJE.1 - F25'!$U$12:$U$21,0,0,1)</f>
        <v>0</v>
      </c>
      <c r="X70" s="665">
        <f>ROUND(SUM(S70:W70),0)</f>
        <v>0</v>
      </c>
      <c r="Y70" s="1390">
        <f>S70+U70</f>
        <v>0</v>
      </c>
      <c r="Z70" s="1390">
        <f>T70+V70</f>
        <v>0</v>
      </c>
      <c r="AA70" s="1390"/>
      <c r="AB70" s="1390"/>
      <c r="AC70" s="1390">
        <f>_xlfn.XLOOKUP($A70,'AJE.1 - F25'!$S$12:$S$21,'AJE.1 - F25'!$U$12:$U$21,0,0,1)</f>
        <v>0</v>
      </c>
      <c r="AD70" s="219">
        <f>ROUND(SUM(Y70:AC70),0)</f>
        <v>0</v>
      </c>
      <c r="AE70" s="1390">
        <f>Y70+AA70</f>
        <v>0</v>
      </c>
      <c r="AF70" s="1390">
        <f>Z70+AB70</f>
        <v>0</v>
      </c>
      <c r="AG70" s="1390"/>
      <c r="AH70" s="1390"/>
      <c r="AI70" s="1390">
        <f>_xlfn.XLOOKUP($A70,'AJE.1 - F25'!$S$12:$S$21,'AJE.1 - F25'!$U$12:$U$21,0,0,1)</f>
        <v>0</v>
      </c>
      <c r="AJ70" s="219">
        <f>ROUND(SUM(AE70:AI70),0)</f>
        <v>0</v>
      </c>
      <c r="AK70" s="178" t="str">
        <f>_xlfn.XLOOKUP($A70,COA!$B:$B,COA!$C:$C,0,0,1)</f>
        <v xml:space="preserve">Current portion of loans and borrowings </v>
      </c>
      <c r="AL70" s="178" t="str">
        <f>_xlfn.XLOOKUP($A70,COA!$B:$B,COA!$D:$D,0,0,1)</f>
        <v xml:space="preserve">Current portion of loans and borrowings </v>
      </c>
      <c r="AM70" s="178" t="str">
        <f>_xlfn.XLOOKUP($A70,COA!$B:$B,COA!$E:$E,0,0,1)</f>
        <v xml:space="preserve">Current portion of loans and borrowings </v>
      </c>
      <c r="AO70" s="85">
        <f>_xlfn.XLOOKUP(AM70,FS.1!A:A,AM:AM,0,0,1)</f>
        <v>0</v>
      </c>
      <c r="AP70" s="87"/>
      <c r="AQ70" s="87"/>
      <c r="AR70" s="87"/>
      <c r="AS70" s="87"/>
      <c r="AT70" s="85"/>
      <c r="AU70" s="85"/>
      <c r="AV70" s="85"/>
      <c r="AW70" s="85"/>
      <c r="AX70" s="85"/>
      <c r="AY70" s="85"/>
      <c r="AZ70" s="85"/>
      <c r="BA70" s="85"/>
      <c r="BB70" s="85"/>
      <c r="BC70" s="85"/>
      <c r="BD70" s="85"/>
      <c r="BE70" s="85"/>
      <c r="BF70" s="85"/>
      <c r="BG70" s="85"/>
    </row>
    <row r="71" spans="1:59" hidden="1" x14ac:dyDescent="0.25">
      <c r="A71" s="1393" t="str">
        <f>COA!B67</f>
        <v>2600 Due to RPT - Diane Halston</v>
      </c>
      <c r="B71" s="1390">
        <f>_xlfn.XLOOKUP(A71,'TB.1 - F25'!A:A,'TB.1 - F25'!D:D,0,0,1)</f>
        <v>0</v>
      </c>
      <c r="C71" s="1390">
        <f>_xlfn.XLOOKUP(A71,'TB.1 - F25'!A:A,'TB.1 - F25'!H:H,0,0,1)</f>
        <v>0</v>
      </c>
      <c r="D71" s="1390">
        <f>_xlfn.XLOOKUP(A71,'AJE.1 - F25'!A:A,'AJE.1 - F25'!F:F,0,0,1)</f>
        <v>0</v>
      </c>
      <c r="E71" s="1390"/>
      <c r="F71" s="219">
        <f>ROUND(SUM(B71:E71),0)</f>
        <v>0</v>
      </c>
      <c r="G71" s="1390">
        <f>_xlfn.XLOOKUP($A71,TB.PRO!$A:$A,TB.PRO!F:F,0,0,1)</f>
        <v>0</v>
      </c>
      <c r="H71" s="1390">
        <f>_xlfn.XLOOKUP($A71,TB.PRO!$A:$A,TB.PRO!G:G,0,0,1)</f>
        <v>0</v>
      </c>
      <c r="I71" s="1390"/>
      <c r="J71" s="1390"/>
      <c r="K71" s="1390">
        <f>_xlfn.XLOOKUP($A71,'AJE.1 - F25'!$S$12:$S$21,'AJE.1 - F25'!$U$12:$U$21,0,0,1)</f>
        <v>0</v>
      </c>
      <c r="L71" s="665">
        <f>ROUND(SUM(G71:K71),0)</f>
        <v>0</v>
      </c>
      <c r="M71" s="1390">
        <f>_xlfn.XLOOKUP($A71,TB.PRO!$A:$A,TB.PRO!I:I,0,0,1)</f>
        <v>0</v>
      </c>
      <c r="N71" s="1390">
        <f>_xlfn.XLOOKUP($A71,TB.PRO!$A:$A,TB.PRO!J:J,0,0,1)</f>
        <v>0</v>
      </c>
      <c r="O71" s="1390"/>
      <c r="P71" s="1390"/>
      <c r="Q71" s="1390">
        <f>_xlfn.XLOOKUP($A71,'AJE.1 - F25'!$S$12:$S$21,'AJE.1 - F25'!$U$12:$U$21,0,0,1)</f>
        <v>0</v>
      </c>
      <c r="R71" s="665">
        <f>ROUND(SUM(M71:Q71),0)</f>
        <v>0</v>
      </c>
      <c r="S71" s="1390">
        <f>M71+O71</f>
        <v>0</v>
      </c>
      <c r="T71" s="1390">
        <f>N71+P71</f>
        <v>0</v>
      </c>
      <c r="U71" s="1390"/>
      <c r="V71" s="1390"/>
      <c r="W71" s="1390">
        <f>_xlfn.XLOOKUP($A71,'AJE.1 - F25'!$S$12:$S$21,'AJE.1 - F25'!$U$12:$U$21,0,0,1)</f>
        <v>0</v>
      </c>
      <c r="X71" s="665">
        <f>ROUND(SUM(S71:W71),0)</f>
        <v>0</v>
      </c>
      <c r="Y71" s="1390">
        <f>S71+U71</f>
        <v>0</v>
      </c>
      <c r="Z71" s="1390">
        <f>T71+V71</f>
        <v>0</v>
      </c>
      <c r="AA71" s="1390"/>
      <c r="AB71" s="1390"/>
      <c r="AC71" s="1390">
        <f>_xlfn.XLOOKUP($A71,'AJE.1 - F25'!$S$12:$S$21,'AJE.1 - F25'!$U$12:$U$21,0,0,1)</f>
        <v>0</v>
      </c>
      <c r="AD71" s="219">
        <f>ROUND(SUM(Y71:AC71),0)</f>
        <v>0</v>
      </c>
      <c r="AE71" s="1390">
        <f>Y71+AA71</f>
        <v>0</v>
      </c>
      <c r="AF71" s="1390">
        <f>Z71+AB71</f>
        <v>0</v>
      </c>
      <c r="AG71" s="1390"/>
      <c r="AH71" s="1390"/>
      <c r="AI71" s="1390">
        <f>_xlfn.XLOOKUP($A71,'AJE.1 - F25'!$S$12:$S$21,'AJE.1 - F25'!$U$12:$U$21,0,0,1)</f>
        <v>0</v>
      </c>
      <c r="AJ71" s="219">
        <f>ROUND(SUM(AE71:AI71),0)</f>
        <v>0</v>
      </c>
      <c r="AK71" s="178" t="str">
        <f>_xlfn.XLOOKUP($A71,COA!$B:$B,COA!$C:$C,0,0,1)</f>
        <v>Due to related parties</v>
      </c>
      <c r="AL71" s="178" t="str">
        <f>_xlfn.XLOOKUP($A71,COA!$B:$B,COA!$D:$D,0,0,1)</f>
        <v>Due to related parties</v>
      </c>
      <c r="AM71" s="178" t="str">
        <f>_xlfn.XLOOKUP($A71,COA!$B:$B,COA!$E:$E,0,0,1)</f>
        <v>Due to related parties</v>
      </c>
      <c r="AO71" s="85" t="str">
        <f>_xlfn.XLOOKUP(AM71,FS.1!A:A,AM:AM,0,0,1)</f>
        <v>Equipment</v>
      </c>
      <c r="AP71" s="87"/>
      <c r="AQ71" s="87"/>
      <c r="AR71" s="87"/>
      <c r="AS71" s="87"/>
      <c r="AT71" s="85"/>
      <c r="AU71" s="85"/>
      <c r="AV71" s="85"/>
      <c r="AW71" s="85"/>
      <c r="AX71" s="85"/>
      <c r="AY71" s="85"/>
      <c r="AZ71" s="85"/>
      <c r="BA71" s="85"/>
      <c r="BB71" s="85"/>
      <c r="BC71" s="85"/>
      <c r="BD71" s="85"/>
      <c r="BE71" s="85"/>
      <c r="BF71" s="85"/>
      <c r="BG71" s="85"/>
    </row>
    <row r="72" spans="1:59" hidden="1" x14ac:dyDescent="0.25">
      <c r="A72" s="1393" t="str">
        <f>COA!B68</f>
        <v>2601 Due to RPT - Brett Halston</v>
      </c>
      <c r="B72" s="1390">
        <f>_xlfn.XLOOKUP(A72,'TB.1 - F25'!A:A,'TB.1 - F25'!D:D,0,0,1)</f>
        <v>0</v>
      </c>
      <c r="C72" s="1390">
        <f>_xlfn.XLOOKUP(A72,'TB.1 - F25'!A:A,'TB.1 - F25'!H:H,0,0,1)</f>
        <v>0</v>
      </c>
      <c r="D72" s="1390">
        <f>_xlfn.XLOOKUP(A72,'AJE.1 - F25'!A:A,'AJE.1 - F25'!F:F,0,0,1)</f>
        <v>0</v>
      </c>
      <c r="E72" s="1390"/>
      <c r="F72" s="219">
        <f>ROUND(SUM(B72:E72),0)</f>
        <v>0</v>
      </c>
      <c r="G72" s="1390">
        <f>_xlfn.XLOOKUP($A72,TB.PRO!$A:$A,TB.PRO!F:F,0,0,1)</f>
        <v>0</v>
      </c>
      <c r="H72" s="1390">
        <f>_xlfn.XLOOKUP($A72,TB.PRO!$A:$A,TB.PRO!G:G,0,0,1)</f>
        <v>0</v>
      </c>
      <c r="I72" s="1390"/>
      <c r="J72" s="1390"/>
      <c r="K72" s="1390">
        <f>_xlfn.XLOOKUP($A72,'AJE.1 - F25'!$S$12:$S$21,'AJE.1 - F25'!$U$12:$U$21,0,0,1)</f>
        <v>0</v>
      </c>
      <c r="L72" s="665">
        <f>ROUND(SUM(G72:K72),0)</f>
        <v>0</v>
      </c>
      <c r="M72" s="1390">
        <f>_xlfn.XLOOKUP($A72,TB.PRO!$A:$A,TB.PRO!I:I,0,0,1)</f>
        <v>0</v>
      </c>
      <c r="N72" s="1390">
        <f>_xlfn.XLOOKUP($A72,TB.PRO!$A:$A,TB.PRO!J:J,0,0,1)</f>
        <v>0</v>
      </c>
      <c r="O72" s="1390"/>
      <c r="P72" s="1390"/>
      <c r="Q72" s="1390">
        <f>_xlfn.XLOOKUP($A72,'AJE.1 - F25'!$S$12:$S$21,'AJE.1 - F25'!$U$12:$U$21,0,0,1)</f>
        <v>0</v>
      </c>
      <c r="R72" s="665">
        <f>ROUND(SUM(M72:Q72),0)</f>
        <v>0</v>
      </c>
      <c r="S72" s="1390">
        <f>M72+O72</f>
        <v>0</v>
      </c>
      <c r="T72" s="1390">
        <f>N72+P72</f>
        <v>0</v>
      </c>
      <c r="U72" s="1390"/>
      <c r="V72" s="1390"/>
      <c r="W72" s="1390">
        <f>_xlfn.XLOOKUP($A72,'AJE.1 - F25'!$S$12:$S$21,'AJE.1 - F25'!$U$12:$U$21,0,0,1)</f>
        <v>0</v>
      </c>
      <c r="X72" s="665">
        <f>ROUND(SUM(S72:W72),0)</f>
        <v>0</v>
      </c>
      <c r="Y72" s="1390">
        <f>S72+U72</f>
        <v>0</v>
      </c>
      <c r="Z72" s="1390">
        <f>T72+V72</f>
        <v>0</v>
      </c>
      <c r="AA72" s="1390"/>
      <c r="AB72" s="1390"/>
      <c r="AC72" s="1390">
        <f>_xlfn.XLOOKUP($A72,'AJE.1 - F25'!$S$12:$S$21,'AJE.1 - F25'!$U$12:$U$21,0,0,1)</f>
        <v>0</v>
      </c>
      <c r="AD72" s="219">
        <f>ROUND(SUM(Y72:AC72),0)</f>
        <v>0</v>
      </c>
      <c r="AE72" s="1390">
        <f>Y72+AA72</f>
        <v>0</v>
      </c>
      <c r="AF72" s="1390">
        <f>Z72+AB72</f>
        <v>0</v>
      </c>
      <c r="AG72" s="1390"/>
      <c r="AH72" s="1390"/>
      <c r="AI72" s="1390">
        <f>_xlfn.XLOOKUP($A72,'AJE.1 - F25'!$S$12:$S$21,'AJE.1 - F25'!$U$12:$U$21,0,0,1)</f>
        <v>0</v>
      </c>
      <c r="AJ72" s="219">
        <f>ROUND(SUM(AE72:AI72),0)</f>
        <v>0</v>
      </c>
      <c r="AK72" s="667" t="s">
        <v>644</v>
      </c>
      <c r="AL72" s="667" t="str">
        <f>AK72</f>
        <v>Intercompany</v>
      </c>
      <c r="AM72" s="667" t="str">
        <f>AL72</f>
        <v>Intercompany</v>
      </c>
      <c r="AO72" s="85" t="str">
        <f>AM72</f>
        <v>Intercompany</v>
      </c>
      <c r="AP72" s="87"/>
      <c r="AQ72" s="87"/>
      <c r="AR72" s="87"/>
      <c r="AS72" s="87"/>
      <c r="AT72" s="85"/>
      <c r="AU72" s="85"/>
      <c r="AV72" s="85"/>
      <c r="AW72" s="85"/>
      <c r="AX72" s="85"/>
      <c r="AY72" s="85"/>
      <c r="AZ72" s="85"/>
      <c r="BA72" s="85"/>
      <c r="BB72" s="85"/>
      <c r="BC72" s="85"/>
      <c r="BD72" s="85"/>
      <c r="BE72" s="85"/>
      <c r="BF72" s="85"/>
      <c r="BG72" s="85"/>
    </row>
    <row r="73" spans="1:59" hidden="1" x14ac:dyDescent="0.25">
      <c r="A73" s="1393" t="str">
        <f>COA!B69</f>
        <v>2602 Due to RPT - Keith Halston</v>
      </c>
      <c r="B73" s="1390">
        <f>_xlfn.XLOOKUP(A73,'TB.1 - F25'!A:A,'TB.1 - F25'!D:D,0,0,1)</f>
        <v>0</v>
      </c>
      <c r="C73" s="1390">
        <f>_xlfn.XLOOKUP(A73,'TB.1 - F25'!A:A,'TB.1 - F25'!H:H,0,0,1)</f>
        <v>0</v>
      </c>
      <c r="D73" s="1390">
        <f>_xlfn.XLOOKUP(A73,'AJE.1 - F25'!A:A,'AJE.1 - F25'!F:F,0,0,1)</f>
        <v>0</v>
      </c>
      <c r="E73" s="1390"/>
      <c r="F73" s="219">
        <f>ROUND(SUM(B73:E73),0)</f>
        <v>0</v>
      </c>
      <c r="G73" s="1390">
        <f>_xlfn.XLOOKUP($A73,TB.PRO!$A:$A,TB.PRO!F:F,0,0,1)</f>
        <v>0</v>
      </c>
      <c r="H73" s="1390">
        <f>_xlfn.XLOOKUP($A73,TB.PRO!$A:$A,TB.PRO!G:G,0,0,1)</f>
        <v>0</v>
      </c>
      <c r="I73" s="1390"/>
      <c r="J73" s="1390"/>
      <c r="K73" s="1390">
        <f>_xlfn.XLOOKUP($A73,'AJE.1 - F25'!$S$12:$S$21,'AJE.1 - F25'!$U$12:$U$21,0,0,1)</f>
        <v>0</v>
      </c>
      <c r="L73" s="665">
        <f>ROUND(SUM(G73:K73),0)</f>
        <v>0</v>
      </c>
      <c r="M73" s="1390">
        <f>_xlfn.XLOOKUP($A73,TB.PRO!$A:$A,TB.PRO!I:I,0,0,1)</f>
        <v>0</v>
      </c>
      <c r="N73" s="1390">
        <f>_xlfn.XLOOKUP($A73,TB.PRO!$A:$A,TB.PRO!J:J,0,0,1)</f>
        <v>0</v>
      </c>
      <c r="O73" s="1390"/>
      <c r="P73" s="1390"/>
      <c r="Q73" s="1390">
        <f>_xlfn.XLOOKUP($A73,'AJE.1 - F25'!$S$12:$S$21,'AJE.1 - F25'!$U$12:$U$21,0,0,1)</f>
        <v>0</v>
      </c>
      <c r="R73" s="665">
        <f>ROUND(SUM(M73:Q73),0)</f>
        <v>0</v>
      </c>
      <c r="S73" s="1390">
        <f>M73+O73</f>
        <v>0</v>
      </c>
      <c r="T73" s="1390">
        <f>N73+P73</f>
        <v>0</v>
      </c>
      <c r="U73" s="1390"/>
      <c r="V73" s="1390"/>
      <c r="W73" s="1390">
        <f>_xlfn.XLOOKUP($A73,'AJE.1 - F25'!$S$12:$S$21,'AJE.1 - F25'!$U$12:$U$21,0,0,1)</f>
        <v>0</v>
      </c>
      <c r="X73" s="665">
        <f>ROUND(SUM(S73:W73),0)</f>
        <v>0</v>
      </c>
      <c r="Y73" s="1390">
        <f>S73+U73</f>
        <v>0</v>
      </c>
      <c r="Z73" s="1390">
        <f>T73+V73</f>
        <v>0</v>
      </c>
      <c r="AA73" s="1390"/>
      <c r="AB73" s="1390"/>
      <c r="AC73" s="1390">
        <f>_xlfn.XLOOKUP($A73,'AJE.1 - F25'!$S$12:$S$21,'AJE.1 - F25'!$U$12:$U$21,0,0,1)</f>
        <v>0</v>
      </c>
      <c r="AD73" s="219">
        <f>ROUND(SUM(Y73:AC73),0)</f>
        <v>0</v>
      </c>
      <c r="AE73" s="1390">
        <f>Y73+AA73</f>
        <v>0</v>
      </c>
      <c r="AF73" s="1390">
        <f>Z73+AB73</f>
        <v>0</v>
      </c>
      <c r="AG73" s="1390"/>
      <c r="AH73" s="1390"/>
      <c r="AI73" s="1390">
        <f>_xlfn.XLOOKUP($A73,'AJE.1 - F25'!$S$12:$S$21,'AJE.1 - F25'!$U$12:$U$21,0,0,1)</f>
        <v>0</v>
      </c>
      <c r="AJ73" s="219">
        <f>ROUND(SUM(AE73:AI73),0)</f>
        <v>0</v>
      </c>
      <c r="AK73" s="178" t="str">
        <f>_xlfn.XLOOKUP($A73,COA!$B:$B,COA!$C:$C,0,0,1)</f>
        <v>Due to related parties</v>
      </c>
      <c r="AL73" s="178" t="str">
        <f>_xlfn.XLOOKUP($A73,COA!$B:$B,COA!$D:$D,0,0,1)</f>
        <v>Due to related parties</v>
      </c>
      <c r="AM73" s="178" t="str">
        <f>_xlfn.XLOOKUP($A73,COA!$B:$B,COA!$E:$E,0,0,1)</f>
        <v>Due to related parties</v>
      </c>
      <c r="AO73" s="85" t="str">
        <f>_xlfn.XLOOKUP(AM73,FS.1!A:A,AM:AM,0,0,1)</f>
        <v>Equipment</v>
      </c>
      <c r="AP73" s="87"/>
      <c r="AQ73" s="87"/>
      <c r="AR73" s="87"/>
      <c r="AS73" s="87"/>
      <c r="AT73" s="85"/>
      <c r="AU73" s="85"/>
      <c r="AV73" s="85"/>
      <c r="AW73" s="85"/>
      <c r="AX73" s="85"/>
      <c r="AY73" s="85"/>
      <c r="AZ73" s="85"/>
      <c r="BA73" s="85"/>
      <c r="BB73" s="85"/>
      <c r="BC73" s="85"/>
      <c r="BD73" s="85"/>
      <c r="BE73" s="85"/>
      <c r="BF73" s="85"/>
      <c r="BG73" s="85"/>
    </row>
    <row r="74" spans="1:59" hidden="1" x14ac:dyDescent="0.25">
      <c r="A74" s="1393" t="str">
        <f>COA!B70</f>
        <v>2650 Loans and borrowings</v>
      </c>
      <c r="B74" s="1390">
        <f>_xlfn.XLOOKUP(A74,'TB.1 - F25'!A:A,'TB.1 - F25'!D:D,0,0,1)</f>
        <v>0</v>
      </c>
      <c r="C74" s="1390">
        <f>_xlfn.XLOOKUP(A74,'TB.1 - F25'!A:A,'TB.1 - F25'!H:H,0,0,1)</f>
        <v>0</v>
      </c>
      <c r="D74" s="1390">
        <f>_xlfn.XLOOKUP(A74,'AJE.1 - F25'!A:A,'AJE.1 - F25'!F:F,0,0,1)</f>
        <v>0</v>
      </c>
      <c r="E74" s="1390"/>
      <c r="F74" s="219">
        <f>ROUND(SUM(B74:E74),0)</f>
        <v>0</v>
      </c>
      <c r="G74" s="1390">
        <f>_xlfn.XLOOKUP($A74,TB.PRO!$A:$A,TB.PRO!F:F,0,0,1)</f>
        <v>0</v>
      </c>
      <c r="H74" s="1390">
        <f>_xlfn.XLOOKUP($A74,TB.PRO!$A:$A,TB.PRO!G:G,0,0,1)</f>
        <v>0</v>
      </c>
      <c r="I74" s="1390"/>
      <c r="J74" s="1619">
        <f>-B195</f>
        <v>-3000000</v>
      </c>
      <c r="K74" s="1390">
        <f>_xlfn.XLOOKUP($A74,'AJE.1 - F25'!$S$12:$S$21,'AJE.1 - F25'!$U$12:$U$21,0,0,1)</f>
        <v>0</v>
      </c>
      <c r="L74" s="665">
        <f>ROUND(SUM(G74:K74),0)</f>
        <v>-3000000</v>
      </c>
      <c r="M74" s="1390">
        <f>_xlfn.XLOOKUP($A74,TB.PRO!$A:$A,TB.PRO!I:I,0,0,1)</f>
        <v>0</v>
      </c>
      <c r="N74" s="1390">
        <f>_xlfn.XLOOKUP($A74,TB.PRO!$A:$A,TB.PRO!J:J,0,0,1)</f>
        <v>0</v>
      </c>
      <c r="O74" s="1390"/>
      <c r="P74" s="1619">
        <f>J74</f>
        <v>-3000000</v>
      </c>
      <c r="Q74" s="1390">
        <f>_xlfn.XLOOKUP($A74,'AJE.1 - F25'!$S$12:$S$21,'AJE.1 - F25'!$U$12:$U$21,0,0,1)</f>
        <v>0</v>
      </c>
      <c r="R74" s="665">
        <f>ROUND(SUM(M74:Q74),0)</f>
        <v>-3000000</v>
      </c>
      <c r="S74" s="1390">
        <f>M74+O74</f>
        <v>0</v>
      </c>
      <c r="T74" s="1390">
        <f>N74+P74</f>
        <v>-3000000</v>
      </c>
      <c r="U74" s="1390"/>
      <c r="V74" s="1619">
        <f>-B200</f>
        <v>3000000</v>
      </c>
      <c r="W74" s="1390">
        <f>_xlfn.XLOOKUP($A74,'AJE.1 - F25'!$S$12:$S$21,'AJE.1 - F25'!$U$12:$U$21,0,0,1)</f>
        <v>0</v>
      </c>
      <c r="X74" s="665">
        <f>ROUND(SUM(S74:W74),0)</f>
        <v>0</v>
      </c>
      <c r="Y74" s="1390">
        <f>S74+U74</f>
        <v>0</v>
      </c>
      <c r="Z74" s="1390">
        <f>T74+V74</f>
        <v>0</v>
      </c>
      <c r="AA74" s="1390"/>
      <c r="AB74" s="1390"/>
      <c r="AC74" s="1390">
        <f>_xlfn.XLOOKUP($A74,'AJE.1 - F25'!$S$12:$S$21,'AJE.1 - F25'!$U$12:$U$21,0,0,1)</f>
        <v>0</v>
      </c>
      <c r="AD74" s="219">
        <f>ROUND(SUM(Y74:AC74),0)</f>
        <v>0</v>
      </c>
      <c r="AE74" s="1390">
        <f>Y74+AA74</f>
        <v>0</v>
      </c>
      <c r="AF74" s="1390">
        <f>Z74+AB74</f>
        <v>0</v>
      </c>
      <c r="AG74" s="1390"/>
      <c r="AH74" s="1390"/>
      <c r="AI74" s="1390">
        <f>_xlfn.XLOOKUP($A74,'AJE.1 - F25'!$S$12:$S$21,'AJE.1 - F25'!$U$12:$U$21,0,0,1)</f>
        <v>0</v>
      </c>
      <c r="AJ74" s="219">
        <f>ROUND(SUM(AE74:AI74),0)</f>
        <v>0</v>
      </c>
      <c r="AK74" s="178" t="str">
        <f>_xlfn.XLOOKUP($A74,COA!$B:$B,COA!$C:$C,0,0,1)</f>
        <v>Loans and borrowings</v>
      </c>
      <c r="AL74" s="178" t="str">
        <f>_xlfn.XLOOKUP($A74,COA!$B:$B,COA!$D:$D,0,0,1)</f>
        <v>Loans and borrowings</v>
      </c>
      <c r="AM74" s="178" t="str">
        <f>_xlfn.XLOOKUP($A74,COA!$B:$B,COA!$E:$E,0,0,1)</f>
        <v>Loans and borrowings</v>
      </c>
      <c r="AO74" s="85" t="str">
        <f>_xlfn.XLOOKUP(AM74,FS.1!A:A,AM:AM,0,0,1)</f>
        <v>Accounts payables and accrued liabilities</v>
      </c>
      <c r="AP74" s="87"/>
      <c r="AQ74" s="87"/>
      <c r="AR74" s="87"/>
      <c r="AS74" s="87"/>
      <c r="AT74" s="85"/>
      <c r="AU74" s="85"/>
      <c r="AV74" s="85"/>
      <c r="AW74" s="85"/>
      <c r="AX74" s="85"/>
      <c r="AY74" s="85"/>
      <c r="AZ74" s="85"/>
      <c r="BA74" s="85"/>
      <c r="BB74" s="85"/>
      <c r="BC74" s="85"/>
      <c r="BD74" s="85"/>
      <c r="BE74" s="85"/>
      <c r="BF74" s="85"/>
      <c r="BG74" s="85"/>
    </row>
    <row r="75" spans="1:59" x14ac:dyDescent="0.25">
      <c r="A75" s="1393" t="str">
        <f>COA!B71</f>
        <v>2650 Loan Payable - current</v>
      </c>
      <c r="B75" s="1390">
        <f>_xlfn.XLOOKUP(A75,'TB.1 - F25'!A:A,'TB.1 - F25'!D:D,0,0,1)</f>
        <v>0</v>
      </c>
      <c r="C75" s="1390">
        <f>_xlfn.XLOOKUP(A75,'TB.1 - F25'!A:A,'TB.1 - F25'!H:H,0,0,1)</f>
        <v>-556400</v>
      </c>
      <c r="D75" s="1390">
        <f>_xlfn.XLOOKUP(A75,'AJE.1 - F25'!A:A,'AJE.1 - F25'!F:F,0,0,1)</f>
        <v>0</v>
      </c>
      <c r="E75" s="1390"/>
      <c r="F75" s="219">
        <f>ROUND(SUM(B75:E75),0)</f>
        <v>-556400</v>
      </c>
      <c r="G75" s="1390">
        <f>_xlfn.XLOOKUP($A75,TB.PRO!$A:$A,TB.PRO!F:F,0,0,1)</f>
        <v>0</v>
      </c>
      <c r="H75" s="1390">
        <f>_xlfn.XLOOKUP($A75,TB.PRO!$A:$A,TB.PRO!G:G,0,0,1)</f>
        <v>-556400</v>
      </c>
      <c r="I75" s="1390"/>
      <c r="J75" s="1390"/>
      <c r="K75" s="1390">
        <f>_xlfn.XLOOKUP($A75,'AJE.1 - F25'!$S$12:$S$21,'AJE.1 - F25'!$U$12:$U$21,0,0,1)</f>
        <v>0</v>
      </c>
      <c r="L75" s="665">
        <f>ROUND(SUM(G75:K75),0)</f>
        <v>-556400</v>
      </c>
      <c r="M75" s="1390">
        <f>_xlfn.XLOOKUP($A75,TB.PRO!$A:$A,TB.PRO!I:I,0,0,1)</f>
        <v>0</v>
      </c>
      <c r="N75" s="1390">
        <f>_xlfn.XLOOKUP($A75,TB.PRO!$A:$A,TB.PRO!J:J,0,0,1)</f>
        <v>-556400</v>
      </c>
      <c r="O75" s="1390"/>
      <c r="P75" s="1390"/>
      <c r="Q75" s="1390">
        <f>_xlfn.XLOOKUP($A75,'AJE.1 - F25'!$S$12:$S$21,'AJE.1 - F25'!$U$12:$U$21,0,0,1)</f>
        <v>0</v>
      </c>
      <c r="R75" s="665">
        <f>ROUND(SUM(M75:Q75),0)</f>
        <v>-556400</v>
      </c>
      <c r="S75" s="1390">
        <f>M75+O75</f>
        <v>0</v>
      </c>
      <c r="T75" s="1390">
        <f>N75+P75</f>
        <v>-556400</v>
      </c>
      <c r="U75" s="1390"/>
      <c r="V75" s="1390"/>
      <c r="W75" s="1390">
        <f>_xlfn.XLOOKUP($A75,'AJE.1 - F25'!$S$12:$S$21,'AJE.1 - F25'!$U$12:$U$21,0,0,1)</f>
        <v>0</v>
      </c>
      <c r="X75" s="665">
        <f>ROUND(SUM(S75:W75),0)</f>
        <v>-556400</v>
      </c>
      <c r="Y75" s="1390">
        <f>S75+U75</f>
        <v>0</v>
      </c>
      <c r="Z75" s="1390">
        <f>T75+V75</f>
        <v>-556400</v>
      </c>
      <c r="AA75" s="1390"/>
      <c r="AB75" s="1390"/>
      <c r="AC75" s="1390">
        <f>_xlfn.XLOOKUP($A75,'AJE.1 - F25'!$S$12:$S$21,'AJE.1 - F25'!$U$12:$U$21,0,0,1)</f>
        <v>0</v>
      </c>
      <c r="AD75" s="219">
        <f>ROUND(SUM(Y75:AC75),0)</f>
        <v>-556400</v>
      </c>
      <c r="AE75" s="1390">
        <f>Y75+AA75</f>
        <v>0</v>
      </c>
      <c r="AF75" s="1390">
        <f>Z75+AB75</f>
        <v>-556400</v>
      </c>
      <c r="AG75" s="1390"/>
      <c r="AH75" s="1390"/>
      <c r="AI75" s="1390">
        <f>_xlfn.XLOOKUP($A75,'AJE.1 - F25'!$S$12:$S$21,'AJE.1 - F25'!$U$12:$U$21,0,0,1)</f>
        <v>0</v>
      </c>
      <c r="AJ75" s="219">
        <f>ROUND(SUM(AE75:AI75),0)</f>
        <v>-556400</v>
      </c>
      <c r="AK75" s="667" t="s">
        <v>644</v>
      </c>
      <c r="AL75" s="667" t="str">
        <f>AK75</f>
        <v>Intercompany</v>
      </c>
      <c r="AM75" s="667" t="str">
        <f>AL75</f>
        <v>Intercompany</v>
      </c>
      <c r="AO75" s="85">
        <f>_xlfn.XLOOKUP(AM75,FS.1!A:A,AM:AM,0,0,1)</f>
        <v>0</v>
      </c>
      <c r="AP75" s="87"/>
      <c r="AQ75" s="87"/>
      <c r="AR75" s="87"/>
      <c r="AS75" s="87"/>
      <c r="AT75" s="85"/>
      <c r="AU75" s="85"/>
      <c r="AV75" s="85"/>
      <c r="AW75" s="85"/>
      <c r="AX75" s="85"/>
      <c r="AY75" s="85"/>
      <c r="AZ75" s="85"/>
      <c r="BA75" s="85"/>
      <c r="BB75" s="85"/>
      <c r="BC75" s="85"/>
      <c r="BD75" s="85"/>
      <c r="BE75" s="85"/>
      <c r="BF75" s="85"/>
      <c r="BG75" s="85"/>
    </row>
    <row r="76" spans="1:59" hidden="1" x14ac:dyDescent="0.25">
      <c r="A76" s="1393" t="str">
        <f>COA!B72</f>
        <v>2651 Loan Payable - non-current</v>
      </c>
      <c r="B76" s="1390">
        <f>_xlfn.XLOOKUP(A76,'TB.1 - F25'!A:A,'TB.1 - F25'!D:D,0,0,1)</f>
        <v>0</v>
      </c>
      <c r="C76" s="1390">
        <f>_xlfn.XLOOKUP(A76,'TB.1 - F25'!A:A,'TB.1 - F25'!H:H,0,0,1)</f>
        <v>0</v>
      </c>
      <c r="D76" s="1390">
        <f>_xlfn.XLOOKUP(A76,'AJE.1 - F25'!A:A,'AJE.1 - F25'!F:F,0,0,1)</f>
        <v>0</v>
      </c>
      <c r="E76" s="1390"/>
      <c r="F76" s="219">
        <f>ROUND(SUM(B76:E76),0)</f>
        <v>0</v>
      </c>
      <c r="G76" s="1390">
        <f>_xlfn.XLOOKUP($A76,TB.PRO!$A:$A,TB.PRO!F:F,0,0,1)</f>
        <v>0</v>
      </c>
      <c r="H76" s="1390">
        <f>_xlfn.XLOOKUP($A76,TB.PRO!$A:$A,TB.PRO!G:G,0,0,1)</f>
        <v>0</v>
      </c>
      <c r="I76" s="1390"/>
      <c r="J76" s="1390"/>
      <c r="K76" s="1390">
        <f>_xlfn.XLOOKUP($A76,'AJE.1 - F25'!$S$12:$S$21,'AJE.1 - F25'!$U$12:$U$21,0,0,1)</f>
        <v>0</v>
      </c>
      <c r="L76" s="665">
        <f>ROUND(SUM(G76:K76),0)</f>
        <v>0</v>
      </c>
      <c r="M76" s="1390">
        <f>_xlfn.XLOOKUP($A76,TB.PRO!$A:$A,TB.PRO!I:I,0,0,1)</f>
        <v>0</v>
      </c>
      <c r="N76" s="1390">
        <f>_xlfn.XLOOKUP($A76,TB.PRO!$A:$A,TB.PRO!J:J,0,0,1)</f>
        <v>0</v>
      </c>
      <c r="O76" s="1390"/>
      <c r="P76" s="1390"/>
      <c r="Q76" s="1390">
        <f>_xlfn.XLOOKUP($A76,'AJE.1 - F25'!$S$12:$S$21,'AJE.1 - F25'!$U$12:$U$21,0,0,1)</f>
        <v>0</v>
      </c>
      <c r="R76" s="665">
        <f>ROUND(SUM(M76:Q76),0)</f>
        <v>0</v>
      </c>
      <c r="S76" s="1390">
        <f>M76+O76</f>
        <v>0</v>
      </c>
      <c r="T76" s="1390">
        <f>N76+P76</f>
        <v>0</v>
      </c>
      <c r="U76" s="1390"/>
      <c r="V76" s="1390"/>
      <c r="W76" s="1390">
        <f>_xlfn.XLOOKUP($A76,'AJE.1 - F25'!$S$12:$S$21,'AJE.1 - F25'!$U$12:$U$21,0,0,1)</f>
        <v>0</v>
      </c>
      <c r="X76" s="665">
        <f>ROUND(SUM(S76:W76),0)</f>
        <v>0</v>
      </c>
      <c r="Y76" s="1390">
        <f>S76+U76</f>
        <v>0</v>
      </c>
      <c r="Z76" s="1390">
        <f>T76+V76</f>
        <v>0</v>
      </c>
      <c r="AA76" s="1390"/>
      <c r="AB76" s="1390"/>
      <c r="AC76" s="1390">
        <f>_xlfn.XLOOKUP($A76,'AJE.1 - F25'!$S$12:$S$21,'AJE.1 - F25'!$U$12:$U$21,0,0,1)</f>
        <v>0</v>
      </c>
      <c r="AD76" s="219">
        <f>ROUND(SUM(Y76:AC76),0)</f>
        <v>0</v>
      </c>
      <c r="AE76" s="1390">
        <f>Y76+AA76</f>
        <v>0</v>
      </c>
      <c r="AF76" s="1390">
        <f>Z76+AB76</f>
        <v>0</v>
      </c>
      <c r="AG76" s="1390"/>
      <c r="AH76" s="1390"/>
      <c r="AI76" s="1390">
        <f>_xlfn.XLOOKUP($A76,'AJE.1 - F25'!$S$12:$S$21,'AJE.1 - F25'!$U$12:$U$21,0,0,1)</f>
        <v>0</v>
      </c>
      <c r="AJ76" s="219">
        <f>ROUND(SUM(AE76:AI76),0)</f>
        <v>0</v>
      </c>
      <c r="AK76" s="178" t="str">
        <f>_xlfn.XLOOKUP($A76,COA!$B:$B,COA!$C:$C,0,0,1)</f>
        <v>Loans and borrowings</v>
      </c>
      <c r="AL76" s="178" t="str">
        <f>_xlfn.XLOOKUP($A76,COA!$B:$B,COA!$D:$D,0,0,1)</f>
        <v>Loans and borrowings</v>
      </c>
      <c r="AM76" s="178" t="str">
        <f>_xlfn.XLOOKUP($A76,COA!$B:$B,COA!$E:$E,0,0,1)</f>
        <v>Loans and borrowings</v>
      </c>
      <c r="AO76" s="85" t="str">
        <f>_xlfn.XLOOKUP(AM76,FS.1!A:A,AM:AM,0,0,1)</f>
        <v>Accounts payables and accrued liabilities</v>
      </c>
      <c r="AP76" s="87"/>
      <c r="AQ76" s="87"/>
      <c r="AR76" s="87"/>
      <c r="AS76" s="87"/>
      <c r="AT76" s="85"/>
      <c r="AU76" s="85"/>
      <c r="AV76" s="85"/>
      <c r="AW76" s="85"/>
      <c r="AX76" s="85"/>
      <c r="AY76" s="85"/>
      <c r="AZ76" s="85"/>
      <c r="BA76" s="85"/>
      <c r="BB76" s="85"/>
      <c r="BC76" s="85"/>
      <c r="BD76" s="85"/>
      <c r="BE76" s="85"/>
      <c r="BF76" s="85"/>
      <c r="BG76" s="85"/>
    </row>
    <row r="77" spans="1:59" hidden="1" x14ac:dyDescent="0.25">
      <c r="A77" s="1393" t="str">
        <f>COA!B73</f>
        <v>2700 Share subscription payable</v>
      </c>
      <c r="B77" s="1390">
        <f>_xlfn.XLOOKUP(A77,'TB.1 - F25'!A:A,'TB.1 - F25'!D:D,0,0,1)</f>
        <v>0</v>
      </c>
      <c r="C77" s="1390">
        <f>_xlfn.XLOOKUP(A77,'TB.1 - F25'!A:A,'TB.1 - F25'!H:H,0,0,1)</f>
        <v>0</v>
      </c>
      <c r="D77" s="1390">
        <f>_xlfn.XLOOKUP(A77,'AJE.1 - F25'!A:A,'AJE.1 - F25'!F:F,0,0,1)</f>
        <v>0</v>
      </c>
      <c r="E77" s="1390"/>
      <c r="F77" s="219">
        <f>ROUND(SUM(B77:E77),0)</f>
        <v>0</v>
      </c>
      <c r="G77" s="1390">
        <f>_xlfn.XLOOKUP($A77,TB.PRO!$A:$A,TB.PRO!F:F,0,0,1)</f>
        <v>0</v>
      </c>
      <c r="H77" s="1390">
        <f>_xlfn.XLOOKUP($A77,TB.PRO!$A:$A,TB.PRO!G:G,0,0,1)</f>
        <v>0</v>
      </c>
      <c r="I77" s="1390"/>
      <c r="J77" s="1390"/>
      <c r="K77" s="1390">
        <f>_xlfn.XLOOKUP($A77,'AJE.1 - F25'!$S$12:$S$21,'AJE.1 - F25'!$U$12:$U$21,0,0,1)</f>
        <v>0</v>
      </c>
      <c r="L77" s="665">
        <f>ROUND(SUM(G77:K77),0)</f>
        <v>0</v>
      </c>
      <c r="M77" s="1390">
        <f>_xlfn.XLOOKUP($A77,TB.PRO!$A:$A,TB.PRO!I:I,0,0,1)</f>
        <v>0</v>
      </c>
      <c r="N77" s="1390">
        <f>_xlfn.XLOOKUP($A77,TB.PRO!$A:$A,TB.PRO!J:J,0,0,1)</f>
        <v>0</v>
      </c>
      <c r="O77" s="1390"/>
      <c r="P77" s="1390"/>
      <c r="Q77" s="1390">
        <f>_xlfn.XLOOKUP($A77,'AJE.1 - F25'!$S$12:$S$21,'AJE.1 - F25'!$U$12:$U$21,0,0,1)</f>
        <v>0</v>
      </c>
      <c r="R77" s="665">
        <f>ROUND(SUM(M77:Q77),0)</f>
        <v>0</v>
      </c>
      <c r="S77" s="1390">
        <f>M77+O77</f>
        <v>0</v>
      </c>
      <c r="T77" s="1390">
        <f>N77+P77</f>
        <v>0</v>
      </c>
      <c r="U77" s="1390"/>
      <c r="V77" s="1390"/>
      <c r="W77" s="1390">
        <f>_xlfn.XLOOKUP($A77,'AJE.1 - F25'!$S$12:$S$21,'AJE.1 - F25'!$U$12:$U$21,0,0,1)</f>
        <v>0</v>
      </c>
      <c r="X77" s="665">
        <f>ROUND(SUM(S77:W77),0)</f>
        <v>0</v>
      </c>
      <c r="Y77" s="1390">
        <f>S77+U77</f>
        <v>0</v>
      </c>
      <c r="Z77" s="1390">
        <f>T77+V77</f>
        <v>0</v>
      </c>
      <c r="AA77" s="1390"/>
      <c r="AB77" s="1390"/>
      <c r="AC77" s="1390">
        <f>_xlfn.XLOOKUP($A77,'AJE.1 - F25'!$S$12:$S$21,'AJE.1 - F25'!$U$12:$U$21,0,0,1)</f>
        <v>0</v>
      </c>
      <c r="AD77" s="219">
        <f>ROUND(SUM(Y77:AC77),0)</f>
        <v>0</v>
      </c>
      <c r="AE77" s="1390">
        <f>Y77+AA77</f>
        <v>0</v>
      </c>
      <c r="AF77" s="1390">
        <f>Z77+AB77</f>
        <v>0</v>
      </c>
      <c r="AG77" s="1390"/>
      <c r="AH77" s="1390"/>
      <c r="AI77" s="1390">
        <f>_xlfn.XLOOKUP($A77,'AJE.1 - F25'!$S$12:$S$21,'AJE.1 - F25'!$U$12:$U$21,0,0,1)</f>
        <v>0</v>
      </c>
      <c r="AJ77" s="219">
        <f>ROUND(SUM(AE77:AI77),0)</f>
        <v>0</v>
      </c>
      <c r="AK77" s="178" t="str">
        <f>_xlfn.XLOOKUP($A77,COA!$B:$B,COA!$C:$C,0,0,1)</f>
        <v>Share subscription payable</v>
      </c>
      <c r="AL77" s="178" t="str">
        <f>_xlfn.XLOOKUP($A77,COA!$B:$B,COA!$D:$D,0,0,1)</f>
        <v>Share subscription payable</v>
      </c>
      <c r="AM77" s="178" t="str">
        <f>_xlfn.XLOOKUP($A77,COA!$B:$B,COA!$E:$E,0,0,1)</f>
        <v>Share subscription payable</v>
      </c>
      <c r="AO77" s="85">
        <f>_xlfn.XLOOKUP(AM77,FS.1!A:A,AM:AM,0,0,1)</f>
        <v>0</v>
      </c>
      <c r="AP77" s="87"/>
      <c r="AQ77" s="87"/>
      <c r="AR77" s="87"/>
      <c r="AS77" s="87"/>
      <c r="AT77" s="85"/>
      <c r="AU77" s="85"/>
      <c r="AV77" s="85"/>
      <c r="AW77" s="85"/>
      <c r="AX77" s="85"/>
      <c r="AY77" s="85"/>
      <c r="AZ77" s="85"/>
      <c r="BA77" s="85"/>
      <c r="BB77" s="85"/>
      <c r="BC77" s="85"/>
      <c r="BD77" s="85"/>
      <c r="BE77" s="85"/>
      <c r="BF77" s="85"/>
      <c r="BG77" s="85"/>
    </row>
    <row r="78" spans="1:59" hidden="1" x14ac:dyDescent="0.25">
      <c r="A78" s="1393" t="str">
        <f>COA!B74</f>
        <v>2700 Due to Shareholders</v>
      </c>
      <c r="B78" s="1390">
        <f>_xlfn.XLOOKUP(A78,'TB.1 - F25'!A:A,'TB.1 - F25'!D:D,0,0,1)</f>
        <v>0</v>
      </c>
      <c r="C78" s="1390">
        <f>_xlfn.XLOOKUP(A78,'TB.1 - F25'!A:A,'TB.1 - F25'!H:H,0,0,1)</f>
        <v>0</v>
      </c>
      <c r="D78" s="1390">
        <f>_xlfn.XLOOKUP(A78,'AJE.1 - F25'!A:A,'AJE.1 - F25'!F:F,0,0,1)</f>
        <v>0</v>
      </c>
      <c r="E78" s="1390"/>
      <c r="F78" s="219">
        <f>ROUND(SUM(B78:E78),0)</f>
        <v>0</v>
      </c>
      <c r="G78" s="1390">
        <f>_xlfn.XLOOKUP($A78,TB.PRO!$A:$A,TB.PRO!F:F,0,0,1)</f>
        <v>0</v>
      </c>
      <c r="H78" s="1390">
        <f>_xlfn.XLOOKUP($A78,TB.PRO!$A:$A,TB.PRO!G:G,0,0,1)</f>
        <v>0</v>
      </c>
      <c r="I78" s="1390"/>
      <c r="J78" s="1390"/>
      <c r="K78" s="1390">
        <f>_xlfn.XLOOKUP($A78,'AJE.1 - F25'!$S$12:$S$21,'AJE.1 - F25'!$U$12:$U$21,0,0,1)</f>
        <v>0</v>
      </c>
      <c r="L78" s="665">
        <f>ROUND(SUM(G78:K78),0)</f>
        <v>0</v>
      </c>
      <c r="M78" s="1390">
        <f>_xlfn.XLOOKUP($A78,TB.PRO!$A:$A,TB.PRO!I:I,0,0,1)</f>
        <v>0</v>
      </c>
      <c r="N78" s="1390">
        <f>_xlfn.XLOOKUP($A78,TB.PRO!$A:$A,TB.PRO!J:J,0,0,1)</f>
        <v>0</v>
      </c>
      <c r="O78" s="1390"/>
      <c r="P78" s="1390"/>
      <c r="Q78" s="1390">
        <f>_xlfn.XLOOKUP($A78,'AJE.1 - F25'!$S$12:$S$21,'AJE.1 - F25'!$U$12:$U$21,0,0,1)</f>
        <v>0</v>
      </c>
      <c r="R78" s="665">
        <f>ROUND(SUM(M78:Q78),0)</f>
        <v>0</v>
      </c>
      <c r="S78" s="1390">
        <f>M78+O78</f>
        <v>0</v>
      </c>
      <c r="T78" s="1390">
        <f>N78+P78</f>
        <v>0</v>
      </c>
      <c r="U78" s="1390"/>
      <c r="V78" s="1390"/>
      <c r="W78" s="1390">
        <f>_xlfn.XLOOKUP($A78,'AJE.1 - F25'!$S$12:$S$21,'AJE.1 - F25'!$U$12:$U$21,0,0,1)</f>
        <v>0</v>
      </c>
      <c r="X78" s="665">
        <f>ROUND(SUM(S78:W78),0)</f>
        <v>0</v>
      </c>
      <c r="Y78" s="1390">
        <f>S78+U78</f>
        <v>0</v>
      </c>
      <c r="Z78" s="1390">
        <f>T78+V78</f>
        <v>0</v>
      </c>
      <c r="AA78" s="1390"/>
      <c r="AB78" s="1390"/>
      <c r="AC78" s="1390">
        <f>_xlfn.XLOOKUP($A78,'AJE.1 - F25'!$S$12:$S$21,'AJE.1 - F25'!$U$12:$U$21,0,0,1)</f>
        <v>0</v>
      </c>
      <c r="AD78" s="219">
        <f>ROUND(SUM(Y78:AC78),0)</f>
        <v>0</v>
      </c>
      <c r="AE78" s="1390">
        <f>Y78+AA78</f>
        <v>0</v>
      </c>
      <c r="AF78" s="1390">
        <f>Z78+AB78</f>
        <v>0</v>
      </c>
      <c r="AG78" s="1390"/>
      <c r="AH78" s="1390"/>
      <c r="AI78" s="1390">
        <f>_xlfn.XLOOKUP($A78,'AJE.1 - F25'!$S$12:$S$21,'AJE.1 - F25'!$U$12:$U$21,0,0,1)</f>
        <v>0</v>
      </c>
      <c r="AJ78" s="219">
        <f>ROUND(SUM(AE78:AI78),0)</f>
        <v>0</v>
      </c>
      <c r="AK78" s="178" t="str">
        <f>_xlfn.XLOOKUP($A78,COA!$B:$B,COA!$C:$C,0,0,1)</f>
        <v>Due to related parties</v>
      </c>
      <c r="AL78" s="178" t="str">
        <f>_xlfn.XLOOKUP($A78,COA!$B:$B,COA!$D:$D,0,0,1)</f>
        <v>Due to related parties</v>
      </c>
      <c r="AM78" s="178" t="str">
        <f>_xlfn.XLOOKUP($A78,COA!$B:$B,COA!$E:$E,0,0,1)</f>
        <v>Due to related parties</v>
      </c>
      <c r="AO78" s="85" t="str">
        <f>AM78</f>
        <v>Due to related parties</v>
      </c>
      <c r="AP78" s="87"/>
      <c r="AQ78" s="87"/>
      <c r="AR78" s="87"/>
      <c r="AS78" s="87"/>
      <c r="AT78" s="85"/>
      <c r="AU78" s="85"/>
      <c r="AV78" s="85"/>
      <c r="AW78" s="85"/>
      <c r="AX78" s="85"/>
      <c r="AY78" s="85"/>
      <c r="AZ78" s="85"/>
      <c r="BA78" s="85"/>
      <c r="BB78" s="85"/>
      <c r="BC78" s="85"/>
      <c r="BD78" s="85"/>
      <c r="BE78" s="85"/>
      <c r="BF78" s="85"/>
      <c r="BG78" s="85"/>
    </row>
    <row r="79" spans="1:59" hidden="1" x14ac:dyDescent="0.25">
      <c r="A79" s="1393" t="str">
        <f>COA!B75</f>
        <v>2705 Due to Shareholders:Due to SH - James Taylor</v>
      </c>
      <c r="B79" s="1390">
        <f>_xlfn.XLOOKUP(A79,'TB.1 - F25'!A:A,'TB.1 - F25'!D:D,0,0,1)</f>
        <v>0</v>
      </c>
      <c r="C79" s="1390">
        <f>_xlfn.XLOOKUP(A79,'TB.1 - F25'!A:A,'TB.1 - F25'!H:H,0,0,1)</f>
        <v>0</v>
      </c>
      <c r="D79" s="1390">
        <f>_xlfn.XLOOKUP(A79,'AJE.1 - F25'!A:A,'AJE.1 - F25'!F:F,0,0,1)</f>
        <v>0</v>
      </c>
      <c r="E79" s="1390"/>
      <c r="F79" s="219">
        <f>ROUND(SUM(B79:E79),0)</f>
        <v>0</v>
      </c>
      <c r="G79" s="1390">
        <f>_xlfn.XLOOKUP($A79,TB.PRO!$A:$A,TB.PRO!F:F,0,0,1)</f>
        <v>0</v>
      </c>
      <c r="H79" s="1390">
        <f>_xlfn.XLOOKUP($A79,TB.PRO!$A:$A,TB.PRO!G:G,0,0,1)</f>
        <v>0</v>
      </c>
      <c r="I79" s="1390"/>
      <c r="J79" s="1390"/>
      <c r="K79" s="1390">
        <f>_xlfn.XLOOKUP($A79,'AJE.1 - F25'!$S$12:$S$21,'AJE.1 - F25'!$U$12:$U$21,0,0,1)</f>
        <v>0</v>
      </c>
      <c r="L79" s="665">
        <f>ROUND(SUM(G79:K79),0)</f>
        <v>0</v>
      </c>
      <c r="M79" s="1390">
        <f>_xlfn.XLOOKUP($A79,TB.PRO!$A:$A,TB.PRO!I:I,0,0,1)</f>
        <v>0</v>
      </c>
      <c r="N79" s="1390">
        <f>_xlfn.XLOOKUP($A79,TB.PRO!$A:$A,TB.PRO!J:J,0,0,1)</f>
        <v>0</v>
      </c>
      <c r="O79" s="1390"/>
      <c r="P79" s="1390"/>
      <c r="Q79" s="1390">
        <f>_xlfn.XLOOKUP($A79,'AJE.1 - F25'!$S$12:$S$21,'AJE.1 - F25'!$U$12:$U$21,0,0,1)</f>
        <v>0</v>
      </c>
      <c r="R79" s="665">
        <f>ROUND(SUM(M79:Q79),0)</f>
        <v>0</v>
      </c>
      <c r="S79" s="1390">
        <f>M79+O79</f>
        <v>0</v>
      </c>
      <c r="T79" s="1390">
        <f>N79+P79</f>
        <v>0</v>
      </c>
      <c r="U79" s="1390"/>
      <c r="V79" s="1390"/>
      <c r="W79" s="1390">
        <f>_xlfn.XLOOKUP($A79,'AJE.1 - F25'!$S$12:$S$21,'AJE.1 - F25'!$U$12:$U$21,0,0,1)</f>
        <v>0</v>
      </c>
      <c r="X79" s="665">
        <f>ROUND(SUM(S79:W79),0)</f>
        <v>0</v>
      </c>
      <c r="Y79" s="1390">
        <f>S79+U79</f>
        <v>0</v>
      </c>
      <c r="Z79" s="1390">
        <f>T79+V79</f>
        <v>0</v>
      </c>
      <c r="AA79" s="1390"/>
      <c r="AB79" s="1390"/>
      <c r="AC79" s="1390">
        <f>_xlfn.XLOOKUP($A79,'AJE.1 - F25'!$S$12:$S$21,'AJE.1 - F25'!$U$12:$U$21,0,0,1)</f>
        <v>0</v>
      </c>
      <c r="AD79" s="219">
        <f>ROUND(SUM(Y79:AC79),0)</f>
        <v>0</v>
      </c>
      <c r="AE79" s="1390">
        <f>Y79+AA79</f>
        <v>0</v>
      </c>
      <c r="AF79" s="1390">
        <f>Z79+AB79</f>
        <v>0</v>
      </c>
      <c r="AG79" s="1390"/>
      <c r="AH79" s="1390"/>
      <c r="AI79" s="1390">
        <f>_xlfn.XLOOKUP($A79,'AJE.1 - F25'!$S$12:$S$21,'AJE.1 - F25'!$U$12:$U$21,0,0,1)</f>
        <v>0</v>
      </c>
      <c r="AJ79" s="219">
        <f>ROUND(SUM(AE79:AI79),0)</f>
        <v>0</v>
      </c>
      <c r="AK79" s="178" t="str">
        <f>_xlfn.XLOOKUP($A79,COA!$B:$B,COA!$C:$C,0,0,1)</f>
        <v>Due to related parties</v>
      </c>
      <c r="AL79" s="178" t="str">
        <f>_xlfn.XLOOKUP($A79,COA!$B:$B,COA!$D:$D,0,0,1)</f>
        <v>Due to related parties</v>
      </c>
      <c r="AM79" s="178" t="str">
        <f>_xlfn.XLOOKUP($A79,COA!$B:$B,COA!$E:$E,0,0,1)</f>
        <v>Due to related parties</v>
      </c>
      <c r="AO79" s="85" t="str">
        <f>_xlfn.XLOOKUP(AM79,FS.1!A:A,AM:AM,0,0,1)</f>
        <v>Equipment</v>
      </c>
      <c r="AP79" s="87"/>
      <c r="AQ79" s="87"/>
      <c r="AR79" s="87"/>
      <c r="AS79" s="87"/>
      <c r="AT79" s="85"/>
      <c r="AU79" s="85"/>
      <c r="AV79" s="85"/>
      <c r="AW79" s="85"/>
      <c r="AX79" s="85"/>
      <c r="AY79" s="85"/>
      <c r="AZ79" s="85"/>
      <c r="BA79" s="85"/>
      <c r="BB79" s="85"/>
      <c r="BC79" s="85"/>
      <c r="BD79" s="85"/>
      <c r="BE79" s="85"/>
      <c r="BF79" s="85"/>
      <c r="BG79" s="85"/>
    </row>
    <row r="80" spans="1:59" hidden="1" x14ac:dyDescent="0.25">
      <c r="A80" s="1393" t="str">
        <f>COA!B76</f>
        <v>2706 Due to Shareholders:Due to SH - Keith Halston</v>
      </c>
      <c r="B80" s="1390">
        <f>_xlfn.XLOOKUP(A80,'TB.1 - F25'!A:A,'TB.1 - F25'!D:D,0,0,1)</f>
        <v>0</v>
      </c>
      <c r="C80" s="1390">
        <f>_xlfn.XLOOKUP(A80,'TB.1 - F25'!A:A,'TB.1 - F25'!H:H,0,0,1)</f>
        <v>0</v>
      </c>
      <c r="D80" s="1390">
        <f>_xlfn.XLOOKUP(A80,'AJE.1 - F25'!A:A,'AJE.1 - F25'!F:F,0,0,1)</f>
        <v>0</v>
      </c>
      <c r="E80" s="1390"/>
      <c r="F80" s="219">
        <f>ROUND(SUM(B80:E80),0)</f>
        <v>0</v>
      </c>
      <c r="G80" s="1390">
        <f>_xlfn.XLOOKUP($A80,TB.PRO!$A:$A,TB.PRO!F:F,0,0,1)</f>
        <v>0</v>
      </c>
      <c r="H80" s="1390">
        <f>_xlfn.XLOOKUP($A80,TB.PRO!$A:$A,TB.PRO!G:G,0,0,1)</f>
        <v>0</v>
      </c>
      <c r="I80" s="1390"/>
      <c r="J80" s="1390"/>
      <c r="K80" s="1390">
        <f>_xlfn.XLOOKUP($A80,'AJE.1 - F25'!$S$12:$S$21,'AJE.1 - F25'!$U$12:$U$21,0,0,1)</f>
        <v>0</v>
      </c>
      <c r="L80" s="665">
        <f>ROUND(SUM(G80:K80),0)</f>
        <v>0</v>
      </c>
      <c r="M80" s="1390">
        <f>_xlfn.XLOOKUP($A80,TB.PRO!$A:$A,TB.PRO!I:I,0,0,1)</f>
        <v>0</v>
      </c>
      <c r="N80" s="1390">
        <f>_xlfn.XLOOKUP($A80,TB.PRO!$A:$A,TB.PRO!J:J,0,0,1)</f>
        <v>0</v>
      </c>
      <c r="O80" s="1390"/>
      <c r="P80" s="1390"/>
      <c r="Q80" s="1390">
        <f>_xlfn.XLOOKUP($A80,'AJE.1 - F25'!$S$12:$S$21,'AJE.1 - F25'!$U$12:$U$21,0,0,1)</f>
        <v>0</v>
      </c>
      <c r="R80" s="665">
        <f>ROUND(SUM(M80:Q80),0)</f>
        <v>0</v>
      </c>
      <c r="S80" s="1390">
        <f>M80+O80</f>
        <v>0</v>
      </c>
      <c r="T80" s="1390">
        <f>N80+P80</f>
        <v>0</v>
      </c>
      <c r="U80" s="1390"/>
      <c r="V80" s="1390"/>
      <c r="W80" s="1390">
        <f>_xlfn.XLOOKUP($A80,'AJE.1 - F25'!$S$12:$S$21,'AJE.1 - F25'!$U$12:$U$21,0,0,1)</f>
        <v>0</v>
      </c>
      <c r="X80" s="665">
        <f>ROUND(SUM(S80:W80),0)</f>
        <v>0</v>
      </c>
      <c r="Y80" s="1390">
        <f>S80+U80</f>
        <v>0</v>
      </c>
      <c r="Z80" s="1390">
        <f>T80+V80</f>
        <v>0</v>
      </c>
      <c r="AA80" s="1390"/>
      <c r="AB80" s="1390"/>
      <c r="AC80" s="1390">
        <f>_xlfn.XLOOKUP($A80,'AJE.1 - F25'!$S$12:$S$21,'AJE.1 - F25'!$U$12:$U$21,0,0,1)</f>
        <v>0</v>
      </c>
      <c r="AD80" s="219">
        <f>ROUND(SUM(Y80:AC80),0)</f>
        <v>0</v>
      </c>
      <c r="AE80" s="1390">
        <f>Y80+AA80</f>
        <v>0</v>
      </c>
      <c r="AF80" s="1390">
        <f>Z80+AB80</f>
        <v>0</v>
      </c>
      <c r="AG80" s="1390"/>
      <c r="AH80" s="1390"/>
      <c r="AI80" s="1390">
        <f>_xlfn.XLOOKUP($A80,'AJE.1 - F25'!$S$12:$S$21,'AJE.1 - F25'!$U$12:$U$21,0,0,1)</f>
        <v>0</v>
      </c>
      <c r="AJ80" s="219">
        <f>ROUND(SUM(AE80:AI80),0)</f>
        <v>0</v>
      </c>
      <c r="AK80" s="178" t="str">
        <f>_xlfn.XLOOKUP($A80,COA!$B:$B,COA!$C:$C,0,0,1)</f>
        <v>Due to related parties</v>
      </c>
      <c r="AL80" s="178" t="str">
        <f>_xlfn.XLOOKUP($A80,COA!$B:$B,COA!$D:$D,0,0,1)</f>
        <v>Due to related parties</v>
      </c>
      <c r="AM80" s="178" t="str">
        <f>_xlfn.XLOOKUP($A80,COA!$B:$B,COA!$E:$E,0,0,1)</f>
        <v>Due to related parties</v>
      </c>
      <c r="AO80" s="85" t="str">
        <f>_xlfn.XLOOKUP(AM80,FS.1!A:A,AM:AM,0,0,1)</f>
        <v>Equipment</v>
      </c>
      <c r="AP80" s="87"/>
      <c r="AQ80" s="87"/>
      <c r="AR80" s="87"/>
      <c r="AS80" s="87"/>
      <c r="AT80" s="85"/>
      <c r="AU80" s="85"/>
      <c r="AV80" s="85"/>
      <c r="AW80" s="85"/>
      <c r="AX80" s="85"/>
      <c r="AY80" s="85"/>
      <c r="AZ80" s="85"/>
      <c r="BA80" s="85"/>
      <c r="BB80" s="85"/>
      <c r="BC80" s="85"/>
      <c r="BD80" s="85"/>
      <c r="BE80" s="85"/>
      <c r="BF80" s="85"/>
      <c r="BG80" s="85"/>
    </row>
    <row r="81" spans="1:59" hidden="1" x14ac:dyDescent="0.25">
      <c r="A81" s="1393" t="str">
        <f>COA!B77</f>
        <v>2800 Current portion - convertible debt</v>
      </c>
      <c r="B81" s="1390">
        <f>_xlfn.XLOOKUP(A81,'TB.1 - F25'!A:A,'TB.1 - F25'!D:D,0,0,1)</f>
        <v>-206894.93</v>
      </c>
      <c r="C81" s="1390">
        <f>_xlfn.XLOOKUP(A81,'TB.1 - F25'!A:A,'TB.1 - F25'!H:H,0,0,1)</f>
        <v>0</v>
      </c>
      <c r="D81" s="1390">
        <f>_xlfn.XLOOKUP(A81,'AJE.1 - F25'!A:A,'AJE.1 - F25'!F:F,0,0,1)</f>
        <v>0</v>
      </c>
      <c r="E81" s="1390"/>
      <c r="F81" s="219">
        <f>ROUND(SUM(B81:E81),0)</f>
        <v>-206895</v>
      </c>
      <c r="G81" s="1390">
        <f>_xlfn.XLOOKUP($A81,TB.PRO!$A:$A,TB.PRO!F:F,0,0,1)</f>
        <v>-225000</v>
      </c>
      <c r="H81" s="1390">
        <f>_xlfn.XLOOKUP($A81,TB.PRO!$A:$A,TB.PRO!G:G,0,0,1)</f>
        <v>0</v>
      </c>
      <c r="I81" s="1390">
        <f>-I183</f>
        <v>-18105</v>
      </c>
      <c r="J81" s="1619">
        <f>-SUM(G81:I81)</f>
        <v>243105</v>
      </c>
      <c r="K81" s="1390">
        <f>_xlfn.XLOOKUP($A81,'AJE.1 - F25'!$S$12:$S$21,'AJE.1 - F25'!$U$12:$U$21,0,0,1)</f>
        <v>0</v>
      </c>
      <c r="L81" s="665">
        <f>ROUND(SUM(G81:K81),0)</f>
        <v>0</v>
      </c>
      <c r="M81" s="1390">
        <f>_xlfn.XLOOKUP($A81,TB.PRO!$A:$A,TB.PRO!I:I,0,0,1)</f>
        <v>-225000</v>
      </c>
      <c r="N81" s="1390">
        <f>_xlfn.XLOOKUP($A81,TB.PRO!$A:$A,TB.PRO!J:J,0,0,1)</f>
        <v>0</v>
      </c>
      <c r="O81" s="1390">
        <f>I81</f>
        <v>-18105</v>
      </c>
      <c r="P81" s="1619">
        <f>J81</f>
        <v>243105</v>
      </c>
      <c r="Q81" s="1390">
        <f>_xlfn.XLOOKUP($A81,'AJE.1 - F25'!$S$12:$S$21,'AJE.1 - F25'!$U$12:$U$21,0,0,1)</f>
        <v>0</v>
      </c>
      <c r="R81" s="665">
        <f>ROUND(SUM(M81:Q81),0)</f>
        <v>0</v>
      </c>
      <c r="S81" s="1390">
        <f>M81+O81</f>
        <v>-243105</v>
      </c>
      <c r="T81" s="1390">
        <f>N81+P81</f>
        <v>243105</v>
      </c>
      <c r="U81" s="1390"/>
      <c r="V81" s="1390"/>
      <c r="W81" s="1390">
        <f>_xlfn.XLOOKUP($A81,'AJE.1 - F25'!$S$12:$S$21,'AJE.1 - F25'!$U$12:$U$21,0,0,1)</f>
        <v>0</v>
      </c>
      <c r="X81" s="665">
        <f>ROUND(SUM(S81:W81),0)</f>
        <v>0</v>
      </c>
      <c r="Y81" s="1390">
        <f>S81+U81</f>
        <v>-243105</v>
      </c>
      <c r="Z81" s="1390">
        <f>T81+V81</f>
        <v>243105</v>
      </c>
      <c r="AA81" s="1390"/>
      <c r="AB81" s="1390"/>
      <c r="AC81" s="1390">
        <f>_xlfn.XLOOKUP($A81,'AJE.1 - F25'!$S$12:$S$21,'AJE.1 - F25'!$U$12:$U$21,0,0,1)</f>
        <v>0</v>
      </c>
      <c r="AD81" s="219">
        <f>ROUND(SUM(Y81:AC81),0)</f>
        <v>0</v>
      </c>
      <c r="AE81" s="1390">
        <f>Y81+AA81</f>
        <v>-243105</v>
      </c>
      <c r="AF81" s="1390">
        <f>Z81+AB81</f>
        <v>243105</v>
      </c>
      <c r="AG81" s="1390"/>
      <c r="AH81" s="1390"/>
      <c r="AI81" s="1390">
        <f>_xlfn.XLOOKUP($A81,'AJE.1 - F25'!$S$12:$S$21,'AJE.1 - F25'!$U$12:$U$21,0,0,1)</f>
        <v>0</v>
      </c>
      <c r="AJ81" s="219">
        <f>ROUND(SUM(AE81:AI81),0)</f>
        <v>0</v>
      </c>
      <c r="AK81" s="178" t="str">
        <f>_xlfn.XLOOKUP($A81,COA!$B:$B,COA!$C:$C,0,0,1)</f>
        <v>Convertible debt</v>
      </c>
      <c r="AL81" s="178" t="str">
        <f>_xlfn.XLOOKUP($A81,COA!$B:$B,COA!$D:$D,0,0,1)</f>
        <v>Convertible debt</v>
      </c>
      <c r="AM81" s="178" t="str">
        <f>_xlfn.XLOOKUP($A81,COA!$B:$B,COA!$E:$E,0,0,1)</f>
        <v>Convertible debt</v>
      </c>
      <c r="AO81" s="85" t="str">
        <f t="shared" ref="AO81:AO83" si="17">AM81</f>
        <v>Convertible debt</v>
      </c>
      <c r="AP81" s="87"/>
      <c r="AQ81" s="87"/>
      <c r="AR81" s="87"/>
      <c r="AS81" s="87"/>
      <c r="AT81" s="85"/>
      <c r="AU81" s="85"/>
      <c r="AV81" s="85"/>
      <c r="AW81" s="85"/>
      <c r="AX81" s="85"/>
      <c r="AY81" s="85"/>
      <c r="AZ81" s="85"/>
      <c r="BA81" s="85"/>
      <c r="BB81" s="85"/>
      <c r="BC81" s="85"/>
      <c r="BD81" s="85"/>
      <c r="BE81" s="85"/>
      <c r="BF81" s="85"/>
      <c r="BG81" s="85"/>
    </row>
    <row r="82" spans="1:59" hidden="1" x14ac:dyDescent="0.25">
      <c r="A82" s="1393" t="str">
        <f>COA!B78</f>
        <v>2801 long-term portion - convertible debt</v>
      </c>
      <c r="B82" s="1390">
        <f>_xlfn.XLOOKUP(A82,'TB.1 - F25'!A:A,'TB.1 - F25'!D:D,0,0,1)</f>
        <v>0</v>
      </c>
      <c r="C82" s="1390">
        <f>_xlfn.XLOOKUP(A82,'TB.1 - F25'!A:A,'TB.1 - F25'!H:H,0,0,1)</f>
        <v>0</v>
      </c>
      <c r="D82" s="1390">
        <f>_xlfn.XLOOKUP(A82,'AJE.1 - F25'!A:A,'AJE.1 - F25'!F:F,0,0,1)</f>
        <v>0</v>
      </c>
      <c r="E82" s="1390"/>
      <c r="F82" s="219">
        <f>ROUND(SUM(B82:E82),0)</f>
        <v>0</v>
      </c>
      <c r="G82" s="1390">
        <f>_xlfn.XLOOKUP($A82,TB.PRO!$A:$A,TB.PRO!F:F,0,0,1)</f>
        <v>0</v>
      </c>
      <c r="H82" s="1390">
        <f>_xlfn.XLOOKUP($A82,TB.PRO!$A:$A,TB.PRO!G:G,0,0,1)</f>
        <v>0</v>
      </c>
      <c r="I82" s="1390"/>
      <c r="J82" s="1390"/>
      <c r="K82" s="1390">
        <f>_xlfn.XLOOKUP($A82,'AJE.1 - F25'!$S$12:$S$21,'AJE.1 - F25'!$U$12:$U$21,0,0,1)</f>
        <v>0</v>
      </c>
      <c r="L82" s="665">
        <f>ROUND(SUM(G82:K82),0)</f>
        <v>0</v>
      </c>
      <c r="M82" s="1390">
        <f>_xlfn.XLOOKUP($A82,TB.PRO!$A:$A,TB.PRO!I:I,0,0,1)</f>
        <v>0</v>
      </c>
      <c r="N82" s="1390">
        <f>_xlfn.XLOOKUP($A82,TB.PRO!$A:$A,TB.PRO!J:J,0,0,1)</f>
        <v>0</v>
      </c>
      <c r="O82" s="1390"/>
      <c r="P82" s="1390"/>
      <c r="Q82" s="1390">
        <f>_xlfn.XLOOKUP($A82,'AJE.1 - F25'!$S$12:$S$21,'AJE.1 - F25'!$U$12:$U$21,0,0,1)</f>
        <v>0</v>
      </c>
      <c r="R82" s="665">
        <f>ROUND(SUM(M82:Q82),0)</f>
        <v>0</v>
      </c>
      <c r="S82" s="1390">
        <f>M82+O82</f>
        <v>0</v>
      </c>
      <c r="T82" s="1390">
        <f>N82+P82</f>
        <v>0</v>
      </c>
      <c r="U82" s="1390"/>
      <c r="V82" s="1390"/>
      <c r="W82" s="1390">
        <f>_xlfn.XLOOKUP($A82,'AJE.1 - F25'!$S$12:$S$21,'AJE.1 - F25'!$U$12:$U$21,0,0,1)</f>
        <v>0</v>
      </c>
      <c r="X82" s="665">
        <f>ROUND(SUM(S82:W82),0)</f>
        <v>0</v>
      </c>
      <c r="Y82" s="1390">
        <f>S82+U82</f>
        <v>0</v>
      </c>
      <c r="Z82" s="1390">
        <f>T82+V82</f>
        <v>0</v>
      </c>
      <c r="AA82" s="1390"/>
      <c r="AB82" s="1390"/>
      <c r="AC82" s="1390">
        <f>_xlfn.XLOOKUP($A82,'AJE.1 - F25'!$S$12:$S$21,'AJE.1 - F25'!$U$12:$U$21,0,0,1)</f>
        <v>0</v>
      </c>
      <c r="AD82" s="219">
        <f>ROUND(SUM(Y82:AC82),0)</f>
        <v>0</v>
      </c>
      <c r="AE82" s="1390">
        <f>Y82+AA82</f>
        <v>0</v>
      </c>
      <c r="AF82" s="1390">
        <f>Z82+AB82</f>
        <v>0</v>
      </c>
      <c r="AG82" s="1390"/>
      <c r="AH82" s="1390"/>
      <c r="AI82" s="1390">
        <f>_xlfn.XLOOKUP($A82,'AJE.1 - F25'!$S$12:$S$21,'AJE.1 - F25'!$U$12:$U$21,0,0,1)</f>
        <v>0</v>
      </c>
      <c r="AJ82" s="219">
        <f>ROUND(SUM(AE82:AI82),0)</f>
        <v>0</v>
      </c>
      <c r="AK82" s="178" t="str">
        <f>_xlfn.XLOOKUP($A82,COA!$B:$B,COA!$C:$C,0,0,1)</f>
        <v>Convertible debt</v>
      </c>
      <c r="AL82" s="178" t="str">
        <f>_xlfn.XLOOKUP($A82,COA!$B:$B,COA!$D:$D,0,0,1)</f>
        <v>Convertible debt</v>
      </c>
      <c r="AM82" s="178" t="str">
        <f>_xlfn.XLOOKUP($A82,COA!$B:$B,COA!$E:$E,0,0,1)</f>
        <v>Convertible debt</v>
      </c>
      <c r="AO82" s="85" t="str">
        <f t="shared" si="17"/>
        <v>Convertible debt</v>
      </c>
      <c r="AP82" s="87"/>
      <c r="AQ82" s="87"/>
      <c r="AR82" s="87"/>
      <c r="AS82" s="87"/>
      <c r="AT82" s="85"/>
      <c r="AU82" s="85"/>
      <c r="AV82" s="85"/>
      <c r="AW82" s="85"/>
      <c r="AX82" s="85"/>
      <c r="AY82" s="85"/>
      <c r="AZ82" s="85"/>
      <c r="BA82" s="85"/>
      <c r="BB82" s="85"/>
      <c r="BC82" s="85"/>
      <c r="BD82" s="85"/>
      <c r="BE82" s="85"/>
      <c r="BF82" s="85"/>
      <c r="BG82" s="85"/>
    </row>
    <row r="83" spans="1:59" hidden="1" x14ac:dyDescent="0.25">
      <c r="A83" s="1393" t="str">
        <f>COA!B79</f>
        <v>2802 Derivative liability</v>
      </c>
      <c r="B83" s="1390">
        <f>_xlfn.XLOOKUP(A83,'TB.1 - F25'!A:A,'TB.1 - F25'!D:D,0,0,1)</f>
        <v>0</v>
      </c>
      <c r="C83" s="1390">
        <f>_xlfn.XLOOKUP(A83,'TB.1 - F25'!A:A,'TB.1 - F25'!H:H,0,0,1)</f>
        <v>0</v>
      </c>
      <c r="D83" s="1390">
        <f>_xlfn.XLOOKUP(A83,'AJE.1 - F25'!A:A,'AJE.1 - F25'!F:F,0,0,1)</f>
        <v>0</v>
      </c>
      <c r="E83" s="1390"/>
      <c r="F83" s="219">
        <f>ROUND(SUM(B83:E83),0)</f>
        <v>0</v>
      </c>
      <c r="G83" s="1390">
        <f>_xlfn.XLOOKUP($A83,TB.PRO!$A:$A,TB.PRO!F:F,0,0,1)</f>
        <v>0</v>
      </c>
      <c r="H83" s="1390">
        <f>_xlfn.XLOOKUP($A83,TB.PRO!$A:$A,TB.PRO!G:G,0,0,1)</f>
        <v>0</v>
      </c>
      <c r="I83" s="1390"/>
      <c r="J83" s="1390"/>
      <c r="K83" s="1390">
        <f>_xlfn.XLOOKUP($A83,'AJE.1 - F25'!$S$12:$S$21,'AJE.1 - F25'!$U$12:$U$21,0,0,1)</f>
        <v>0</v>
      </c>
      <c r="L83" s="665">
        <f>ROUND(SUM(G83:K83),0)</f>
        <v>0</v>
      </c>
      <c r="M83" s="1390">
        <f>_xlfn.XLOOKUP($A83,TB.PRO!$A:$A,TB.PRO!I:I,0,0,1)</f>
        <v>0</v>
      </c>
      <c r="N83" s="1390">
        <f>_xlfn.XLOOKUP($A83,TB.PRO!$A:$A,TB.PRO!J:J,0,0,1)</f>
        <v>0</v>
      </c>
      <c r="O83" s="1390"/>
      <c r="P83" s="1390"/>
      <c r="Q83" s="1390">
        <f>_xlfn.XLOOKUP($A83,'AJE.1 - F25'!$S$12:$S$21,'AJE.1 - F25'!$U$12:$U$21,0,0,1)</f>
        <v>0</v>
      </c>
      <c r="R83" s="665">
        <f>ROUND(SUM(M83:Q83),0)</f>
        <v>0</v>
      </c>
      <c r="S83" s="1390">
        <f>M83+O83</f>
        <v>0</v>
      </c>
      <c r="T83" s="1390">
        <f>N83+P83</f>
        <v>0</v>
      </c>
      <c r="U83" s="1390"/>
      <c r="V83" s="1390"/>
      <c r="W83" s="1390">
        <f>_xlfn.XLOOKUP($A83,'AJE.1 - F25'!$S$12:$S$21,'AJE.1 - F25'!$U$12:$U$21,0,0,1)</f>
        <v>0</v>
      </c>
      <c r="X83" s="665">
        <f>ROUND(SUM(S83:W83),0)</f>
        <v>0</v>
      </c>
      <c r="Y83" s="1390">
        <f>S83+U83</f>
        <v>0</v>
      </c>
      <c r="Z83" s="1390">
        <f>T83+V83</f>
        <v>0</v>
      </c>
      <c r="AA83" s="1390"/>
      <c r="AB83" s="1390"/>
      <c r="AC83" s="1390">
        <f>_xlfn.XLOOKUP($A83,'AJE.1 - F25'!$S$12:$S$21,'AJE.1 - F25'!$U$12:$U$21,0,0,1)</f>
        <v>0</v>
      </c>
      <c r="AD83" s="219">
        <f>ROUND(SUM(Y83:AC83),0)</f>
        <v>0</v>
      </c>
      <c r="AE83" s="1390">
        <f>Y83+AA83</f>
        <v>0</v>
      </c>
      <c r="AF83" s="1390">
        <f>Z83+AB83</f>
        <v>0</v>
      </c>
      <c r="AG83" s="1390"/>
      <c r="AH83" s="1390"/>
      <c r="AI83" s="1390">
        <f>_xlfn.XLOOKUP($A83,'AJE.1 - F25'!$S$12:$S$21,'AJE.1 - F25'!$U$12:$U$21,0,0,1)</f>
        <v>0</v>
      </c>
      <c r="AJ83" s="219">
        <f>ROUND(SUM(AE83:AI83),0)</f>
        <v>0</v>
      </c>
      <c r="AK83" s="178" t="str">
        <f>_xlfn.XLOOKUP($A83,COA!$B:$B,COA!$C:$C,0,0,1)</f>
        <v>Derivative liability</v>
      </c>
      <c r="AL83" s="178" t="str">
        <f>_xlfn.XLOOKUP($A83,COA!$B:$B,COA!$D:$D,0,0,1)</f>
        <v>Derivative liability</v>
      </c>
      <c r="AM83" s="178" t="str">
        <f>_xlfn.XLOOKUP($A83,COA!$B:$B,COA!$E:$E,0,0,1)</f>
        <v>Derivative liability</v>
      </c>
      <c r="AO83" s="85" t="str">
        <f t="shared" si="17"/>
        <v>Derivative liability</v>
      </c>
      <c r="AP83" s="87"/>
      <c r="AQ83" s="87"/>
      <c r="AR83" s="87"/>
      <c r="AS83" s="87"/>
      <c r="AT83" s="85"/>
      <c r="AU83" s="85"/>
      <c r="AV83" s="85"/>
      <c r="AW83" s="85"/>
      <c r="AX83" s="85"/>
      <c r="AY83" s="85"/>
      <c r="AZ83" s="85"/>
      <c r="BA83" s="85"/>
      <c r="BB83" s="85"/>
      <c r="BC83" s="85"/>
      <c r="BD83" s="85"/>
      <c r="BE83" s="85"/>
      <c r="BF83" s="85"/>
      <c r="BG83" s="85"/>
    </row>
    <row r="84" spans="1:59" hidden="1" x14ac:dyDescent="0.25">
      <c r="A84" s="1393" t="str">
        <f>COA!B80</f>
        <v>2803 Accrued loan interest</v>
      </c>
      <c r="B84" s="1390">
        <f>_xlfn.XLOOKUP(A84,'TB.1 - F25'!A:A,'TB.1 - F25'!D:D,0,0,1)</f>
        <v>-67204</v>
      </c>
      <c r="C84" s="1390">
        <f>_xlfn.XLOOKUP(A84,'TB.1 - F25'!A:A,'TB.1 - F25'!H:H,0,0,1)</f>
        <v>0</v>
      </c>
      <c r="D84" s="1390">
        <f>_xlfn.XLOOKUP(A84,'AJE.1 - F25'!A:A,'AJE.1 - F25'!F:F,0,0,1)</f>
        <v>0</v>
      </c>
      <c r="E84" s="1390"/>
      <c r="F84" s="219">
        <f>ROUND(SUM(B84:E84),0)</f>
        <v>-67204</v>
      </c>
      <c r="G84" s="1390">
        <f>_xlfn.XLOOKUP($A84,TB.PRO!$A:$A,TB.PRO!F:F,0,0,1)</f>
        <v>-88016</v>
      </c>
      <c r="H84" s="1390">
        <f>_xlfn.XLOOKUP($A84,TB.PRO!$A:$A,TB.PRO!G:G,0,0,1)</f>
        <v>0</v>
      </c>
      <c r="I84" s="1390"/>
      <c r="J84" s="1619">
        <f>-G84</f>
        <v>88016</v>
      </c>
      <c r="K84" s="1390">
        <f>_xlfn.XLOOKUP($A84,'AJE.1 - F25'!$S$12:$S$21,'AJE.1 - F25'!$U$12:$U$21,0,0,1)</f>
        <v>0</v>
      </c>
      <c r="L84" s="665">
        <f>ROUND(SUM(G84:K84),0)</f>
        <v>0</v>
      </c>
      <c r="M84" s="1390">
        <f>_xlfn.XLOOKUP($A84,TB.PRO!$A:$A,TB.PRO!I:I,0,0,1)</f>
        <v>-88016</v>
      </c>
      <c r="N84" s="1390">
        <f>_xlfn.XLOOKUP($A84,TB.PRO!$A:$A,TB.PRO!J:J,0,0,1)</f>
        <v>0</v>
      </c>
      <c r="O84" s="1390"/>
      <c r="P84" s="1619">
        <f>J84</f>
        <v>88016</v>
      </c>
      <c r="Q84" s="1390">
        <f>_xlfn.XLOOKUP($A84,'AJE.1 - F25'!$S$12:$S$21,'AJE.1 - F25'!$U$12:$U$21,0,0,1)</f>
        <v>0</v>
      </c>
      <c r="R84" s="665">
        <f>ROUND(SUM(M84:Q84),0)</f>
        <v>0</v>
      </c>
      <c r="S84" s="1390">
        <f>M84+O84</f>
        <v>-88016</v>
      </c>
      <c r="T84" s="1390">
        <f>N84+P84</f>
        <v>88016</v>
      </c>
      <c r="U84" s="1390"/>
      <c r="V84" s="1619">
        <f>-SUM(S84:T84)</f>
        <v>0</v>
      </c>
      <c r="W84" s="1390">
        <f>_xlfn.XLOOKUP($A84,'AJE.1 - F25'!$S$12:$S$21,'AJE.1 - F25'!$U$12:$U$21,0,0,1)</f>
        <v>0</v>
      </c>
      <c r="X84" s="665">
        <f>ROUND(SUM(S84:W84),0)</f>
        <v>0</v>
      </c>
      <c r="Y84" s="1390">
        <f>S84+U84</f>
        <v>-88016</v>
      </c>
      <c r="Z84" s="1390">
        <f>T84+V84</f>
        <v>88016</v>
      </c>
      <c r="AA84" s="1390"/>
      <c r="AB84" s="1390"/>
      <c r="AC84" s="1390">
        <f>_xlfn.XLOOKUP($A84,'AJE.1 - F25'!$S$12:$S$21,'AJE.1 - F25'!$U$12:$U$21,0,0,1)</f>
        <v>0</v>
      </c>
      <c r="AD84" s="219">
        <f>ROUND(SUM(Y84:AC84),0)</f>
        <v>0</v>
      </c>
      <c r="AE84" s="1390">
        <f>Y84+AA84</f>
        <v>-88016</v>
      </c>
      <c r="AF84" s="1390">
        <f>Z84+AB84</f>
        <v>88016</v>
      </c>
      <c r="AG84" s="1390"/>
      <c r="AH84" s="1390"/>
      <c r="AI84" s="1390">
        <f>_xlfn.XLOOKUP($A84,'AJE.1 - F25'!$S$12:$S$21,'AJE.1 - F25'!$U$12:$U$21,0,0,1)</f>
        <v>0</v>
      </c>
      <c r="AJ84" s="219">
        <f>ROUND(SUM(AE84:AI84),0)</f>
        <v>0</v>
      </c>
      <c r="AK84" s="667" t="s">
        <v>30</v>
      </c>
      <c r="AL84" s="667" t="str">
        <f>AK84</f>
        <v>Loans and borrowings</v>
      </c>
      <c r="AM84" s="667" t="str">
        <f>AL84</f>
        <v>Loans and borrowings</v>
      </c>
      <c r="AO84" s="85" t="str">
        <f>_xlfn.XLOOKUP(AM84,FS.1!A:A,AM:AM,0,0,1)</f>
        <v>Accounts payables and accrued liabilities</v>
      </c>
      <c r="AP84" s="87"/>
      <c r="AQ84" s="87"/>
      <c r="AR84" s="87"/>
      <c r="AS84" s="87"/>
      <c r="AT84" s="85"/>
      <c r="AU84" s="85"/>
      <c r="AV84" s="85"/>
      <c r="AW84" s="85"/>
      <c r="AX84" s="85"/>
      <c r="AY84" s="85"/>
      <c r="AZ84" s="85"/>
      <c r="BA84" s="85"/>
      <c r="BB84" s="85"/>
      <c r="BC84" s="85"/>
      <c r="BD84" s="85"/>
      <c r="BE84" s="85"/>
      <c r="BF84" s="85"/>
      <c r="BG84" s="85"/>
    </row>
    <row r="85" spans="1:59" x14ac:dyDescent="0.25">
      <c r="A85" s="1393" t="str">
        <f>COA!B81</f>
        <v>2900 Intercompany - due to Hallor Group Inc.</v>
      </c>
      <c r="B85" s="1390">
        <f>_xlfn.XLOOKUP(A85,'TB.1 - F25'!A:A,'TB.1 - F25'!D:D,0,0,1)</f>
        <v>0</v>
      </c>
      <c r="C85" s="1390">
        <f>_xlfn.XLOOKUP(A85,'TB.1 - F25'!A:A,'TB.1 - F25'!H:H,0,0,1)</f>
        <v>-109089.96</v>
      </c>
      <c r="D85" s="1390">
        <f>_xlfn.XLOOKUP(A85,'AJE.1 - F25'!A:A,'AJE.1 - F25'!F:F,0,0,1)</f>
        <v>0</v>
      </c>
      <c r="E85" s="1390"/>
      <c r="F85" s="219">
        <f>ROUND(SUM(B85:E85),0)</f>
        <v>-109090</v>
      </c>
      <c r="G85" s="1390">
        <f>_xlfn.XLOOKUP($A85,TB.PRO!$A:$A,TB.PRO!F:F,0,0,1)</f>
        <v>0</v>
      </c>
      <c r="H85" s="1390">
        <f>_xlfn.XLOOKUP($A85,TB.PRO!$A:$A,TB.PRO!G:G,0,0,1)</f>
        <v>-88904.03</v>
      </c>
      <c r="I85" s="1390"/>
      <c r="J85" s="1390"/>
      <c r="K85" s="1390">
        <f>_xlfn.XLOOKUP($A85,'AJE.1 - F25'!$S$12:$S$21,'AJE.1 - F25'!$U$12:$U$21,0,0,1)</f>
        <v>0</v>
      </c>
      <c r="L85" s="665">
        <f>ROUND(SUM(G85:K85),0)</f>
        <v>-88904</v>
      </c>
      <c r="M85" s="1390">
        <f>_xlfn.XLOOKUP($A85,TB.PRO!$A:$A,TB.PRO!I:I,0,0,1)</f>
        <v>0</v>
      </c>
      <c r="N85" s="1390">
        <f>_xlfn.XLOOKUP($A85,TB.PRO!$A:$A,TB.PRO!J:J,0,0,1)</f>
        <v>-88904.03</v>
      </c>
      <c r="O85" s="1390"/>
      <c r="P85" s="1390"/>
      <c r="Q85" s="1390">
        <f>_xlfn.XLOOKUP($A85,'AJE.1 - F25'!$S$12:$S$21,'AJE.1 - F25'!$U$12:$U$21,0,0,1)</f>
        <v>0</v>
      </c>
      <c r="R85" s="665">
        <f>ROUND(SUM(M85:Q85),0)</f>
        <v>-88904</v>
      </c>
      <c r="S85" s="1390">
        <f>M85+O85</f>
        <v>0</v>
      </c>
      <c r="T85" s="1390">
        <f>N85+P85</f>
        <v>-88904.03</v>
      </c>
      <c r="U85" s="1390"/>
      <c r="V85" s="1390"/>
      <c r="W85" s="1390">
        <f>_xlfn.XLOOKUP($A85,'AJE.1 - F25'!$S$12:$S$21,'AJE.1 - F25'!$U$12:$U$21,0,0,1)</f>
        <v>0</v>
      </c>
      <c r="X85" s="665">
        <f>ROUND(SUM(S85:W85),0)</f>
        <v>-88904</v>
      </c>
      <c r="Y85" s="1390">
        <f>S85+U85</f>
        <v>0</v>
      </c>
      <c r="Z85" s="1390">
        <f>T85+V85</f>
        <v>-88904.03</v>
      </c>
      <c r="AA85" s="1390"/>
      <c r="AB85" s="1390"/>
      <c r="AC85" s="1390">
        <f>_xlfn.XLOOKUP($A85,'AJE.1 - F25'!$S$12:$S$21,'AJE.1 - F25'!$U$12:$U$21,0,0,1)</f>
        <v>0</v>
      </c>
      <c r="AD85" s="219">
        <f>ROUND(SUM(Y85:AC85),0)</f>
        <v>-88904</v>
      </c>
      <c r="AE85" s="1390">
        <f>Y85+AA85</f>
        <v>0</v>
      </c>
      <c r="AF85" s="1390">
        <f>Z85+AB85</f>
        <v>-88904.03</v>
      </c>
      <c r="AG85" s="1390"/>
      <c r="AH85" s="1390"/>
      <c r="AI85" s="1390">
        <f>_xlfn.XLOOKUP($A85,'AJE.1 - F25'!$S$12:$S$21,'AJE.1 - F25'!$U$12:$U$21,0,0,1)</f>
        <v>0</v>
      </c>
      <c r="AJ85" s="219">
        <f>ROUND(SUM(AE85:AI85),0)</f>
        <v>-88904</v>
      </c>
      <c r="AK85" s="178" t="str">
        <f>_xlfn.XLOOKUP($A85,COA!$B:$B,COA!$C:$C,0,0,1)</f>
        <v>Intercompany</v>
      </c>
      <c r="AL85" s="178" t="str">
        <f>_xlfn.XLOOKUP($A85,COA!$B:$B,COA!$D:$D,0,0,1)</f>
        <v>Intercompany</v>
      </c>
      <c r="AM85" s="178" t="str">
        <f>_xlfn.XLOOKUP($A85,COA!$B:$B,COA!$E:$E,0,0,1)</f>
        <v>Intercompany</v>
      </c>
      <c r="AO85" s="85" t="str">
        <f t="shared" ref="AO85:AO87" si="18">AM85</f>
        <v>Intercompany</v>
      </c>
      <c r="AP85" s="87"/>
      <c r="AQ85" s="87"/>
      <c r="AR85" s="87"/>
      <c r="AS85" s="87"/>
      <c r="AT85" s="85"/>
      <c r="AU85" s="85"/>
      <c r="AV85" s="85"/>
      <c r="AW85" s="85"/>
      <c r="AX85" s="85"/>
      <c r="AY85" s="85"/>
      <c r="AZ85" s="85"/>
      <c r="BA85" s="85"/>
      <c r="BB85" s="85"/>
      <c r="BC85" s="85"/>
      <c r="BD85" s="85"/>
      <c r="BE85" s="85"/>
      <c r="BF85" s="85"/>
      <c r="BG85" s="85"/>
    </row>
    <row r="86" spans="1:59" x14ac:dyDescent="0.25">
      <c r="A86" s="1393" t="str">
        <f>COA!B82</f>
        <v>3000 Share capital</v>
      </c>
      <c r="B86" s="1390">
        <f>_xlfn.XLOOKUP(A86,'TB.1 - F25'!A:A,'TB.1 - F25'!D:D,0,0,1)</f>
        <v>-6450000</v>
      </c>
      <c r="C86" s="1390">
        <f>_xlfn.XLOOKUP(A86,'TB.1 - F25'!A:A,'TB.1 - F25'!H:H,0,0,1)</f>
        <v>0</v>
      </c>
      <c r="D86" s="1390">
        <f>_xlfn.XLOOKUP(A86,'AJE.1 - F25'!A:A,'AJE.1 - F25'!F:F,0,0,1)</f>
        <v>0</v>
      </c>
      <c r="E86" s="1390"/>
      <c r="F86" s="219">
        <f>ROUND(SUM(B86:E86),0)</f>
        <v>-6450000</v>
      </c>
      <c r="G86" s="1390">
        <f>_xlfn.XLOOKUP($A86,TB.PRO!$A:$A,TB.PRO!F:F,0,0,1)</f>
        <v>-6450000</v>
      </c>
      <c r="H86" s="1390">
        <f>_xlfn.XLOOKUP($A86,TB.PRO!$A:$A,TB.PRO!G:G,0,0,1)</f>
        <v>0</v>
      </c>
      <c r="I86" s="1390"/>
      <c r="J86" s="1390"/>
      <c r="K86" s="1390">
        <f>_xlfn.XLOOKUP($A86,'AJE.1 - F25'!$S$12:$S$21,'AJE.1 - F25'!$U$12:$U$21,0,0,1)</f>
        <v>0</v>
      </c>
      <c r="L86" s="665">
        <f>ROUND(SUM(G86:K86),0)</f>
        <v>-6450000</v>
      </c>
      <c r="M86" s="1390">
        <f>_xlfn.XLOOKUP($A86,TB.PRO!$A:$A,TB.PRO!I:I,0,0,1)</f>
        <v>-6450000</v>
      </c>
      <c r="N86" s="1390">
        <f>_xlfn.XLOOKUP($A86,TB.PRO!$A:$A,TB.PRO!J:J,0,0,1)</f>
        <v>0</v>
      </c>
      <c r="O86" s="1390"/>
      <c r="P86" s="1390"/>
      <c r="Q86" s="1390">
        <f>_xlfn.XLOOKUP($A86,'AJE.1 - F25'!$S$12:$S$21,'AJE.1 - F25'!$U$12:$U$21,0,0,1)</f>
        <v>0</v>
      </c>
      <c r="R86" s="665">
        <f>ROUND(SUM(M86:Q86),0)</f>
        <v>-6450000</v>
      </c>
      <c r="S86" s="1390">
        <f>M86+O86</f>
        <v>-6450000</v>
      </c>
      <c r="T86" s="1390">
        <f>N86+P86</f>
        <v>0</v>
      </c>
      <c r="U86" s="1390"/>
      <c r="V86" s="1390"/>
      <c r="W86" s="1390">
        <f>_xlfn.XLOOKUP($A86,'AJE.1 - F25'!$S$12:$S$21,'AJE.1 - F25'!$U$12:$U$21,0,0,1)</f>
        <v>0</v>
      </c>
      <c r="X86" s="665">
        <f>ROUND(SUM(S86:W86),0)</f>
        <v>-6450000</v>
      </c>
      <c r="Y86" s="1390">
        <f>S86+U86</f>
        <v>-6450000</v>
      </c>
      <c r="Z86" s="1390">
        <f>T86+V86</f>
        <v>0</v>
      </c>
      <c r="AA86" s="1390"/>
      <c r="AB86" s="1390"/>
      <c r="AC86" s="1390">
        <f>_xlfn.XLOOKUP($A86,'AJE.1 - F25'!$S$12:$S$21,'AJE.1 - F25'!$U$12:$U$21,0,0,1)</f>
        <v>0</v>
      </c>
      <c r="AD86" s="219">
        <f>ROUND(SUM(Y86:AC86),0)</f>
        <v>-6450000</v>
      </c>
      <c r="AE86" s="1390">
        <f>Y86+AA86</f>
        <v>-6450000</v>
      </c>
      <c r="AF86" s="1390">
        <f>Z86+AB86</f>
        <v>0</v>
      </c>
      <c r="AG86" s="1390"/>
      <c r="AH86" s="1390"/>
      <c r="AI86" s="1390">
        <f>_xlfn.XLOOKUP($A86,'AJE.1 - F25'!$S$12:$S$21,'AJE.1 - F25'!$U$12:$U$21,0,0,1)</f>
        <v>0</v>
      </c>
      <c r="AJ86" s="219">
        <f>ROUND(SUM(AE86:AI86),0)</f>
        <v>-6450000</v>
      </c>
      <c r="AK86" s="178" t="str">
        <f>_xlfn.XLOOKUP($A86,COA!$B:$B,COA!$C:$C,0,0,1)</f>
        <v>Share capital</v>
      </c>
      <c r="AL86" s="178" t="str">
        <f>_xlfn.XLOOKUP($A86,COA!$B:$B,COA!$D:$D,0,0,1)</f>
        <v>Share capital</v>
      </c>
      <c r="AM86" s="178" t="str">
        <f>_xlfn.XLOOKUP($A86,COA!$B:$B,COA!$E:$E,0,0,1)</f>
        <v>Share capital</v>
      </c>
      <c r="AO86" s="85" t="str">
        <f t="shared" si="18"/>
        <v>Share capital</v>
      </c>
      <c r="AP86" s="87"/>
      <c r="AQ86" s="87"/>
      <c r="AR86" s="87"/>
      <c r="AS86" s="87"/>
      <c r="AT86" s="85"/>
      <c r="AU86" s="85"/>
      <c r="AV86" s="85"/>
      <c r="AW86" s="85"/>
      <c r="AX86" s="85"/>
      <c r="AY86" s="85"/>
      <c r="AZ86" s="85"/>
      <c r="BA86" s="85"/>
      <c r="BB86" s="85"/>
      <c r="BC86" s="85"/>
      <c r="BD86" s="85"/>
      <c r="BE86" s="85"/>
      <c r="BF86" s="85"/>
      <c r="BG86" s="85"/>
    </row>
    <row r="87" spans="1:59" hidden="1" x14ac:dyDescent="0.25">
      <c r="A87" s="1393" t="str">
        <f>COA!B83</f>
        <v>3000 Opening Bal Equity</v>
      </c>
      <c r="B87" s="1390">
        <f>_xlfn.XLOOKUP(A87,'TB.1 - F25'!A:A,'TB.1 - F25'!D:D,0,0,1)</f>
        <v>0</v>
      </c>
      <c r="C87" s="1390">
        <f>_xlfn.XLOOKUP(A87,'TB.1 - F25'!A:A,'TB.1 - F25'!H:H,0,0,1)</f>
        <v>1697.62</v>
      </c>
      <c r="D87" s="1390">
        <f>_xlfn.XLOOKUP(A87,'AJE.1 - F25'!A:A,'AJE.1 - F25'!F:F,0,0,1)</f>
        <v>-1698</v>
      </c>
      <c r="E87" s="1390"/>
      <c r="F87" s="219">
        <f>ROUND(SUM(B87:E87),0)</f>
        <v>0</v>
      </c>
      <c r="G87" s="1390">
        <f>_xlfn.XLOOKUP($A87,TB.PRO!$A:$A,TB.PRO!F:F,0,0,1)</f>
        <v>0</v>
      </c>
      <c r="H87" s="1390">
        <f>_xlfn.XLOOKUP($A87,TB.PRO!$A:$A,TB.PRO!G:G,0,0,1)</f>
        <v>1697.62</v>
      </c>
      <c r="I87" s="1390"/>
      <c r="J87" s="1390"/>
      <c r="K87" s="1390">
        <f>_xlfn.XLOOKUP($A87,'AJE.1 - F25'!$S$12:$S$21,'AJE.1 - F25'!$U$12:$U$21,0,0,1)</f>
        <v>-1698</v>
      </c>
      <c r="L87" s="665">
        <f>ROUND(SUM(G87:K87),0)</f>
        <v>0</v>
      </c>
      <c r="M87" s="1390">
        <f>_xlfn.XLOOKUP($A87,TB.PRO!$A:$A,TB.PRO!I:I,0,0,1)</f>
        <v>0</v>
      </c>
      <c r="N87" s="1390">
        <f>_xlfn.XLOOKUP($A87,TB.PRO!$A:$A,TB.PRO!J:J,0,0,1)</f>
        <v>1697.62</v>
      </c>
      <c r="O87" s="1390"/>
      <c r="P87" s="1390"/>
      <c r="Q87" s="1390">
        <f>_xlfn.XLOOKUP($A87,'AJE.1 - F25'!$S$12:$S$21,'AJE.1 - F25'!$U$12:$U$21,0,0,1)</f>
        <v>-1698</v>
      </c>
      <c r="R87" s="665">
        <f>ROUND(SUM(M87:Q87),0)</f>
        <v>0</v>
      </c>
      <c r="S87" s="1390">
        <f>M87+O87</f>
        <v>0</v>
      </c>
      <c r="T87" s="1390">
        <f>N87+P87</f>
        <v>1697.62</v>
      </c>
      <c r="U87" s="1390"/>
      <c r="V87" s="1390"/>
      <c r="W87" s="1390">
        <f>_xlfn.XLOOKUP($A87,'AJE.1 - F25'!$S$12:$S$21,'AJE.1 - F25'!$U$12:$U$21,0,0,1)</f>
        <v>-1698</v>
      </c>
      <c r="X87" s="665">
        <f>ROUND(SUM(S87:W87),0)</f>
        <v>0</v>
      </c>
      <c r="Y87" s="1390">
        <f>S87+U87</f>
        <v>0</v>
      </c>
      <c r="Z87" s="1390">
        <f>T87+V87</f>
        <v>1697.62</v>
      </c>
      <c r="AA87" s="1390"/>
      <c r="AB87" s="1390"/>
      <c r="AC87" s="1390">
        <f>_xlfn.XLOOKUP($A87,'AJE.1 - F25'!$S$12:$S$21,'AJE.1 - F25'!$U$12:$U$21,0,0,1)</f>
        <v>-1698</v>
      </c>
      <c r="AD87" s="219">
        <f>ROUND(SUM(Y87:AC87),0)</f>
        <v>0</v>
      </c>
      <c r="AE87" s="1390">
        <f>Y87+AA87</f>
        <v>0</v>
      </c>
      <c r="AF87" s="1390">
        <f>Z87+AB87</f>
        <v>1697.62</v>
      </c>
      <c r="AG87" s="1390"/>
      <c r="AH87" s="1390"/>
      <c r="AI87" s="1390">
        <f>_xlfn.XLOOKUP($A87,'AJE.1 - F25'!$S$12:$S$21,'AJE.1 - F25'!$U$12:$U$21,0,0,1)</f>
        <v>-1698</v>
      </c>
      <c r="AJ87" s="219">
        <f>ROUND(SUM(AE87:AI87),0)</f>
        <v>0</v>
      </c>
      <c r="AK87" s="178" t="str">
        <f>_xlfn.XLOOKUP($A87,COA!$B:$B,COA!$C:$C,0,0,1)</f>
        <v>Accumulated deficit</v>
      </c>
      <c r="AL87" s="178" t="str">
        <f>_xlfn.XLOOKUP($A87,COA!$B:$B,COA!$D:$D,0,0,1)</f>
        <v>Accumulated deficit</v>
      </c>
      <c r="AM87" s="178" t="str">
        <f>_xlfn.XLOOKUP($A87,COA!$B:$B,COA!$E:$E,0,0,1)</f>
        <v>Accumulated deficit</v>
      </c>
      <c r="AO87" s="85" t="str">
        <f t="shared" si="18"/>
        <v>Accumulated deficit</v>
      </c>
      <c r="AP87" s="87"/>
      <c r="AQ87" s="87"/>
      <c r="AR87" s="87"/>
      <c r="AS87" s="87"/>
      <c r="AT87" s="85"/>
      <c r="AU87" s="85"/>
      <c r="AV87" s="85"/>
      <c r="AW87" s="85"/>
      <c r="AX87" s="85"/>
      <c r="AY87" s="85"/>
      <c r="AZ87" s="85"/>
      <c r="BA87" s="85"/>
      <c r="BB87" s="85"/>
      <c r="BC87" s="85"/>
      <c r="BD87" s="85"/>
      <c r="BE87" s="85"/>
      <c r="BF87" s="85"/>
      <c r="BG87" s="85"/>
    </row>
    <row r="88" spans="1:59" x14ac:dyDescent="0.25">
      <c r="A88" s="1393" t="str">
        <f>COA!B84</f>
        <v>3001 Share capital:Common Shares</v>
      </c>
      <c r="B88" s="1390">
        <f>_xlfn.XLOOKUP(A88,'TB.1 - F25'!A:A,'TB.1 - F25'!D:D,0,0,1)</f>
        <v>-1801251</v>
      </c>
      <c r="C88" s="1390">
        <f>_xlfn.XLOOKUP(A88,'TB.1 - F25'!A:A,'TB.1 - F25'!H:H,0,0,1)</f>
        <v>0</v>
      </c>
      <c r="D88" s="1390">
        <f>_xlfn.XLOOKUP(A88,'AJE.1 - F25'!A:A,'AJE.1 - F25'!F:F,0,0,1)</f>
        <v>0</v>
      </c>
      <c r="E88" s="1390"/>
      <c r="F88" s="219">
        <f>ROUND(SUM(B88:E88),0)</f>
        <v>-1801251</v>
      </c>
      <c r="G88" s="1390">
        <f>_xlfn.XLOOKUP($A88,TB.PRO!$A:$A,TB.PRO!F:F,0,0,1)</f>
        <v>-1801251</v>
      </c>
      <c r="H88" s="1390">
        <f>_xlfn.XLOOKUP($A88,TB.PRO!$A:$A,TB.PRO!G:G,0,0,1)</f>
        <v>0</v>
      </c>
      <c r="I88" s="1390"/>
      <c r="J88" s="1619">
        <f>-J81+G84</f>
        <v>-331121</v>
      </c>
      <c r="K88" s="1581">
        <f>-B192</f>
        <v>0</v>
      </c>
      <c r="L88" s="665">
        <f>ROUND(SUM(G88:K88),0)</f>
        <v>-2132372</v>
      </c>
      <c r="M88" s="1390">
        <f>_xlfn.XLOOKUP($A88,TB.PRO!$A:$A,TB.PRO!I:I,0,0,1)</f>
        <v>-1801251</v>
      </c>
      <c r="N88" s="1390">
        <f>_xlfn.XLOOKUP($A88,TB.PRO!$A:$A,TB.PRO!J:J,0,0,1)</f>
        <v>0</v>
      </c>
      <c r="O88" s="1390"/>
      <c r="P88" s="1619">
        <f>J88</f>
        <v>-331121</v>
      </c>
      <c r="Q88" s="1581">
        <f>K88</f>
        <v>0</v>
      </c>
      <c r="R88" s="665">
        <f>ROUND(SUM(M88:Q88),0)</f>
        <v>-2132372</v>
      </c>
      <c r="S88" s="1390">
        <f>M88+O88+Q88</f>
        <v>-1801251</v>
      </c>
      <c r="T88" s="1390">
        <f>N88+P88</f>
        <v>-331121</v>
      </c>
      <c r="U88" s="1390"/>
      <c r="V88" s="1390"/>
      <c r="W88" s="1390">
        <f>_xlfn.XLOOKUP($A88,'AJE.1 - F25'!$S$12:$S$21,'AJE.1 - F25'!$U$12:$U$21,0,0,1)</f>
        <v>0</v>
      </c>
      <c r="X88" s="665">
        <f>ROUND(SUM(S88:W88),0)</f>
        <v>-2132372</v>
      </c>
      <c r="Y88" s="1390">
        <f>S88+U88</f>
        <v>-1801251</v>
      </c>
      <c r="Z88" s="1390">
        <f>T88+V88</f>
        <v>-331121</v>
      </c>
      <c r="AA88" s="1390"/>
      <c r="AB88" s="1390"/>
      <c r="AC88" s="1390">
        <f>_xlfn.XLOOKUP($A88,'AJE.1 - F25'!$S$12:$S$21,'AJE.1 - F25'!$U$12:$U$21,0,0,1)</f>
        <v>0</v>
      </c>
      <c r="AD88" s="219">
        <f>ROUND(SUM(Y88:AC88),0)</f>
        <v>-2132372</v>
      </c>
      <c r="AE88" s="1390">
        <f>Y88+AA88</f>
        <v>-1801251</v>
      </c>
      <c r="AF88" s="1390">
        <f>Z88+AB88</f>
        <v>-331121</v>
      </c>
      <c r="AG88" s="1390"/>
      <c r="AH88" s="1390"/>
      <c r="AI88" s="1390">
        <f>_xlfn.XLOOKUP($A88,'AJE.1 - F25'!$S$12:$S$21,'AJE.1 - F25'!$U$12:$U$21,0,0,1)</f>
        <v>0</v>
      </c>
      <c r="AJ88" s="219">
        <f>ROUND(SUM(AE88:AI88),0)</f>
        <v>-2132372</v>
      </c>
      <c r="AK88" s="178" t="str">
        <f>_xlfn.XLOOKUP($A88,COA!$B:$B,COA!$C:$C,0,0,1)</f>
        <v>Share capital</v>
      </c>
      <c r="AL88" s="178" t="str">
        <f>_xlfn.XLOOKUP($A88,COA!$B:$B,COA!$D:$D,0,0,1)</f>
        <v>Share capital</v>
      </c>
      <c r="AM88" s="178" t="str">
        <f>_xlfn.XLOOKUP($A88,COA!$B:$B,COA!$E:$E,0,0,1)</f>
        <v>Share capital</v>
      </c>
      <c r="AO88" s="85" t="str">
        <f>_xlfn.XLOOKUP(AM88,FS.1!A:A,AM:AM,0,0,1)</f>
        <v>Accrued Warranty Liability</v>
      </c>
      <c r="AP88" s="87"/>
      <c r="AQ88" s="87"/>
      <c r="AR88" s="87"/>
      <c r="AS88" s="87"/>
      <c r="AT88" s="85"/>
      <c r="AU88" s="85"/>
      <c r="AV88" s="85"/>
      <c r="AW88" s="85"/>
      <c r="AX88" s="85"/>
      <c r="AY88" s="85"/>
      <c r="AZ88" s="85"/>
      <c r="BA88" s="85"/>
      <c r="BB88" s="85"/>
      <c r="BC88" s="85"/>
      <c r="BD88" s="85"/>
      <c r="BE88" s="85"/>
      <c r="BF88" s="85"/>
      <c r="BG88" s="85"/>
    </row>
    <row r="89" spans="1:59" x14ac:dyDescent="0.25">
      <c r="A89" s="1393" t="str">
        <f>COA!B85</f>
        <v>3010 Share issuance cost</v>
      </c>
      <c r="B89" s="1390">
        <f>_xlfn.XLOOKUP(A89,'TB.1 - F25'!A:A,'TB.1 - F25'!D:D,0,0,1)</f>
        <v>27152.1</v>
      </c>
      <c r="C89" s="1390">
        <f>_xlfn.XLOOKUP(A89,'TB.1 - F25'!A:A,'TB.1 - F25'!H:H,0,0,1)</f>
        <v>0</v>
      </c>
      <c r="D89" s="1390">
        <f>_xlfn.XLOOKUP(A89,'AJE.1 - F25'!A:A,'AJE.1 - F25'!F:F,0,0,1)</f>
        <v>0</v>
      </c>
      <c r="E89" s="1390"/>
      <c r="F89" s="219">
        <f>ROUND(SUM(B89:E89),0)</f>
        <v>27152</v>
      </c>
      <c r="G89" s="1390">
        <f>_xlfn.XLOOKUP($A89,TB.PRO!$A:$A,TB.PRO!F:F,0,0,1)</f>
        <v>27152.1</v>
      </c>
      <c r="H89" s="1390">
        <f>_xlfn.XLOOKUP($A89,TB.PRO!$A:$A,TB.PRO!G:G,0,0,1)</f>
        <v>0</v>
      </c>
      <c r="I89" s="1390"/>
      <c r="J89" s="1390"/>
      <c r="K89" s="1390">
        <f>_xlfn.XLOOKUP($A89,'AJE.1 - F25'!$S$12:$S$21,'AJE.1 - F25'!$U$12:$U$21,0,0,1)</f>
        <v>0</v>
      </c>
      <c r="L89" s="665">
        <f>ROUND(SUM(G89:K89),0)</f>
        <v>27152</v>
      </c>
      <c r="M89" s="1390">
        <f>_xlfn.XLOOKUP($A89,TB.PRO!$A:$A,TB.PRO!I:I,0,0,1)</f>
        <v>27152.1</v>
      </c>
      <c r="N89" s="1390">
        <f>_xlfn.XLOOKUP($A89,TB.PRO!$A:$A,TB.PRO!J:J,0,0,1)</f>
        <v>0</v>
      </c>
      <c r="O89" s="1390"/>
      <c r="P89" s="1390"/>
      <c r="Q89" s="1390">
        <f>_xlfn.XLOOKUP($A89,'AJE.1 - F25'!$S$12:$S$21,'AJE.1 - F25'!$U$12:$U$21,0,0,1)</f>
        <v>0</v>
      </c>
      <c r="R89" s="665">
        <f>ROUND(SUM(M89:Q89),0)</f>
        <v>27152</v>
      </c>
      <c r="S89" s="1390">
        <f>M89+O89</f>
        <v>27152.1</v>
      </c>
      <c r="T89" s="1390">
        <f>N89+P89</f>
        <v>0</v>
      </c>
      <c r="U89" s="1390"/>
      <c r="V89" s="1390"/>
      <c r="W89" s="1390">
        <f>_xlfn.XLOOKUP($A89,'AJE.1 - F25'!$S$12:$S$21,'AJE.1 - F25'!$U$12:$U$21,0,0,1)</f>
        <v>0</v>
      </c>
      <c r="X89" s="665">
        <f>ROUND(SUM(S89:W89),0)</f>
        <v>27152</v>
      </c>
      <c r="Y89" s="1390">
        <f>S89+U89</f>
        <v>27152.1</v>
      </c>
      <c r="Z89" s="1390">
        <f>T89+V89</f>
        <v>0</v>
      </c>
      <c r="AA89" s="1390"/>
      <c r="AB89" s="1390"/>
      <c r="AC89" s="1390">
        <f>_xlfn.XLOOKUP($A89,'AJE.1 - F25'!$S$12:$S$21,'AJE.1 - F25'!$U$12:$U$21,0,0,1)</f>
        <v>0</v>
      </c>
      <c r="AD89" s="219">
        <f>ROUND(SUM(Y89:AC89),0)</f>
        <v>27152</v>
      </c>
      <c r="AE89" s="1390">
        <f>Y89+AA89</f>
        <v>27152.1</v>
      </c>
      <c r="AF89" s="1390">
        <f>Z89+AB89</f>
        <v>0</v>
      </c>
      <c r="AG89" s="1390"/>
      <c r="AH89" s="1390"/>
      <c r="AI89" s="1390">
        <f>_xlfn.XLOOKUP($A89,'AJE.1 - F25'!$S$12:$S$21,'AJE.1 - F25'!$U$12:$U$21,0,0,1)</f>
        <v>0</v>
      </c>
      <c r="AJ89" s="219">
        <f>ROUND(SUM(AE89:AI89),0)</f>
        <v>27152</v>
      </c>
      <c r="AK89" s="178" t="str">
        <f>_xlfn.XLOOKUP($A89,COA!$B:$B,COA!$C:$C,0,0,1)</f>
        <v>Share capital</v>
      </c>
      <c r="AL89" s="178" t="str">
        <f>_xlfn.XLOOKUP($A89,COA!$B:$B,COA!$D:$D,0,0,1)</f>
        <v>Share capital</v>
      </c>
      <c r="AM89" s="178" t="str">
        <f>_xlfn.XLOOKUP($A89,COA!$B:$B,COA!$E:$E,0,0,1)</f>
        <v>Share capital</v>
      </c>
      <c r="AO89" s="85" t="str">
        <f>_xlfn.XLOOKUP(AM89,FS.1!A:A,AM:AM,0,0,1)</f>
        <v>Accrued Warranty Liability</v>
      </c>
      <c r="AP89" s="87"/>
      <c r="AQ89" s="87"/>
      <c r="AR89" s="87"/>
      <c r="AS89" s="87"/>
      <c r="AT89" s="85"/>
      <c r="AU89" s="85"/>
      <c r="AV89" s="85"/>
      <c r="AW89" s="85"/>
      <c r="AX89" s="85"/>
      <c r="AY89" s="85"/>
      <c r="AZ89" s="85"/>
      <c r="BA89" s="85"/>
      <c r="BB89" s="85"/>
      <c r="BC89" s="85"/>
      <c r="BD89" s="85"/>
      <c r="BE89" s="85"/>
      <c r="BF89" s="85"/>
      <c r="BG89" s="85"/>
    </row>
    <row r="90" spans="1:59" x14ac:dyDescent="0.25">
      <c r="A90" s="1393" t="str">
        <f>COA!B86</f>
        <v>3100 Warrant reserve</v>
      </c>
      <c r="B90" s="1390">
        <f>_xlfn.XLOOKUP(A90,'TB.1 - F25'!A:A,'TB.1 - F25'!D:D,0,0,1)</f>
        <v>-308750</v>
      </c>
      <c r="C90" s="1390">
        <f>_xlfn.XLOOKUP(A90,'TB.1 - F25'!A:A,'TB.1 - F25'!H:H,0,0,1)</f>
        <v>0</v>
      </c>
      <c r="D90" s="1390">
        <f>_xlfn.XLOOKUP(A90,'AJE.1 - F25'!A:A,'AJE.1 - F25'!F:F,0,0,1)</f>
        <v>0</v>
      </c>
      <c r="E90" s="1390"/>
      <c r="F90" s="219">
        <f>ROUND(SUM(B90:E90),0)</f>
        <v>-308750</v>
      </c>
      <c r="G90" s="1390">
        <f>_xlfn.XLOOKUP($A90,TB.PRO!$A:$A,TB.PRO!F:F,0,0,1)</f>
        <v>-308750</v>
      </c>
      <c r="H90" s="1390">
        <f>_xlfn.XLOOKUP($A90,TB.PRO!$A:$A,TB.PRO!G:G,0,0,1)</f>
        <v>0</v>
      </c>
      <c r="I90" s="1390"/>
      <c r="J90" s="1390"/>
      <c r="K90" s="1390">
        <f>_xlfn.XLOOKUP($A90,'AJE.1 - F25'!$S$12:$S$21,'AJE.1 - F25'!$U$12:$U$21,0,0,1)</f>
        <v>0</v>
      </c>
      <c r="L90" s="665">
        <f>ROUND(SUM(G90:K90),0)</f>
        <v>-308750</v>
      </c>
      <c r="M90" s="1390">
        <f>_xlfn.XLOOKUP($A90,TB.PRO!$A:$A,TB.PRO!I:I,0,0,1)</f>
        <v>-308750</v>
      </c>
      <c r="N90" s="1390">
        <f>_xlfn.XLOOKUP($A90,TB.PRO!$A:$A,TB.PRO!J:J,0,0,1)</f>
        <v>0</v>
      </c>
      <c r="O90" s="1390"/>
      <c r="P90" s="1390"/>
      <c r="Q90" s="1390">
        <f>_xlfn.XLOOKUP($A90,'AJE.1 - F25'!$S$12:$S$21,'AJE.1 - F25'!$U$12:$U$21,0,0,1)</f>
        <v>0</v>
      </c>
      <c r="R90" s="665">
        <f>ROUND(SUM(M90:Q90),0)</f>
        <v>-308750</v>
      </c>
      <c r="S90" s="1390">
        <f>M90+O90</f>
        <v>-308750</v>
      </c>
      <c r="T90" s="1390">
        <f>N90+P90</f>
        <v>0</v>
      </c>
      <c r="U90" s="1390"/>
      <c r="V90" s="1390"/>
      <c r="W90" s="1390">
        <f>_xlfn.XLOOKUP($A90,'AJE.1 - F25'!$S$12:$S$21,'AJE.1 - F25'!$U$12:$U$21,0,0,1)</f>
        <v>0</v>
      </c>
      <c r="X90" s="665">
        <f>ROUND(SUM(S90:W90),0)</f>
        <v>-308750</v>
      </c>
      <c r="Y90" s="1390">
        <f>S90+U90</f>
        <v>-308750</v>
      </c>
      <c r="Z90" s="1390">
        <f>T90+V90</f>
        <v>0</v>
      </c>
      <c r="AA90" s="1390"/>
      <c r="AB90" s="1390"/>
      <c r="AC90" s="1390">
        <f>_xlfn.XLOOKUP($A90,'AJE.1 - F25'!$S$12:$S$21,'AJE.1 - F25'!$U$12:$U$21,0,0,1)</f>
        <v>0</v>
      </c>
      <c r="AD90" s="219">
        <f>ROUND(SUM(Y90:AC90),0)</f>
        <v>-308750</v>
      </c>
      <c r="AE90" s="1390">
        <f>Y90+AA90</f>
        <v>-308750</v>
      </c>
      <c r="AF90" s="1390">
        <f>Z90+AB90</f>
        <v>0</v>
      </c>
      <c r="AG90" s="1390"/>
      <c r="AH90" s="1390"/>
      <c r="AI90" s="1390">
        <f>_xlfn.XLOOKUP($A90,'AJE.1 - F25'!$S$12:$S$21,'AJE.1 - F25'!$U$12:$U$21,0,0,1)</f>
        <v>0</v>
      </c>
      <c r="AJ90" s="219">
        <f>ROUND(SUM(AE90:AI90),0)</f>
        <v>-308750</v>
      </c>
      <c r="AK90" s="178" t="str">
        <f>_xlfn.XLOOKUP($A90,COA!$B:$B,COA!$C:$C,0,0,1)</f>
        <v>Contributed surplus</v>
      </c>
      <c r="AL90" s="178" t="str">
        <f>_xlfn.XLOOKUP($A90,COA!$B:$B,COA!$D:$D,0,0,1)</f>
        <v>Contributed surplus</v>
      </c>
      <c r="AM90" s="178" t="str">
        <f>_xlfn.XLOOKUP($A90,COA!$B:$B,COA!$E:$E,0,0,1)</f>
        <v>Contributed surplus</v>
      </c>
      <c r="AO90" s="85" t="str">
        <f>_xlfn.XLOOKUP(AM90,FS.1!A:A,AM:AM,0,0,1)</f>
        <v>Deferred revenue</v>
      </c>
      <c r="AP90" s="87"/>
      <c r="AQ90" s="87"/>
      <c r="AR90" s="87"/>
      <c r="AS90" s="87"/>
      <c r="AT90" s="85"/>
      <c r="AU90" s="85"/>
      <c r="AV90" s="85"/>
      <c r="AW90" s="85"/>
      <c r="AX90" s="85"/>
      <c r="AY90" s="85"/>
      <c r="AZ90" s="85"/>
      <c r="BA90" s="85"/>
      <c r="BB90" s="85"/>
      <c r="BC90" s="85"/>
      <c r="BD90" s="85"/>
      <c r="BE90" s="85"/>
      <c r="BF90" s="85"/>
      <c r="BG90" s="85"/>
    </row>
    <row r="91" spans="1:59" hidden="1" x14ac:dyDescent="0.25">
      <c r="A91" s="1393" t="str">
        <f>COA!B87</f>
        <v>3100 Common Shares</v>
      </c>
      <c r="B91" s="1390">
        <f>_xlfn.XLOOKUP(A91,'TB.1 - F25'!A:A,'TB.1 - F25'!D:D,0,0,1)</f>
        <v>0</v>
      </c>
      <c r="C91" s="1390">
        <f>_xlfn.XLOOKUP(A91,'TB.1 - F25'!A:A,'TB.1 - F25'!H:H,0,0,1)</f>
        <v>0</v>
      </c>
      <c r="D91" s="1390">
        <f>_xlfn.XLOOKUP(A91,'AJE.1 - F25'!A:A,'AJE.1 - F25'!F:F,0,0,1)</f>
        <v>0</v>
      </c>
      <c r="E91" s="1390"/>
      <c r="F91" s="219">
        <f>ROUND(SUM(B91:E91),0)</f>
        <v>0</v>
      </c>
      <c r="G91" s="1390">
        <f>_xlfn.XLOOKUP($A91,TB.PRO!$A:$A,TB.PRO!F:F,0,0,1)</f>
        <v>0</v>
      </c>
      <c r="H91" s="1390">
        <f>_xlfn.XLOOKUP($A91,TB.PRO!$A:$A,TB.PRO!G:G,0,0,1)</f>
        <v>0</v>
      </c>
      <c r="I91" s="1390"/>
      <c r="J91" s="1621"/>
      <c r="K91" s="1390">
        <f>_xlfn.XLOOKUP($A91,'AJE.1 - F25'!$S$12:$S$21,'AJE.1 - F25'!$U$12:$U$21,0,0,1)</f>
        <v>0</v>
      </c>
      <c r="L91" s="665">
        <f>ROUND(SUM(G91:K91),0)</f>
        <v>0</v>
      </c>
      <c r="M91" s="1390">
        <f>_xlfn.XLOOKUP($A91,TB.PRO!$A:$A,TB.PRO!I:I,0,0,1)</f>
        <v>0</v>
      </c>
      <c r="N91" s="1390">
        <f>_xlfn.XLOOKUP($A91,TB.PRO!$A:$A,TB.PRO!J:J,0,0,1)</f>
        <v>0</v>
      </c>
      <c r="O91" s="1390"/>
      <c r="P91" s="1390"/>
      <c r="Q91" s="1390">
        <f>_xlfn.XLOOKUP($A91,'AJE.1 - F25'!$S$12:$S$21,'AJE.1 - F25'!$U$12:$U$21,0,0,1)</f>
        <v>0</v>
      </c>
      <c r="R91" s="665">
        <f>ROUND(SUM(M91:Q91),0)</f>
        <v>0</v>
      </c>
      <c r="S91" s="1390">
        <f>M91+O91</f>
        <v>0</v>
      </c>
      <c r="T91" s="1390">
        <f>N91+P91</f>
        <v>0</v>
      </c>
      <c r="U91" s="1390"/>
      <c r="V91" s="1390"/>
      <c r="W91" s="1390">
        <f>_xlfn.XLOOKUP($A91,'AJE.1 - F25'!$S$12:$S$21,'AJE.1 - F25'!$U$12:$U$21,0,0,1)</f>
        <v>0</v>
      </c>
      <c r="X91" s="665">
        <f>ROUND(SUM(S91:W91),0)</f>
        <v>0</v>
      </c>
      <c r="Y91" s="1390">
        <f>S91+U91</f>
        <v>0</v>
      </c>
      <c r="Z91" s="1390">
        <f>T91+V91</f>
        <v>0</v>
      </c>
      <c r="AA91" s="1390"/>
      <c r="AB91" s="1390"/>
      <c r="AC91" s="1390">
        <f>_xlfn.XLOOKUP($A91,'AJE.1 - F25'!$S$12:$S$21,'AJE.1 - F25'!$U$12:$U$21,0,0,1)</f>
        <v>0</v>
      </c>
      <c r="AD91" s="219">
        <f>ROUND(SUM(Y91:AC91),0)</f>
        <v>0</v>
      </c>
      <c r="AE91" s="1390">
        <f>Y91+AA91</f>
        <v>0</v>
      </c>
      <c r="AF91" s="1390">
        <f>Z91+AB91</f>
        <v>0</v>
      </c>
      <c r="AG91" s="1390"/>
      <c r="AH91" s="1390"/>
      <c r="AI91" s="1390">
        <f>_xlfn.XLOOKUP($A91,'AJE.1 - F25'!$S$12:$S$21,'AJE.1 - F25'!$U$12:$U$21,0,0,1)</f>
        <v>0</v>
      </c>
      <c r="AJ91" s="219">
        <f>ROUND(SUM(AE91:AI91),0)</f>
        <v>0</v>
      </c>
      <c r="AK91" s="178" t="str">
        <f>_xlfn.XLOOKUP($A91,COA!$B:$B,COA!$C:$C,0,0,1)</f>
        <v>Share capital</v>
      </c>
      <c r="AL91" s="178" t="str">
        <f>_xlfn.XLOOKUP($A91,COA!$B:$B,COA!$D:$D,0,0,1)</f>
        <v>Share capital</v>
      </c>
      <c r="AM91" s="178" t="str">
        <f>_xlfn.XLOOKUP($A91,COA!$B:$B,COA!$E:$E,0,0,1)</f>
        <v>Share capital</v>
      </c>
      <c r="AO91" s="85" t="str">
        <f>_xlfn.XLOOKUP(AM91,FS.1!A:A,AM:AM,0,0,1)</f>
        <v>Accrued Warranty Liability</v>
      </c>
      <c r="AP91" s="87"/>
      <c r="AQ91" s="87"/>
      <c r="AR91" s="87"/>
      <c r="AS91" s="87"/>
      <c r="AT91" s="85"/>
      <c r="AU91" s="85"/>
      <c r="AV91" s="85"/>
      <c r="AW91" s="85"/>
      <c r="AX91" s="85"/>
      <c r="AY91" s="85"/>
      <c r="AZ91" s="85"/>
      <c r="BA91" s="85"/>
      <c r="BB91" s="85"/>
      <c r="BC91" s="85"/>
      <c r="BD91" s="85"/>
      <c r="BE91" s="85"/>
      <c r="BF91" s="85"/>
      <c r="BG91" s="85"/>
    </row>
    <row r="92" spans="1:59" hidden="1" x14ac:dyDescent="0.25">
      <c r="A92" s="1393" t="str">
        <f>COA!B88</f>
        <v>3105 Common Shares:Class A Shares</v>
      </c>
      <c r="B92" s="1390">
        <f>_xlfn.XLOOKUP(A92,'TB.1 - F25'!A:A,'TB.1 - F25'!D:D,0,0,1)</f>
        <v>0</v>
      </c>
      <c r="C92" s="1390">
        <f>_xlfn.XLOOKUP(A92,'TB.1 - F25'!A:A,'TB.1 - F25'!H:H,0,0,1)</f>
        <v>-24</v>
      </c>
      <c r="D92" s="1390">
        <f>_xlfn.XLOOKUP(A92,'AJE.1 - F25'!A:A,'AJE.1 - F25'!F:F,0,0,1)</f>
        <v>24</v>
      </c>
      <c r="E92" s="1390"/>
      <c r="F92" s="219">
        <f>ROUND(SUM(B92:E92),0)</f>
        <v>0</v>
      </c>
      <c r="G92" s="1390">
        <f>_xlfn.XLOOKUP($A92,TB.PRO!$A:$A,TB.PRO!F:F,0,0,1)</f>
        <v>0</v>
      </c>
      <c r="H92" s="1390">
        <f>_xlfn.XLOOKUP($A92,TB.PRO!$A:$A,TB.PRO!G:G,0,0,1)</f>
        <v>-24</v>
      </c>
      <c r="I92" s="1390"/>
      <c r="J92" s="1390"/>
      <c r="K92" s="1390">
        <f>_xlfn.XLOOKUP($A92,'AJE.1 - F25'!$S$12:$S$21,'AJE.1 - F25'!$U$12:$U$21,0,0,1)</f>
        <v>24</v>
      </c>
      <c r="L92" s="665">
        <f>ROUND(SUM(G92:K92),0)</f>
        <v>0</v>
      </c>
      <c r="M92" s="1390">
        <f>_xlfn.XLOOKUP($A92,TB.PRO!$A:$A,TB.PRO!I:I,0,0,1)</f>
        <v>0</v>
      </c>
      <c r="N92" s="1390">
        <f>_xlfn.XLOOKUP($A92,TB.PRO!$A:$A,TB.PRO!J:J,0,0,1)</f>
        <v>-24</v>
      </c>
      <c r="O92" s="1390"/>
      <c r="P92" s="1390"/>
      <c r="Q92" s="1390">
        <f>_xlfn.XLOOKUP($A92,'AJE.1 - F25'!$S$12:$S$21,'AJE.1 - F25'!$U$12:$U$21,0,0,1)</f>
        <v>24</v>
      </c>
      <c r="R92" s="665">
        <f>ROUND(SUM(M92:Q92),0)</f>
        <v>0</v>
      </c>
      <c r="S92" s="1390">
        <f>M92+O92</f>
        <v>0</v>
      </c>
      <c r="T92" s="1390">
        <f>N92+P92</f>
        <v>-24</v>
      </c>
      <c r="U92" s="1390"/>
      <c r="V92" s="1390"/>
      <c r="W92" s="1390">
        <f>_xlfn.XLOOKUP($A92,'AJE.1 - F25'!$S$12:$S$21,'AJE.1 - F25'!$U$12:$U$21,0,0,1)</f>
        <v>24</v>
      </c>
      <c r="X92" s="665">
        <f>ROUND(SUM(S92:W92),0)</f>
        <v>0</v>
      </c>
      <c r="Y92" s="1390">
        <f>S92+U92</f>
        <v>0</v>
      </c>
      <c r="Z92" s="1390">
        <f>T92+V92</f>
        <v>-24</v>
      </c>
      <c r="AA92" s="1390"/>
      <c r="AB92" s="1390"/>
      <c r="AC92" s="1390">
        <f>_xlfn.XLOOKUP($A92,'AJE.1 - F25'!$S$12:$S$21,'AJE.1 - F25'!$U$12:$U$21,0,0,1)</f>
        <v>24</v>
      </c>
      <c r="AD92" s="219">
        <f>ROUND(SUM(Y92:AC92),0)</f>
        <v>0</v>
      </c>
      <c r="AE92" s="1390">
        <f>Y92+AA92</f>
        <v>0</v>
      </c>
      <c r="AF92" s="1390">
        <f>Z92+AB92</f>
        <v>-24</v>
      </c>
      <c r="AG92" s="1390"/>
      <c r="AH92" s="1390"/>
      <c r="AI92" s="1390">
        <f>_xlfn.XLOOKUP($A92,'AJE.1 - F25'!$S$12:$S$21,'AJE.1 - F25'!$U$12:$U$21,0,0,1)</f>
        <v>24</v>
      </c>
      <c r="AJ92" s="219">
        <f>ROUND(SUM(AE92:AI92),0)</f>
        <v>0</v>
      </c>
      <c r="AK92" s="178" t="str">
        <f>_xlfn.XLOOKUP($A92,COA!$B:$B,COA!$C:$C,0,0,1)</f>
        <v>Share capital</v>
      </c>
      <c r="AL92" s="178" t="str">
        <f>_xlfn.XLOOKUP($A92,COA!$B:$B,COA!$D:$D,0,0,1)</f>
        <v>Share capital</v>
      </c>
      <c r="AM92" s="178" t="str">
        <f>_xlfn.XLOOKUP($A92,COA!$B:$B,COA!$E:$E,0,0,1)</f>
        <v>Share capital</v>
      </c>
      <c r="AO92" s="85" t="str">
        <f>_xlfn.XLOOKUP(AM92,FS.1!A:A,AM:AM,0,0,1)</f>
        <v>Accrued Warranty Liability</v>
      </c>
      <c r="AP92" s="87"/>
      <c r="AQ92" s="87"/>
      <c r="AR92" s="87"/>
      <c r="AS92" s="87"/>
      <c r="AT92" s="85"/>
      <c r="AU92" s="85"/>
      <c r="AV92" s="85"/>
      <c r="AW92" s="85"/>
      <c r="AX92" s="85"/>
      <c r="AY92" s="85"/>
      <c r="AZ92" s="85"/>
      <c r="BA92" s="85"/>
      <c r="BB92" s="85"/>
      <c r="BC92" s="85"/>
      <c r="BD92" s="85"/>
      <c r="BE92" s="85"/>
      <c r="BF92" s="85"/>
      <c r="BG92" s="85"/>
    </row>
    <row r="93" spans="1:59" hidden="1" x14ac:dyDescent="0.25">
      <c r="A93" s="1393" t="str">
        <f>COA!B89</f>
        <v>3110 Common Shares:Class B Shares</v>
      </c>
      <c r="B93" s="1390">
        <f>_xlfn.XLOOKUP(A93,'TB.1 - F25'!A:A,'TB.1 - F25'!D:D,0,0,1)</f>
        <v>0</v>
      </c>
      <c r="C93" s="1390">
        <f>_xlfn.XLOOKUP(A93,'TB.1 - F25'!A:A,'TB.1 - F25'!H:H,0,0,1)</f>
        <v>-12</v>
      </c>
      <c r="D93" s="1390">
        <f>_xlfn.XLOOKUP(A93,'AJE.1 - F25'!A:A,'AJE.1 - F25'!F:F,0,0,1)</f>
        <v>12</v>
      </c>
      <c r="E93" s="1390"/>
      <c r="F93" s="219">
        <f>ROUND(SUM(B93:E93),0)</f>
        <v>0</v>
      </c>
      <c r="G93" s="1390">
        <f>_xlfn.XLOOKUP($A93,TB.PRO!$A:$A,TB.PRO!F:F,0,0,1)</f>
        <v>0</v>
      </c>
      <c r="H93" s="1390">
        <f>_xlfn.XLOOKUP($A93,TB.PRO!$A:$A,TB.PRO!G:G,0,0,1)</f>
        <v>-12</v>
      </c>
      <c r="I93" s="1390"/>
      <c r="J93" s="1390"/>
      <c r="K93" s="1390">
        <f>_xlfn.XLOOKUP($A93,'AJE.1 - F25'!$S$12:$S$21,'AJE.1 - F25'!$U$12:$U$21,0,0,1)</f>
        <v>12</v>
      </c>
      <c r="L93" s="665">
        <f>ROUND(SUM(G93:K93),0)</f>
        <v>0</v>
      </c>
      <c r="M93" s="1390">
        <f>_xlfn.XLOOKUP($A93,TB.PRO!$A:$A,TB.PRO!I:I,0,0,1)</f>
        <v>0</v>
      </c>
      <c r="N93" s="1390">
        <f>_xlfn.XLOOKUP($A93,TB.PRO!$A:$A,TB.PRO!J:J,0,0,1)</f>
        <v>-12</v>
      </c>
      <c r="O93" s="1390"/>
      <c r="P93" s="1390"/>
      <c r="Q93" s="1390">
        <f>_xlfn.XLOOKUP($A93,'AJE.1 - F25'!$S$12:$S$21,'AJE.1 - F25'!$U$12:$U$21,0,0,1)</f>
        <v>12</v>
      </c>
      <c r="R93" s="665">
        <f>ROUND(SUM(M93:Q93),0)</f>
        <v>0</v>
      </c>
      <c r="S93" s="1390">
        <f>M93+O93</f>
        <v>0</v>
      </c>
      <c r="T93" s="1390">
        <f>N93+P93</f>
        <v>-12</v>
      </c>
      <c r="U93" s="1390"/>
      <c r="V93" s="1390"/>
      <c r="W93" s="1390">
        <f>_xlfn.XLOOKUP($A93,'AJE.1 - F25'!$S$12:$S$21,'AJE.1 - F25'!$U$12:$U$21,0,0,1)</f>
        <v>12</v>
      </c>
      <c r="X93" s="665">
        <f>ROUND(SUM(S93:W93),0)</f>
        <v>0</v>
      </c>
      <c r="Y93" s="1390">
        <f>S93+U93</f>
        <v>0</v>
      </c>
      <c r="Z93" s="1390">
        <f>T93+V93</f>
        <v>-12</v>
      </c>
      <c r="AA93" s="1390"/>
      <c r="AB93" s="1390"/>
      <c r="AC93" s="1390">
        <f>_xlfn.XLOOKUP($A93,'AJE.1 - F25'!$S$12:$S$21,'AJE.1 - F25'!$U$12:$U$21,0,0,1)</f>
        <v>12</v>
      </c>
      <c r="AD93" s="219">
        <f>ROUND(SUM(Y93:AC93),0)</f>
        <v>0</v>
      </c>
      <c r="AE93" s="1390">
        <f>Y93+AA93</f>
        <v>0</v>
      </c>
      <c r="AF93" s="1390">
        <f>Z93+AB93</f>
        <v>-12</v>
      </c>
      <c r="AG93" s="1390"/>
      <c r="AH93" s="1390"/>
      <c r="AI93" s="1390">
        <f>_xlfn.XLOOKUP($A93,'AJE.1 - F25'!$S$12:$S$21,'AJE.1 - F25'!$U$12:$U$21,0,0,1)</f>
        <v>12</v>
      </c>
      <c r="AJ93" s="219">
        <f>ROUND(SUM(AE93:AI93),0)</f>
        <v>0</v>
      </c>
      <c r="AK93" s="178" t="str">
        <f>_xlfn.XLOOKUP($A93,COA!$B:$B,COA!$C:$C,0,0,1)</f>
        <v>Share capital</v>
      </c>
      <c r="AL93" s="178" t="str">
        <f>_xlfn.XLOOKUP($A93,COA!$B:$B,COA!$D:$D,0,0,1)</f>
        <v>Share capital</v>
      </c>
      <c r="AM93" s="178" t="str">
        <f>_xlfn.XLOOKUP($A93,COA!$B:$B,COA!$E:$E,0,0,1)</f>
        <v>Share capital</v>
      </c>
      <c r="AO93" s="85" t="str">
        <f>_xlfn.XLOOKUP(AM93,FS.1!A:A,AM:AM,0,0,1)</f>
        <v>Accrued Warranty Liability</v>
      </c>
      <c r="AP93" s="87"/>
      <c r="AQ93" s="87"/>
      <c r="AR93" s="87"/>
      <c r="AS93" s="87"/>
      <c r="AT93" s="85"/>
      <c r="AU93" s="85"/>
      <c r="AV93" s="85"/>
      <c r="AW93" s="85"/>
      <c r="AX93" s="85"/>
      <c r="AY93" s="85"/>
      <c r="AZ93" s="85"/>
      <c r="BA93" s="85"/>
      <c r="BB93" s="85"/>
      <c r="BC93" s="85"/>
      <c r="BD93" s="85"/>
      <c r="BE93" s="85"/>
      <c r="BF93" s="85"/>
      <c r="BG93" s="85"/>
    </row>
    <row r="94" spans="1:59" hidden="1" x14ac:dyDescent="0.25">
      <c r="A94" s="1393" t="str">
        <f>COA!B90</f>
        <v>3115 Common Shares:Class C Shares</v>
      </c>
      <c r="B94" s="1390">
        <f>_xlfn.XLOOKUP(A94,'TB.1 - F25'!A:A,'TB.1 - F25'!D:D,0,0,1)</f>
        <v>0</v>
      </c>
      <c r="C94" s="1390">
        <f>_xlfn.XLOOKUP(A94,'TB.1 - F25'!A:A,'TB.1 - F25'!H:H,0,0,1)</f>
        <v>-12</v>
      </c>
      <c r="D94" s="1390">
        <f>_xlfn.XLOOKUP(A94,'AJE.1 - F25'!A:A,'AJE.1 - F25'!F:F,0,0,1)</f>
        <v>12</v>
      </c>
      <c r="E94" s="1390"/>
      <c r="F94" s="219">
        <f>ROUND(SUM(B94:E94),0)</f>
        <v>0</v>
      </c>
      <c r="G94" s="1390">
        <f>_xlfn.XLOOKUP($A94,TB.PRO!$A:$A,TB.PRO!F:F,0,0,1)</f>
        <v>0</v>
      </c>
      <c r="H94" s="1390">
        <f>_xlfn.XLOOKUP($A94,TB.PRO!$A:$A,TB.PRO!G:G,0,0,1)</f>
        <v>-12</v>
      </c>
      <c r="I94" s="1390"/>
      <c r="J94" s="1390"/>
      <c r="K94" s="1390">
        <f>_xlfn.XLOOKUP($A94,'AJE.1 - F25'!$S$12:$S$21,'AJE.1 - F25'!$U$12:$U$21,0,0,1)</f>
        <v>12</v>
      </c>
      <c r="L94" s="665">
        <f>ROUND(SUM(G94:K94),0)</f>
        <v>0</v>
      </c>
      <c r="M94" s="1390">
        <f>_xlfn.XLOOKUP($A94,TB.PRO!$A:$A,TB.PRO!I:I,0,0,1)</f>
        <v>0</v>
      </c>
      <c r="N94" s="1390">
        <f>_xlfn.XLOOKUP($A94,TB.PRO!$A:$A,TB.PRO!J:J,0,0,1)</f>
        <v>-12</v>
      </c>
      <c r="O94" s="1390"/>
      <c r="P94" s="1390"/>
      <c r="Q94" s="1390">
        <f>_xlfn.XLOOKUP($A94,'AJE.1 - F25'!$S$12:$S$21,'AJE.1 - F25'!$U$12:$U$21,0,0,1)</f>
        <v>12</v>
      </c>
      <c r="R94" s="665">
        <f>ROUND(SUM(M94:Q94),0)</f>
        <v>0</v>
      </c>
      <c r="S94" s="1390">
        <f>M94+O94</f>
        <v>0</v>
      </c>
      <c r="T94" s="1390">
        <f>N94+P94</f>
        <v>-12</v>
      </c>
      <c r="U94" s="1390"/>
      <c r="V94" s="1390"/>
      <c r="W94" s="1390">
        <f>_xlfn.XLOOKUP($A94,'AJE.1 - F25'!$S$12:$S$21,'AJE.1 - F25'!$U$12:$U$21,0,0,1)</f>
        <v>12</v>
      </c>
      <c r="X94" s="665">
        <f>ROUND(SUM(S94:W94),0)</f>
        <v>0</v>
      </c>
      <c r="Y94" s="1390">
        <f>S94+U94</f>
        <v>0</v>
      </c>
      <c r="Z94" s="1390">
        <f>T94+V94</f>
        <v>-12</v>
      </c>
      <c r="AA94" s="1390"/>
      <c r="AB94" s="1390"/>
      <c r="AC94" s="1390">
        <f>_xlfn.XLOOKUP($A94,'AJE.1 - F25'!$S$12:$S$21,'AJE.1 - F25'!$U$12:$U$21,0,0,1)</f>
        <v>12</v>
      </c>
      <c r="AD94" s="219">
        <f>ROUND(SUM(Y94:AC94),0)</f>
        <v>0</v>
      </c>
      <c r="AE94" s="1390">
        <f>Y94+AA94</f>
        <v>0</v>
      </c>
      <c r="AF94" s="1390">
        <f>Z94+AB94</f>
        <v>-12</v>
      </c>
      <c r="AG94" s="1390"/>
      <c r="AH94" s="1390"/>
      <c r="AI94" s="1390">
        <f>_xlfn.XLOOKUP($A94,'AJE.1 - F25'!$S$12:$S$21,'AJE.1 - F25'!$U$12:$U$21,0,0,1)</f>
        <v>12</v>
      </c>
      <c r="AJ94" s="219">
        <f>ROUND(SUM(AE94:AI94),0)</f>
        <v>0</v>
      </c>
      <c r="AK94" s="178" t="str">
        <f>_xlfn.XLOOKUP($A94,COA!$B:$B,COA!$C:$C,0,0,1)</f>
        <v>Share capital</v>
      </c>
      <c r="AL94" s="178" t="str">
        <f>_xlfn.XLOOKUP($A94,COA!$B:$B,COA!$D:$D,0,0,1)</f>
        <v>Share capital</v>
      </c>
      <c r="AM94" s="178" t="str">
        <f>_xlfn.XLOOKUP($A94,COA!$B:$B,COA!$E:$E,0,0,1)</f>
        <v>Share capital</v>
      </c>
      <c r="AO94" s="85" t="str">
        <f t="shared" ref="AO94:AO99" si="19">AM94</f>
        <v>Share capital</v>
      </c>
      <c r="AP94" s="87"/>
      <c r="AQ94" s="87"/>
      <c r="AR94" s="87"/>
      <c r="AS94" s="87"/>
      <c r="AT94" s="85"/>
      <c r="AU94" s="85"/>
      <c r="AV94" s="85"/>
      <c r="AW94" s="85"/>
      <c r="AX94" s="85"/>
      <c r="AY94" s="85"/>
      <c r="AZ94" s="85"/>
      <c r="BA94" s="85"/>
      <c r="BB94" s="85"/>
      <c r="BC94" s="85"/>
      <c r="BD94" s="85"/>
      <c r="BE94" s="85"/>
      <c r="BF94" s="85"/>
      <c r="BG94" s="85"/>
    </row>
    <row r="95" spans="1:59" hidden="1" x14ac:dyDescent="0.25">
      <c r="A95" s="1393" t="str">
        <f>COA!B91</f>
        <v>3200 Capital contribution</v>
      </c>
      <c r="B95" s="1390">
        <f>_xlfn.XLOOKUP(A95,'TB.1 - F25'!A:A,'TB.1 - F25'!D:D,0,0,1)</f>
        <v>0</v>
      </c>
      <c r="C95" s="1390">
        <f>_xlfn.XLOOKUP(A95,'TB.1 - F25'!A:A,'TB.1 - F25'!H:H,0,0,1)</f>
        <v>-59349.72</v>
      </c>
      <c r="D95" s="1390">
        <f>_xlfn.XLOOKUP(A95,'AJE.1 - F25'!A:A,'AJE.1 - F25'!F:F,0,0,1)</f>
        <v>59350</v>
      </c>
      <c r="E95" s="1390"/>
      <c r="F95" s="219">
        <f>ROUND(SUM(B95:E95),0)</f>
        <v>0</v>
      </c>
      <c r="G95" s="1390">
        <f>_xlfn.XLOOKUP($A95,TB.PRO!$A:$A,TB.PRO!F:F,0,0,1)</f>
        <v>0</v>
      </c>
      <c r="H95" s="1390">
        <f>_xlfn.XLOOKUP($A95,TB.PRO!$A:$A,TB.PRO!G:G,0,0,1)</f>
        <v>-59349.72</v>
      </c>
      <c r="I95" s="1390"/>
      <c r="J95" s="1390"/>
      <c r="K95" s="1390">
        <f>_xlfn.XLOOKUP($A95,'AJE.1 - F25'!$S$12:$S$21,'AJE.1 - F25'!$U$12:$U$21,0,0,1)</f>
        <v>59350</v>
      </c>
      <c r="L95" s="665">
        <f>ROUND(SUM(G95:K95),0)</f>
        <v>0</v>
      </c>
      <c r="M95" s="1390">
        <f>_xlfn.XLOOKUP($A95,TB.PRO!$A:$A,TB.PRO!I:I,0,0,1)</f>
        <v>0</v>
      </c>
      <c r="N95" s="1390">
        <f>_xlfn.XLOOKUP($A95,TB.PRO!$A:$A,TB.PRO!J:J,0,0,1)</f>
        <v>-59349.72</v>
      </c>
      <c r="O95" s="1390"/>
      <c r="P95" s="1390"/>
      <c r="Q95" s="1390">
        <f>_xlfn.XLOOKUP($A95,'AJE.1 - F25'!$S$12:$S$21,'AJE.1 - F25'!$U$12:$U$21,0,0,1)</f>
        <v>59350</v>
      </c>
      <c r="R95" s="665">
        <f>ROUND(SUM(M95:Q95),0)</f>
        <v>0</v>
      </c>
      <c r="S95" s="1390">
        <f>M95+O95</f>
        <v>0</v>
      </c>
      <c r="T95" s="1390">
        <f>N95+P95</f>
        <v>-59349.72</v>
      </c>
      <c r="U95" s="1390"/>
      <c r="V95" s="1390"/>
      <c r="W95" s="1390">
        <f>_xlfn.XLOOKUP($A95,'AJE.1 - F25'!$S$12:$S$21,'AJE.1 - F25'!$U$12:$U$21,0,0,1)</f>
        <v>59350</v>
      </c>
      <c r="X95" s="665">
        <f>ROUND(SUM(S95:W95),0)</f>
        <v>0</v>
      </c>
      <c r="Y95" s="1390">
        <f>S95+U95</f>
        <v>0</v>
      </c>
      <c r="Z95" s="1390">
        <f>T95+V95</f>
        <v>-59349.72</v>
      </c>
      <c r="AA95" s="1390"/>
      <c r="AB95" s="1390"/>
      <c r="AC95" s="1390">
        <f>_xlfn.XLOOKUP($A95,'AJE.1 - F25'!$S$12:$S$21,'AJE.1 - F25'!$U$12:$U$21,0,0,1)</f>
        <v>59350</v>
      </c>
      <c r="AD95" s="219">
        <f>ROUND(SUM(Y95:AC95),0)</f>
        <v>0</v>
      </c>
      <c r="AE95" s="1390">
        <f>Y95+AA95</f>
        <v>0</v>
      </c>
      <c r="AF95" s="1390">
        <f>Z95+AB95</f>
        <v>-59349.72</v>
      </c>
      <c r="AG95" s="1390"/>
      <c r="AH95" s="1390"/>
      <c r="AI95" s="1390">
        <f>_xlfn.XLOOKUP($A95,'AJE.1 - F25'!$S$12:$S$21,'AJE.1 - F25'!$U$12:$U$21,0,0,1)</f>
        <v>59350</v>
      </c>
      <c r="AJ95" s="219">
        <f>ROUND(SUM(AE95:AI95),0)</f>
        <v>0</v>
      </c>
      <c r="AK95" s="178" t="str">
        <f>_xlfn.XLOOKUP($A95,COA!$B:$B,COA!$C:$C,0,0,1)</f>
        <v>Contributed surplus</v>
      </c>
      <c r="AL95" s="178" t="str">
        <f>_xlfn.XLOOKUP($A95,COA!$B:$B,COA!$D:$D,0,0,1)</f>
        <v>Contributed surplus</v>
      </c>
      <c r="AM95" s="178" t="str">
        <f>_xlfn.XLOOKUP($A95,COA!$B:$B,COA!$E:$E,0,0,1)</f>
        <v>Contributed surplus</v>
      </c>
      <c r="AO95" s="85"/>
      <c r="AP95" s="87"/>
      <c r="AQ95" s="87"/>
      <c r="AR95" s="87"/>
      <c r="AS95" s="87"/>
      <c r="AT95" s="85"/>
      <c r="AU95" s="85"/>
      <c r="AV95" s="85"/>
      <c r="AW95" s="85"/>
      <c r="AX95" s="85"/>
      <c r="AY95" s="85"/>
      <c r="AZ95" s="85"/>
      <c r="BA95" s="85"/>
      <c r="BB95" s="85"/>
      <c r="BC95" s="85"/>
      <c r="BD95" s="85"/>
      <c r="BE95" s="85"/>
      <c r="BF95" s="85"/>
      <c r="BG95" s="85"/>
    </row>
    <row r="96" spans="1:59" hidden="1" x14ac:dyDescent="0.25">
      <c r="A96" s="1393" t="str">
        <f>COA!B92</f>
        <v>3500 Opening Balance Equity</v>
      </c>
      <c r="B96" s="1390">
        <f>_xlfn.XLOOKUP(A96,'TB.1 - F25'!A:A,'TB.1 - F25'!D:D,0,0,1)</f>
        <v>0</v>
      </c>
      <c r="C96" s="1390">
        <f>_xlfn.XLOOKUP(A96,'TB.1 - F25'!A:A,'TB.1 - F25'!H:H,0,0,1)</f>
        <v>0</v>
      </c>
      <c r="D96" s="1390">
        <f>_xlfn.XLOOKUP(A96,'AJE.1 - F25'!A:A,'AJE.1 - F25'!F:F,0,0,1)</f>
        <v>0</v>
      </c>
      <c r="E96" s="1390"/>
      <c r="F96" s="219">
        <f>ROUND(SUM(B96:E96),0)</f>
        <v>0</v>
      </c>
      <c r="G96" s="1390">
        <f>_xlfn.XLOOKUP($A96,TB.PRO!$A:$A,TB.PRO!F:F,0,0,1)</f>
        <v>0</v>
      </c>
      <c r="H96" s="1390">
        <f>_xlfn.XLOOKUP($A96,TB.PRO!$A:$A,TB.PRO!G:G,0,0,1)</f>
        <v>0</v>
      </c>
      <c r="I96" s="1390"/>
      <c r="J96" s="1390"/>
      <c r="K96" s="1390">
        <f>_xlfn.XLOOKUP($A96,'AJE.1 - F25'!$S$12:$S$21,'AJE.1 - F25'!$U$12:$U$21,0,0,1)</f>
        <v>0</v>
      </c>
      <c r="L96" s="665">
        <f>ROUND(SUM(G96:K96),0)</f>
        <v>0</v>
      </c>
      <c r="M96" s="1390">
        <f>_xlfn.XLOOKUP($A96,TB.PRO!$A:$A,TB.PRO!I:I,0,0,1)</f>
        <v>0</v>
      </c>
      <c r="N96" s="1390">
        <f>_xlfn.XLOOKUP($A96,TB.PRO!$A:$A,TB.PRO!J:J,0,0,1)</f>
        <v>0</v>
      </c>
      <c r="O96" s="1390"/>
      <c r="P96" s="1390"/>
      <c r="Q96" s="1390">
        <f>_xlfn.XLOOKUP($A96,'AJE.1 - F25'!$S$12:$S$21,'AJE.1 - F25'!$U$12:$U$21,0,0,1)</f>
        <v>0</v>
      </c>
      <c r="R96" s="665">
        <f>ROUND(SUM(M96:Q96),0)</f>
        <v>0</v>
      </c>
      <c r="S96" s="1390">
        <f>M96+O96</f>
        <v>0</v>
      </c>
      <c r="T96" s="1390">
        <f>N96+P96</f>
        <v>0</v>
      </c>
      <c r="U96" s="1390"/>
      <c r="V96" s="1390"/>
      <c r="W96" s="1390">
        <f>_xlfn.XLOOKUP($A96,'AJE.1 - F25'!$S$12:$S$21,'AJE.1 - F25'!$U$12:$U$21,0,0,1)</f>
        <v>0</v>
      </c>
      <c r="X96" s="665">
        <f>ROUND(SUM(S96:W96),0)</f>
        <v>0</v>
      </c>
      <c r="Y96" s="1390">
        <f>S96+U96</f>
        <v>0</v>
      </c>
      <c r="Z96" s="1390">
        <f>T96+V96</f>
        <v>0</v>
      </c>
      <c r="AA96" s="1390"/>
      <c r="AB96" s="1390"/>
      <c r="AC96" s="1390">
        <f>_xlfn.XLOOKUP($A96,'AJE.1 - F25'!$S$12:$S$21,'AJE.1 - F25'!$U$12:$U$21,0,0,1)</f>
        <v>0</v>
      </c>
      <c r="AD96" s="219">
        <f>ROUND(SUM(Y96:AC96),0)</f>
        <v>0</v>
      </c>
      <c r="AE96" s="1390">
        <f>Y96+AA96</f>
        <v>0</v>
      </c>
      <c r="AF96" s="1390">
        <f>Z96+AB96</f>
        <v>0</v>
      </c>
      <c r="AG96" s="1390"/>
      <c r="AH96" s="1390"/>
      <c r="AI96" s="1390">
        <f>_xlfn.XLOOKUP($A96,'AJE.1 - F25'!$S$12:$S$21,'AJE.1 - F25'!$U$12:$U$21,0,0,1)</f>
        <v>0</v>
      </c>
      <c r="AJ96" s="219">
        <f>ROUND(SUM(AE96:AI96),0)</f>
        <v>0</v>
      </c>
      <c r="AK96" s="178" t="str">
        <f>_xlfn.XLOOKUP($A96,COA!$B:$B,COA!$C:$C,0,0,1)</f>
        <v>Accumulated deficit</v>
      </c>
      <c r="AL96" s="178" t="str">
        <f>_xlfn.XLOOKUP($A96,COA!$B:$B,COA!$D:$D,0,0,1)</f>
        <v>Accumulated deficit</v>
      </c>
      <c r="AM96" s="178" t="str">
        <f>_xlfn.XLOOKUP($A96,COA!$B:$B,COA!$E:$E,0,0,1)</f>
        <v>Accumulated deficit</v>
      </c>
      <c r="AO96" s="85"/>
      <c r="AP96" s="87"/>
      <c r="AQ96" s="87"/>
      <c r="AR96" s="87"/>
      <c r="AS96" s="87"/>
      <c r="AT96" s="85"/>
      <c r="AU96" s="85"/>
      <c r="AV96" s="85"/>
      <c r="AW96" s="85"/>
      <c r="AX96" s="85"/>
      <c r="AY96" s="85"/>
      <c r="AZ96" s="85"/>
      <c r="BA96" s="85"/>
      <c r="BB96" s="85"/>
      <c r="BC96" s="85"/>
      <c r="BD96" s="85"/>
      <c r="BE96" s="85"/>
      <c r="BF96" s="85"/>
      <c r="BG96" s="85"/>
    </row>
    <row r="97" spans="1:59" hidden="1" x14ac:dyDescent="0.25">
      <c r="A97" s="1393" t="str">
        <f>COA!B93</f>
        <v>3500 Revaluation surplus</v>
      </c>
      <c r="B97" s="1390">
        <f>_xlfn.XLOOKUP(A97,'TB.1 - F25'!A:A,'TB.1 - F25'!D:D,0,0,1)</f>
        <v>0</v>
      </c>
      <c r="C97" s="1390">
        <f>_xlfn.XLOOKUP(A97,'TB.1 - F25'!A:A,'TB.1 - F25'!H:H,0,0,1)</f>
        <v>0</v>
      </c>
      <c r="D97" s="1390">
        <f>_xlfn.XLOOKUP(A97,'AJE.1 - F25'!A:A,'AJE.1 - F25'!F:F,0,0,1)</f>
        <v>0</v>
      </c>
      <c r="E97" s="1390"/>
      <c r="F97" s="219">
        <f>ROUND(SUM(B97:E97),0)</f>
        <v>0</v>
      </c>
      <c r="G97" s="1390">
        <f>_xlfn.XLOOKUP($A97,TB.PRO!$A:$A,TB.PRO!F:F,0,0,1)</f>
        <v>0</v>
      </c>
      <c r="H97" s="1390">
        <f>_xlfn.XLOOKUP($A97,TB.PRO!$A:$A,TB.PRO!G:G,0,0,1)</f>
        <v>-6281822</v>
      </c>
      <c r="I97" s="1390"/>
      <c r="J97" s="1390"/>
      <c r="K97" s="1390">
        <f>_xlfn.XLOOKUP($A97,'AJE.1 - F25'!$S$12:$S$21,'AJE.1 - F25'!$U$12:$U$21,0,0,1)</f>
        <v>6281822</v>
      </c>
      <c r="L97" s="665">
        <f>ROUND(SUM(G97:K97),0)</f>
        <v>0</v>
      </c>
      <c r="M97" s="1390">
        <f>_xlfn.XLOOKUP($A97,TB.PRO!$A:$A,TB.PRO!I:I,0,0,1)</f>
        <v>0</v>
      </c>
      <c r="N97" s="1390">
        <f>_xlfn.XLOOKUP($A97,TB.PRO!$A:$A,TB.PRO!J:J,0,0,1)</f>
        <v>-6281822</v>
      </c>
      <c r="O97" s="1390"/>
      <c r="P97" s="1390"/>
      <c r="Q97" s="1390">
        <f>_xlfn.XLOOKUP($A97,'AJE.1 - F25'!$S$12:$S$21,'AJE.1 - F25'!$U$12:$U$21,0,0,1)</f>
        <v>6281822</v>
      </c>
      <c r="R97" s="665">
        <f>ROUND(SUM(M97:Q97),0)</f>
        <v>0</v>
      </c>
      <c r="S97" s="1390">
        <f>M97+O97</f>
        <v>0</v>
      </c>
      <c r="T97" s="1390">
        <f>N97+P97</f>
        <v>-6281822</v>
      </c>
      <c r="U97" s="1390"/>
      <c r="V97" s="1390"/>
      <c r="W97" s="1390">
        <f>_xlfn.XLOOKUP($A97,'AJE.1 - F25'!$S$12:$S$21,'AJE.1 - F25'!$U$12:$U$21,0,0,1)</f>
        <v>6281822</v>
      </c>
      <c r="X97" s="665">
        <f>ROUND(SUM(S97:W97),0)</f>
        <v>0</v>
      </c>
      <c r="Y97" s="1390">
        <f>S97+U97</f>
        <v>0</v>
      </c>
      <c r="Z97" s="1390">
        <f>T97+V97</f>
        <v>-6281822</v>
      </c>
      <c r="AA97" s="1390"/>
      <c r="AB97" s="1390"/>
      <c r="AC97" s="1390">
        <f>_xlfn.XLOOKUP($A97,'AJE.1 - F25'!$S$12:$S$21,'AJE.1 - F25'!$U$12:$U$21,0,0,1)</f>
        <v>6281822</v>
      </c>
      <c r="AD97" s="219">
        <f>ROUND(SUM(Y97:AC97),0)</f>
        <v>0</v>
      </c>
      <c r="AE97" s="1390">
        <f>Y97+AA97</f>
        <v>0</v>
      </c>
      <c r="AF97" s="1390">
        <f>Z97+AB97</f>
        <v>-6281822</v>
      </c>
      <c r="AG97" s="1390"/>
      <c r="AH97" s="1390"/>
      <c r="AI97" s="1390">
        <f>_xlfn.XLOOKUP($A97,'AJE.1 - F25'!$S$12:$S$21,'AJE.1 - F25'!$U$12:$U$21,0,0,1)</f>
        <v>6281822</v>
      </c>
      <c r="AJ97" s="219">
        <f>ROUND(SUM(AE97:AI97),0)</f>
        <v>0</v>
      </c>
      <c r="AK97" s="178" t="str">
        <f>_xlfn.XLOOKUP($A97,COA!$B:$B,COA!$C:$C,0,0,1)</f>
        <v>Contributed surplus</v>
      </c>
      <c r="AL97" s="178" t="str">
        <f>_xlfn.XLOOKUP($A97,COA!$B:$B,COA!$D:$D,0,0,1)</f>
        <v>Contributed surplus</v>
      </c>
      <c r="AM97" s="178" t="str">
        <f>_xlfn.XLOOKUP($A97,COA!$B:$B,COA!$E:$E,0,0,1)</f>
        <v>Contributed surplus</v>
      </c>
      <c r="AO97" s="85"/>
      <c r="AP97" s="87"/>
      <c r="AQ97" s="87"/>
      <c r="AR97" s="87"/>
      <c r="AS97" s="87"/>
      <c r="AT97" s="85"/>
      <c r="AU97" s="85"/>
      <c r="AV97" s="85"/>
      <c r="AW97" s="85"/>
      <c r="AX97" s="85"/>
      <c r="AY97" s="85"/>
      <c r="AZ97" s="85"/>
      <c r="BA97" s="85"/>
      <c r="BB97" s="85"/>
      <c r="BC97" s="85"/>
      <c r="BD97" s="85"/>
      <c r="BE97" s="85"/>
      <c r="BF97" s="85"/>
      <c r="BG97" s="85"/>
    </row>
    <row r="98" spans="1:59" x14ac:dyDescent="0.25">
      <c r="A98" s="1393" t="str">
        <f>COA!B94</f>
        <v>3501 Retained Earnings</v>
      </c>
      <c r="B98" s="1390">
        <f>_xlfn.XLOOKUP(A98,'TB.1 - F25'!A:A,'TB.1 - F25'!D:D,0,0,1)</f>
        <v>1700383.98</v>
      </c>
      <c r="C98" s="1390">
        <f>_xlfn.XLOOKUP(A98,'TB.1 - F25'!A:A,'TB.1 - F25'!H:H,0,0,1)</f>
        <v>0</v>
      </c>
      <c r="D98" s="1390">
        <f>_xlfn.XLOOKUP(A98,'AJE.1 - F25'!A:A,'AJE.1 - F25'!F:F,0,0,1)</f>
        <v>1204016</v>
      </c>
      <c r="E98" s="1390"/>
      <c r="F98" s="219">
        <f>ROUND(SUM(B98:E98),0)</f>
        <v>2904400</v>
      </c>
      <c r="G98" s="1390">
        <f>_xlfn.XLOOKUP($A98,TB.PRO!$A:$A,TB.PRO!F:F,0,0,1)</f>
        <v>2024592.82</v>
      </c>
      <c r="H98" s="1390">
        <f>_xlfn.XLOOKUP($A98,TB.PRO!$A:$A,TB.PRO!G:G,0,0,1)</f>
        <v>0</v>
      </c>
      <c r="I98" s="1390"/>
      <c r="J98" s="1390"/>
      <c r="K98" s="1390">
        <f>_xlfn.XLOOKUP($A98,'AJE.1 - F25'!$S$12:$S$21,'AJE.1 - F25'!$U$12:$U$21,0,0,1)</f>
        <v>0</v>
      </c>
      <c r="L98" s="665">
        <f>ROUND(SUM(G98:K98),0)</f>
        <v>2024593</v>
      </c>
      <c r="M98" s="1390">
        <f>_xlfn.XLOOKUP($A98,TB.PRO!$A:$A,TB.PRO!I:I,0,0,1)</f>
        <v>2080858.73</v>
      </c>
      <c r="N98" s="1390">
        <f>_xlfn.XLOOKUP($A98,TB.PRO!$A:$A,TB.PRO!J:J,0,0,1)</f>
        <v>0</v>
      </c>
      <c r="O98" s="1390"/>
      <c r="P98" s="1390"/>
      <c r="Q98" s="1390">
        <v>-1</v>
      </c>
      <c r="R98" s="665">
        <f>ROUND(SUM(M98:Q98),0)</f>
        <v>2080858</v>
      </c>
      <c r="S98" s="1390">
        <f>M98+O98</f>
        <v>2080858.73</v>
      </c>
      <c r="T98" s="1390">
        <f>N98+P98</f>
        <v>0</v>
      </c>
      <c r="U98" s="1390"/>
      <c r="V98" s="1390"/>
      <c r="W98" s="1390">
        <v>-2</v>
      </c>
      <c r="X98" s="665">
        <f>ROUND(SUM(S98:W98),0)</f>
        <v>2080857</v>
      </c>
      <c r="Y98" s="1390">
        <f>S98+U98</f>
        <v>2080858.73</v>
      </c>
      <c r="Z98" s="1390">
        <f>T98+V98</f>
        <v>0</v>
      </c>
      <c r="AA98" s="1390"/>
      <c r="AB98" s="1390"/>
      <c r="AC98" s="1390">
        <v>-2</v>
      </c>
      <c r="AD98" s="219">
        <f>ROUND(SUM(Y98:AC98),0)</f>
        <v>2080857</v>
      </c>
      <c r="AE98" s="1390">
        <f>Y98+AA98</f>
        <v>2080858.73</v>
      </c>
      <c r="AF98" s="1390">
        <f>Z98+AB98</f>
        <v>0</v>
      </c>
      <c r="AG98" s="1390"/>
      <c r="AH98" s="1390"/>
      <c r="AI98" s="1390">
        <v>-3</v>
      </c>
      <c r="AJ98" s="219">
        <f>ROUND(SUM(AE98:AI98),0)</f>
        <v>2080856</v>
      </c>
      <c r="AK98" s="178" t="str">
        <f>_xlfn.XLOOKUP($A98,COA!$B:$B,COA!$C:$C,0,0,1)</f>
        <v>Accumulated deficit</v>
      </c>
      <c r="AL98" s="178" t="str">
        <f>_xlfn.XLOOKUP($A98,COA!$B:$B,COA!$D:$D,0,0,1)</f>
        <v>Accumulated deficit</v>
      </c>
      <c r="AM98" s="178" t="str">
        <f>_xlfn.XLOOKUP($A98,COA!$B:$B,COA!$E:$E,0,0,1)</f>
        <v>Accumulated deficit</v>
      </c>
      <c r="AO98" s="85"/>
      <c r="AP98" s="87"/>
      <c r="AQ98" s="87"/>
      <c r="AR98" s="87"/>
      <c r="AS98" s="87"/>
      <c r="AT98" s="85"/>
      <c r="AU98" s="85"/>
      <c r="AV98" s="85"/>
      <c r="AW98" s="85"/>
      <c r="AX98" s="85"/>
      <c r="AY98" s="85"/>
      <c r="AZ98" s="85"/>
      <c r="BA98" s="85"/>
      <c r="BB98" s="85"/>
      <c r="BC98" s="85"/>
      <c r="BD98" s="85"/>
      <c r="BE98" s="85"/>
      <c r="BF98" s="85"/>
      <c r="BG98" s="85"/>
    </row>
    <row r="99" spans="1:59" ht="12.6" thickBot="1" x14ac:dyDescent="0.3">
      <c r="A99" s="1569" t="str">
        <f>COA!B95</f>
        <v>3900 Retained Earnings</v>
      </c>
      <c r="B99" s="1558">
        <f>_xlfn.XLOOKUP(A99,'TB.1 - F25'!A:A,'TB.1 - F25'!D:D,0,0,1)</f>
        <v>0</v>
      </c>
      <c r="C99" s="1558">
        <f>_xlfn.XLOOKUP(A99,'TB.1 - F25'!A:A,'TB.1 - F25'!H:H,0,0,1)</f>
        <v>502637.82</v>
      </c>
      <c r="D99" s="1558">
        <f>_xlfn.XLOOKUP(A99,'AJE.1 - F25'!A:A,'AJE.1 - F25'!F:F,0,0,1)</f>
        <v>-339522</v>
      </c>
      <c r="E99" s="1558">
        <f>-E28</f>
        <v>0</v>
      </c>
      <c r="F99" s="1559">
        <f>ROUND(SUM(B99:E99),0)</f>
        <v>163116</v>
      </c>
      <c r="G99" s="1558">
        <f>_xlfn.XLOOKUP($A99,TB.PRO!$A:$A,TB.PRO!F:F,0,0,1)</f>
        <v>0</v>
      </c>
      <c r="H99" s="1558">
        <f>_xlfn.XLOOKUP($A99,TB.PRO!$A:$A,TB.PRO!G:G,0,0,1)</f>
        <v>3292618.99</v>
      </c>
      <c r="I99" s="1558"/>
      <c r="J99" s="1558"/>
      <c r="K99" s="1558">
        <f>_xlfn.XLOOKUP($A99,'AJE.1 - F25'!$S$12:$S$21,'AJE.1 - F25'!$U$12:$U$21,0,0,1)</f>
        <v>-339522</v>
      </c>
      <c r="L99" s="1560">
        <f>ROUND(SUM(G99:K99),0)</f>
        <v>2953097</v>
      </c>
      <c r="M99" s="1558">
        <f>_xlfn.XLOOKUP($A99,TB.PRO!$A:$A,TB.PRO!I:I,0,0,1)</f>
        <v>0</v>
      </c>
      <c r="N99" s="1558">
        <f>_xlfn.XLOOKUP($A99,TB.PRO!$A:$A,TB.PRO!J:J,0,0,1)</f>
        <v>3760885.79</v>
      </c>
      <c r="O99" s="1558">
        <f>SUM(I100:I186)</f>
        <v>1314741.6983333332</v>
      </c>
      <c r="P99" s="1558">
        <f>SUM(J100:J186)</f>
        <v>-8073</v>
      </c>
      <c r="Q99" s="1558">
        <f>_xlfn.XLOOKUP($A99,'AJE.1 - F25'!$S$12:$S$21,'AJE.1 - F25'!$U$12:$U$21,0,0,1)</f>
        <v>-339522</v>
      </c>
      <c r="R99" s="1560">
        <f>ROUND(SUM(M99:Q99),0)</f>
        <v>4728032</v>
      </c>
      <c r="S99" s="1558">
        <f>M99+O99+O4</f>
        <v>2452224.5442999997</v>
      </c>
      <c r="T99" s="1558">
        <f>N99+P99+P4</f>
        <v>4263229.456666667</v>
      </c>
      <c r="U99" s="1558"/>
      <c r="V99" s="1558"/>
      <c r="W99" s="1558">
        <f>_xlfn.XLOOKUP($A99,'AJE.1 - F25'!$S$12:$S$21,'AJE.1 - F25'!$U$12:$U$21,0,0,1)</f>
        <v>-339522</v>
      </c>
      <c r="X99" s="1560">
        <f>ROUND(SUM(S99:W99),0)</f>
        <v>6375932</v>
      </c>
      <c r="Y99" s="1558">
        <f>S99+U99+U4</f>
        <v>1232796.8779276661</v>
      </c>
      <c r="Z99" s="1558">
        <f>T99+V99+V4</f>
        <v>5145729.456666667</v>
      </c>
      <c r="AA99" s="1558"/>
      <c r="AB99" s="1558"/>
      <c r="AC99" s="1558">
        <f>_xlfn.XLOOKUP($A99,'AJE.1 - F25'!$S$12:$S$21,'AJE.1 - F25'!$U$12:$U$21,0,0,1)</f>
        <v>-339522</v>
      </c>
      <c r="AD99" s="1559">
        <f>ROUND(SUM(Y99:AC99),0)</f>
        <v>6039004</v>
      </c>
      <c r="AE99" s="1558">
        <f>Y99+AA99+AA4</f>
        <v>-5826882.2471600287</v>
      </c>
      <c r="AF99" s="1558">
        <f>Z99+AB99+AB4</f>
        <v>6206562.790000001</v>
      </c>
      <c r="AG99" s="1558"/>
      <c r="AH99" s="1558"/>
      <c r="AI99" s="1558">
        <f>_xlfn.XLOOKUP($A99,'AJE.1 - F25'!$S$12:$S$21,'AJE.1 - F25'!$U$12:$U$21,0,0,1)</f>
        <v>-339522</v>
      </c>
      <c r="AJ99" s="1559">
        <f>ROUND(SUM(AE99:AI99),0)</f>
        <v>40159</v>
      </c>
      <c r="AK99" s="1561" t="str">
        <f>_xlfn.XLOOKUP($A99,COA!$B:$B,COA!$C:$C,0,0,1)</f>
        <v>Accumulated deficit</v>
      </c>
      <c r="AL99" s="1561" t="str">
        <f>_xlfn.XLOOKUP($A99,COA!$B:$B,COA!$D:$D,0,0,1)</f>
        <v>Accumulated deficit</v>
      </c>
      <c r="AM99" s="1561" t="str">
        <f>_xlfn.XLOOKUP($A99,COA!$B:$B,COA!$E:$E,0,0,1)</f>
        <v>Accumulated deficit</v>
      </c>
      <c r="AO99" s="85" t="str">
        <f t="shared" si="19"/>
        <v>Accumulated deficit</v>
      </c>
      <c r="AP99" s="87"/>
      <c r="AQ99" s="87"/>
      <c r="AR99" s="87"/>
      <c r="AS99" s="87"/>
      <c r="AT99" s="85"/>
      <c r="AU99" s="85"/>
      <c r="AV99" s="85"/>
      <c r="AW99" s="85"/>
      <c r="AX99" s="85"/>
      <c r="AY99" s="85"/>
      <c r="AZ99" s="85"/>
      <c r="BA99" s="85"/>
      <c r="BB99" s="85"/>
      <c r="BC99" s="85"/>
      <c r="BD99" s="85"/>
      <c r="BE99" s="85"/>
      <c r="BF99" s="85"/>
      <c r="BG99" s="85"/>
    </row>
    <row r="100" spans="1:59" hidden="1" x14ac:dyDescent="0.25">
      <c r="A100" s="1389" t="str">
        <f>COA!B96</f>
        <v>5000 Revenue</v>
      </c>
      <c r="B100" s="1390">
        <f>_xlfn.XLOOKUP(A100,'TB.1 - F25'!A:A,'TB.1 - F25'!D:D,0,0,1)</f>
        <v>0</v>
      </c>
      <c r="C100" s="1390">
        <f>_xlfn.XLOOKUP(A100,'TB.1 - F25'!A:A,'TB.1 - F25'!H:H,0,0,1)</f>
        <v>0</v>
      </c>
      <c r="D100" s="1390">
        <f>_xlfn.XLOOKUP(A100,'AJE.1 - F25'!A:A,'AJE.1 - F25'!F:F,0,0,1)</f>
        <v>0</v>
      </c>
      <c r="E100" s="1390"/>
      <c r="F100" s="219">
        <f>ROUND(SUM(B100:E100),0)</f>
        <v>0</v>
      </c>
      <c r="G100" s="1390">
        <f>_xlfn.XLOOKUP($A100,TB.PRO!$A:$A,TB.PRO!F:F,0,0,1)</f>
        <v>0</v>
      </c>
      <c r="H100" s="1390">
        <f>_xlfn.XLOOKUP($A100,TB.PRO!$A:$A,TB.PRO!G:G,0,0,1)</f>
        <v>0</v>
      </c>
      <c r="I100" s="1390"/>
      <c r="J100" s="1390"/>
      <c r="K100" s="1390"/>
      <c r="L100" s="665">
        <f>ROUND(SUM(G100:K100),0)</f>
        <v>0</v>
      </c>
      <c r="M100" s="1390">
        <f>_xlfn.XLOOKUP($A100,TB.PRO!$A:$A,TB.PRO!I:I,0,0,1)</f>
        <v>0</v>
      </c>
      <c r="N100" s="1390">
        <f>_xlfn.XLOOKUP($A100,TB.PRO!$A:$A,TB.PRO!J:J,0,0,1)</f>
        <v>0</v>
      </c>
      <c r="O100" s="1390">
        <f>SUMIF('[2]Sum - Fiscal'!$P:$P,$A100,'[2]Sum - Fiscal'!$F:$F)</f>
        <v>0</v>
      </c>
      <c r="P100" s="1390"/>
      <c r="Q100" s="1390"/>
      <c r="R100" s="665">
        <f>ROUND(SUM(M100:Q100),0)</f>
        <v>0</v>
      </c>
      <c r="S100" s="1390">
        <f>_xlfn.XLOOKUP($A100,TB.PRO!$A:$A,TB.PRO!L:L,0,0,1)</f>
        <v>0</v>
      </c>
      <c r="T100" s="1390">
        <f>_xlfn.XLOOKUP($A100,TB.PRO!$A:$A,TB.PRO!M:M,0,0,1)</f>
        <v>0</v>
      </c>
      <c r="U100" s="1390">
        <f>SUMIF('[2]Sum - Fiscal'!$P:$P,$A100,'[2]Sum - Fiscal'!$G:$G)</f>
        <v>0</v>
      </c>
      <c r="V100" s="1390"/>
      <c r="W100" s="1390"/>
      <c r="X100" s="665">
        <f>ROUND(SUM(S100:W100),0)</f>
        <v>0</v>
      </c>
      <c r="Y100" s="1390">
        <f>_xlfn.XLOOKUP($A100,TB.PRO!$A:$A,TB.PRO!O:O,0,0,1)</f>
        <v>0</v>
      </c>
      <c r="Z100" s="1390">
        <f>_xlfn.XLOOKUP($A100,TB.PRO!$A:$A,TB.PRO!P:P,0,0,1)</f>
        <v>0</v>
      </c>
      <c r="AA100" s="1390">
        <f>-SUMIF('[2]Sum - Fiscal'!$P:$P,$A100,'[2]Sum - Fiscal'!$H:$H)</f>
        <v>0</v>
      </c>
      <c r="AB100" s="1390"/>
      <c r="AC100" s="1390"/>
      <c r="AD100" s="219">
        <f>ROUND(SUM(Y100:AC100),0)</f>
        <v>0</v>
      </c>
      <c r="AE100" s="1390">
        <f>_xlfn.XLOOKUP($A100,TB.PRO!$A:$A,TB.PRO!R:R,0,0,1)</f>
        <v>0</v>
      </c>
      <c r="AF100" s="1390">
        <f>_xlfn.XLOOKUP($A100,TB.PRO!$A:$A,TB.PRO!S:S,0,0,1)</f>
        <v>0</v>
      </c>
      <c r="AG100" s="1390">
        <f>-SUMIF('[2]Sum - Fiscal'!$P:$P,$A100,'[2]Sum - Fiscal'!$I:$I)</f>
        <v>0</v>
      </c>
      <c r="AH100" s="1390"/>
      <c r="AI100" s="1390"/>
      <c r="AJ100" s="219">
        <f>ROUND(SUM(AE100:AI100),0)</f>
        <v>0</v>
      </c>
      <c r="AK100" s="178" t="str">
        <f>_xlfn.XLOOKUP($A100,COA!$B:$B,COA!$C:$C,0,0,1)</f>
        <v>Revenues</v>
      </c>
      <c r="AL100" s="178" t="str">
        <f>_xlfn.XLOOKUP($A100,COA!$B:$B,COA!$D:$D,0,0,1)</f>
        <v>Revenues</v>
      </c>
      <c r="AM100" s="178" t="str">
        <f>_xlfn.XLOOKUP($A100,COA!$B:$B,COA!$E:$E,0,0,1)</f>
        <v>Accumulated deficit</v>
      </c>
      <c r="AO100" s="85" t="str">
        <f>_xlfn.XLOOKUP(AM100,FS.1!A:A,AM:AM,0,0,1)</f>
        <v>Due to related parties</v>
      </c>
      <c r="AP100" s="87"/>
      <c r="AQ100" s="87"/>
      <c r="AR100" s="87"/>
      <c r="AS100" s="87"/>
      <c r="AT100" s="85"/>
      <c r="AU100" s="85"/>
      <c r="AV100" s="85"/>
      <c r="AW100" s="85"/>
      <c r="AX100" s="85"/>
      <c r="AY100" s="85"/>
      <c r="AZ100" s="85"/>
      <c r="BA100" s="85"/>
      <c r="BB100" s="85"/>
      <c r="BC100" s="85"/>
      <c r="BD100" s="85"/>
      <c r="BE100" s="85"/>
      <c r="BF100" s="85"/>
      <c r="BG100" s="85"/>
    </row>
    <row r="101" spans="1:59" x14ac:dyDescent="0.25">
      <c r="A101" s="1389" t="str">
        <f>COA!B97</f>
        <v>5000 Utility Vehicle Sales</v>
      </c>
      <c r="B101" s="1390">
        <f>_xlfn.XLOOKUP(A101,'TB.1 - F25'!A:A,'TB.1 - F25'!D:D,0,0,1)</f>
        <v>0</v>
      </c>
      <c r="C101" s="1390">
        <f>_xlfn.XLOOKUP(A101,'TB.1 - F25'!A:A,'TB.1 - F25'!H:H,0,0,1)</f>
        <v>-360000</v>
      </c>
      <c r="D101" s="1390">
        <f>_xlfn.XLOOKUP(A101,'AJE.1 - F25'!A:A,'AJE.1 - F25'!F:F,0,0,1)</f>
        <v>0</v>
      </c>
      <c r="E101" s="1390"/>
      <c r="F101" s="219">
        <f>ROUND(SUM(B101:E101),0)</f>
        <v>-360000</v>
      </c>
      <c r="G101" s="1390">
        <f>_xlfn.XLOOKUP($A101,TB.PRO!$A:$A,TB.PRO!F:F,0,0,1)</f>
        <v>0</v>
      </c>
      <c r="H101" s="1390">
        <f>_xlfn.XLOOKUP($A101,TB.PRO!$A:$A,TB.PRO!G:G,0,0,1)</f>
        <v>0</v>
      </c>
      <c r="I101" s="1390"/>
      <c r="J101" s="1390">
        <f>-487800+(J21*1.25)</f>
        <v>-487800</v>
      </c>
      <c r="K101" s="1390"/>
      <c r="L101" s="665">
        <f>ROUND(SUM(G101:K101),0)</f>
        <v>-487800</v>
      </c>
      <c r="M101" s="1390">
        <f>_xlfn.XLOOKUP($A101,TB.PRO!$A:$A,TB.PRO!I:I,0,0,1)</f>
        <v>0</v>
      </c>
      <c r="N101" s="1390">
        <f>_xlfn.XLOOKUP($A101,TB.PRO!$A:$A,TB.PRO!J:J,0,0,1)</f>
        <v>0</v>
      </c>
      <c r="O101" s="1390">
        <f>-SUMIF('[2]Sum - Fiscal'!$P:$P,$A101,'[2]Sum - Fiscal'!$F:$F)</f>
        <v>-7125000</v>
      </c>
      <c r="P101" s="1581">
        <f>(-(1/12)*O101)</f>
        <v>593750</v>
      </c>
      <c r="Q101" s="1390"/>
      <c r="R101" s="665">
        <f>ROUND(SUM(M101:Q101),0)</f>
        <v>-6531250</v>
      </c>
      <c r="S101" s="1390">
        <f>_xlfn.XLOOKUP($A101,TB.PRO!$A:$A,TB.PRO!L:L,0,0,1)</f>
        <v>0</v>
      </c>
      <c r="T101" s="1390">
        <f>_xlfn.XLOOKUP($A101,TB.PRO!$A:$A,TB.PRO!M:M,0,0,1)</f>
        <v>0</v>
      </c>
      <c r="U101" s="1390">
        <f>-SUMIF('[2]Sum - Fiscal'!$P:$P,$A101,'[2]Sum - Fiscal'!$G:$G)</f>
        <v>-31875000</v>
      </c>
      <c r="V101" s="1581">
        <f>(-(1/12)*U101)-P101</f>
        <v>2062500</v>
      </c>
      <c r="W101" s="1390"/>
      <c r="X101" s="665">
        <f>ROUND(SUM(S101:W101),0)</f>
        <v>-29812500</v>
      </c>
      <c r="Y101" s="1390">
        <f>_xlfn.XLOOKUP($A101,TB.PRO!$A:$A,TB.PRO!O:O,0,0,1)</f>
        <v>0</v>
      </c>
      <c r="Z101" s="1390">
        <f>_xlfn.XLOOKUP($A101,TB.PRO!$A:$A,TB.PRO!P:P,0,0,1)</f>
        <v>0</v>
      </c>
      <c r="AA101" s="1390">
        <f>-SUMIF('[2]Sum - Fiscal'!$P:$P,$A101,'[2]Sum - Fiscal'!$H:$H)</f>
        <v>-75000000</v>
      </c>
      <c r="AB101" s="1581">
        <f>(-(1/12)*AA101)-V101</f>
        <v>4187500</v>
      </c>
      <c r="AC101" s="1390"/>
      <c r="AD101" s="219">
        <f>ROUND(SUM(Y101:AC101),0)</f>
        <v>-70812500</v>
      </c>
      <c r="AE101" s="1390">
        <f>_xlfn.XLOOKUP($A101,TB.PRO!$A:$A,TB.PRO!R:R,0,0,1)</f>
        <v>0</v>
      </c>
      <c r="AF101" s="1390">
        <f>_xlfn.XLOOKUP($A101,TB.PRO!$A:$A,TB.PRO!S:S,0,0,1)</f>
        <v>0</v>
      </c>
      <c r="AG101" s="1390">
        <f>-SUMIF('[2]Sum - Fiscal'!$P:$P,$A101,'[2]Sum - Fiscal'!$I:$I)</f>
        <v>-131250000</v>
      </c>
      <c r="AH101" s="1581">
        <f>-(1/12)*AG101</f>
        <v>10937500</v>
      </c>
      <c r="AI101" s="1581">
        <f>-AB101</f>
        <v>-4187500</v>
      </c>
      <c r="AJ101" s="219">
        <f>ROUND(SUM(AE101:AI101),0)</f>
        <v>-124500000</v>
      </c>
      <c r="AK101" s="178" t="str">
        <f>_xlfn.XLOOKUP($A101,COA!$B:$B,COA!$C:$C,0,0,1)</f>
        <v>Revenues</v>
      </c>
      <c r="AL101" s="178" t="str">
        <f>_xlfn.XLOOKUP($A101,COA!$B:$B,COA!$D:$D,0,0,1)</f>
        <v xml:space="preserve">Sale of electric vehicle </v>
      </c>
      <c r="AM101" s="178" t="str">
        <f>_xlfn.XLOOKUP($A101,COA!$B:$B,COA!$E:$E,0,0,1)</f>
        <v>Accumulated deficit</v>
      </c>
      <c r="AO101" s="85" t="str">
        <f>AM101</f>
        <v>Accumulated deficit</v>
      </c>
      <c r="AP101" s="87"/>
      <c r="AQ101" s="87"/>
      <c r="AR101" s="87"/>
      <c r="AS101" s="87"/>
      <c r="AT101" s="85"/>
      <c r="AU101" s="85"/>
      <c r="AV101" s="85"/>
      <c r="AW101" s="85"/>
      <c r="AX101" s="85"/>
      <c r="AY101" s="85"/>
      <c r="AZ101" s="85"/>
      <c r="BA101" s="85"/>
      <c r="BB101" s="85"/>
      <c r="BC101" s="85"/>
      <c r="BD101" s="85"/>
      <c r="BE101" s="85"/>
      <c r="BF101" s="85"/>
      <c r="BG101" s="85"/>
    </row>
    <row r="102" spans="1:59" hidden="1" x14ac:dyDescent="0.25">
      <c r="A102" s="1389" t="str">
        <f>COA!B98</f>
        <v>5001 Other General Sales</v>
      </c>
      <c r="B102" s="1390">
        <f>_xlfn.XLOOKUP(A102,'TB.1 - F25'!A:A,'TB.1 - F25'!D:D,0,0,1)</f>
        <v>0</v>
      </c>
      <c r="C102" s="1390">
        <f>_xlfn.XLOOKUP(A102,'TB.1 - F25'!A:A,'TB.1 - F25'!H:H,0,0,1)</f>
        <v>0</v>
      </c>
      <c r="D102" s="1390">
        <f>_xlfn.XLOOKUP(A102,'AJE.1 - F25'!A:A,'AJE.1 - F25'!F:F,0,0,1)</f>
        <v>0</v>
      </c>
      <c r="E102" s="1390"/>
      <c r="F102" s="219">
        <f>ROUND(SUM(B102:E102),0)</f>
        <v>0</v>
      </c>
      <c r="G102" s="1390">
        <f>_xlfn.XLOOKUP($A102,TB.PRO!$A:$A,TB.PRO!F:F,0,0,1)</f>
        <v>0</v>
      </c>
      <c r="H102" s="1390">
        <f>_xlfn.XLOOKUP($A102,TB.PRO!$A:$A,TB.PRO!G:G,0,0,1)</f>
        <v>0</v>
      </c>
      <c r="I102" s="1390"/>
      <c r="J102" s="1390"/>
      <c r="K102" s="1390"/>
      <c r="L102" s="665">
        <f>ROUND(SUM(G102:K102),0)</f>
        <v>0</v>
      </c>
      <c r="M102" s="1390">
        <f>_xlfn.XLOOKUP($A102,TB.PRO!$A:$A,TB.PRO!I:I,0,0,1)</f>
        <v>0</v>
      </c>
      <c r="N102" s="1390">
        <f>_xlfn.XLOOKUP($A102,TB.PRO!$A:$A,TB.PRO!J:J,0,0,1)</f>
        <v>0</v>
      </c>
      <c r="O102" s="1390">
        <f>SUMIF('[2]Sum - Fiscal'!$P:$P,$A102,'[2]Sum - Fiscal'!$F:$F)</f>
        <v>0</v>
      </c>
      <c r="P102" s="1390"/>
      <c r="Q102" s="1390"/>
      <c r="R102" s="665">
        <f>ROUND(SUM(M102:Q102),0)</f>
        <v>0</v>
      </c>
      <c r="S102" s="1390">
        <f>_xlfn.XLOOKUP($A102,TB.PRO!$A:$A,TB.PRO!L:L,0,0,1)</f>
        <v>0</v>
      </c>
      <c r="T102" s="1390">
        <f>_xlfn.XLOOKUP($A102,TB.PRO!$A:$A,TB.PRO!M:M,0,0,1)</f>
        <v>0</v>
      </c>
      <c r="U102" s="1390">
        <f>-SUMIF('[2]Sum - Fiscal'!$P:$P,$A102,'[2]Sum - Fiscal'!$G:$G)</f>
        <v>0</v>
      </c>
      <c r="V102" s="1390"/>
      <c r="W102" s="1390"/>
      <c r="X102" s="665">
        <f>ROUND(SUM(S102:W102),0)</f>
        <v>0</v>
      </c>
      <c r="Y102" s="1390">
        <f>_xlfn.XLOOKUP($A102,TB.PRO!$A:$A,TB.PRO!O:O,0,0,1)</f>
        <v>0</v>
      </c>
      <c r="Z102" s="1390">
        <f>_xlfn.XLOOKUP($A102,TB.PRO!$A:$A,TB.PRO!P:P,0,0,1)</f>
        <v>0</v>
      </c>
      <c r="AA102" s="1390">
        <f>-SUMIF('[2]Sum - Fiscal'!$P:$P,$A102,'[2]Sum - Fiscal'!$H:$H)</f>
        <v>0</v>
      </c>
      <c r="AB102" s="1390"/>
      <c r="AC102" s="1390"/>
      <c r="AD102" s="219">
        <f>ROUND(SUM(Y102:AC102),0)</f>
        <v>0</v>
      </c>
      <c r="AE102" s="1390">
        <f>_xlfn.XLOOKUP($A102,TB.PRO!$A:$A,TB.PRO!R:R,0,0,1)</f>
        <v>0</v>
      </c>
      <c r="AF102" s="1390">
        <f>_xlfn.XLOOKUP($A102,TB.PRO!$A:$A,TB.PRO!S:S,0,0,1)</f>
        <v>0</v>
      </c>
      <c r="AG102" s="1390">
        <f>-SUMIF('[2]Sum - Fiscal'!$P:$P,$A102,'[2]Sum - Fiscal'!$I:$I)</f>
        <v>0</v>
      </c>
      <c r="AH102" s="1390"/>
      <c r="AI102" s="1390"/>
      <c r="AJ102" s="219">
        <f>ROUND(SUM(AE102:AI102),0)</f>
        <v>0</v>
      </c>
      <c r="AK102" s="178" t="str">
        <f>_xlfn.XLOOKUP($A102,COA!$B:$B,COA!$C:$C,0,0,1)</f>
        <v>Revenues</v>
      </c>
      <c r="AL102" s="178" t="str">
        <f>_xlfn.XLOOKUP($A102,COA!$B:$B,COA!$D:$D,0,0,1)</f>
        <v>Mechanical services</v>
      </c>
      <c r="AM102" s="178" t="str">
        <f>_xlfn.XLOOKUP($A102,COA!$B:$B,COA!$E:$E,0,0,1)</f>
        <v>Accumulated deficit</v>
      </c>
      <c r="AO102" s="85" t="str">
        <f>_xlfn.XLOOKUP(AM102,FS.1!A:A,AM:AM,0,0,1)</f>
        <v>Due to related parties</v>
      </c>
      <c r="AP102" s="87"/>
      <c r="AQ102" s="87"/>
      <c r="AR102" s="87"/>
      <c r="AS102" s="87"/>
      <c r="AT102" s="85"/>
      <c r="AU102" s="85"/>
      <c r="AV102" s="85"/>
      <c r="AW102" s="85"/>
      <c r="AX102" s="85"/>
      <c r="AY102" s="85"/>
      <c r="AZ102" s="85"/>
      <c r="BA102" s="85"/>
      <c r="BB102" s="85"/>
      <c r="BC102" s="85"/>
      <c r="BD102" s="85"/>
      <c r="BE102" s="85"/>
      <c r="BF102" s="85"/>
      <c r="BG102" s="85"/>
    </row>
    <row r="103" spans="1:59" hidden="1" x14ac:dyDescent="0.25">
      <c r="A103" s="1389" t="str">
        <f>COA!B99</f>
        <v>5002 Equipment parts sale</v>
      </c>
      <c r="B103" s="1390">
        <f>_xlfn.XLOOKUP(A103,'TB.1 - F25'!A:A,'TB.1 - F25'!D:D,0,0,1)</f>
        <v>0</v>
      </c>
      <c r="C103" s="1390">
        <f>_xlfn.XLOOKUP(A103,'TB.1 - F25'!A:A,'TB.1 - F25'!H:H,0,0,1)</f>
        <v>0</v>
      </c>
      <c r="D103" s="1390">
        <f>_xlfn.XLOOKUP(A103,'AJE.1 - F25'!A:A,'AJE.1 - F25'!F:F,0,0,1)</f>
        <v>0</v>
      </c>
      <c r="E103" s="1390"/>
      <c r="F103" s="219">
        <f>ROUND(SUM(B103:E103),0)</f>
        <v>0</v>
      </c>
      <c r="G103" s="1390">
        <f>_xlfn.XLOOKUP($A103,TB.PRO!$A:$A,TB.PRO!F:F,0,0,1)</f>
        <v>0</v>
      </c>
      <c r="H103" s="1390">
        <f>_xlfn.XLOOKUP($A103,TB.PRO!$A:$A,TB.PRO!G:G,0,0,1)</f>
        <v>0</v>
      </c>
      <c r="I103" s="1390"/>
      <c r="J103" s="1390"/>
      <c r="K103" s="1390"/>
      <c r="L103" s="665">
        <f>ROUND(SUM(G103:K103),0)</f>
        <v>0</v>
      </c>
      <c r="M103" s="1390">
        <f>_xlfn.XLOOKUP($A103,TB.PRO!$A:$A,TB.PRO!I:I,0,0,1)</f>
        <v>0</v>
      </c>
      <c r="N103" s="1390">
        <f>_xlfn.XLOOKUP($A103,TB.PRO!$A:$A,TB.PRO!J:J,0,0,1)</f>
        <v>0</v>
      </c>
      <c r="O103" s="1390">
        <f>SUMIF('[2]Sum - Fiscal'!$P:$P,$A103,'[2]Sum - Fiscal'!$F:$F)</f>
        <v>0</v>
      </c>
      <c r="P103" s="1390"/>
      <c r="Q103" s="1390"/>
      <c r="R103" s="665">
        <f>ROUND(SUM(M103:Q103),0)</f>
        <v>0</v>
      </c>
      <c r="S103" s="1390">
        <f>_xlfn.XLOOKUP($A103,TB.PRO!$A:$A,TB.PRO!L:L,0,0,1)</f>
        <v>0</v>
      </c>
      <c r="T103" s="1390">
        <f>_xlfn.XLOOKUP($A103,TB.PRO!$A:$A,TB.PRO!M:M,0,0,1)</f>
        <v>0</v>
      </c>
      <c r="U103" s="1390">
        <f>-SUMIF('[2]Sum - Fiscal'!$P:$P,$A103,'[2]Sum - Fiscal'!$G:$G)</f>
        <v>0</v>
      </c>
      <c r="V103" s="1390"/>
      <c r="W103" s="1390"/>
      <c r="X103" s="665">
        <f>ROUND(SUM(S103:W103),0)</f>
        <v>0</v>
      </c>
      <c r="Y103" s="1390">
        <f>_xlfn.XLOOKUP($A103,TB.PRO!$A:$A,TB.PRO!O:O,0,0,1)</f>
        <v>0</v>
      </c>
      <c r="Z103" s="1390">
        <f>_xlfn.XLOOKUP($A103,TB.PRO!$A:$A,TB.PRO!P:P,0,0,1)</f>
        <v>0</v>
      </c>
      <c r="AA103" s="1390">
        <f>-SUMIF('[2]Sum - Fiscal'!$P:$P,$A103,'[2]Sum - Fiscal'!$H:$H)</f>
        <v>0</v>
      </c>
      <c r="AB103" s="1390"/>
      <c r="AC103" s="1390"/>
      <c r="AD103" s="219">
        <f>ROUND(SUM(Y103:AC103),0)</f>
        <v>0</v>
      </c>
      <c r="AE103" s="1390">
        <f>_xlfn.XLOOKUP($A103,TB.PRO!$A:$A,TB.PRO!R:R,0,0,1)</f>
        <v>0</v>
      </c>
      <c r="AF103" s="1390">
        <f>_xlfn.XLOOKUP($A103,TB.PRO!$A:$A,TB.PRO!S:S,0,0,1)</f>
        <v>0</v>
      </c>
      <c r="AG103" s="1390">
        <f>-SUMIF('[2]Sum - Fiscal'!$P:$P,$A103,'[2]Sum - Fiscal'!$I:$I)</f>
        <v>0</v>
      </c>
      <c r="AH103" s="1390"/>
      <c r="AI103" s="1390"/>
      <c r="AJ103" s="219">
        <f>ROUND(SUM(AE103:AI103),0)</f>
        <v>0</v>
      </c>
      <c r="AK103" s="178" t="str">
        <f>_xlfn.XLOOKUP($A103,COA!$B:$B,COA!$C:$C,0,0,1)</f>
        <v>Revenues</v>
      </c>
      <c r="AL103" s="178" t="str">
        <f>_xlfn.XLOOKUP($A103,COA!$B:$B,COA!$D:$D,0,0,1)</f>
        <v>Surcharge on parts and components sold</v>
      </c>
      <c r="AM103" s="178" t="str">
        <f>_xlfn.XLOOKUP($A103,COA!$B:$B,COA!$E:$E,0,0,1)</f>
        <v>Accumulated deficit</v>
      </c>
      <c r="AO103" s="85" t="str">
        <f>_xlfn.XLOOKUP(AM103,FS.1!A:A,AM:AM,0,0,1)</f>
        <v>Due to related parties</v>
      </c>
      <c r="AP103" s="87"/>
      <c r="AQ103" s="87"/>
      <c r="AR103" s="87"/>
      <c r="AS103" s="87"/>
      <c r="AT103" s="85"/>
      <c r="AU103" s="85"/>
      <c r="AV103" s="85"/>
      <c r="AW103" s="85"/>
      <c r="AX103" s="85"/>
      <c r="AY103" s="85"/>
      <c r="AZ103" s="85"/>
      <c r="BA103" s="85"/>
      <c r="BB103" s="85"/>
      <c r="BC103" s="85"/>
      <c r="BD103" s="85"/>
      <c r="BE103" s="85"/>
      <c r="BF103" s="85"/>
      <c r="BG103" s="85"/>
    </row>
    <row r="104" spans="1:59" hidden="1" x14ac:dyDescent="0.25">
      <c r="A104" s="1389" t="str">
        <f>COA!B100</f>
        <v>5003 Labour service</v>
      </c>
      <c r="B104" s="1390">
        <f>_xlfn.XLOOKUP(A104,'TB.1 - F25'!A:A,'TB.1 - F25'!D:D,0,0,1)</f>
        <v>0</v>
      </c>
      <c r="C104" s="1390">
        <f>_xlfn.XLOOKUP(A104,'TB.1 - F25'!A:A,'TB.1 - F25'!H:H,0,0,1)</f>
        <v>0</v>
      </c>
      <c r="D104" s="1390">
        <f>_xlfn.XLOOKUP(A104,'AJE.1 - F25'!A:A,'AJE.1 - F25'!F:F,0,0,1)</f>
        <v>0</v>
      </c>
      <c r="E104" s="1390"/>
      <c r="F104" s="219">
        <f>ROUND(SUM(B104:E104),0)</f>
        <v>0</v>
      </c>
      <c r="G104" s="1390">
        <f>_xlfn.XLOOKUP($A104,TB.PRO!$A:$A,TB.PRO!F:F,0,0,1)</f>
        <v>0</v>
      </c>
      <c r="H104" s="1390">
        <f>_xlfn.XLOOKUP($A104,TB.PRO!$A:$A,TB.PRO!G:G,0,0,1)</f>
        <v>0</v>
      </c>
      <c r="I104" s="1390"/>
      <c r="J104" s="1390">
        <v>-20000</v>
      </c>
      <c r="K104" s="1390"/>
      <c r="L104" s="665">
        <f>ROUND(SUM(G104:K104),0)</f>
        <v>-20000</v>
      </c>
      <c r="M104" s="1390">
        <f>_xlfn.XLOOKUP($A104,TB.PRO!$A:$A,TB.PRO!I:I,0,0,1)</f>
        <v>0</v>
      </c>
      <c r="N104" s="1390">
        <f>_xlfn.XLOOKUP($A104,TB.PRO!$A:$A,TB.PRO!J:J,0,0,1)</f>
        <v>0</v>
      </c>
      <c r="O104" s="1390">
        <f>SUMIF('[2]Sum - Fiscal'!$P:$P,$A104,'[2]Sum - Fiscal'!$F:$F)</f>
        <v>0</v>
      </c>
      <c r="P104" s="1390"/>
      <c r="Q104" s="1390"/>
      <c r="R104" s="665">
        <f>ROUND(SUM(M104:Q104),0)</f>
        <v>0</v>
      </c>
      <c r="S104" s="1390">
        <f>_xlfn.XLOOKUP($A104,TB.PRO!$A:$A,TB.PRO!L:L,0,0,1)</f>
        <v>0</v>
      </c>
      <c r="T104" s="1390">
        <f>_xlfn.XLOOKUP($A104,TB.PRO!$A:$A,TB.PRO!M:M,0,0,1)</f>
        <v>0</v>
      </c>
      <c r="U104" s="1390">
        <f>-SUMIF('[2]Sum - Fiscal'!$P:$P,$A104,'[2]Sum - Fiscal'!$G:$G)</f>
        <v>0</v>
      </c>
      <c r="V104" s="1390"/>
      <c r="W104" s="1390"/>
      <c r="X104" s="665">
        <f>ROUND(SUM(S104:W104),0)</f>
        <v>0</v>
      </c>
      <c r="Y104" s="1390">
        <f>_xlfn.XLOOKUP($A104,TB.PRO!$A:$A,TB.PRO!O:O,0,0,1)</f>
        <v>0</v>
      </c>
      <c r="Z104" s="1390">
        <f>_xlfn.XLOOKUP($A104,TB.PRO!$A:$A,TB.PRO!P:P,0,0,1)</f>
        <v>0</v>
      </c>
      <c r="AA104" s="1390">
        <f>-SUMIF('[2]Sum - Fiscal'!$P:$P,$A104,'[2]Sum - Fiscal'!$H:$H)</f>
        <v>0</v>
      </c>
      <c r="AB104" s="1390"/>
      <c r="AC104" s="1390"/>
      <c r="AD104" s="219">
        <f>ROUND(SUM(Y104:AC104),0)</f>
        <v>0</v>
      </c>
      <c r="AE104" s="1390">
        <f>_xlfn.XLOOKUP($A104,TB.PRO!$A:$A,TB.PRO!R:R,0,0,1)</f>
        <v>0</v>
      </c>
      <c r="AF104" s="1390">
        <f>_xlfn.XLOOKUP($A104,TB.PRO!$A:$A,TB.PRO!S:S,0,0,1)</f>
        <v>0</v>
      </c>
      <c r="AG104" s="1390">
        <f>-SUMIF('[2]Sum - Fiscal'!$P:$P,$A104,'[2]Sum - Fiscal'!$I:$I)</f>
        <v>0</v>
      </c>
      <c r="AH104" s="1390"/>
      <c r="AI104" s="1390"/>
      <c r="AJ104" s="219">
        <f>ROUND(SUM(AE104:AI104),0)</f>
        <v>0</v>
      </c>
      <c r="AK104" s="178" t="str">
        <f>_xlfn.XLOOKUP($A104,COA!$B:$B,COA!$C:$C,0,0,1)</f>
        <v>Revenues</v>
      </c>
      <c r="AL104" s="667" t="s">
        <v>620</v>
      </c>
      <c r="AM104" s="178" t="str">
        <f>_xlfn.XLOOKUP($A104,COA!$B:$B,COA!$E:$E,0,0,1)</f>
        <v>Accumulated deficit</v>
      </c>
      <c r="AO104" s="85" t="str">
        <f>_xlfn.XLOOKUP(AM104,FS.1!A:A,AM:AM,0,0,1)</f>
        <v>Due to related parties</v>
      </c>
      <c r="AP104" s="87"/>
      <c r="AQ104" s="87"/>
      <c r="AR104" s="87"/>
      <c r="AS104" s="87"/>
      <c r="AT104" s="85"/>
      <c r="AU104" s="85"/>
      <c r="AV104" s="85"/>
      <c r="AW104" s="85"/>
      <c r="AX104" s="85"/>
      <c r="AY104" s="85"/>
      <c r="AZ104" s="85"/>
      <c r="BA104" s="85"/>
      <c r="BB104" s="85"/>
      <c r="BC104" s="85"/>
      <c r="BD104" s="85"/>
      <c r="BE104" s="85"/>
      <c r="BF104" s="85"/>
      <c r="BG104" s="85"/>
    </row>
    <row r="105" spans="1:59" hidden="1" x14ac:dyDescent="0.25">
      <c r="A105" s="1389" t="str">
        <f>COA!B101</f>
        <v>5004 Shop Supplies Sales</v>
      </c>
      <c r="B105" s="1390">
        <f>_xlfn.XLOOKUP(A105,'TB.1 - F25'!A:A,'TB.1 - F25'!D:D,0,0,1)</f>
        <v>0</v>
      </c>
      <c r="C105" s="1390">
        <f>_xlfn.XLOOKUP(A105,'TB.1 - F25'!A:A,'TB.1 - F25'!H:H,0,0,1)</f>
        <v>0</v>
      </c>
      <c r="D105" s="1390">
        <f>_xlfn.XLOOKUP(A105,'AJE.1 - F25'!A:A,'AJE.1 - F25'!F:F,0,0,1)</f>
        <v>0</v>
      </c>
      <c r="E105" s="1390"/>
      <c r="F105" s="219">
        <f>ROUND(SUM(B105:E105),0)</f>
        <v>0</v>
      </c>
      <c r="G105" s="1390">
        <f>_xlfn.XLOOKUP($A105,TB.PRO!$A:$A,TB.PRO!F:F,0,0,1)</f>
        <v>0</v>
      </c>
      <c r="H105" s="1390">
        <f>_xlfn.XLOOKUP($A105,TB.PRO!$A:$A,TB.PRO!G:G,0,0,1)</f>
        <v>0</v>
      </c>
      <c r="I105" s="1390"/>
      <c r="J105" s="1390"/>
      <c r="K105" s="1390"/>
      <c r="L105" s="665">
        <f>ROUND(SUM(G105:K105),0)</f>
        <v>0</v>
      </c>
      <c r="M105" s="1390">
        <f>_xlfn.XLOOKUP($A105,TB.PRO!$A:$A,TB.PRO!I:I,0,0,1)</f>
        <v>0</v>
      </c>
      <c r="N105" s="1390">
        <f>_xlfn.XLOOKUP($A105,TB.PRO!$A:$A,TB.PRO!J:J,0,0,1)</f>
        <v>0</v>
      </c>
      <c r="O105" s="1390">
        <f>SUMIF('[2]Sum - Fiscal'!$P:$P,$A105,'[2]Sum - Fiscal'!$F:$F)</f>
        <v>0</v>
      </c>
      <c r="P105" s="1390"/>
      <c r="Q105" s="1390"/>
      <c r="R105" s="665">
        <f>ROUND(SUM(M105:Q105),0)</f>
        <v>0</v>
      </c>
      <c r="S105" s="1390">
        <f>_xlfn.XLOOKUP($A105,TB.PRO!$A:$A,TB.PRO!L:L,0,0,1)</f>
        <v>0</v>
      </c>
      <c r="T105" s="1390">
        <f>_xlfn.XLOOKUP($A105,TB.PRO!$A:$A,TB.PRO!M:M,0,0,1)</f>
        <v>0</v>
      </c>
      <c r="U105" s="1390">
        <f>-SUMIF('[2]Sum - Fiscal'!$P:$P,$A105,'[2]Sum - Fiscal'!$G:$G)</f>
        <v>0</v>
      </c>
      <c r="V105" s="1390"/>
      <c r="W105" s="1390"/>
      <c r="X105" s="665">
        <f>ROUND(SUM(S105:W105),0)</f>
        <v>0</v>
      </c>
      <c r="Y105" s="1390">
        <f>_xlfn.XLOOKUP($A105,TB.PRO!$A:$A,TB.PRO!O:O,0,0,1)</f>
        <v>0</v>
      </c>
      <c r="Z105" s="1390">
        <f>_xlfn.XLOOKUP($A105,TB.PRO!$A:$A,TB.PRO!P:P,0,0,1)</f>
        <v>0</v>
      </c>
      <c r="AA105" s="1390">
        <f>-SUMIF('[2]Sum - Fiscal'!$P:$P,$A105,'[2]Sum - Fiscal'!$H:$H)</f>
        <v>0</v>
      </c>
      <c r="AB105" s="1390"/>
      <c r="AC105" s="1390"/>
      <c r="AD105" s="219">
        <f>ROUND(SUM(Y105:AC105),0)</f>
        <v>0</v>
      </c>
      <c r="AE105" s="1390">
        <f>_xlfn.XLOOKUP($A105,TB.PRO!$A:$A,TB.PRO!R:R,0,0,1)</f>
        <v>0</v>
      </c>
      <c r="AF105" s="1390">
        <f>_xlfn.XLOOKUP($A105,TB.PRO!$A:$A,TB.PRO!S:S,0,0,1)</f>
        <v>0</v>
      </c>
      <c r="AG105" s="1390">
        <f>-SUMIF('[2]Sum - Fiscal'!$P:$P,$A105,'[2]Sum - Fiscal'!$I:$I)</f>
        <v>0</v>
      </c>
      <c r="AH105" s="1390"/>
      <c r="AI105" s="1390"/>
      <c r="AJ105" s="219">
        <f>ROUND(SUM(AE105:AI105),0)</f>
        <v>0</v>
      </c>
      <c r="AK105" s="178" t="str">
        <f>_xlfn.XLOOKUP($A105,COA!$B:$B,COA!$C:$C,0,0,1)</f>
        <v>Revenues</v>
      </c>
      <c r="AL105" s="178" t="str">
        <f>_xlfn.XLOOKUP($A105,COA!$B:$B,COA!$D:$D,0,0,1)</f>
        <v>Surcharge on parts and components sold</v>
      </c>
      <c r="AM105" s="178" t="str">
        <f>_xlfn.XLOOKUP($A105,COA!$B:$B,COA!$E:$E,0,0,1)</f>
        <v>Accumulated deficit</v>
      </c>
      <c r="AO105" s="85" t="str">
        <f>_xlfn.XLOOKUP(AM105,FS.1!A:A,AM:AM,0,0,1)</f>
        <v>Due to related parties</v>
      </c>
      <c r="AP105" s="87"/>
      <c r="AQ105" s="87"/>
      <c r="AR105" s="87"/>
      <c r="AS105" s="87"/>
      <c r="AT105" s="85"/>
      <c r="AU105" s="85"/>
      <c r="AV105" s="85"/>
      <c r="AW105" s="85"/>
      <c r="AX105" s="85"/>
      <c r="AY105" s="85"/>
      <c r="AZ105" s="85"/>
      <c r="BA105" s="85"/>
      <c r="BB105" s="85"/>
      <c r="BC105" s="85"/>
      <c r="BD105" s="85"/>
      <c r="BE105" s="85"/>
      <c r="BF105" s="85"/>
      <c r="BG105" s="85"/>
    </row>
    <row r="106" spans="1:59" hidden="1" x14ac:dyDescent="0.25">
      <c r="A106" s="1389" t="str">
        <f>COA!B102</f>
        <v>5006 Markup</v>
      </c>
      <c r="B106" s="1390">
        <f>_xlfn.XLOOKUP(A106,'TB.1 - F25'!A:A,'TB.1 - F25'!D:D,0,0,1)</f>
        <v>0</v>
      </c>
      <c r="C106" s="1390">
        <f>_xlfn.XLOOKUP(A106,'TB.1 - F25'!A:A,'TB.1 - F25'!H:H,0,0,1)</f>
        <v>0</v>
      </c>
      <c r="D106" s="1390">
        <f>_xlfn.XLOOKUP(A106,'AJE.1 - F25'!A:A,'AJE.1 - F25'!F:F,0,0,1)</f>
        <v>0</v>
      </c>
      <c r="E106" s="1390"/>
      <c r="F106" s="219">
        <f>ROUND(SUM(B106:E106),0)</f>
        <v>0</v>
      </c>
      <c r="G106" s="1390">
        <f>_xlfn.XLOOKUP($A106,TB.PRO!$A:$A,TB.PRO!F:F,0,0,1)</f>
        <v>0</v>
      </c>
      <c r="H106" s="1390">
        <f>_xlfn.XLOOKUP($A106,TB.PRO!$A:$A,TB.PRO!G:G,0,0,1)</f>
        <v>0</v>
      </c>
      <c r="I106" s="1390"/>
      <c r="J106" s="1390"/>
      <c r="K106" s="1390"/>
      <c r="L106" s="665">
        <f>ROUND(SUM(G106:K106),0)</f>
        <v>0</v>
      </c>
      <c r="M106" s="1390">
        <f>_xlfn.XLOOKUP($A106,TB.PRO!$A:$A,TB.PRO!I:I,0,0,1)</f>
        <v>0</v>
      </c>
      <c r="N106" s="1390">
        <f>_xlfn.XLOOKUP($A106,TB.PRO!$A:$A,TB.PRO!J:J,0,0,1)</f>
        <v>0</v>
      </c>
      <c r="O106" s="1390">
        <f>SUMIF('[2]Sum - Fiscal'!$P:$P,$A106,'[2]Sum - Fiscal'!$F:$F)</f>
        <v>0</v>
      </c>
      <c r="P106" s="1390"/>
      <c r="Q106" s="1390"/>
      <c r="R106" s="665">
        <f>ROUND(SUM(M106:Q106),0)</f>
        <v>0</v>
      </c>
      <c r="S106" s="1390">
        <f>_xlfn.XLOOKUP($A106,TB.PRO!$A:$A,TB.PRO!L:L,0,0,1)</f>
        <v>0</v>
      </c>
      <c r="T106" s="1390">
        <f>_xlfn.XLOOKUP($A106,TB.PRO!$A:$A,TB.PRO!M:M,0,0,1)</f>
        <v>0</v>
      </c>
      <c r="U106" s="1390">
        <f>-SUMIF('[2]Sum - Fiscal'!$P:$P,$A106,'[2]Sum - Fiscal'!$G:$G)</f>
        <v>0</v>
      </c>
      <c r="V106" s="1390"/>
      <c r="W106" s="1390"/>
      <c r="X106" s="665">
        <f>ROUND(SUM(S106:W106),0)</f>
        <v>0</v>
      </c>
      <c r="Y106" s="1390">
        <f>_xlfn.XLOOKUP($A106,TB.PRO!$A:$A,TB.PRO!O:O,0,0,1)</f>
        <v>0</v>
      </c>
      <c r="Z106" s="1390">
        <f>_xlfn.XLOOKUP($A106,TB.PRO!$A:$A,TB.PRO!P:P,0,0,1)</f>
        <v>0</v>
      </c>
      <c r="AA106" s="1390">
        <f>-SUMIF('[2]Sum - Fiscal'!$P:$P,$A106,'[2]Sum - Fiscal'!$H:$H)</f>
        <v>0</v>
      </c>
      <c r="AB106" s="1390"/>
      <c r="AC106" s="1390"/>
      <c r="AD106" s="219">
        <f>ROUND(SUM(Y106:AC106),0)</f>
        <v>0</v>
      </c>
      <c r="AE106" s="1390">
        <f>_xlfn.XLOOKUP($A106,TB.PRO!$A:$A,TB.PRO!R:R,0,0,1)</f>
        <v>0</v>
      </c>
      <c r="AF106" s="1390">
        <f>_xlfn.XLOOKUP($A106,TB.PRO!$A:$A,TB.PRO!S:S,0,0,1)</f>
        <v>0</v>
      </c>
      <c r="AG106" s="1390">
        <f>-SUMIF('[2]Sum - Fiscal'!$P:$P,$A106,'[2]Sum - Fiscal'!$I:$I)</f>
        <v>0</v>
      </c>
      <c r="AH106" s="1390"/>
      <c r="AI106" s="1390"/>
      <c r="AJ106" s="219">
        <f>ROUND(SUM(AE106:AI106),0)</f>
        <v>0</v>
      </c>
      <c r="AK106" s="178" t="str">
        <f>_xlfn.XLOOKUP($A106,COA!$B:$B,COA!$C:$C,0,0,1)</f>
        <v>Revenues</v>
      </c>
      <c r="AL106" s="178" t="str">
        <f>_xlfn.XLOOKUP($A106,COA!$B:$B,COA!$D:$D,0,0,1)</f>
        <v>Surcharge on parts and components sold</v>
      </c>
      <c r="AM106" s="178" t="str">
        <f>_xlfn.XLOOKUP($A106,COA!$B:$B,COA!$E:$E,0,0,1)</f>
        <v>Accumulated deficit</v>
      </c>
      <c r="AO106" s="85" t="str">
        <f>_xlfn.XLOOKUP(AM106,FS.1!A:A,AM:AM,0,0,1)</f>
        <v>Due to related parties</v>
      </c>
      <c r="AP106" s="87"/>
      <c r="AQ106" s="87"/>
      <c r="AR106" s="87"/>
      <c r="AS106" s="87"/>
      <c r="AT106" s="85"/>
      <c r="AU106" s="85"/>
      <c r="AV106" s="85"/>
      <c r="AW106" s="85"/>
      <c r="AX106" s="85"/>
      <c r="AY106" s="85"/>
      <c r="AZ106" s="85"/>
      <c r="BA106" s="85"/>
      <c r="BB106" s="85"/>
      <c r="BC106" s="85"/>
      <c r="BD106" s="85"/>
      <c r="BE106" s="85"/>
      <c r="BF106" s="85"/>
      <c r="BG106" s="85"/>
    </row>
    <row r="107" spans="1:59" hidden="1" x14ac:dyDescent="0.25">
      <c r="A107" s="1389" t="str">
        <f>COA!B103</f>
        <v>5400 Government grant income</v>
      </c>
      <c r="B107" s="1390">
        <f>_xlfn.XLOOKUP(A107,'TB.1 - F25'!A:A,'TB.1 - F25'!D:D,0,0,1)</f>
        <v>0</v>
      </c>
      <c r="C107" s="1390">
        <f>_xlfn.XLOOKUP(A107,'TB.1 - F25'!A:A,'TB.1 - F25'!H:H,0,0,1)</f>
        <v>0</v>
      </c>
      <c r="D107" s="1390">
        <f>_xlfn.XLOOKUP(A107,'AJE.1 - F25'!A:A,'AJE.1 - F25'!F:F,0,0,1)</f>
        <v>0</v>
      </c>
      <c r="E107" s="1390"/>
      <c r="F107" s="219">
        <f>ROUND(SUM(B107:E107),0)</f>
        <v>0</v>
      </c>
      <c r="G107" s="1390">
        <f>_xlfn.XLOOKUP($A107,TB.PRO!$A:$A,TB.PRO!F:F,0,0,1)</f>
        <v>0</v>
      </c>
      <c r="H107" s="1390">
        <f>_xlfn.XLOOKUP($A107,TB.PRO!$A:$A,TB.PRO!G:G,0,0,1)</f>
        <v>-47084.55</v>
      </c>
      <c r="I107" s="1390"/>
      <c r="J107" s="1390"/>
      <c r="K107" s="1390"/>
      <c r="L107" s="665">
        <f>ROUND(SUM(G107:K107),0)</f>
        <v>-47085</v>
      </c>
      <c r="M107" s="1390">
        <f>_xlfn.XLOOKUP($A107,TB.PRO!$A:$A,TB.PRO!I:I,0,0,1)</f>
        <v>0</v>
      </c>
      <c r="N107" s="1390">
        <f>_xlfn.XLOOKUP($A107,TB.PRO!$A:$A,TB.PRO!J:J,0,0,1)</f>
        <v>0</v>
      </c>
      <c r="O107" s="1390">
        <f>SUMIF('[2]Sum - Fiscal'!$P:$P,$A107,'[2]Sum - Fiscal'!$F:$F)</f>
        <v>0</v>
      </c>
      <c r="P107" s="1390"/>
      <c r="Q107" s="1390"/>
      <c r="R107" s="665">
        <f>ROUND(SUM(M107:Q107),0)</f>
        <v>0</v>
      </c>
      <c r="S107" s="1390">
        <f>_xlfn.XLOOKUP($A107,TB.PRO!$A:$A,TB.PRO!L:L,0,0,1)</f>
        <v>0</v>
      </c>
      <c r="T107" s="1390">
        <f>_xlfn.XLOOKUP($A107,TB.PRO!$A:$A,TB.PRO!M:M,0,0,1)</f>
        <v>0</v>
      </c>
      <c r="U107" s="1390">
        <f>-SUMIF('[2]Sum - Fiscal'!$P:$P,$A107,'[2]Sum - Fiscal'!$G:$G)</f>
        <v>0</v>
      </c>
      <c r="V107" s="1390"/>
      <c r="W107" s="1390"/>
      <c r="X107" s="665">
        <f>ROUND(SUM(S107:W107),0)</f>
        <v>0</v>
      </c>
      <c r="Y107" s="1390">
        <f>_xlfn.XLOOKUP($A107,TB.PRO!$A:$A,TB.PRO!O:O,0,0,1)</f>
        <v>0</v>
      </c>
      <c r="Z107" s="1390">
        <f>_xlfn.XLOOKUP($A107,TB.PRO!$A:$A,TB.PRO!P:P,0,0,1)</f>
        <v>0</v>
      </c>
      <c r="AA107" s="1390">
        <f>-SUMIF('[2]Sum - Fiscal'!$P:$P,$A107,'[2]Sum - Fiscal'!$H:$H)</f>
        <v>0</v>
      </c>
      <c r="AB107" s="1390"/>
      <c r="AC107" s="1390"/>
      <c r="AD107" s="219">
        <f>ROUND(SUM(Y107:AC107),0)</f>
        <v>0</v>
      </c>
      <c r="AE107" s="1390">
        <f>_xlfn.XLOOKUP($A107,TB.PRO!$A:$A,TB.PRO!R:R,0,0,1)</f>
        <v>0</v>
      </c>
      <c r="AF107" s="1390">
        <f>_xlfn.XLOOKUP($A107,TB.PRO!$A:$A,TB.PRO!S:S,0,0,1)</f>
        <v>0</v>
      </c>
      <c r="AG107" s="1390">
        <f>-SUMIF('[2]Sum - Fiscal'!$P:$P,$A107,'[2]Sum - Fiscal'!$I:$I)</f>
        <v>0</v>
      </c>
      <c r="AH107" s="1390"/>
      <c r="AI107" s="1390"/>
      <c r="AJ107" s="219">
        <f>ROUND(SUM(AE107:AI107),0)</f>
        <v>0</v>
      </c>
      <c r="AK107" s="178" t="str">
        <f>_xlfn.XLOOKUP($A107,COA!$B:$B,COA!$C:$C,0,0,1)</f>
        <v xml:space="preserve">Other income </v>
      </c>
      <c r="AL107" s="178" t="str">
        <f>_xlfn.XLOOKUP($A107,COA!$B:$B,COA!$D:$D,0,0,1)</f>
        <v xml:space="preserve">Other income </v>
      </c>
      <c r="AM107" s="178" t="str">
        <f>_xlfn.XLOOKUP($A107,COA!$B:$B,COA!$E:$E,0,0,1)</f>
        <v>Accumulated deficit</v>
      </c>
      <c r="AO107" s="85"/>
      <c r="AP107" s="87"/>
      <c r="AQ107" s="87"/>
      <c r="AR107" s="87"/>
      <c r="AS107" s="87"/>
      <c r="AT107" s="85"/>
      <c r="AU107" s="85"/>
      <c r="AV107" s="85"/>
      <c r="AW107" s="85"/>
      <c r="AX107" s="85"/>
      <c r="AY107" s="85"/>
      <c r="AZ107" s="85"/>
      <c r="BA107" s="85"/>
      <c r="BB107" s="85"/>
      <c r="BC107" s="85"/>
      <c r="BD107" s="85"/>
      <c r="BE107" s="85"/>
      <c r="BF107" s="85"/>
      <c r="BG107" s="85"/>
    </row>
    <row r="108" spans="1:59" hidden="1" x14ac:dyDescent="0.25">
      <c r="A108" s="1389" t="str">
        <f>COA!B104</f>
        <v>5498 Interest income</v>
      </c>
      <c r="B108" s="1390">
        <f>_xlfn.XLOOKUP(A108,'TB.1 - F25'!A:A,'TB.1 - F25'!D:D,0,0,1)</f>
        <v>0</v>
      </c>
      <c r="C108" s="1390">
        <f>_xlfn.XLOOKUP(A108,'TB.1 - F25'!A:A,'TB.1 - F25'!H:H,0,0,1)</f>
        <v>-13.5</v>
      </c>
      <c r="D108" s="1390">
        <f>_xlfn.XLOOKUP(A108,'AJE.1 - F25'!A:A,'AJE.1 - F25'!F:F,0,0,1)</f>
        <v>0</v>
      </c>
      <c r="E108" s="1390"/>
      <c r="F108" s="219">
        <f>ROUND(SUM(B108:E108),0)</f>
        <v>-14</v>
      </c>
      <c r="G108" s="1390">
        <f>_xlfn.XLOOKUP($A108,TB.PRO!$A:$A,TB.PRO!F:F,0,0,1)</f>
        <v>0</v>
      </c>
      <c r="H108" s="1390">
        <f>_xlfn.XLOOKUP($A108,TB.PRO!$A:$A,TB.PRO!G:G,0,0,1)</f>
        <v>0</v>
      </c>
      <c r="I108" s="1390"/>
      <c r="J108" s="1390"/>
      <c r="K108" s="1390"/>
      <c r="L108" s="665">
        <f>ROUND(SUM(G108:K108),0)</f>
        <v>0</v>
      </c>
      <c r="M108" s="1390">
        <f>_xlfn.XLOOKUP($A108,TB.PRO!$A:$A,TB.PRO!I:I,0,0,1)</f>
        <v>0</v>
      </c>
      <c r="N108" s="1390">
        <f>_xlfn.XLOOKUP($A108,TB.PRO!$A:$A,TB.PRO!J:J,0,0,1)</f>
        <v>0</v>
      </c>
      <c r="O108" s="1390">
        <f>SUMIF('[2]Sum - Fiscal'!$P:$P,$A108,'[2]Sum - Fiscal'!$F:$F)</f>
        <v>0</v>
      </c>
      <c r="P108" s="1390"/>
      <c r="Q108" s="1390"/>
      <c r="R108" s="665">
        <f>ROUND(SUM(M108:Q108),0)</f>
        <v>0</v>
      </c>
      <c r="S108" s="1390">
        <f>_xlfn.XLOOKUP($A108,TB.PRO!$A:$A,TB.PRO!L:L,0,0,1)</f>
        <v>0</v>
      </c>
      <c r="T108" s="1390">
        <f>_xlfn.XLOOKUP($A108,TB.PRO!$A:$A,TB.PRO!M:M,0,0,1)</f>
        <v>0</v>
      </c>
      <c r="U108" s="1390">
        <f>-SUMIF('[2]Sum - Fiscal'!$P:$P,$A108,'[2]Sum - Fiscal'!$G:$G)</f>
        <v>0</v>
      </c>
      <c r="V108" s="1390"/>
      <c r="W108" s="1390"/>
      <c r="X108" s="665">
        <f>ROUND(SUM(S108:W108),0)</f>
        <v>0</v>
      </c>
      <c r="Y108" s="1390">
        <f>_xlfn.XLOOKUP($A108,TB.PRO!$A:$A,TB.PRO!O:O,0,0,1)</f>
        <v>0</v>
      </c>
      <c r="Z108" s="1390">
        <f>_xlfn.XLOOKUP($A108,TB.PRO!$A:$A,TB.PRO!P:P,0,0,1)</f>
        <v>0</v>
      </c>
      <c r="AA108" s="1390">
        <f>-SUMIF('[2]Sum - Fiscal'!$P:$P,$A108,'[2]Sum - Fiscal'!$H:$H)</f>
        <v>0</v>
      </c>
      <c r="AB108" s="1390"/>
      <c r="AC108" s="1390"/>
      <c r="AD108" s="219">
        <f>ROUND(SUM(Y108:AC108),0)</f>
        <v>0</v>
      </c>
      <c r="AE108" s="1390">
        <f>_xlfn.XLOOKUP($A108,TB.PRO!$A:$A,TB.PRO!R:R,0,0,1)</f>
        <v>0</v>
      </c>
      <c r="AF108" s="1390">
        <f>_xlfn.XLOOKUP($A108,TB.PRO!$A:$A,TB.PRO!S:S,0,0,1)</f>
        <v>0</v>
      </c>
      <c r="AG108" s="1390">
        <f>-SUMIF('[2]Sum - Fiscal'!$P:$P,$A108,'[2]Sum - Fiscal'!$I:$I)</f>
        <v>0</v>
      </c>
      <c r="AH108" s="1390"/>
      <c r="AI108" s="1390"/>
      <c r="AJ108" s="219">
        <f>ROUND(SUM(AE108:AI108),0)</f>
        <v>0</v>
      </c>
      <c r="AK108" s="178" t="str">
        <f>_xlfn.XLOOKUP($A108,COA!$B:$B,COA!$C:$C,0,0,1)</f>
        <v>Interest income</v>
      </c>
      <c r="AL108" s="178" t="str">
        <f>_xlfn.XLOOKUP($A108,COA!$B:$B,COA!$D:$D,0,0,1)</f>
        <v>Interest income</v>
      </c>
      <c r="AM108" s="178" t="str">
        <f>_xlfn.XLOOKUP($A108,COA!$B:$B,COA!$E:$E,0,0,1)</f>
        <v>Accumulated deficit</v>
      </c>
      <c r="AO108" s="85" t="str">
        <f>AM108</f>
        <v>Accumulated deficit</v>
      </c>
      <c r="AP108" s="87"/>
      <c r="AQ108" s="87"/>
      <c r="AR108" s="87"/>
      <c r="AS108" s="87"/>
      <c r="AT108" s="85"/>
      <c r="AU108" s="85"/>
      <c r="AV108" s="85"/>
      <c r="AW108" s="85"/>
      <c r="AX108" s="85"/>
      <c r="AY108" s="85"/>
      <c r="AZ108" s="85"/>
      <c r="BA108" s="85"/>
      <c r="BB108" s="85"/>
      <c r="BC108" s="85"/>
      <c r="BD108" s="85"/>
      <c r="BE108" s="85"/>
      <c r="BF108" s="85"/>
      <c r="BG108" s="85"/>
    </row>
    <row r="109" spans="1:59" hidden="1" x14ac:dyDescent="0.25">
      <c r="A109" s="1389" t="str">
        <f>COA!B105</f>
        <v>5499 Other Income</v>
      </c>
      <c r="B109" s="1390">
        <f>_xlfn.XLOOKUP(A109,'TB.1 - F25'!A:A,'TB.1 - F25'!D:D,0,0,1)</f>
        <v>0</v>
      </c>
      <c r="C109" s="1390">
        <f>_xlfn.XLOOKUP(A109,'TB.1 - F25'!A:A,'TB.1 - F25'!H:H,0,0,1)</f>
        <v>0</v>
      </c>
      <c r="D109" s="1390">
        <f>_xlfn.XLOOKUP(A109,'AJE.1 - F25'!A:A,'AJE.1 - F25'!F:F,0,0,1)</f>
        <v>0</v>
      </c>
      <c r="E109" s="1390"/>
      <c r="F109" s="219">
        <f>ROUND(SUM(B109:E109),0)</f>
        <v>0</v>
      </c>
      <c r="G109" s="1390">
        <f>_xlfn.XLOOKUP($A109,TB.PRO!$A:$A,TB.PRO!F:F,0,0,1)</f>
        <v>0</v>
      </c>
      <c r="H109" s="1390">
        <f>_xlfn.XLOOKUP($A109,TB.PRO!$A:$A,TB.PRO!G:G,0,0,1)</f>
        <v>0</v>
      </c>
      <c r="I109" s="1390"/>
      <c r="J109" s="1390"/>
      <c r="K109" s="1390"/>
      <c r="L109" s="665">
        <f>ROUND(SUM(G109:K109),0)</f>
        <v>0</v>
      </c>
      <c r="M109" s="1390">
        <f>_xlfn.XLOOKUP($A109,TB.PRO!$A:$A,TB.PRO!I:I,0,0,1)</f>
        <v>0</v>
      </c>
      <c r="N109" s="1390">
        <f>_xlfn.XLOOKUP($A109,TB.PRO!$A:$A,TB.PRO!J:J,0,0,1)</f>
        <v>0</v>
      </c>
      <c r="O109" s="1390">
        <f>SUMIF('[2]Sum - Fiscal'!$P:$P,$A109,'[2]Sum - Fiscal'!$F:$F)</f>
        <v>0</v>
      </c>
      <c r="P109" s="1390"/>
      <c r="Q109" s="1390"/>
      <c r="R109" s="665">
        <f>ROUND(SUM(M109:Q109),0)</f>
        <v>0</v>
      </c>
      <c r="S109" s="1390">
        <f>_xlfn.XLOOKUP($A109,TB.PRO!$A:$A,TB.PRO!L:L,0,0,1)</f>
        <v>0</v>
      </c>
      <c r="T109" s="1390">
        <f>_xlfn.XLOOKUP($A109,TB.PRO!$A:$A,TB.PRO!M:M,0,0,1)</f>
        <v>0</v>
      </c>
      <c r="U109" s="1390">
        <f>-SUMIF('[2]Sum - Fiscal'!$P:$P,$A109,'[2]Sum - Fiscal'!$G:$G)</f>
        <v>0</v>
      </c>
      <c r="V109" s="1390"/>
      <c r="W109" s="1390"/>
      <c r="X109" s="665">
        <f>ROUND(SUM(S109:W109),0)</f>
        <v>0</v>
      </c>
      <c r="Y109" s="1390">
        <f>_xlfn.XLOOKUP($A109,TB.PRO!$A:$A,TB.PRO!O:O,0,0,1)</f>
        <v>0</v>
      </c>
      <c r="Z109" s="1390">
        <f>_xlfn.XLOOKUP($A109,TB.PRO!$A:$A,TB.PRO!P:P,0,0,1)</f>
        <v>0</v>
      </c>
      <c r="AA109" s="1390">
        <f>-SUMIF('[2]Sum - Fiscal'!$P:$P,$A109,'[2]Sum - Fiscal'!$H:$H)</f>
        <v>0</v>
      </c>
      <c r="AB109" s="1390"/>
      <c r="AC109" s="1390"/>
      <c r="AD109" s="219">
        <f>ROUND(SUM(Y109:AC109),0)</f>
        <v>0</v>
      </c>
      <c r="AE109" s="1390">
        <f>_xlfn.XLOOKUP($A109,TB.PRO!$A:$A,TB.PRO!R:R,0,0,1)</f>
        <v>0</v>
      </c>
      <c r="AF109" s="1390">
        <f>_xlfn.XLOOKUP($A109,TB.PRO!$A:$A,TB.PRO!S:S,0,0,1)</f>
        <v>0</v>
      </c>
      <c r="AG109" s="1390">
        <f>-SUMIF('[2]Sum - Fiscal'!$P:$P,$A109,'[2]Sum - Fiscal'!$I:$I)</f>
        <v>0</v>
      </c>
      <c r="AH109" s="1390"/>
      <c r="AI109" s="1390"/>
      <c r="AJ109" s="219">
        <f>ROUND(SUM(AE109:AI109),0)</f>
        <v>0</v>
      </c>
      <c r="AK109" s="178" t="str">
        <f>_xlfn.XLOOKUP($A109,COA!$B:$B,COA!$C:$C,0,0,1)</f>
        <v xml:space="preserve">Other income </v>
      </c>
      <c r="AL109" s="178" t="str">
        <f>_xlfn.XLOOKUP($A109,COA!$B:$B,COA!$D:$D,0,0,1)</f>
        <v xml:space="preserve">Other income </v>
      </c>
      <c r="AM109" s="178" t="str">
        <f>_xlfn.XLOOKUP($A109,COA!$B:$B,COA!$E:$E,0,0,1)</f>
        <v>Accumulated deficit</v>
      </c>
      <c r="AO109" s="85" t="str">
        <f>_xlfn.XLOOKUP(AM109,FS.1!A:A,AM:AM,0,0,1)</f>
        <v>Due to related parties</v>
      </c>
      <c r="AP109" s="87"/>
      <c r="AQ109" s="87"/>
      <c r="AR109" s="87"/>
      <c r="AS109" s="87"/>
      <c r="AT109" s="85"/>
      <c r="AU109" s="85"/>
      <c r="AV109" s="85"/>
      <c r="AW109" s="85"/>
      <c r="AX109" s="85"/>
      <c r="AY109" s="85"/>
      <c r="AZ109" s="85"/>
      <c r="BA109" s="85"/>
      <c r="BB109" s="85"/>
      <c r="BC109" s="85"/>
      <c r="BD109" s="85"/>
      <c r="BE109" s="85"/>
      <c r="BF109" s="85"/>
      <c r="BG109" s="85"/>
    </row>
    <row r="110" spans="1:59" x14ac:dyDescent="0.25">
      <c r="A110" s="1389" t="str">
        <f>COA!B106</f>
        <v>5500 Cost of Goods Sold</v>
      </c>
      <c r="B110" s="1390">
        <f>_xlfn.XLOOKUP(A110,'TB.1 - F25'!A:A,'TB.1 - F25'!D:D,0,0,1)</f>
        <v>0</v>
      </c>
      <c r="C110" s="1390">
        <f>_xlfn.XLOOKUP(A110,'TB.1 - F25'!A:A,'TB.1 - F25'!H:H,0,0,1)</f>
        <v>322512.24</v>
      </c>
      <c r="D110" s="1390">
        <f>_xlfn.XLOOKUP(A110,'AJE.1 - F25'!A:A,'AJE.1 - F25'!F:F,0,0,1)</f>
        <v>0</v>
      </c>
      <c r="E110" s="1390"/>
      <c r="F110" s="219">
        <f>ROUND(SUM(B110:E110),0)</f>
        <v>322512</v>
      </c>
      <c r="G110" s="1390">
        <f>_xlfn.XLOOKUP($A110,TB.PRO!$A:$A,TB.PRO!F:F,0,0,1)</f>
        <v>0</v>
      </c>
      <c r="H110" s="1390">
        <f>_xlfn.XLOOKUP($A110,TB.PRO!$A:$A,TB.PRO!G:G,0,0,1)</f>
        <v>0</v>
      </c>
      <c r="I110" s="1390"/>
      <c r="J110" s="1390">
        <f>-SUMIF('[2]Sum - Fiscal'!$P:$P,A110,'[2]Sum - Fiscal'!$E:$E)</f>
        <v>379800</v>
      </c>
      <c r="K110" s="1390"/>
      <c r="L110" s="665">
        <f>ROUND(SUM(G110:K110),0)</f>
        <v>379800</v>
      </c>
      <c r="M110" s="1390">
        <f>_xlfn.XLOOKUP($A110,TB.PRO!$A:$A,TB.PRO!I:I,0,0,1)</f>
        <v>0</v>
      </c>
      <c r="N110" s="1390">
        <f>_xlfn.XLOOKUP($A110,TB.PRO!$A:$A,TB.PRO!J:J,0,0,1)</f>
        <v>0</v>
      </c>
      <c r="O110" s="1390">
        <f>-SUMIF('[2]Sum - Fiscal'!$P:$P,$A110,'[2]Sum - Fiscal'!$F:$F)</f>
        <v>5320000</v>
      </c>
      <c r="P110" s="1581">
        <f>(-(1/12)*O110)</f>
        <v>-443333.33333333331</v>
      </c>
      <c r="Q110" s="1390"/>
      <c r="R110" s="665">
        <f>ROUND(SUM(M110:Q110),0)</f>
        <v>4876667</v>
      </c>
      <c r="S110" s="1390">
        <f>_xlfn.XLOOKUP($A110,TB.PRO!$A:$A,TB.PRO!L:L,0,0,1)</f>
        <v>0</v>
      </c>
      <c r="T110" s="1390">
        <f>_xlfn.XLOOKUP($A110,TB.PRO!$A:$A,TB.PRO!M:M,0,0,1)</f>
        <v>0</v>
      </c>
      <c r="U110" s="1390">
        <f>-SUMIF('[2]Sum - Fiscal'!$P:$P,$A110,'[2]Sum - Fiscal'!$G:$G)</f>
        <v>23800000</v>
      </c>
      <c r="V110" s="1581">
        <f>(-(1/12)*U110)-P110</f>
        <v>-1540000</v>
      </c>
      <c r="W110" s="1390"/>
      <c r="X110" s="665">
        <f>ROUND(SUM(S110:W110),0)</f>
        <v>22260000</v>
      </c>
      <c r="Y110" s="1390">
        <f>_xlfn.XLOOKUP($A110,TB.PRO!$A:$A,TB.PRO!O:O,0,0,1)</f>
        <v>0</v>
      </c>
      <c r="Z110" s="1390">
        <f>_xlfn.XLOOKUP($A110,TB.PRO!$A:$A,TB.PRO!P:P,0,0,1)</f>
        <v>0</v>
      </c>
      <c r="AA110" s="1390">
        <f>-SUMIF('[2]Sum - Fiscal'!$P:$P,$A110,'[2]Sum - Fiscal'!$H:$H)</f>
        <v>56000000</v>
      </c>
      <c r="AB110" s="1581">
        <f>(-(1/12)*AA110)-V110</f>
        <v>-3126666.666666666</v>
      </c>
      <c r="AC110" s="1390"/>
      <c r="AD110" s="219">
        <f>ROUND(SUM(Y110:AC110),0)</f>
        <v>52873333</v>
      </c>
      <c r="AE110" s="1390">
        <f>_xlfn.XLOOKUP($A110,TB.PRO!$A:$A,TB.PRO!R:R,0,0,1)</f>
        <v>0</v>
      </c>
      <c r="AF110" s="1390">
        <f>_xlfn.XLOOKUP($A110,TB.PRO!$A:$A,TB.PRO!S:S,0,0,1)</f>
        <v>0</v>
      </c>
      <c r="AG110" s="1390">
        <f>-SUMIF('[2]Sum - Fiscal'!$P:$P,$A110,'[2]Sum - Fiscal'!$I:$I)</f>
        <v>98000000</v>
      </c>
      <c r="AH110" s="1581">
        <f>-(1/12)*AG110</f>
        <v>-8166666.666666666</v>
      </c>
      <c r="AI110" s="1581">
        <f>-AB110</f>
        <v>3126666.666666666</v>
      </c>
      <c r="AJ110" s="219">
        <f>ROUND(SUM(AE110:AI110),0)</f>
        <v>92960000</v>
      </c>
      <c r="AK110" s="178" t="str">
        <f>_xlfn.XLOOKUP($A110,COA!$B:$B,COA!$C:$C,0,0,1)</f>
        <v>Cost of goods sold</v>
      </c>
      <c r="AL110" s="178" t="str">
        <f>_xlfn.XLOOKUP($A110,COA!$B:$B,COA!$D:$D,0,0,1)</f>
        <v>Cost of goods sold</v>
      </c>
      <c r="AM110" s="178" t="str">
        <f>_xlfn.XLOOKUP($A110,COA!$B:$B,COA!$E:$E,0,0,1)</f>
        <v>Accumulated deficit</v>
      </c>
      <c r="AO110" s="85" t="str">
        <f>_xlfn.XLOOKUP(AM110,FS.1!A:A,AM:AM,0,0,1)</f>
        <v>Due to related parties</v>
      </c>
      <c r="AP110" s="87"/>
      <c r="AQ110" s="87"/>
      <c r="AR110" s="87"/>
      <c r="AS110" s="87"/>
      <c r="AT110" s="85"/>
      <c r="AU110" s="85"/>
      <c r="AV110" s="85"/>
      <c r="AW110" s="85"/>
      <c r="AX110" s="85"/>
      <c r="AY110" s="85"/>
      <c r="AZ110" s="85"/>
      <c r="BA110" s="85"/>
      <c r="BB110" s="85"/>
      <c r="BC110" s="85"/>
      <c r="BD110" s="85"/>
      <c r="BE110" s="85"/>
      <c r="BF110" s="85"/>
      <c r="BG110" s="85"/>
    </row>
    <row r="111" spans="1:59" hidden="1" x14ac:dyDescent="0.25">
      <c r="A111" s="1389" t="str">
        <f>COA!B107</f>
        <v>5510 Cost of Goods Sold:Parts and components  - COS</v>
      </c>
      <c r="B111" s="1390">
        <f>_xlfn.XLOOKUP(A111,'TB.1 - F25'!A:A,'TB.1 - F25'!D:D,0,0,1)</f>
        <v>0</v>
      </c>
      <c r="C111" s="1390">
        <f>_xlfn.XLOOKUP(A111,'TB.1 - F25'!A:A,'TB.1 - F25'!H:H,0,0,1)</f>
        <v>4655.68</v>
      </c>
      <c r="D111" s="1390">
        <f>_xlfn.XLOOKUP(A111,'AJE.1 - F25'!A:A,'AJE.1 - F25'!F:F,0,0,1)</f>
        <v>0</v>
      </c>
      <c r="E111" s="1390"/>
      <c r="F111" s="219">
        <f>ROUND(SUM(B111:E111),0)</f>
        <v>4656</v>
      </c>
      <c r="G111" s="1390">
        <f>_xlfn.XLOOKUP($A111,TB.PRO!$A:$A,TB.PRO!F:F,0,0,1)</f>
        <v>0</v>
      </c>
      <c r="H111" s="1390">
        <f>_xlfn.XLOOKUP($A111,TB.PRO!$A:$A,TB.PRO!G:G,0,0,1)</f>
        <v>0</v>
      </c>
      <c r="I111" s="1390"/>
      <c r="J111" s="1390"/>
      <c r="K111" s="1390"/>
      <c r="L111" s="665">
        <f>ROUND(SUM(G111:K111),0)</f>
        <v>0</v>
      </c>
      <c r="M111" s="1390">
        <f>_xlfn.XLOOKUP($A111,TB.PRO!$A:$A,TB.PRO!I:I,0,0,1)</f>
        <v>0</v>
      </c>
      <c r="N111" s="1390">
        <f>_xlfn.XLOOKUP($A111,TB.PRO!$A:$A,TB.PRO!J:J,0,0,1)</f>
        <v>0</v>
      </c>
      <c r="O111" s="1390">
        <f>SUMIF('[2]Sum - Fiscal'!$P:$P,$A111,'[2]Sum - Fiscal'!$F:$F)</f>
        <v>0</v>
      </c>
      <c r="P111" s="1390"/>
      <c r="Q111" s="1390"/>
      <c r="R111" s="665">
        <f>ROUND(SUM(M111:Q111),0)</f>
        <v>0</v>
      </c>
      <c r="S111" s="1390">
        <f>_xlfn.XLOOKUP($A111,TB.PRO!$A:$A,TB.PRO!L:L,0,0,1)</f>
        <v>0</v>
      </c>
      <c r="T111" s="1390">
        <f>_xlfn.XLOOKUP($A111,TB.PRO!$A:$A,TB.PRO!M:M,0,0,1)</f>
        <v>0</v>
      </c>
      <c r="U111" s="1390">
        <f>SUMIF('[2]Sum - Fiscal'!$P:$P,$A111,'[2]Sum - Fiscal'!$G:$G)</f>
        <v>0</v>
      </c>
      <c r="V111" s="1390"/>
      <c r="W111" s="1390"/>
      <c r="X111" s="665">
        <f>ROUND(SUM(S111:W111),0)</f>
        <v>0</v>
      </c>
      <c r="Y111" s="1390">
        <f>_xlfn.XLOOKUP($A111,TB.PRO!$A:$A,TB.PRO!O:O,0,0,1)</f>
        <v>0</v>
      </c>
      <c r="Z111" s="1390">
        <f>_xlfn.XLOOKUP($A111,TB.PRO!$A:$A,TB.PRO!P:P,0,0,1)</f>
        <v>0</v>
      </c>
      <c r="AA111" s="1390">
        <f>-SUMIF('[2]Sum - Fiscal'!$P:$P,$A111,'[2]Sum - Fiscal'!$H:$H)</f>
        <v>0</v>
      </c>
      <c r="AB111" s="1390"/>
      <c r="AC111" s="1390"/>
      <c r="AD111" s="219">
        <f>ROUND(SUM(Y111:AC111),0)</f>
        <v>0</v>
      </c>
      <c r="AE111" s="1390">
        <f>_xlfn.XLOOKUP($A111,TB.PRO!$A:$A,TB.PRO!R:R,0,0,1)</f>
        <v>0</v>
      </c>
      <c r="AF111" s="1390">
        <f>_xlfn.XLOOKUP($A111,TB.PRO!$A:$A,TB.PRO!S:S,0,0,1)</f>
        <v>0</v>
      </c>
      <c r="AG111" s="1390">
        <f>-SUMIF('[2]Sum - Fiscal'!$P:$P,$A111,'[2]Sum - Fiscal'!$I:$I)</f>
        <v>0</v>
      </c>
      <c r="AH111" s="1390"/>
      <c r="AI111" s="1390"/>
      <c r="AJ111" s="219">
        <f>ROUND(SUM(AE111:AI111),0)</f>
        <v>0</v>
      </c>
      <c r="AK111" s="178" t="str">
        <f>_xlfn.XLOOKUP($A111,COA!$B:$B,COA!$C:$C,0,0,1)</f>
        <v>Cost of goods sold</v>
      </c>
      <c r="AL111" s="178" t="str">
        <f>_xlfn.XLOOKUP($A111,COA!$B:$B,COA!$D:$D,0,0,1)</f>
        <v>Cost of goods sold</v>
      </c>
      <c r="AM111" s="178" t="str">
        <f>_xlfn.XLOOKUP($A111,COA!$B:$B,COA!$E:$E,0,0,1)</f>
        <v>Accumulated deficit</v>
      </c>
      <c r="AO111" s="85" t="str">
        <f>AM111</f>
        <v>Accumulated deficit</v>
      </c>
      <c r="AP111" s="87"/>
      <c r="AQ111" s="87"/>
      <c r="AR111" s="87"/>
      <c r="AS111" s="87"/>
      <c r="AT111" s="85"/>
      <c r="AU111" s="85"/>
      <c r="AV111" s="85"/>
      <c r="AW111" s="85"/>
      <c r="AX111" s="85"/>
      <c r="AY111" s="85"/>
      <c r="AZ111" s="85"/>
      <c r="BA111" s="85"/>
      <c r="BB111" s="85"/>
      <c r="BC111" s="85"/>
      <c r="BD111" s="85"/>
      <c r="BE111" s="85"/>
      <c r="BF111" s="85"/>
      <c r="BG111" s="85"/>
    </row>
    <row r="112" spans="1:59" hidden="1" x14ac:dyDescent="0.25">
      <c r="A112" s="1389" t="str">
        <f>COA!B108</f>
        <v>5515 Cost of Goods Sold:Engineering  - COS</v>
      </c>
      <c r="B112" s="1390">
        <f>_xlfn.XLOOKUP(A112,'TB.1 - F25'!A:A,'TB.1 - F25'!D:D,0,0,1)</f>
        <v>0</v>
      </c>
      <c r="C112" s="1390">
        <f>_xlfn.XLOOKUP(A112,'TB.1 - F25'!A:A,'TB.1 - F25'!H:H,0,0,1)</f>
        <v>0</v>
      </c>
      <c r="D112" s="1390">
        <f>_xlfn.XLOOKUP(A112,'AJE.1 - F25'!A:A,'AJE.1 - F25'!F:F,0,0,1)</f>
        <v>0</v>
      </c>
      <c r="E112" s="1390"/>
      <c r="F112" s="219">
        <f>ROUND(SUM(B112:E112),0)</f>
        <v>0</v>
      </c>
      <c r="G112" s="1390">
        <f>_xlfn.XLOOKUP($A112,TB.PRO!$A:$A,TB.PRO!F:F,0,0,1)</f>
        <v>0</v>
      </c>
      <c r="H112" s="1390">
        <f>_xlfn.XLOOKUP($A112,TB.PRO!$A:$A,TB.PRO!G:G,0,0,1)</f>
        <v>0</v>
      </c>
      <c r="I112" s="1390"/>
      <c r="J112" s="1390"/>
      <c r="K112" s="1390"/>
      <c r="L112" s="665">
        <f>ROUND(SUM(G112:K112),0)</f>
        <v>0</v>
      </c>
      <c r="M112" s="1390">
        <f>_xlfn.XLOOKUP($A112,TB.PRO!$A:$A,TB.PRO!I:I,0,0,1)</f>
        <v>0</v>
      </c>
      <c r="N112" s="1390">
        <f>_xlfn.XLOOKUP($A112,TB.PRO!$A:$A,TB.PRO!J:J,0,0,1)</f>
        <v>0</v>
      </c>
      <c r="O112" s="1390">
        <f>SUMIF('[2]Sum - Fiscal'!$P:$P,$A112,'[2]Sum - Fiscal'!$F:$F)</f>
        <v>0</v>
      </c>
      <c r="P112" s="1390"/>
      <c r="Q112" s="1390"/>
      <c r="R112" s="665">
        <f>ROUND(SUM(M112:Q112),0)</f>
        <v>0</v>
      </c>
      <c r="S112" s="1390">
        <f>_xlfn.XLOOKUP($A112,TB.PRO!$A:$A,TB.PRO!L:L,0,0,1)</f>
        <v>0</v>
      </c>
      <c r="T112" s="1390">
        <f>_xlfn.XLOOKUP($A112,TB.PRO!$A:$A,TB.PRO!M:M,0,0,1)</f>
        <v>0</v>
      </c>
      <c r="U112" s="1390">
        <f>SUMIF('[2]Sum - Fiscal'!$P:$P,$A112,'[2]Sum - Fiscal'!$G:$G)</f>
        <v>0</v>
      </c>
      <c r="V112" s="1390"/>
      <c r="W112" s="1390"/>
      <c r="X112" s="665">
        <f>ROUND(SUM(S112:W112),0)</f>
        <v>0</v>
      </c>
      <c r="Y112" s="1390">
        <f>_xlfn.XLOOKUP($A112,TB.PRO!$A:$A,TB.PRO!O:O,0,0,1)</f>
        <v>0</v>
      </c>
      <c r="Z112" s="1390">
        <f>_xlfn.XLOOKUP($A112,TB.PRO!$A:$A,TB.PRO!P:P,0,0,1)</f>
        <v>0</v>
      </c>
      <c r="AA112" s="1390">
        <f>-SUMIF('[2]Sum - Fiscal'!$P:$P,$A112,'[2]Sum - Fiscal'!$H:$H)</f>
        <v>0</v>
      </c>
      <c r="AB112" s="1390"/>
      <c r="AC112" s="1390"/>
      <c r="AD112" s="219">
        <f>ROUND(SUM(Y112:AC112),0)</f>
        <v>0</v>
      </c>
      <c r="AE112" s="1390">
        <f>_xlfn.XLOOKUP($A112,TB.PRO!$A:$A,TB.PRO!R:R,0,0,1)</f>
        <v>0</v>
      </c>
      <c r="AF112" s="1390">
        <f>_xlfn.XLOOKUP($A112,TB.PRO!$A:$A,TB.PRO!S:S,0,0,1)</f>
        <v>0</v>
      </c>
      <c r="AG112" s="1390">
        <f>-SUMIF('[2]Sum - Fiscal'!$P:$P,$A112,'[2]Sum - Fiscal'!$I:$I)</f>
        <v>0</v>
      </c>
      <c r="AH112" s="1390"/>
      <c r="AI112" s="1390"/>
      <c r="AJ112" s="219">
        <f>ROUND(SUM(AE112:AI112),0)</f>
        <v>0</v>
      </c>
      <c r="AK112" s="178" t="str">
        <f>_xlfn.XLOOKUP($A112,COA!$B:$B,COA!$C:$C,0,0,1)</f>
        <v>Cost of goods sold</v>
      </c>
      <c r="AL112" s="178" t="str">
        <f>_xlfn.XLOOKUP($A112,COA!$B:$B,COA!$D:$D,0,0,1)</f>
        <v>Cost of goods sold</v>
      </c>
      <c r="AM112" s="178" t="str">
        <f>_xlfn.XLOOKUP($A112,COA!$B:$B,COA!$E:$E,0,0,1)</f>
        <v>Accumulated deficit</v>
      </c>
      <c r="AO112" s="85" t="str">
        <f>_xlfn.XLOOKUP(AM112,FS.1!A:A,AM:AM,0,0,1)</f>
        <v>Due to related parties</v>
      </c>
      <c r="AP112" s="87"/>
      <c r="AQ112" s="87"/>
      <c r="AR112" s="87"/>
      <c r="AS112" s="87"/>
      <c r="AT112" s="85"/>
      <c r="AU112" s="85"/>
      <c r="AV112" s="85"/>
      <c r="AW112" s="85"/>
      <c r="AX112" s="85"/>
      <c r="AY112" s="85"/>
      <c r="AZ112" s="85"/>
      <c r="BA112" s="85"/>
      <c r="BB112" s="85"/>
      <c r="BC112" s="85"/>
      <c r="BD112" s="85"/>
      <c r="BE112" s="85"/>
      <c r="BF112" s="85"/>
      <c r="BG112" s="85"/>
    </row>
    <row r="113" spans="1:59" hidden="1" x14ac:dyDescent="0.25">
      <c r="A113" s="1389" t="str">
        <f>COA!B109</f>
        <v>5520 Cost of Goods Sold:Subcontracting  - COS</v>
      </c>
      <c r="B113" s="1390">
        <f>_xlfn.XLOOKUP(A113,'TB.1 - F25'!A:A,'TB.1 - F25'!D:D,0,0,1)</f>
        <v>0</v>
      </c>
      <c r="C113" s="1390">
        <f>_xlfn.XLOOKUP(A113,'TB.1 - F25'!A:A,'TB.1 - F25'!H:H,0,0,1)</f>
        <v>887.29</v>
      </c>
      <c r="D113" s="1390">
        <f>_xlfn.XLOOKUP(A113,'AJE.1 - F25'!A:A,'AJE.1 - F25'!F:F,0,0,1)</f>
        <v>0</v>
      </c>
      <c r="E113" s="1390"/>
      <c r="F113" s="219">
        <f>ROUND(SUM(B113:E113),0)</f>
        <v>887</v>
      </c>
      <c r="G113" s="1390">
        <f>_xlfn.XLOOKUP($A113,TB.PRO!$A:$A,TB.PRO!F:F,0,0,1)</f>
        <v>0</v>
      </c>
      <c r="H113" s="1390">
        <f>_xlfn.XLOOKUP($A113,TB.PRO!$A:$A,TB.PRO!G:G,0,0,1)</f>
        <v>0</v>
      </c>
      <c r="I113" s="1390"/>
      <c r="J113" s="1390"/>
      <c r="K113" s="1390"/>
      <c r="L113" s="665">
        <f>ROUND(SUM(G113:K113),0)</f>
        <v>0</v>
      </c>
      <c r="M113" s="1390">
        <f>_xlfn.XLOOKUP($A113,TB.PRO!$A:$A,TB.PRO!I:I,0,0,1)</f>
        <v>0</v>
      </c>
      <c r="N113" s="1390">
        <f>_xlfn.XLOOKUP($A113,TB.PRO!$A:$A,TB.PRO!J:J,0,0,1)</f>
        <v>0</v>
      </c>
      <c r="O113" s="1390">
        <f>SUMIF('[2]Sum - Fiscal'!$P:$P,$A113,'[2]Sum - Fiscal'!$F:$F)</f>
        <v>0</v>
      </c>
      <c r="P113" s="1390"/>
      <c r="Q113" s="1390"/>
      <c r="R113" s="665">
        <f>ROUND(SUM(M113:Q113),0)</f>
        <v>0</v>
      </c>
      <c r="S113" s="1390">
        <f>_xlfn.XLOOKUP($A113,TB.PRO!$A:$A,TB.PRO!L:L,0,0,1)</f>
        <v>0</v>
      </c>
      <c r="T113" s="1390">
        <f>_xlfn.XLOOKUP($A113,TB.PRO!$A:$A,TB.PRO!M:M,0,0,1)</f>
        <v>0</v>
      </c>
      <c r="U113" s="1390">
        <f>SUMIF('[2]Sum - Fiscal'!$P:$P,$A113,'[2]Sum - Fiscal'!$G:$G)</f>
        <v>0</v>
      </c>
      <c r="V113" s="1390"/>
      <c r="W113" s="1390"/>
      <c r="X113" s="665">
        <f>ROUND(SUM(S113:W113),0)</f>
        <v>0</v>
      </c>
      <c r="Y113" s="1390">
        <f>_xlfn.XLOOKUP($A113,TB.PRO!$A:$A,TB.PRO!O:O,0,0,1)</f>
        <v>0</v>
      </c>
      <c r="Z113" s="1390">
        <f>_xlfn.XLOOKUP($A113,TB.PRO!$A:$A,TB.PRO!P:P,0,0,1)</f>
        <v>0</v>
      </c>
      <c r="AA113" s="1390">
        <f>-SUMIF('[2]Sum - Fiscal'!$P:$P,$A113,'[2]Sum - Fiscal'!$H:$H)</f>
        <v>0</v>
      </c>
      <c r="AB113" s="1390"/>
      <c r="AC113" s="1390"/>
      <c r="AD113" s="219">
        <f>ROUND(SUM(Y113:AC113),0)</f>
        <v>0</v>
      </c>
      <c r="AE113" s="1390">
        <f>_xlfn.XLOOKUP($A113,TB.PRO!$A:$A,TB.PRO!R:R,0,0,1)</f>
        <v>0</v>
      </c>
      <c r="AF113" s="1390">
        <f>_xlfn.XLOOKUP($A113,TB.PRO!$A:$A,TB.PRO!S:S,0,0,1)</f>
        <v>0</v>
      </c>
      <c r="AG113" s="1390">
        <f>-SUMIF('[2]Sum - Fiscal'!$P:$P,$A113,'[2]Sum - Fiscal'!$I:$I)</f>
        <v>0</v>
      </c>
      <c r="AH113" s="1390"/>
      <c r="AI113" s="1390"/>
      <c r="AJ113" s="219">
        <f>ROUND(SUM(AE113:AI113),0)</f>
        <v>0</v>
      </c>
      <c r="AK113" s="178" t="str">
        <f>_xlfn.XLOOKUP($A113,COA!$B:$B,COA!$C:$C,0,0,1)</f>
        <v>Cost of goods sold</v>
      </c>
      <c r="AL113" s="178" t="str">
        <f>_xlfn.XLOOKUP($A113,COA!$B:$B,COA!$D:$D,0,0,1)</f>
        <v>Cost of goods sold</v>
      </c>
      <c r="AM113" s="178" t="str">
        <f>_xlfn.XLOOKUP($A113,COA!$B:$B,COA!$E:$E,0,0,1)</f>
        <v>Accumulated deficit</v>
      </c>
      <c r="AO113" s="85" t="str">
        <f>AM113</f>
        <v>Accumulated deficit</v>
      </c>
      <c r="AP113" s="87"/>
      <c r="AQ113" s="87"/>
      <c r="AR113" s="87"/>
      <c r="AS113" s="87"/>
      <c r="AT113" s="85"/>
      <c r="AU113" s="85"/>
      <c r="AV113" s="85"/>
      <c r="AW113" s="85"/>
      <c r="AX113" s="85"/>
      <c r="AY113" s="85"/>
      <c r="AZ113" s="85"/>
      <c r="BA113" s="85"/>
      <c r="BB113" s="85"/>
      <c r="BC113" s="85"/>
      <c r="BD113" s="85"/>
      <c r="BE113" s="85"/>
      <c r="BF113" s="85"/>
      <c r="BG113" s="85"/>
    </row>
    <row r="114" spans="1:59" hidden="1" x14ac:dyDescent="0.25">
      <c r="A114" s="1389" t="str">
        <f>COA!B110</f>
        <v>5525 Cost of Goods Sold:Shipping  - COS</v>
      </c>
      <c r="B114" s="1390">
        <f>_xlfn.XLOOKUP(A114,'TB.1 - F25'!A:A,'TB.1 - F25'!D:D,0,0,1)</f>
        <v>0</v>
      </c>
      <c r="C114" s="1390">
        <f>_xlfn.XLOOKUP(A114,'TB.1 - F25'!A:A,'TB.1 - F25'!H:H,0,0,1)</f>
        <v>0</v>
      </c>
      <c r="D114" s="1390">
        <f>_xlfn.XLOOKUP(A114,'AJE.1 - F25'!A:A,'AJE.1 - F25'!F:F,0,0,1)</f>
        <v>0</v>
      </c>
      <c r="E114" s="1390"/>
      <c r="F114" s="219">
        <f>ROUND(SUM(B114:E114),0)</f>
        <v>0</v>
      </c>
      <c r="G114" s="1390">
        <f>_xlfn.XLOOKUP($A114,TB.PRO!$A:$A,TB.PRO!F:F,0,0,1)</f>
        <v>0</v>
      </c>
      <c r="H114" s="1390">
        <f>_xlfn.XLOOKUP($A114,TB.PRO!$A:$A,TB.PRO!G:G,0,0,1)</f>
        <v>0</v>
      </c>
      <c r="I114" s="1390"/>
      <c r="J114" s="1390"/>
      <c r="K114" s="1390"/>
      <c r="L114" s="665">
        <f>ROUND(SUM(G114:K114),0)</f>
        <v>0</v>
      </c>
      <c r="M114" s="1390">
        <f>_xlfn.XLOOKUP($A114,TB.PRO!$A:$A,TB.PRO!I:I,0,0,1)</f>
        <v>0</v>
      </c>
      <c r="N114" s="1390">
        <f>_xlfn.XLOOKUP($A114,TB.PRO!$A:$A,TB.PRO!J:J,0,0,1)</f>
        <v>0</v>
      </c>
      <c r="O114" s="1390">
        <f>SUMIF('[2]Sum - Fiscal'!$P:$P,$A114,'[2]Sum - Fiscal'!$F:$F)</f>
        <v>0</v>
      </c>
      <c r="P114" s="1390"/>
      <c r="Q114" s="1390"/>
      <c r="R114" s="665">
        <f>ROUND(SUM(M114:Q114),0)</f>
        <v>0</v>
      </c>
      <c r="S114" s="1390">
        <f>_xlfn.XLOOKUP($A114,TB.PRO!$A:$A,TB.PRO!L:L,0,0,1)</f>
        <v>0</v>
      </c>
      <c r="T114" s="1390">
        <f>_xlfn.XLOOKUP($A114,TB.PRO!$A:$A,TB.PRO!M:M,0,0,1)</f>
        <v>0</v>
      </c>
      <c r="U114" s="1390">
        <f>SUMIF('[2]Sum - Fiscal'!$P:$P,$A114,'[2]Sum - Fiscal'!$G:$G)</f>
        <v>0</v>
      </c>
      <c r="V114" s="1390"/>
      <c r="W114" s="1390"/>
      <c r="X114" s="665">
        <f>ROUND(SUM(S114:W114),0)</f>
        <v>0</v>
      </c>
      <c r="Y114" s="1390">
        <f>_xlfn.XLOOKUP($A114,TB.PRO!$A:$A,TB.PRO!O:O,0,0,1)</f>
        <v>0</v>
      </c>
      <c r="Z114" s="1390">
        <f>_xlfn.XLOOKUP($A114,TB.PRO!$A:$A,TB.PRO!P:P,0,0,1)</f>
        <v>0</v>
      </c>
      <c r="AA114" s="1390">
        <f>-SUMIF('[2]Sum - Fiscal'!$P:$P,$A114,'[2]Sum - Fiscal'!$H:$H)</f>
        <v>0</v>
      </c>
      <c r="AB114" s="1390"/>
      <c r="AC114" s="1390"/>
      <c r="AD114" s="219">
        <f>ROUND(SUM(Y114:AC114),0)</f>
        <v>0</v>
      </c>
      <c r="AE114" s="1390">
        <f>_xlfn.XLOOKUP($A114,TB.PRO!$A:$A,TB.PRO!R:R,0,0,1)</f>
        <v>0</v>
      </c>
      <c r="AF114" s="1390">
        <f>_xlfn.XLOOKUP($A114,TB.PRO!$A:$A,TB.PRO!S:S,0,0,1)</f>
        <v>0</v>
      </c>
      <c r="AG114" s="1390">
        <f>-SUMIF('[2]Sum - Fiscal'!$P:$P,$A114,'[2]Sum - Fiscal'!$I:$I)</f>
        <v>0</v>
      </c>
      <c r="AH114" s="1390"/>
      <c r="AI114" s="1390"/>
      <c r="AJ114" s="219">
        <f>ROUND(SUM(AE114:AI114),0)</f>
        <v>0</v>
      </c>
      <c r="AK114" s="178" t="str">
        <f>_xlfn.XLOOKUP($A114,COA!$B:$B,COA!$C:$C,0,0,1)</f>
        <v>Cost of goods sold</v>
      </c>
      <c r="AL114" s="178" t="str">
        <f>_xlfn.XLOOKUP($A114,COA!$B:$B,COA!$D:$D,0,0,1)</f>
        <v>Cost of goods sold</v>
      </c>
      <c r="AM114" s="178" t="str">
        <f>_xlfn.XLOOKUP($A114,COA!$B:$B,COA!$E:$E,0,0,1)</f>
        <v>Accumulated deficit</v>
      </c>
      <c r="AO114" s="85" t="str">
        <f>_xlfn.XLOOKUP(AM114,FS.1!A:A,AM:AM,0,0,1)</f>
        <v>Due to related parties</v>
      </c>
      <c r="AP114" s="87"/>
      <c r="AQ114" s="87"/>
      <c r="AR114" s="87"/>
      <c r="AS114" s="87"/>
      <c r="AT114" s="85"/>
      <c r="AU114" s="85"/>
      <c r="AV114" s="85"/>
      <c r="AW114" s="85"/>
      <c r="AX114" s="85"/>
      <c r="AY114" s="85"/>
      <c r="AZ114" s="85"/>
      <c r="BA114" s="85"/>
      <c r="BB114" s="85"/>
      <c r="BC114" s="85"/>
      <c r="BD114" s="85"/>
      <c r="BE114" s="85"/>
      <c r="BF114" s="85"/>
      <c r="BG114" s="85"/>
    </row>
    <row r="115" spans="1:59" hidden="1" x14ac:dyDescent="0.25">
      <c r="A115" s="1389" t="str">
        <f>COA!B111</f>
        <v>5530 Cost of Goods Sold:Disposal/Landfill  - COS</v>
      </c>
      <c r="B115" s="1390">
        <f>_xlfn.XLOOKUP(A115,'TB.1 - F25'!A:A,'TB.1 - F25'!D:D,0,0,1)</f>
        <v>0</v>
      </c>
      <c r="C115" s="1390">
        <f>_xlfn.XLOOKUP(A115,'TB.1 - F25'!A:A,'TB.1 - F25'!H:H,0,0,1)</f>
        <v>0</v>
      </c>
      <c r="D115" s="1390">
        <f>_xlfn.XLOOKUP(A115,'AJE.1 - F25'!A:A,'AJE.1 - F25'!F:F,0,0,1)</f>
        <v>0</v>
      </c>
      <c r="E115" s="1390"/>
      <c r="F115" s="219">
        <f>ROUND(SUM(B115:E115),0)</f>
        <v>0</v>
      </c>
      <c r="G115" s="1390">
        <f>_xlfn.XLOOKUP($A115,TB.PRO!$A:$A,TB.PRO!F:F,0,0,1)</f>
        <v>0</v>
      </c>
      <c r="H115" s="1390">
        <f>_xlfn.XLOOKUP($A115,TB.PRO!$A:$A,TB.PRO!G:G,0,0,1)</f>
        <v>0</v>
      </c>
      <c r="I115" s="1390"/>
      <c r="J115" s="1390"/>
      <c r="K115" s="1390"/>
      <c r="L115" s="665">
        <f>ROUND(SUM(G115:K115),0)</f>
        <v>0</v>
      </c>
      <c r="M115" s="1390">
        <f>_xlfn.XLOOKUP($A115,TB.PRO!$A:$A,TB.PRO!I:I,0,0,1)</f>
        <v>0</v>
      </c>
      <c r="N115" s="1390">
        <f>_xlfn.XLOOKUP($A115,TB.PRO!$A:$A,TB.PRO!J:J,0,0,1)</f>
        <v>0</v>
      </c>
      <c r="O115" s="1390">
        <f>SUMIF('[2]Sum - Fiscal'!$P:$P,$A115,'[2]Sum - Fiscal'!$F:$F)</f>
        <v>0</v>
      </c>
      <c r="P115" s="1390"/>
      <c r="Q115" s="1390"/>
      <c r="R115" s="665">
        <f>ROUND(SUM(M115:Q115),0)</f>
        <v>0</v>
      </c>
      <c r="S115" s="1390">
        <f>_xlfn.XLOOKUP($A115,TB.PRO!$A:$A,TB.PRO!L:L,0,0,1)</f>
        <v>0</v>
      </c>
      <c r="T115" s="1390">
        <f>_xlfn.XLOOKUP($A115,TB.PRO!$A:$A,TB.PRO!M:M,0,0,1)</f>
        <v>0</v>
      </c>
      <c r="U115" s="1390">
        <f>SUMIF('[2]Sum - Fiscal'!$P:$P,$A115,'[2]Sum - Fiscal'!$G:$G)</f>
        <v>0</v>
      </c>
      <c r="V115" s="1390"/>
      <c r="W115" s="1390"/>
      <c r="X115" s="665">
        <f>ROUND(SUM(S115:W115),0)</f>
        <v>0</v>
      </c>
      <c r="Y115" s="1390">
        <f>_xlfn.XLOOKUP($A115,TB.PRO!$A:$A,TB.PRO!O:O,0,0,1)</f>
        <v>0</v>
      </c>
      <c r="Z115" s="1390">
        <f>_xlfn.XLOOKUP($A115,TB.PRO!$A:$A,TB.PRO!P:P,0,0,1)</f>
        <v>0</v>
      </c>
      <c r="AA115" s="1390">
        <f>-SUMIF('[2]Sum - Fiscal'!$P:$P,$A115,'[2]Sum - Fiscal'!$H:$H)</f>
        <v>0</v>
      </c>
      <c r="AB115" s="1390"/>
      <c r="AC115" s="1390"/>
      <c r="AD115" s="219">
        <f>ROUND(SUM(Y115:AC115),0)</f>
        <v>0</v>
      </c>
      <c r="AE115" s="1390">
        <f>_xlfn.XLOOKUP($A115,TB.PRO!$A:$A,TB.PRO!R:R,0,0,1)</f>
        <v>0</v>
      </c>
      <c r="AF115" s="1390">
        <f>_xlfn.XLOOKUP($A115,TB.PRO!$A:$A,TB.PRO!S:S,0,0,1)</f>
        <v>0</v>
      </c>
      <c r="AG115" s="1390">
        <f>-SUMIF('[2]Sum - Fiscal'!$P:$P,$A115,'[2]Sum - Fiscal'!$I:$I)</f>
        <v>0</v>
      </c>
      <c r="AH115" s="1390"/>
      <c r="AI115" s="1390"/>
      <c r="AJ115" s="219">
        <f>ROUND(SUM(AE115:AI115),0)</f>
        <v>0</v>
      </c>
      <c r="AK115" s="178" t="str">
        <f>_xlfn.XLOOKUP($A115,COA!$B:$B,COA!$C:$C,0,0,1)</f>
        <v>Cost of goods sold</v>
      </c>
      <c r="AL115" s="178" t="str">
        <f>_xlfn.XLOOKUP($A115,COA!$B:$B,COA!$D:$D,0,0,1)</f>
        <v>Cost of goods sold</v>
      </c>
      <c r="AM115" s="178" t="str">
        <f>_xlfn.XLOOKUP($A115,COA!$B:$B,COA!$E:$E,0,0,1)</f>
        <v>Accumulated deficit</v>
      </c>
      <c r="AO115" s="85" t="str">
        <f>_xlfn.XLOOKUP(AM115,FS.1!A:A,AM:AM,0,0,1)</f>
        <v>Due to related parties</v>
      </c>
      <c r="AP115" s="87"/>
      <c r="AQ115" s="87"/>
      <c r="AR115" s="87"/>
      <c r="AS115" s="87"/>
      <c r="AT115" s="85"/>
      <c r="AU115" s="85"/>
      <c r="AV115" s="85"/>
      <c r="AW115" s="85"/>
      <c r="AX115" s="85"/>
      <c r="AY115" s="85"/>
      <c r="AZ115" s="85"/>
      <c r="BA115" s="85"/>
      <c r="BB115" s="85"/>
      <c r="BC115" s="85"/>
      <c r="BD115" s="85"/>
      <c r="BE115" s="85"/>
      <c r="BF115" s="85"/>
      <c r="BG115" s="85"/>
    </row>
    <row r="116" spans="1:59" hidden="1" x14ac:dyDescent="0.25">
      <c r="A116" s="1389" t="str">
        <f>COA!B112</f>
        <v>5535 Cost of Goods Sold:Inventory Write Off  - COS</v>
      </c>
      <c r="B116" s="1390">
        <f>_xlfn.XLOOKUP(A116,'TB.1 - F25'!A:A,'TB.1 - F25'!D:D,0,0,1)</f>
        <v>0</v>
      </c>
      <c r="C116" s="1390">
        <f>_xlfn.XLOOKUP(A116,'TB.1 - F25'!A:A,'TB.1 - F25'!H:H,0,0,1)</f>
        <v>0</v>
      </c>
      <c r="D116" s="1390">
        <f>_xlfn.XLOOKUP(A116,'AJE.1 - F25'!A:A,'AJE.1 - F25'!F:F,0,0,1)</f>
        <v>0</v>
      </c>
      <c r="E116" s="1390"/>
      <c r="F116" s="219">
        <f>ROUND(SUM(B116:E116),0)</f>
        <v>0</v>
      </c>
      <c r="G116" s="1390">
        <f>_xlfn.XLOOKUP($A116,TB.PRO!$A:$A,TB.PRO!F:F,0,0,1)</f>
        <v>0</v>
      </c>
      <c r="H116" s="1390">
        <f>_xlfn.XLOOKUP($A116,TB.PRO!$A:$A,TB.PRO!G:G,0,0,1)</f>
        <v>0</v>
      </c>
      <c r="I116" s="1390"/>
      <c r="J116" s="1390"/>
      <c r="K116" s="1390"/>
      <c r="L116" s="665">
        <f>ROUND(SUM(G116:K116),0)</f>
        <v>0</v>
      </c>
      <c r="M116" s="1390">
        <f>_xlfn.XLOOKUP($A116,TB.PRO!$A:$A,TB.PRO!I:I,0,0,1)</f>
        <v>0</v>
      </c>
      <c r="N116" s="1390">
        <f>_xlfn.XLOOKUP($A116,TB.PRO!$A:$A,TB.PRO!J:J,0,0,1)</f>
        <v>0</v>
      </c>
      <c r="O116" s="1390">
        <f>SUMIF('[2]Sum - Fiscal'!$P:$P,$A116,'[2]Sum - Fiscal'!$F:$F)</f>
        <v>0</v>
      </c>
      <c r="P116" s="1390"/>
      <c r="Q116" s="1390"/>
      <c r="R116" s="665">
        <f>ROUND(SUM(M116:Q116),0)</f>
        <v>0</v>
      </c>
      <c r="S116" s="1390">
        <f>_xlfn.XLOOKUP($A116,TB.PRO!$A:$A,TB.PRO!L:L,0,0,1)</f>
        <v>0</v>
      </c>
      <c r="T116" s="1390">
        <f>_xlfn.XLOOKUP($A116,TB.PRO!$A:$A,TB.PRO!M:M,0,0,1)</f>
        <v>0</v>
      </c>
      <c r="U116" s="1390">
        <f>SUMIF('[2]Sum - Fiscal'!$P:$P,$A116,'[2]Sum - Fiscal'!$G:$G)</f>
        <v>0</v>
      </c>
      <c r="V116" s="1390"/>
      <c r="W116" s="1390"/>
      <c r="X116" s="665">
        <f>ROUND(SUM(S116:W116),0)</f>
        <v>0</v>
      </c>
      <c r="Y116" s="1390">
        <f>_xlfn.XLOOKUP($A116,TB.PRO!$A:$A,TB.PRO!O:O,0,0,1)</f>
        <v>0</v>
      </c>
      <c r="Z116" s="1390">
        <f>_xlfn.XLOOKUP($A116,TB.PRO!$A:$A,TB.PRO!P:P,0,0,1)</f>
        <v>0</v>
      </c>
      <c r="AA116" s="1390">
        <f>-SUMIF('[2]Sum - Fiscal'!$P:$P,$A116,'[2]Sum - Fiscal'!$H:$H)</f>
        <v>0</v>
      </c>
      <c r="AB116" s="1390"/>
      <c r="AC116" s="1390"/>
      <c r="AD116" s="219">
        <f>ROUND(SUM(Y116:AC116),0)</f>
        <v>0</v>
      </c>
      <c r="AE116" s="1390">
        <f>_xlfn.XLOOKUP($A116,TB.PRO!$A:$A,TB.PRO!R:R,0,0,1)</f>
        <v>0</v>
      </c>
      <c r="AF116" s="1390">
        <f>_xlfn.XLOOKUP($A116,TB.PRO!$A:$A,TB.PRO!S:S,0,0,1)</f>
        <v>0</v>
      </c>
      <c r="AG116" s="1390">
        <f>-SUMIF('[2]Sum - Fiscal'!$P:$P,$A116,'[2]Sum - Fiscal'!$I:$I)</f>
        <v>0</v>
      </c>
      <c r="AH116" s="1390"/>
      <c r="AI116" s="1390"/>
      <c r="AJ116" s="219">
        <f>ROUND(SUM(AE116:AI116),0)</f>
        <v>0</v>
      </c>
      <c r="AK116" s="178" t="str">
        <f>_xlfn.XLOOKUP($A116,COA!$B:$B,COA!$C:$C,0,0,1)</f>
        <v>Cost of goods sold</v>
      </c>
      <c r="AL116" s="178" t="str">
        <f>_xlfn.XLOOKUP($A116,COA!$B:$B,COA!$D:$D,0,0,1)</f>
        <v>Cost of goods sold</v>
      </c>
      <c r="AM116" s="178" t="str">
        <f>_xlfn.XLOOKUP($A116,COA!$B:$B,COA!$E:$E,0,0,1)</f>
        <v>Accumulated deficit</v>
      </c>
      <c r="AO116" s="85" t="str">
        <f>_xlfn.XLOOKUP(AM116,FS.1!A:A,AM:AM,0,0,1)</f>
        <v>Due to related parties</v>
      </c>
      <c r="AP116" s="87"/>
      <c r="AQ116" s="87"/>
      <c r="AR116" s="87"/>
      <c r="AS116" s="87"/>
      <c r="AT116" s="85"/>
      <c r="AU116" s="85"/>
      <c r="AV116" s="85"/>
      <c r="AW116" s="85"/>
      <c r="AX116" s="85"/>
      <c r="AY116" s="85"/>
      <c r="AZ116" s="85"/>
      <c r="BA116" s="85"/>
      <c r="BB116" s="85"/>
      <c r="BC116" s="85"/>
      <c r="BD116" s="85"/>
      <c r="BE116" s="85"/>
      <c r="BF116" s="85"/>
      <c r="BG116" s="85"/>
    </row>
    <row r="117" spans="1:59" hidden="1" x14ac:dyDescent="0.25">
      <c r="A117" s="1389" t="str">
        <f>COA!B113</f>
        <v>5540 Cost of Goods Sold:Equipment Fuel  - COS</v>
      </c>
      <c r="B117" s="1390">
        <f>_xlfn.XLOOKUP(A117,'TB.1 - F25'!A:A,'TB.1 - F25'!D:D,0,0,1)</f>
        <v>0</v>
      </c>
      <c r="C117" s="1390">
        <f>_xlfn.XLOOKUP(A117,'TB.1 - F25'!A:A,'TB.1 - F25'!H:H,0,0,1)</f>
        <v>0</v>
      </c>
      <c r="D117" s="1390">
        <f>_xlfn.XLOOKUP(A117,'AJE.1 - F25'!A:A,'AJE.1 - F25'!F:F,0,0,1)</f>
        <v>0</v>
      </c>
      <c r="E117" s="1390"/>
      <c r="F117" s="219">
        <f>ROUND(SUM(B117:E117),0)</f>
        <v>0</v>
      </c>
      <c r="G117" s="1390">
        <f>_xlfn.XLOOKUP($A117,TB.PRO!$A:$A,TB.PRO!F:F,0,0,1)</f>
        <v>0</v>
      </c>
      <c r="H117" s="1390">
        <f>_xlfn.XLOOKUP($A117,TB.PRO!$A:$A,TB.PRO!G:G,0,0,1)</f>
        <v>0</v>
      </c>
      <c r="I117" s="1390"/>
      <c r="J117" s="1390"/>
      <c r="K117" s="1390"/>
      <c r="L117" s="665">
        <f>ROUND(SUM(G117:K117),0)</f>
        <v>0</v>
      </c>
      <c r="M117" s="1390">
        <f>_xlfn.XLOOKUP($A117,TB.PRO!$A:$A,TB.PRO!I:I,0,0,1)</f>
        <v>0</v>
      </c>
      <c r="N117" s="1390">
        <f>_xlfn.XLOOKUP($A117,TB.PRO!$A:$A,TB.PRO!J:J,0,0,1)</f>
        <v>0</v>
      </c>
      <c r="O117" s="1390">
        <f>SUMIF('[2]Sum - Fiscal'!$P:$P,$A117,'[2]Sum - Fiscal'!$F:$F)</f>
        <v>0</v>
      </c>
      <c r="P117" s="1390"/>
      <c r="Q117" s="1390"/>
      <c r="R117" s="665">
        <f>ROUND(SUM(M117:Q117),0)</f>
        <v>0</v>
      </c>
      <c r="S117" s="1390">
        <f>_xlfn.XLOOKUP($A117,TB.PRO!$A:$A,TB.PRO!L:L,0,0,1)</f>
        <v>0</v>
      </c>
      <c r="T117" s="1390">
        <f>_xlfn.XLOOKUP($A117,TB.PRO!$A:$A,TB.PRO!M:M,0,0,1)</f>
        <v>0</v>
      </c>
      <c r="U117" s="1390">
        <f>SUMIF('[2]Sum - Fiscal'!$P:$P,$A117,'[2]Sum - Fiscal'!$G:$G)</f>
        <v>0</v>
      </c>
      <c r="V117" s="1390"/>
      <c r="W117" s="1390"/>
      <c r="X117" s="665">
        <f>ROUND(SUM(S117:W117),0)</f>
        <v>0</v>
      </c>
      <c r="Y117" s="1390">
        <f>_xlfn.XLOOKUP($A117,TB.PRO!$A:$A,TB.PRO!O:O,0,0,1)</f>
        <v>0</v>
      </c>
      <c r="Z117" s="1390">
        <f>_xlfn.XLOOKUP($A117,TB.PRO!$A:$A,TB.PRO!P:P,0,0,1)</f>
        <v>0</v>
      </c>
      <c r="AA117" s="1390">
        <f>-SUMIF('[2]Sum - Fiscal'!$P:$P,$A117,'[2]Sum - Fiscal'!$H:$H)</f>
        <v>0</v>
      </c>
      <c r="AB117" s="1390"/>
      <c r="AC117" s="1390"/>
      <c r="AD117" s="219">
        <f>ROUND(SUM(Y117:AC117),0)</f>
        <v>0</v>
      </c>
      <c r="AE117" s="1390">
        <f>_xlfn.XLOOKUP($A117,TB.PRO!$A:$A,TB.PRO!R:R,0,0,1)</f>
        <v>0</v>
      </c>
      <c r="AF117" s="1390">
        <f>_xlfn.XLOOKUP($A117,TB.PRO!$A:$A,TB.PRO!S:S,0,0,1)</f>
        <v>0</v>
      </c>
      <c r="AG117" s="1390">
        <f>-SUMIF('[2]Sum - Fiscal'!$P:$P,$A117,'[2]Sum - Fiscal'!$I:$I)</f>
        <v>0</v>
      </c>
      <c r="AH117" s="1390"/>
      <c r="AI117" s="1390"/>
      <c r="AJ117" s="219">
        <f>ROUND(SUM(AE117:AI117),0)</f>
        <v>0</v>
      </c>
      <c r="AK117" s="178" t="str">
        <f>_xlfn.XLOOKUP($A117,COA!$B:$B,COA!$C:$C,0,0,1)</f>
        <v>Cost of goods sold</v>
      </c>
      <c r="AL117" s="178" t="str">
        <f>_xlfn.XLOOKUP($A117,COA!$B:$B,COA!$D:$D,0,0,1)</f>
        <v>Cost of goods sold</v>
      </c>
      <c r="AM117" s="178" t="str">
        <f>_xlfn.XLOOKUP($A117,COA!$B:$B,COA!$E:$E,0,0,1)</f>
        <v>Accumulated deficit</v>
      </c>
      <c r="AO117" s="85" t="str">
        <f>_xlfn.XLOOKUP(AM117,FS.1!A:A,AM:AM,0,0,1)</f>
        <v>Due to related parties</v>
      </c>
      <c r="AP117" s="87"/>
      <c r="AQ117" s="87"/>
      <c r="AR117" s="87"/>
      <c r="AS117" s="87"/>
      <c r="AT117" s="85"/>
      <c r="AU117" s="85"/>
      <c r="AV117" s="85"/>
      <c r="AW117" s="85"/>
      <c r="AX117" s="85"/>
      <c r="AY117" s="85"/>
      <c r="AZ117" s="85"/>
      <c r="BA117" s="85"/>
      <c r="BB117" s="85"/>
      <c r="BC117" s="85"/>
      <c r="BD117" s="85"/>
      <c r="BE117" s="85"/>
      <c r="BF117" s="85"/>
      <c r="BG117" s="85"/>
    </row>
    <row r="118" spans="1:59" hidden="1" x14ac:dyDescent="0.25">
      <c r="A118" s="1389" t="str">
        <f>COA!B114</f>
        <v>5545 Cost of Goods Sold:Equipment Leasing  - COS</v>
      </c>
      <c r="B118" s="1390">
        <f>_xlfn.XLOOKUP(A118,'TB.1 - F25'!A:A,'TB.1 - F25'!D:D,0,0,1)</f>
        <v>0</v>
      </c>
      <c r="C118" s="1390">
        <f>_xlfn.XLOOKUP(A118,'TB.1 - F25'!A:A,'TB.1 - F25'!H:H,0,0,1)</f>
        <v>0</v>
      </c>
      <c r="D118" s="1390">
        <f>_xlfn.XLOOKUP(A118,'AJE.1 - F25'!A:A,'AJE.1 - F25'!F:F,0,0,1)</f>
        <v>0</v>
      </c>
      <c r="E118" s="1390"/>
      <c r="F118" s="219">
        <f>ROUND(SUM(B118:E118),0)</f>
        <v>0</v>
      </c>
      <c r="G118" s="1390">
        <f>_xlfn.XLOOKUP($A118,TB.PRO!$A:$A,TB.PRO!F:F,0,0,1)</f>
        <v>0</v>
      </c>
      <c r="H118" s="1390">
        <f>_xlfn.XLOOKUP($A118,TB.PRO!$A:$A,TB.PRO!G:G,0,0,1)</f>
        <v>0</v>
      </c>
      <c r="I118" s="1390"/>
      <c r="J118" s="1390"/>
      <c r="K118" s="1390"/>
      <c r="L118" s="665">
        <f>ROUND(SUM(G118:K118),0)</f>
        <v>0</v>
      </c>
      <c r="M118" s="1390">
        <f>_xlfn.XLOOKUP($A118,TB.PRO!$A:$A,TB.PRO!I:I,0,0,1)</f>
        <v>0</v>
      </c>
      <c r="N118" s="1390">
        <f>_xlfn.XLOOKUP($A118,TB.PRO!$A:$A,TB.PRO!J:J,0,0,1)</f>
        <v>0</v>
      </c>
      <c r="O118" s="1390">
        <f>SUMIF('[2]Sum - Fiscal'!$P:$P,$A118,'[2]Sum - Fiscal'!$F:$F)</f>
        <v>0</v>
      </c>
      <c r="P118" s="1390"/>
      <c r="Q118" s="1390"/>
      <c r="R118" s="665">
        <f>ROUND(SUM(M118:Q118),0)</f>
        <v>0</v>
      </c>
      <c r="S118" s="1390">
        <f>_xlfn.XLOOKUP($A118,TB.PRO!$A:$A,TB.PRO!L:L,0,0,1)</f>
        <v>0</v>
      </c>
      <c r="T118" s="1390">
        <f>_xlfn.XLOOKUP($A118,TB.PRO!$A:$A,TB.PRO!M:M,0,0,1)</f>
        <v>0</v>
      </c>
      <c r="U118" s="1390">
        <f>SUMIF('[2]Sum - Fiscal'!$P:$P,$A118,'[2]Sum - Fiscal'!$G:$G)</f>
        <v>0</v>
      </c>
      <c r="V118" s="1390"/>
      <c r="W118" s="1390"/>
      <c r="X118" s="665">
        <f>ROUND(SUM(S118:W118),0)</f>
        <v>0</v>
      </c>
      <c r="Y118" s="1390">
        <f>_xlfn.XLOOKUP($A118,TB.PRO!$A:$A,TB.PRO!O:O,0,0,1)</f>
        <v>0</v>
      </c>
      <c r="Z118" s="1390">
        <f>_xlfn.XLOOKUP($A118,TB.PRO!$A:$A,TB.PRO!P:P,0,0,1)</f>
        <v>0</v>
      </c>
      <c r="AA118" s="1390">
        <f>-SUMIF('[2]Sum - Fiscal'!$P:$P,$A118,'[2]Sum - Fiscal'!$H:$H)</f>
        <v>0</v>
      </c>
      <c r="AB118" s="1390"/>
      <c r="AC118" s="1390"/>
      <c r="AD118" s="219">
        <f>ROUND(SUM(Y118:AC118),0)</f>
        <v>0</v>
      </c>
      <c r="AE118" s="1390">
        <f>_xlfn.XLOOKUP($A118,TB.PRO!$A:$A,TB.PRO!R:R,0,0,1)</f>
        <v>0</v>
      </c>
      <c r="AF118" s="1390">
        <f>_xlfn.XLOOKUP($A118,TB.PRO!$A:$A,TB.PRO!S:S,0,0,1)</f>
        <v>0</v>
      </c>
      <c r="AG118" s="1390">
        <f>-SUMIF('[2]Sum - Fiscal'!$P:$P,$A118,'[2]Sum - Fiscal'!$I:$I)</f>
        <v>0</v>
      </c>
      <c r="AH118" s="1390"/>
      <c r="AI118" s="1390"/>
      <c r="AJ118" s="219">
        <f>ROUND(SUM(AE118:AI118),0)</f>
        <v>0</v>
      </c>
      <c r="AK118" s="178" t="str">
        <f>_xlfn.XLOOKUP($A118,COA!$B:$B,COA!$C:$C,0,0,1)</f>
        <v>Cost of goods sold</v>
      </c>
      <c r="AL118" s="178" t="str">
        <f>_xlfn.XLOOKUP($A118,COA!$B:$B,COA!$D:$D,0,0,1)</f>
        <v>Cost of goods sold</v>
      </c>
      <c r="AM118" s="178" t="str">
        <f>_xlfn.XLOOKUP($A118,COA!$B:$B,COA!$E:$E,0,0,1)</f>
        <v>Accumulated deficit</v>
      </c>
      <c r="AO118" s="85" t="str">
        <f>_xlfn.XLOOKUP(AM118,FS.1!A:A,AM:AM,0,0,1)</f>
        <v>Due to related parties</v>
      </c>
      <c r="AP118" s="87"/>
      <c r="AQ118" s="87"/>
      <c r="AR118" s="87"/>
      <c r="AS118" s="87"/>
      <c r="AT118" s="85"/>
      <c r="AU118" s="85"/>
      <c r="AV118" s="85"/>
      <c r="AW118" s="85"/>
      <c r="AX118" s="85"/>
      <c r="AY118" s="85"/>
      <c r="AZ118" s="85"/>
      <c r="BA118" s="85"/>
      <c r="BB118" s="85"/>
      <c r="BC118" s="85"/>
      <c r="BD118" s="85"/>
      <c r="BE118" s="85"/>
      <c r="BF118" s="85"/>
      <c r="BG118" s="85"/>
    </row>
    <row r="119" spans="1:59" hidden="1" x14ac:dyDescent="0.25">
      <c r="A119" s="1389" t="str">
        <f>COA!B115</f>
        <v>5511 Supplies and materials - COS</v>
      </c>
      <c r="B119" s="1390">
        <f>_xlfn.XLOOKUP(A119,'TB.1 - F25'!A:A,'TB.1 - F25'!D:D,0,0,1)</f>
        <v>0</v>
      </c>
      <c r="C119" s="1390">
        <f>_xlfn.XLOOKUP(A119,'TB.1 - F25'!A:A,'TB.1 - F25'!H:H,0,0,1)</f>
        <v>103.12</v>
      </c>
      <c r="D119" s="1390">
        <f>_xlfn.XLOOKUP(A119,'AJE.1 - F25'!A:A,'AJE.1 - F25'!F:F,0,0,1)</f>
        <v>0</v>
      </c>
      <c r="E119" s="1390"/>
      <c r="F119" s="219">
        <f>ROUND(SUM(B119:E119),0)</f>
        <v>103</v>
      </c>
      <c r="G119" s="1390">
        <f>_xlfn.XLOOKUP($A119,TB.PRO!$A:$A,TB.PRO!F:F,0,0,1)</f>
        <v>0</v>
      </c>
      <c r="H119" s="1390">
        <f>_xlfn.XLOOKUP($A119,TB.PRO!$A:$A,TB.PRO!G:G,0,0,1)</f>
        <v>0</v>
      </c>
      <c r="I119" s="1390">
        <f>SUMIF('[2]Sum - Fiscal'!$P:$P,A119,'[2]Sum - Fiscal'!$E:$E)</f>
        <v>0</v>
      </c>
      <c r="J119" s="1390"/>
      <c r="K119" s="1390"/>
      <c r="L119" s="665">
        <f>ROUND(SUM(G119:K119),0)</f>
        <v>0</v>
      </c>
      <c r="M119" s="1390">
        <f>_xlfn.XLOOKUP($A119,TB.PRO!$A:$A,TB.PRO!I:I,0,0,1)</f>
        <v>0</v>
      </c>
      <c r="N119" s="1390">
        <f>_xlfn.XLOOKUP($A119,TB.PRO!$A:$A,TB.PRO!J:J,0,0,1)</f>
        <v>0</v>
      </c>
      <c r="O119" s="1390">
        <f>SUMIF('[2]Sum - Fiscal'!$P:$P,$A119,'[2]Sum - Fiscal'!$F:$F)</f>
        <v>0</v>
      </c>
      <c r="P119" s="1390"/>
      <c r="Q119" s="1390"/>
      <c r="R119" s="665">
        <f>ROUND(SUM(M119:Q119),0)</f>
        <v>0</v>
      </c>
      <c r="S119" s="1390">
        <f>_xlfn.XLOOKUP($A119,TB.PRO!$A:$A,TB.PRO!L:L,0,0,1)</f>
        <v>0</v>
      </c>
      <c r="T119" s="1390">
        <f>_xlfn.XLOOKUP($A119,TB.PRO!$A:$A,TB.PRO!M:M,0,0,1)</f>
        <v>0</v>
      </c>
      <c r="U119" s="1390">
        <f>SUMIF('[2]Sum - Fiscal'!$P:$P,$A119,'[2]Sum - Fiscal'!$G:$G)</f>
        <v>0</v>
      </c>
      <c r="V119" s="1390"/>
      <c r="W119" s="1390"/>
      <c r="X119" s="665">
        <f>ROUND(SUM(S119:W119),0)</f>
        <v>0</v>
      </c>
      <c r="Y119" s="1390">
        <f>_xlfn.XLOOKUP($A119,TB.PRO!$A:$A,TB.PRO!O:O,0,0,1)</f>
        <v>0</v>
      </c>
      <c r="Z119" s="1390">
        <f>_xlfn.XLOOKUP($A119,TB.PRO!$A:$A,TB.PRO!P:P,0,0,1)</f>
        <v>0</v>
      </c>
      <c r="AA119" s="1390">
        <f>SUMIF('[2]Sum - Fiscal'!$P:$P,$A119,'[2]Sum - Fiscal'!$H:$H)</f>
        <v>0</v>
      </c>
      <c r="AB119" s="1390"/>
      <c r="AC119" s="1390"/>
      <c r="AD119" s="219">
        <f>ROUND(SUM(Y119:AC119),0)</f>
        <v>0</v>
      </c>
      <c r="AE119" s="1390">
        <f>_xlfn.XLOOKUP($A119,TB.PRO!$A:$A,TB.PRO!R:R,0,0,1)</f>
        <v>0</v>
      </c>
      <c r="AF119" s="1390">
        <f>_xlfn.XLOOKUP($A119,TB.PRO!$A:$A,TB.PRO!S:S,0,0,1)</f>
        <v>0</v>
      </c>
      <c r="AG119" s="1390">
        <f>-SUMIF('[2]Sum - Fiscal'!$P:$P,$A119,'[2]Sum - Fiscal'!$I:$I)</f>
        <v>0</v>
      </c>
      <c r="AH119" s="1390"/>
      <c r="AI119" s="1390"/>
      <c r="AJ119" s="219">
        <f>ROUND(SUM(AE119:AI119),0)</f>
        <v>0</v>
      </c>
      <c r="AK119" s="178" t="str">
        <f>_xlfn.XLOOKUP($A119,COA!$B:$B,COA!$C:$C,0,0,1)</f>
        <v>Cost of goods sold</v>
      </c>
      <c r="AL119" s="178" t="str">
        <f>_xlfn.XLOOKUP($A119,COA!$B:$B,COA!$D:$D,0,0,1)</f>
        <v>Cost of goods sold</v>
      </c>
      <c r="AM119" s="178" t="str">
        <f>_xlfn.XLOOKUP($A119,COA!$B:$B,COA!$E:$E,0,0,1)</f>
        <v>Accumulated deficit</v>
      </c>
      <c r="AO119" s="85" t="str">
        <f>AM119</f>
        <v>Accumulated deficit</v>
      </c>
      <c r="AP119" s="87"/>
      <c r="AQ119" s="87"/>
      <c r="AR119" s="87"/>
      <c r="AS119" s="87"/>
      <c r="AT119" s="85"/>
      <c r="AU119" s="85"/>
      <c r="AV119" s="85"/>
      <c r="AW119" s="85"/>
      <c r="AX119" s="85"/>
      <c r="AY119" s="85"/>
      <c r="AZ119" s="85"/>
      <c r="BA119" s="85"/>
      <c r="BB119" s="85"/>
      <c r="BC119" s="85"/>
      <c r="BD119" s="85"/>
      <c r="BE119" s="85"/>
      <c r="BF119" s="85"/>
      <c r="BG119" s="85"/>
    </row>
    <row r="120" spans="1:59" hidden="1" x14ac:dyDescent="0.25">
      <c r="A120" s="1389" t="str">
        <f>COA!B116</f>
        <v>5998 Uncategorized Income</v>
      </c>
      <c r="B120" s="1390">
        <f>_xlfn.XLOOKUP(A120,'TB.1 - F25'!A:A,'TB.1 - F25'!D:D,0,0,1)</f>
        <v>0</v>
      </c>
      <c r="C120" s="1390">
        <f>_xlfn.XLOOKUP(A120,'TB.1 - F25'!A:A,'TB.1 - F25'!H:H,0,0,1)</f>
        <v>0</v>
      </c>
      <c r="D120" s="1390">
        <f>_xlfn.XLOOKUP(A120,'AJE.1 - F25'!A:A,'AJE.1 - F25'!F:F,0,0,1)</f>
        <v>0</v>
      </c>
      <c r="E120" s="1390"/>
      <c r="F120" s="219">
        <f>ROUND(SUM(B120:E120),0)</f>
        <v>0</v>
      </c>
      <c r="G120" s="1390">
        <f>_xlfn.XLOOKUP($A120,TB.PRO!$A:$A,TB.PRO!F:F,0,0,1)</f>
        <v>0</v>
      </c>
      <c r="H120" s="1390">
        <f>_xlfn.XLOOKUP($A120,TB.PRO!$A:$A,TB.PRO!G:G,0,0,1)</f>
        <v>0</v>
      </c>
      <c r="I120" s="1390">
        <f>SUMIF('[2]Sum - Fiscal'!$P:$P,A120,'[2]Sum - Fiscal'!$E:$E)</f>
        <v>0</v>
      </c>
      <c r="J120" s="1390"/>
      <c r="K120" s="1390"/>
      <c r="L120" s="665">
        <f>ROUND(SUM(G120:K120),0)</f>
        <v>0</v>
      </c>
      <c r="M120" s="1390">
        <f>_xlfn.XLOOKUP($A120,TB.PRO!$A:$A,TB.PRO!I:I,0,0,1)</f>
        <v>0</v>
      </c>
      <c r="N120" s="1390">
        <f>_xlfn.XLOOKUP($A120,TB.PRO!$A:$A,TB.PRO!J:J,0,0,1)</f>
        <v>0</v>
      </c>
      <c r="O120" s="1390">
        <f>SUMIF('[2]Sum - Fiscal'!$P:$P,$A120,'[2]Sum - Fiscal'!$F:$F)</f>
        <v>0</v>
      </c>
      <c r="P120" s="1390"/>
      <c r="Q120" s="1390"/>
      <c r="R120" s="665">
        <f>ROUND(SUM(M120:Q120),0)</f>
        <v>0</v>
      </c>
      <c r="S120" s="1390">
        <f>_xlfn.XLOOKUP($A120,TB.PRO!$A:$A,TB.PRO!L:L,0,0,1)</f>
        <v>0</v>
      </c>
      <c r="T120" s="1390">
        <f>_xlfn.XLOOKUP($A120,TB.PRO!$A:$A,TB.PRO!M:M,0,0,1)</f>
        <v>0</v>
      </c>
      <c r="U120" s="1390">
        <f>SUMIF('[2]Sum - Fiscal'!$P:$P,$A120,'[2]Sum - Fiscal'!$G:$G)</f>
        <v>0</v>
      </c>
      <c r="V120" s="1390"/>
      <c r="W120" s="1390"/>
      <c r="X120" s="665">
        <f>ROUND(SUM(S120:W120),0)</f>
        <v>0</v>
      </c>
      <c r="Y120" s="1390">
        <f>_xlfn.XLOOKUP($A120,TB.PRO!$A:$A,TB.PRO!O:O,0,0,1)</f>
        <v>0</v>
      </c>
      <c r="Z120" s="1390">
        <f>_xlfn.XLOOKUP($A120,TB.PRO!$A:$A,TB.PRO!P:P,0,0,1)</f>
        <v>0</v>
      </c>
      <c r="AA120" s="1390">
        <f>SUMIF('[2]Sum - Fiscal'!$P:$P,$A120,'[2]Sum - Fiscal'!$H:$H)</f>
        <v>0</v>
      </c>
      <c r="AB120" s="1390"/>
      <c r="AC120" s="1390"/>
      <c r="AD120" s="219">
        <f>ROUND(SUM(Y120:AC120),0)</f>
        <v>0</v>
      </c>
      <c r="AE120" s="1390">
        <f>_xlfn.XLOOKUP($A120,TB.PRO!$A:$A,TB.PRO!R:R,0,0,1)</f>
        <v>0</v>
      </c>
      <c r="AF120" s="1390">
        <f>_xlfn.XLOOKUP($A120,TB.PRO!$A:$A,TB.PRO!S:S,0,0,1)</f>
        <v>0</v>
      </c>
      <c r="AG120" s="1390">
        <f>SUMIF('[2]Sum - Fiscal'!$P:$P,$A120,'[2]Sum - Fiscal'!$I:$I)</f>
        <v>0</v>
      </c>
      <c r="AH120" s="1390"/>
      <c r="AI120" s="1390"/>
      <c r="AJ120" s="219">
        <f>ROUND(SUM(AE120:AI120),0)</f>
        <v>0</v>
      </c>
      <c r="AK120" s="178" t="str">
        <f>_xlfn.XLOOKUP($A120,COA!$B:$B,COA!$C:$C,0,0,1)</f>
        <v xml:space="preserve">Other income </v>
      </c>
      <c r="AL120" s="178" t="str">
        <f>_xlfn.XLOOKUP($A120,COA!$B:$B,COA!$D:$D,0,0,1)</f>
        <v xml:space="preserve">Other income </v>
      </c>
      <c r="AM120" s="178" t="str">
        <f>_xlfn.XLOOKUP($A120,COA!$B:$B,COA!$E:$E,0,0,1)</f>
        <v>Accumulated deficit</v>
      </c>
      <c r="AO120" s="85" t="str">
        <f>_xlfn.XLOOKUP(AM120,FS.1!A:A,AM:AM,0,0,1)</f>
        <v>Due to related parties</v>
      </c>
      <c r="AP120" s="87"/>
      <c r="AQ120" s="87"/>
      <c r="AR120" s="87"/>
      <c r="AS120" s="87"/>
      <c r="AT120" s="85"/>
      <c r="AU120" s="85"/>
      <c r="AV120" s="85"/>
      <c r="AW120" s="85"/>
      <c r="AX120" s="85"/>
      <c r="AY120" s="85"/>
      <c r="AZ120" s="85"/>
      <c r="BA120" s="85"/>
      <c r="BB120" s="85"/>
      <c r="BC120" s="85"/>
      <c r="BD120" s="85"/>
      <c r="BE120" s="85"/>
      <c r="BF120" s="85"/>
      <c r="BG120" s="85"/>
    </row>
    <row r="121" spans="1:59" hidden="1" x14ac:dyDescent="0.25">
      <c r="A121" s="1389" t="str">
        <f>COA!B117</f>
        <v>5999 Uncategorized Income</v>
      </c>
      <c r="B121" s="1390">
        <f>_xlfn.XLOOKUP(A121,'TB.1 - F25'!A:A,'TB.1 - F25'!D:D,0,0,1)</f>
        <v>0</v>
      </c>
      <c r="C121" s="1390">
        <f>_xlfn.XLOOKUP(A121,'TB.1 - F25'!A:A,'TB.1 - F25'!H:H,0,0,1)</f>
        <v>0</v>
      </c>
      <c r="D121" s="1390">
        <f>_xlfn.XLOOKUP(A121,'AJE.1 - F25'!A:A,'AJE.1 - F25'!F:F,0,0,1)</f>
        <v>0</v>
      </c>
      <c r="E121" s="1390"/>
      <c r="F121" s="219">
        <f>ROUND(SUM(B121:E121),0)</f>
        <v>0</v>
      </c>
      <c r="G121" s="1390">
        <f>_xlfn.XLOOKUP($A121,TB.PRO!$A:$A,TB.PRO!F:F,0,0,1)</f>
        <v>0</v>
      </c>
      <c r="H121" s="1390">
        <f>_xlfn.XLOOKUP($A121,TB.PRO!$A:$A,TB.PRO!G:G,0,0,1)</f>
        <v>0</v>
      </c>
      <c r="I121" s="1390">
        <f>SUMIF('[2]Sum - Fiscal'!$P:$P,A121,'[2]Sum - Fiscal'!$E:$E)</f>
        <v>0</v>
      </c>
      <c r="J121" s="1390"/>
      <c r="K121" s="1390"/>
      <c r="L121" s="665">
        <f>ROUND(SUM(G121:K121),0)</f>
        <v>0</v>
      </c>
      <c r="M121" s="1390">
        <f>_xlfn.XLOOKUP($A121,TB.PRO!$A:$A,TB.PRO!I:I,0,0,1)</f>
        <v>0</v>
      </c>
      <c r="N121" s="1390">
        <f>_xlfn.XLOOKUP($A121,TB.PRO!$A:$A,TB.PRO!J:J,0,0,1)</f>
        <v>0</v>
      </c>
      <c r="O121" s="1390">
        <f>SUMIF('[2]Sum - Fiscal'!$P:$P,$A121,'[2]Sum - Fiscal'!$F:$F)</f>
        <v>0</v>
      </c>
      <c r="P121" s="1390"/>
      <c r="Q121" s="1390"/>
      <c r="R121" s="665">
        <f>ROUND(SUM(M121:Q121),0)</f>
        <v>0</v>
      </c>
      <c r="S121" s="1390">
        <f>_xlfn.XLOOKUP($A121,TB.PRO!$A:$A,TB.PRO!L:L,0,0,1)</f>
        <v>0</v>
      </c>
      <c r="T121" s="1390">
        <f>_xlfn.XLOOKUP($A121,TB.PRO!$A:$A,TB.PRO!M:M,0,0,1)</f>
        <v>0</v>
      </c>
      <c r="U121" s="1390">
        <f>SUMIF('[2]Sum - Fiscal'!$P:$P,$A121,'[2]Sum - Fiscal'!$G:$G)</f>
        <v>0</v>
      </c>
      <c r="V121" s="1390"/>
      <c r="W121" s="1390"/>
      <c r="X121" s="665">
        <f>ROUND(SUM(S121:W121),0)</f>
        <v>0</v>
      </c>
      <c r="Y121" s="1390">
        <f>_xlfn.XLOOKUP($A121,TB.PRO!$A:$A,TB.PRO!O:O,0,0,1)</f>
        <v>0</v>
      </c>
      <c r="Z121" s="1390">
        <f>_xlfn.XLOOKUP($A121,TB.PRO!$A:$A,TB.PRO!P:P,0,0,1)</f>
        <v>0</v>
      </c>
      <c r="AA121" s="1390">
        <f>SUMIF('[2]Sum - Fiscal'!$P:$P,$A121,'[2]Sum - Fiscal'!$H:$H)</f>
        <v>0</v>
      </c>
      <c r="AB121" s="1390"/>
      <c r="AC121" s="1390"/>
      <c r="AD121" s="219">
        <f>ROUND(SUM(Y121:AC121),0)</f>
        <v>0</v>
      </c>
      <c r="AE121" s="1390">
        <f>_xlfn.XLOOKUP($A121,TB.PRO!$A:$A,TB.PRO!R:R,0,0,1)</f>
        <v>0</v>
      </c>
      <c r="AF121" s="1390">
        <f>_xlfn.XLOOKUP($A121,TB.PRO!$A:$A,TB.PRO!S:S,0,0,1)</f>
        <v>0</v>
      </c>
      <c r="AG121" s="1390">
        <f>SUMIF('[2]Sum - Fiscal'!$P:$P,$A121,'[2]Sum - Fiscal'!$I:$I)</f>
        <v>0</v>
      </c>
      <c r="AH121" s="1390"/>
      <c r="AI121" s="1390"/>
      <c r="AJ121" s="219">
        <f>ROUND(SUM(AE121:AI121),0)</f>
        <v>0</v>
      </c>
      <c r="AK121" s="178" t="str">
        <f>_xlfn.XLOOKUP($A121,COA!$B:$B,COA!$C:$C,0,0,1)</f>
        <v>Revenues</v>
      </c>
      <c r="AL121" s="178" t="str">
        <f>_xlfn.XLOOKUP($A121,COA!$B:$B,COA!$D:$D,0,0,1)</f>
        <v>Revenues</v>
      </c>
      <c r="AM121" s="178" t="str">
        <f>_xlfn.XLOOKUP($A121,COA!$B:$B,COA!$E:$E,0,0,1)</f>
        <v>Accumulated deficit</v>
      </c>
      <c r="AO121" s="85" t="str">
        <f>_xlfn.XLOOKUP(AM121,FS.1!A:A,AM:AM,0,0,1)</f>
        <v>Due to related parties</v>
      </c>
      <c r="AP121" s="87"/>
      <c r="AQ121" s="87"/>
      <c r="AR121" s="87"/>
      <c r="AS121" s="87"/>
      <c r="AT121" s="85"/>
      <c r="AU121" s="85"/>
      <c r="AV121" s="85"/>
      <c r="AW121" s="85"/>
      <c r="AX121" s="85"/>
      <c r="AY121" s="85"/>
      <c r="AZ121" s="85"/>
      <c r="BA121" s="85"/>
      <c r="BB121" s="85"/>
      <c r="BC121" s="85"/>
      <c r="BD121" s="85"/>
      <c r="BE121" s="85"/>
      <c r="BF121" s="85"/>
      <c r="BG121" s="85"/>
    </row>
    <row r="122" spans="1:59" hidden="1" x14ac:dyDescent="0.25">
      <c r="A122" s="1389" t="str">
        <f>COA!B118</f>
        <v>5999 Unapplied Cash Payment Income</v>
      </c>
      <c r="B122" s="1390">
        <f>_xlfn.XLOOKUP(A122,'TB.1 - F25'!A:A,'TB.1 - F25'!D:D,0,0,1)</f>
        <v>0</v>
      </c>
      <c r="C122" s="1390">
        <f>_xlfn.XLOOKUP(A122,'TB.1 - F25'!A:A,'TB.1 - F25'!H:H,0,0,1)</f>
        <v>0</v>
      </c>
      <c r="D122" s="1390">
        <f>_xlfn.XLOOKUP(A122,'AJE.1 - F25'!A:A,'AJE.1 - F25'!F:F,0,0,1)</f>
        <v>0</v>
      </c>
      <c r="E122" s="1390"/>
      <c r="F122" s="219">
        <f>ROUND(SUM(B122:E122),0)</f>
        <v>0</v>
      </c>
      <c r="G122" s="1390">
        <f>_xlfn.XLOOKUP($A122,TB.PRO!$A:$A,TB.PRO!F:F,0,0,1)</f>
        <v>0</v>
      </c>
      <c r="H122" s="1390">
        <f>_xlfn.XLOOKUP($A122,TB.PRO!$A:$A,TB.PRO!G:G,0,0,1)</f>
        <v>0</v>
      </c>
      <c r="I122" s="1390">
        <f>SUMIF('[2]Sum - Fiscal'!$P:$P,A122,'[2]Sum - Fiscal'!$E:$E)</f>
        <v>0</v>
      </c>
      <c r="J122" s="1390"/>
      <c r="K122" s="1390"/>
      <c r="L122" s="665">
        <f>ROUND(SUM(G122:K122),0)</f>
        <v>0</v>
      </c>
      <c r="M122" s="1390">
        <f>_xlfn.XLOOKUP($A122,TB.PRO!$A:$A,TB.PRO!I:I,0,0,1)</f>
        <v>0</v>
      </c>
      <c r="N122" s="1390">
        <f>_xlfn.XLOOKUP($A122,TB.PRO!$A:$A,TB.PRO!J:J,0,0,1)</f>
        <v>0</v>
      </c>
      <c r="O122" s="1390">
        <f>SUMIF('[2]Sum - Fiscal'!$P:$P,$A122,'[2]Sum - Fiscal'!$F:$F)</f>
        <v>0</v>
      </c>
      <c r="P122" s="1390"/>
      <c r="Q122" s="1390"/>
      <c r="R122" s="665">
        <f>ROUND(SUM(M122:Q122),0)</f>
        <v>0</v>
      </c>
      <c r="S122" s="1390">
        <f>_xlfn.XLOOKUP($A122,TB.PRO!$A:$A,TB.PRO!L:L,0,0,1)</f>
        <v>0</v>
      </c>
      <c r="T122" s="1390">
        <f>_xlfn.XLOOKUP($A122,TB.PRO!$A:$A,TB.PRO!M:M,0,0,1)</f>
        <v>0</v>
      </c>
      <c r="U122" s="1390">
        <f>SUMIF('[2]Sum - Fiscal'!$P:$P,$A122,'[2]Sum - Fiscal'!$G:$G)</f>
        <v>0</v>
      </c>
      <c r="V122" s="1390"/>
      <c r="W122" s="1390"/>
      <c r="X122" s="665">
        <f>ROUND(SUM(S122:W122),0)</f>
        <v>0</v>
      </c>
      <c r="Y122" s="1390">
        <f>_xlfn.XLOOKUP($A122,TB.PRO!$A:$A,TB.PRO!O:O,0,0,1)</f>
        <v>0</v>
      </c>
      <c r="Z122" s="1390">
        <f>_xlfn.XLOOKUP($A122,TB.PRO!$A:$A,TB.PRO!P:P,0,0,1)</f>
        <v>0</v>
      </c>
      <c r="AA122" s="1390">
        <f>SUMIF('[2]Sum - Fiscal'!$P:$P,$A122,'[2]Sum - Fiscal'!$H:$H)</f>
        <v>0</v>
      </c>
      <c r="AB122" s="1390"/>
      <c r="AC122" s="1390"/>
      <c r="AD122" s="219">
        <f>ROUND(SUM(Y122:AC122),0)</f>
        <v>0</v>
      </c>
      <c r="AE122" s="1390">
        <f>_xlfn.XLOOKUP($A122,TB.PRO!$A:$A,TB.PRO!R:R,0,0,1)</f>
        <v>0</v>
      </c>
      <c r="AF122" s="1390">
        <f>_xlfn.XLOOKUP($A122,TB.PRO!$A:$A,TB.PRO!S:S,0,0,1)</f>
        <v>0</v>
      </c>
      <c r="AG122" s="1390">
        <f>SUMIF('[2]Sum - Fiscal'!$P:$P,$A122,'[2]Sum - Fiscal'!$I:$I)</f>
        <v>0</v>
      </c>
      <c r="AH122" s="1390"/>
      <c r="AI122" s="1390"/>
      <c r="AJ122" s="219">
        <f>ROUND(SUM(AE122:AI122),0)</f>
        <v>0</v>
      </c>
      <c r="AK122" s="178" t="str">
        <f>_xlfn.XLOOKUP($A122,COA!$B:$B,COA!$C:$C,0,0,1)</f>
        <v xml:space="preserve">Other income </v>
      </c>
      <c r="AL122" s="178" t="str">
        <f>_xlfn.XLOOKUP($A122,COA!$B:$B,COA!$D:$D,0,0,1)</f>
        <v xml:space="preserve">Other income </v>
      </c>
      <c r="AM122" s="178" t="str">
        <f>_xlfn.XLOOKUP($A122,COA!$B:$B,COA!$E:$E,0,0,1)</f>
        <v>Accumulated deficit</v>
      </c>
      <c r="AO122" s="85" t="str">
        <f>_xlfn.XLOOKUP(AM122,FS.1!A:A,AM:AM,0,0,1)</f>
        <v>Due to related parties</v>
      </c>
      <c r="AP122" s="87"/>
      <c r="AQ122" s="87"/>
      <c r="AR122" s="87"/>
      <c r="AS122" s="87"/>
      <c r="AT122" s="85"/>
      <c r="AU122" s="85"/>
      <c r="AV122" s="85"/>
      <c r="AW122" s="85"/>
      <c r="AX122" s="85"/>
      <c r="AY122" s="85"/>
      <c r="AZ122" s="85"/>
      <c r="BA122" s="85"/>
      <c r="BB122" s="85"/>
      <c r="BC122" s="85"/>
      <c r="BD122" s="85"/>
      <c r="BE122" s="85"/>
      <c r="BF122" s="85"/>
      <c r="BG122" s="85"/>
    </row>
    <row r="123" spans="1:59" hidden="1" x14ac:dyDescent="0.25">
      <c r="A123" s="1389" t="str">
        <f>COA!B119</f>
        <v>6000 Payroll Expenses</v>
      </c>
      <c r="B123" s="1390">
        <f>_xlfn.XLOOKUP(A123,'TB.1 - F25'!A:A,'TB.1 - F25'!D:D,0,0,1)</f>
        <v>0</v>
      </c>
      <c r="C123" s="1390">
        <f>_xlfn.XLOOKUP(A123,'TB.1 - F25'!A:A,'TB.1 - F25'!H:H,0,0,1)</f>
        <v>0</v>
      </c>
      <c r="D123" s="1390">
        <f>_xlfn.XLOOKUP(A123,'AJE.1 - F25'!A:A,'AJE.1 - F25'!F:F,0,0,1)</f>
        <v>0</v>
      </c>
      <c r="E123" s="1390"/>
      <c r="F123" s="219">
        <f>ROUND(SUM(B123:E123),0)</f>
        <v>0</v>
      </c>
      <c r="G123" s="1390">
        <f>_xlfn.XLOOKUP($A123,TB.PRO!$A:$A,TB.PRO!F:F,0,0,1)</f>
        <v>0</v>
      </c>
      <c r="H123" s="1390">
        <f>_xlfn.XLOOKUP($A123,TB.PRO!$A:$A,TB.PRO!G:G,0,0,1)</f>
        <v>0</v>
      </c>
      <c r="I123" s="1390">
        <f>SUMIF('[2]Sum - Fiscal'!$P:$P,A123,'[2]Sum - Fiscal'!$E:$E)</f>
        <v>0</v>
      </c>
      <c r="J123" s="1390"/>
      <c r="K123" s="1390"/>
      <c r="L123" s="665">
        <f>ROUND(SUM(G123:K123),0)</f>
        <v>0</v>
      </c>
      <c r="M123" s="1390">
        <f>_xlfn.XLOOKUP($A123,TB.PRO!$A:$A,TB.PRO!I:I,0,0,1)</f>
        <v>0</v>
      </c>
      <c r="N123" s="1390">
        <f>_xlfn.XLOOKUP($A123,TB.PRO!$A:$A,TB.PRO!J:J,0,0,1)</f>
        <v>0</v>
      </c>
      <c r="O123" s="1390">
        <f>SUMIF('[2]Sum - Fiscal'!$P:$P,$A123,'[2]Sum - Fiscal'!$F:$F)</f>
        <v>0</v>
      </c>
      <c r="P123" s="1390"/>
      <c r="Q123" s="1390"/>
      <c r="R123" s="665">
        <f>ROUND(SUM(M123:Q123),0)</f>
        <v>0</v>
      </c>
      <c r="S123" s="1390">
        <f>_xlfn.XLOOKUP($A123,TB.PRO!$A:$A,TB.PRO!L:L,0,0,1)</f>
        <v>0</v>
      </c>
      <c r="T123" s="1390">
        <f>_xlfn.XLOOKUP($A123,TB.PRO!$A:$A,TB.PRO!M:M,0,0,1)</f>
        <v>0</v>
      </c>
      <c r="U123" s="1390">
        <f>SUMIF('[2]Sum - Fiscal'!$P:$P,$A123,'[2]Sum - Fiscal'!$G:$G)</f>
        <v>0</v>
      </c>
      <c r="V123" s="1390"/>
      <c r="W123" s="1390"/>
      <c r="X123" s="665">
        <f>ROUND(SUM(S123:W123),0)</f>
        <v>0</v>
      </c>
      <c r="Y123" s="1390">
        <f>_xlfn.XLOOKUP($A123,TB.PRO!$A:$A,TB.PRO!O:O,0,0,1)</f>
        <v>0</v>
      </c>
      <c r="Z123" s="1390">
        <f>_xlfn.XLOOKUP($A123,TB.PRO!$A:$A,TB.PRO!P:P,0,0,1)</f>
        <v>0</v>
      </c>
      <c r="AA123" s="1390">
        <f>SUMIF('[2]Sum - Fiscal'!$P:$P,$A123,'[2]Sum - Fiscal'!$H:$H)</f>
        <v>0</v>
      </c>
      <c r="AB123" s="1390"/>
      <c r="AC123" s="1390"/>
      <c r="AD123" s="219">
        <f>ROUND(SUM(Y123:AC123),0)</f>
        <v>0</v>
      </c>
      <c r="AE123" s="1390">
        <f>_xlfn.XLOOKUP($A123,TB.PRO!$A:$A,TB.PRO!R:R,0,0,1)</f>
        <v>0</v>
      </c>
      <c r="AF123" s="1390">
        <f>_xlfn.XLOOKUP($A123,TB.PRO!$A:$A,TB.PRO!S:S,0,0,1)</f>
        <v>0</v>
      </c>
      <c r="AG123" s="1390">
        <f>SUMIF('[2]Sum - Fiscal'!$P:$P,$A123,'[2]Sum - Fiscal'!$I:$I)</f>
        <v>0</v>
      </c>
      <c r="AH123" s="1390"/>
      <c r="AI123" s="1390"/>
      <c r="AJ123" s="219">
        <f>ROUND(SUM(AE123:AI123),0)</f>
        <v>0</v>
      </c>
      <c r="AK123" s="178" t="str">
        <f>_xlfn.XLOOKUP($A123,COA!$B:$B,COA!$C:$C,0,0,1)</f>
        <v>General and administration</v>
      </c>
      <c r="AL123" s="178" t="str">
        <f>_xlfn.XLOOKUP($A123,COA!$B:$B,COA!$D:$D,0,0,1)</f>
        <v xml:space="preserve">Salaries, wages, and benefits </v>
      </c>
      <c r="AM123" s="178" t="str">
        <f>_xlfn.XLOOKUP($A123,COA!$B:$B,COA!$E:$E,0,0,1)</f>
        <v>Accumulated deficit</v>
      </c>
      <c r="AO123" s="85" t="str">
        <f>_xlfn.XLOOKUP(AM123,FS.1!A:A,AM:AM,0,0,1)</f>
        <v>Due to related parties</v>
      </c>
      <c r="AP123" s="87"/>
      <c r="AQ123" s="87"/>
      <c r="AR123" s="87"/>
      <c r="AS123" s="87"/>
      <c r="AT123" s="85"/>
      <c r="AU123" s="85"/>
      <c r="AV123" s="85"/>
      <c r="AW123" s="85"/>
      <c r="AX123" s="85"/>
      <c r="AY123" s="85"/>
      <c r="AZ123" s="85"/>
      <c r="BA123" s="85"/>
      <c r="BB123" s="85"/>
      <c r="BC123" s="85"/>
      <c r="BD123" s="85"/>
      <c r="BE123" s="85"/>
      <c r="BF123" s="85"/>
      <c r="BG123" s="85"/>
    </row>
    <row r="124" spans="1:59" hidden="1" x14ac:dyDescent="0.25">
      <c r="A124" s="1389" t="str">
        <f>COA!B120</f>
        <v>6001 Payroll Expenses:Management Salaries</v>
      </c>
      <c r="B124" s="1390">
        <f>_xlfn.XLOOKUP(A124,'TB.1 - F25'!A:A,'TB.1 - F25'!D:D,0,0,1)</f>
        <v>0</v>
      </c>
      <c r="C124" s="1390">
        <f>_xlfn.XLOOKUP(A124,'TB.1 - F25'!A:A,'TB.1 - F25'!H:H,0,0,1)</f>
        <v>0</v>
      </c>
      <c r="D124" s="1390">
        <f>_xlfn.XLOOKUP(A124,'AJE.1 - F25'!A:A,'AJE.1 - F25'!F:F,0,0,1)</f>
        <v>0</v>
      </c>
      <c r="E124" s="1390"/>
      <c r="F124" s="219">
        <f>ROUND(SUM(B124:E124),0)</f>
        <v>0</v>
      </c>
      <c r="G124" s="1390">
        <f>_xlfn.XLOOKUP($A124,TB.PRO!$A:$A,TB.PRO!F:F,0,0,1)</f>
        <v>0</v>
      </c>
      <c r="H124" s="1390">
        <f>_xlfn.XLOOKUP($A124,TB.PRO!$A:$A,TB.PRO!G:G,0,0,1)</f>
        <v>0</v>
      </c>
      <c r="I124" s="1390">
        <f>SUMIF('[2]Sum - Fiscal'!$P:$P,A124,'[2]Sum - Fiscal'!$E:$E)</f>
        <v>0</v>
      </c>
      <c r="J124" s="1390"/>
      <c r="K124" s="1390"/>
      <c r="L124" s="665">
        <f>ROUND(SUM(G124:K124),0)</f>
        <v>0</v>
      </c>
      <c r="M124" s="1390">
        <f>_xlfn.XLOOKUP($A124,TB.PRO!$A:$A,TB.PRO!I:I,0,0,1)</f>
        <v>0</v>
      </c>
      <c r="N124" s="1390">
        <f>_xlfn.XLOOKUP($A124,TB.PRO!$A:$A,TB.PRO!J:J,0,0,1)</f>
        <v>0</v>
      </c>
      <c r="O124" s="1390">
        <f>SUMIF('[2]Sum - Fiscal'!$P:$P,$A124,'[2]Sum - Fiscal'!$F:$F)</f>
        <v>0</v>
      </c>
      <c r="P124" s="1390"/>
      <c r="Q124" s="1390"/>
      <c r="R124" s="665">
        <f>ROUND(SUM(M124:Q124),0)</f>
        <v>0</v>
      </c>
      <c r="S124" s="1390">
        <f>_xlfn.XLOOKUP($A124,TB.PRO!$A:$A,TB.PRO!L:L,0,0,1)</f>
        <v>0</v>
      </c>
      <c r="T124" s="1390">
        <f>_xlfn.XLOOKUP($A124,TB.PRO!$A:$A,TB.PRO!M:M,0,0,1)</f>
        <v>0</v>
      </c>
      <c r="U124" s="1390">
        <f>SUMIF('[2]Sum - Fiscal'!$P:$P,$A124,'[2]Sum - Fiscal'!$G:$G)</f>
        <v>0</v>
      </c>
      <c r="V124" s="1390"/>
      <c r="W124" s="1390"/>
      <c r="X124" s="665">
        <f>ROUND(SUM(S124:W124),0)</f>
        <v>0</v>
      </c>
      <c r="Y124" s="1390">
        <f>_xlfn.XLOOKUP($A124,TB.PRO!$A:$A,TB.PRO!O:O,0,0,1)</f>
        <v>0</v>
      </c>
      <c r="Z124" s="1390">
        <f>_xlfn.XLOOKUP($A124,TB.PRO!$A:$A,TB.PRO!P:P,0,0,1)</f>
        <v>0</v>
      </c>
      <c r="AA124" s="1390">
        <f>SUMIF('[2]Sum - Fiscal'!$P:$P,$A124,'[2]Sum - Fiscal'!$H:$H)</f>
        <v>0</v>
      </c>
      <c r="AB124" s="1390"/>
      <c r="AC124" s="1390"/>
      <c r="AD124" s="219">
        <f>ROUND(SUM(Y124:AC124),0)</f>
        <v>0</v>
      </c>
      <c r="AE124" s="1390">
        <f>_xlfn.XLOOKUP($A124,TB.PRO!$A:$A,TB.PRO!R:R,0,0,1)</f>
        <v>0</v>
      </c>
      <c r="AF124" s="1390">
        <f>_xlfn.XLOOKUP($A124,TB.PRO!$A:$A,TB.PRO!S:S,0,0,1)</f>
        <v>0</v>
      </c>
      <c r="AG124" s="1390">
        <f>SUMIF('[2]Sum - Fiscal'!$P:$P,$A124,'[2]Sum - Fiscal'!$I:$I)</f>
        <v>0</v>
      </c>
      <c r="AH124" s="1390"/>
      <c r="AI124" s="1390"/>
      <c r="AJ124" s="219">
        <f>ROUND(SUM(AE124:AI124),0)</f>
        <v>0</v>
      </c>
      <c r="AK124" s="178" t="str">
        <f>_xlfn.XLOOKUP($A124,COA!$B:$B,COA!$C:$C,0,0,1)</f>
        <v>General and administration</v>
      </c>
      <c r="AL124" s="178" t="str">
        <f>_xlfn.XLOOKUP($A124,COA!$B:$B,COA!$D:$D,0,0,1)</f>
        <v xml:space="preserve">Salaries, wages, and benefits </v>
      </c>
      <c r="AM124" s="178" t="str">
        <f>_xlfn.XLOOKUP($A124,COA!$B:$B,COA!$E:$E,0,0,1)</f>
        <v>Accumulated deficit</v>
      </c>
      <c r="AO124" s="85" t="str">
        <f>_xlfn.XLOOKUP(AM124,FS.1!A:A,AM:AM,0,0,1)</f>
        <v>Due to related parties</v>
      </c>
      <c r="AP124" s="87"/>
      <c r="AQ124" s="87"/>
      <c r="AR124" s="87"/>
      <c r="AS124" s="87"/>
      <c r="AT124" s="85"/>
      <c r="AU124" s="85"/>
      <c r="AV124" s="85"/>
      <c r="AW124" s="85"/>
      <c r="AX124" s="85"/>
      <c r="AY124" s="85"/>
      <c r="AZ124" s="85"/>
      <c r="BA124" s="85"/>
      <c r="BB124" s="85"/>
      <c r="BC124" s="85"/>
      <c r="BD124" s="85"/>
      <c r="BE124" s="85"/>
      <c r="BF124" s="85"/>
      <c r="BG124" s="85"/>
    </row>
    <row r="125" spans="1:59" hidden="1" x14ac:dyDescent="0.25">
      <c r="A125" s="1389" t="str">
        <f>COA!B121</f>
        <v>6002 Payroll Expenses:Wages</v>
      </c>
      <c r="B125" s="1390">
        <f>_xlfn.XLOOKUP(A125,'TB.1 - F25'!A:A,'TB.1 - F25'!D:D,0,0,1)</f>
        <v>0</v>
      </c>
      <c r="C125" s="1390">
        <f>_xlfn.XLOOKUP(A125,'TB.1 - F25'!A:A,'TB.1 - F25'!H:H,0,0,1)</f>
        <v>0</v>
      </c>
      <c r="D125" s="1390">
        <f>_xlfn.XLOOKUP(A125,'AJE.1 - F25'!A:A,'AJE.1 - F25'!F:F,0,0,1)</f>
        <v>0</v>
      </c>
      <c r="E125" s="1390"/>
      <c r="F125" s="219">
        <f>ROUND(SUM(B125:E125),0)</f>
        <v>0</v>
      </c>
      <c r="G125" s="1390">
        <f>_xlfn.XLOOKUP($A125,TB.PRO!$A:$A,TB.PRO!F:F,0,0,1)</f>
        <v>0</v>
      </c>
      <c r="H125" s="1390">
        <f>_xlfn.XLOOKUP($A125,TB.PRO!$A:$A,TB.PRO!G:G,0,0,1)</f>
        <v>0</v>
      </c>
      <c r="I125" s="1390">
        <f>SUMIF('[2]Sum - Fiscal'!$P:$P,A125,'[2]Sum - Fiscal'!$E:$E)</f>
        <v>0</v>
      </c>
      <c r="J125" s="1390"/>
      <c r="K125" s="1390"/>
      <c r="L125" s="665">
        <f>ROUND(SUM(G125:K125),0)</f>
        <v>0</v>
      </c>
      <c r="M125" s="1390">
        <f>_xlfn.XLOOKUP($A125,TB.PRO!$A:$A,TB.PRO!I:I,0,0,1)</f>
        <v>0</v>
      </c>
      <c r="N125" s="1390">
        <f>_xlfn.XLOOKUP($A125,TB.PRO!$A:$A,TB.PRO!J:J,0,0,1)</f>
        <v>0</v>
      </c>
      <c r="O125" s="1390">
        <f>SUMIF('[2]Sum - Fiscal'!$P:$P,$A125,'[2]Sum - Fiscal'!$F:$F)</f>
        <v>0</v>
      </c>
      <c r="P125" s="1390"/>
      <c r="Q125" s="1390"/>
      <c r="R125" s="665">
        <f>ROUND(SUM(M125:Q125),0)</f>
        <v>0</v>
      </c>
      <c r="S125" s="1390">
        <f>_xlfn.XLOOKUP($A125,TB.PRO!$A:$A,TB.PRO!L:L,0,0,1)</f>
        <v>0</v>
      </c>
      <c r="T125" s="1390">
        <f>_xlfn.XLOOKUP($A125,TB.PRO!$A:$A,TB.PRO!M:M,0,0,1)</f>
        <v>0</v>
      </c>
      <c r="U125" s="1390">
        <f>SUMIF('[2]Sum - Fiscal'!$P:$P,$A125,'[2]Sum - Fiscal'!$G:$G)</f>
        <v>0</v>
      </c>
      <c r="V125" s="1390"/>
      <c r="W125" s="1390"/>
      <c r="X125" s="665">
        <f>ROUND(SUM(S125:W125),0)</f>
        <v>0</v>
      </c>
      <c r="Y125" s="1390">
        <f>_xlfn.XLOOKUP($A125,TB.PRO!$A:$A,TB.PRO!O:O,0,0,1)</f>
        <v>0</v>
      </c>
      <c r="Z125" s="1390">
        <f>_xlfn.XLOOKUP($A125,TB.PRO!$A:$A,TB.PRO!P:P,0,0,1)</f>
        <v>0</v>
      </c>
      <c r="AA125" s="1390">
        <f>SUMIF('[2]Sum - Fiscal'!$P:$P,$A125,'[2]Sum - Fiscal'!$H:$H)</f>
        <v>0</v>
      </c>
      <c r="AB125" s="1390"/>
      <c r="AC125" s="1390"/>
      <c r="AD125" s="219">
        <f>ROUND(SUM(Y125:AC125),0)</f>
        <v>0</v>
      </c>
      <c r="AE125" s="1390">
        <f>_xlfn.XLOOKUP($A125,TB.PRO!$A:$A,TB.PRO!R:R,0,0,1)</f>
        <v>0</v>
      </c>
      <c r="AF125" s="1390">
        <f>_xlfn.XLOOKUP($A125,TB.PRO!$A:$A,TB.PRO!S:S,0,0,1)</f>
        <v>0</v>
      </c>
      <c r="AG125" s="1390">
        <f>SUMIF('[2]Sum - Fiscal'!$P:$P,$A125,'[2]Sum - Fiscal'!$I:$I)</f>
        <v>0</v>
      </c>
      <c r="AH125" s="1390"/>
      <c r="AI125" s="1390"/>
      <c r="AJ125" s="219">
        <f>ROUND(SUM(AE125:AI125),0)</f>
        <v>0</v>
      </c>
      <c r="AK125" s="178" t="str">
        <f>_xlfn.XLOOKUP($A125,COA!$B:$B,COA!$C:$C,0,0,1)</f>
        <v>General and administration</v>
      </c>
      <c r="AL125" s="178" t="str">
        <f>_xlfn.XLOOKUP($A125,COA!$B:$B,COA!$D:$D,0,0,1)</f>
        <v xml:space="preserve">Salaries, wages, and benefits </v>
      </c>
      <c r="AM125" s="178" t="str">
        <f>_xlfn.XLOOKUP($A125,COA!$B:$B,COA!$E:$E,0,0,1)</f>
        <v>Accumulated deficit</v>
      </c>
      <c r="AO125" s="85" t="str">
        <f>_xlfn.XLOOKUP(AM125,FS.1!A:A,AM:AM,0,0,1)</f>
        <v>Due to related parties</v>
      </c>
      <c r="AP125" s="87"/>
      <c r="AQ125" s="87"/>
      <c r="AR125" s="87"/>
      <c r="AS125" s="87"/>
      <c r="AT125" s="85"/>
      <c r="AU125" s="85"/>
      <c r="AV125" s="85"/>
      <c r="AW125" s="85"/>
      <c r="AX125" s="85"/>
      <c r="AY125" s="85"/>
      <c r="AZ125" s="85"/>
      <c r="BA125" s="85"/>
      <c r="BB125" s="85"/>
      <c r="BC125" s="85"/>
      <c r="BD125" s="85"/>
      <c r="BE125" s="85"/>
      <c r="BF125" s="85"/>
      <c r="BG125" s="85"/>
    </row>
    <row r="126" spans="1:59" hidden="1" x14ac:dyDescent="0.25">
      <c r="A126" s="1389" t="str">
        <f>COA!B122</f>
        <v>6003 Payroll Expenses:Vacation Pay</v>
      </c>
      <c r="B126" s="1390">
        <f>_xlfn.XLOOKUP(A126,'TB.1 - F25'!A:A,'TB.1 - F25'!D:D,0,0,1)</f>
        <v>0</v>
      </c>
      <c r="C126" s="1390">
        <f>_xlfn.XLOOKUP(A126,'TB.1 - F25'!A:A,'TB.1 - F25'!H:H,0,0,1)</f>
        <v>0</v>
      </c>
      <c r="D126" s="1390">
        <f>_xlfn.XLOOKUP(A126,'AJE.1 - F25'!A:A,'AJE.1 - F25'!F:F,0,0,1)</f>
        <v>0</v>
      </c>
      <c r="E126" s="1390"/>
      <c r="F126" s="219">
        <f>ROUND(SUM(B126:E126),0)</f>
        <v>0</v>
      </c>
      <c r="G126" s="1390">
        <f>_xlfn.XLOOKUP($A126,TB.PRO!$A:$A,TB.PRO!F:F,0,0,1)</f>
        <v>0</v>
      </c>
      <c r="H126" s="1390">
        <f>_xlfn.XLOOKUP($A126,TB.PRO!$A:$A,TB.PRO!G:G,0,0,1)</f>
        <v>0</v>
      </c>
      <c r="I126" s="1390">
        <f>SUMIF('[2]Sum - Fiscal'!$P:$P,A126,'[2]Sum - Fiscal'!$E:$E)</f>
        <v>0</v>
      </c>
      <c r="J126" s="1390"/>
      <c r="K126" s="1390"/>
      <c r="L126" s="665">
        <f>ROUND(SUM(G126:K126),0)</f>
        <v>0</v>
      </c>
      <c r="M126" s="1390">
        <f>_xlfn.XLOOKUP($A126,TB.PRO!$A:$A,TB.PRO!I:I,0,0,1)</f>
        <v>0</v>
      </c>
      <c r="N126" s="1390">
        <f>_xlfn.XLOOKUP($A126,TB.PRO!$A:$A,TB.PRO!J:J,0,0,1)</f>
        <v>0</v>
      </c>
      <c r="O126" s="1390">
        <f>SUMIF('[2]Sum - Fiscal'!$P:$P,$A126,'[2]Sum - Fiscal'!$F:$F)</f>
        <v>0</v>
      </c>
      <c r="P126" s="1390"/>
      <c r="Q126" s="1390"/>
      <c r="R126" s="665">
        <f>ROUND(SUM(M126:Q126),0)</f>
        <v>0</v>
      </c>
      <c r="S126" s="1390">
        <f>_xlfn.XLOOKUP($A126,TB.PRO!$A:$A,TB.PRO!L:L,0,0,1)</f>
        <v>0</v>
      </c>
      <c r="T126" s="1390">
        <f>_xlfn.XLOOKUP($A126,TB.PRO!$A:$A,TB.PRO!M:M,0,0,1)</f>
        <v>0</v>
      </c>
      <c r="U126" s="1390">
        <f>SUMIF('[2]Sum - Fiscal'!$P:$P,$A126,'[2]Sum - Fiscal'!$G:$G)</f>
        <v>0</v>
      </c>
      <c r="V126" s="1390"/>
      <c r="W126" s="1390"/>
      <c r="X126" s="665">
        <f>ROUND(SUM(S126:W126),0)</f>
        <v>0</v>
      </c>
      <c r="Y126" s="1390">
        <f>_xlfn.XLOOKUP($A126,TB.PRO!$A:$A,TB.PRO!O:O,0,0,1)</f>
        <v>0</v>
      </c>
      <c r="Z126" s="1390">
        <f>_xlfn.XLOOKUP($A126,TB.PRO!$A:$A,TB.PRO!P:P,0,0,1)</f>
        <v>0</v>
      </c>
      <c r="AA126" s="1390">
        <f>SUMIF('[2]Sum - Fiscal'!$P:$P,$A126,'[2]Sum - Fiscal'!$H:$H)</f>
        <v>0</v>
      </c>
      <c r="AB126" s="1390"/>
      <c r="AC126" s="1390"/>
      <c r="AD126" s="219">
        <f>ROUND(SUM(Y126:AC126),0)</f>
        <v>0</v>
      </c>
      <c r="AE126" s="1390">
        <f>_xlfn.XLOOKUP($A126,TB.PRO!$A:$A,TB.PRO!R:R,0,0,1)</f>
        <v>0</v>
      </c>
      <c r="AF126" s="1390">
        <f>_xlfn.XLOOKUP($A126,TB.PRO!$A:$A,TB.PRO!S:S,0,0,1)</f>
        <v>0</v>
      </c>
      <c r="AG126" s="1390">
        <f>SUMIF('[2]Sum - Fiscal'!$P:$P,$A126,'[2]Sum - Fiscal'!$I:$I)</f>
        <v>0</v>
      </c>
      <c r="AH126" s="1390"/>
      <c r="AI126" s="1390"/>
      <c r="AJ126" s="219">
        <f>ROUND(SUM(AE126:AI126),0)</f>
        <v>0</v>
      </c>
      <c r="AK126" s="178" t="str">
        <f>_xlfn.XLOOKUP($A126,COA!$B:$B,COA!$C:$C,0,0,1)</f>
        <v>General and administration</v>
      </c>
      <c r="AL126" s="178" t="str">
        <f>_xlfn.XLOOKUP($A126,COA!$B:$B,COA!$D:$D,0,0,1)</f>
        <v xml:space="preserve">Salaries, wages, and benefits </v>
      </c>
      <c r="AM126" s="178" t="str">
        <f>_xlfn.XLOOKUP($A126,COA!$B:$B,COA!$E:$E,0,0,1)</f>
        <v>Accumulated deficit</v>
      </c>
      <c r="AO126" s="85" t="str">
        <f>_xlfn.XLOOKUP(AM126,FS.1!A:A,AM:AM,0,0,1)</f>
        <v>Due to related parties</v>
      </c>
      <c r="AP126" s="87"/>
      <c r="AQ126" s="87"/>
      <c r="AR126" s="87"/>
      <c r="AS126" s="87"/>
      <c r="AT126" s="85"/>
      <c r="AU126" s="85"/>
      <c r="AV126" s="85"/>
      <c r="AW126" s="85"/>
      <c r="AX126" s="85"/>
      <c r="AY126" s="85"/>
      <c r="AZ126" s="85"/>
      <c r="BA126" s="85"/>
      <c r="BB126" s="85"/>
      <c r="BC126" s="85"/>
      <c r="BD126" s="85"/>
      <c r="BE126" s="85"/>
      <c r="BF126" s="85"/>
      <c r="BG126" s="85"/>
    </row>
    <row r="127" spans="1:59" hidden="1" x14ac:dyDescent="0.25">
      <c r="A127" s="1389" t="str">
        <f>COA!B123</f>
        <v>6004 Payroll Expenses:Employer Taxes</v>
      </c>
      <c r="B127" s="1390">
        <f>_xlfn.XLOOKUP(A127,'TB.1 - F25'!A:A,'TB.1 - F25'!D:D,0,0,1)</f>
        <v>0</v>
      </c>
      <c r="C127" s="1390">
        <f>_xlfn.XLOOKUP(A127,'TB.1 - F25'!A:A,'TB.1 - F25'!H:H,0,0,1)</f>
        <v>0</v>
      </c>
      <c r="D127" s="1390">
        <f>_xlfn.XLOOKUP(A127,'AJE.1 - F25'!A:A,'AJE.1 - F25'!F:F,0,0,1)</f>
        <v>0</v>
      </c>
      <c r="E127" s="1390"/>
      <c r="F127" s="219">
        <f>ROUND(SUM(B127:E127),0)</f>
        <v>0</v>
      </c>
      <c r="G127" s="1390">
        <f>_xlfn.XLOOKUP($A127,TB.PRO!$A:$A,TB.PRO!F:F,0,0,1)</f>
        <v>0</v>
      </c>
      <c r="H127" s="1390">
        <f>_xlfn.XLOOKUP($A127,TB.PRO!$A:$A,TB.PRO!G:G,0,0,1)</f>
        <v>0</v>
      </c>
      <c r="I127" s="1390">
        <f>SUMIF('[2]Sum - Fiscal'!$P:$P,A127,'[2]Sum - Fiscal'!$E:$E)</f>
        <v>0</v>
      </c>
      <c r="J127" s="1390"/>
      <c r="K127" s="1390"/>
      <c r="L127" s="665">
        <f>ROUND(SUM(G127:K127),0)</f>
        <v>0</v>
      </c>
      <c r="M127" s="1390">
        <f>_xlfn.XLOOKUP($A127,TB.PRO!$A:$A,TB.PRO!I:I,0,0,1)</f>
        <v>0</v>
      </c>
      <c r="N127" s="1390">
        <f>_xlfn.XLOOKUP($A127,TB.PRO!$A:$A,TB.PRO!J:J,0,0,1)</f>
        <v>0</v>
      </c>
      <c r="O127" s="1390">
        <f>SUMIF('[2]Sum - Fiscal'!$P:$P,$A127,'[2]Sum - Fiscal'!$F:$F)</f>
        <v>0</v>
      </c>
      <c r="P127" s="1390"/>
      <c r="Q127" s="1390"/>
      <c r="R127" s="665">
        <f>ROUND(SUM(M127:Q127),0)</f>
        <v>0</v>
      </c>
      <c r="S127" s="1390">
        <f>_xlfn.XLOOKUP($A127,TB.PRO!$A:$A,TB.PRO!L:L,0,0,1)</f>
        <v>0</v>
      </c>
      <c r="T127" s="1390">
        <f>_xlfn.XLOOKUP($A127,TB.PRO!$A:$A,TB.PRO!M:M,0,0,1)</f>
        <v>0</v>
      </c>
      <c r="U127" s="1390">
        <f>SUMIF('[2]Sum - Fiscal'!$P:$P,$A127,'[2]Sum - Fiscal'!$G:$G)</f>
        <v>0</v>
      </c>
      <c r="V127" s="1390"/>
      <c r="W127" s="1390"/>
      <c r="X127" s="665">
        <f>ROUND(SUM(S127:W127),0)</f>
        <v>0</v>
      </c>
      <c r="Y127" s="1390">
        <f>_xlfn.XLOOKUP($A127,TB.PRO!$A:$A,TB.PRO!O:O,0,0,1)</f>
        <v>0</v>
      </c>
      <c r="Z127" s="1390">
        <f>_xlfn.XLOOKUP($A127,TB.PRO!$A:$A,TB.PRO!P:P,0,0,1)</f>
        <v>0</v>
      </c>
      <c r="AA127" s="1390">
        <f>SUMIF('[2]Sum - Fiscal'!$P:$P,$A127,'[2]Sum - Fiscal'!$H:$H)</f>
        <v>0</v>
      </c>
      <c r="AB127" s="1390"/>
      <c r="AC127" s="1390"/>
      <c r="AD127" s="219">
        <f>ROUND(SUM(Y127:AC127),0)</f>
        <v>0</v>
      </c>
      <c r="AE127" s="1390">
        <f>_xlfn.XLOOKUP($A127,TB.PRO!$A:$A,TB.PRO!R:R,0,0,1)</f>
        <v>0</v>
      </c>
      <c r="AF127" s="1390">
        <f>_xlfn.XLOOKUP($A127,TB.PRO!$A:$A,TB.PRO!S:S,0,0,1)</f>
        <v>0</v>
      </c>
      <c r="AG127" s="1390">
        <f>SUMIF('[2]Sum - Fiscal'!$P:$P,$A127,'[2]Sum - Fiscal'!$I:$I)</f>
        <v>0</v>
      </c>
      <c r="AH127" s="1390"/>
      <c r="AI127" s="1390"/>
      <c r="AJ127" s="219">
        <f>ROUND(SUM(AE127:AI127),0)</f>
        <v>0</v>
      </c>
      <c r="AK127" s="178" t="str">
        <f>_xlfn.XLOOKUP($A127,COA!$B:$B,COA!$C:$C,0,0,1)</f>
        <v>General and administration</v>
      </c>
      <c r="AL127" s="178" t="str">
        <f>_xlfn.XLOOKUP($A127,COA!$B:$B,COA!$D:$D,0,0,1)</f>
        <v xml:space="preserve">Salaries, wages, and benefits </v>
      </c>
      <c r="AM127" s="178" t="str">
        <f>_xlfn.XLOOKUP($A127,COA!$B:$B,COA!$E:$E,0,0,1)</f>
        <v>Accumulated deficit</v>
      </c>
      <c r="AO127" s="85" t="str">
        <f>_xlfn.XLOOKUP(AM127,FS.1!A:A,AM:AM,0,0,1)</f>
        <v>Due to related parties</v>
      </c>
      <c r="AP127" s="87"/>
      <c r="AQ127" s="87"/>
      <c r="AR127" s="87"/>
      <c r="AS127" s="87"/>
      <c r="AT127" s="85"/>
      <c r="AU127" s="85"/>
      <c r="AV127" s="85"/>
      <c r="AW127" s="85"/>
      <c r="AX127" s="85"/>
      <c r="AY127" s="85"/>
      <c r="AZ127" s="85"/>
      <c r="BA127" s="85"/>
      <c r="BB127" s="85"/>
      <c r="BC127" s="85"/>
      <c r="BD127" s="85"/>
      <c r="BE127" s="85"/>
      <c r="BF127" s="85"/>
      <c r="BG127" s="85"/>
    </row>
    <row r="128" spans="1:59" hidden="1" x14ac:dyDescent="0.25">
      <c r="A128" s="1389" t="str">
        <f>COA!B124</f>
        <v>6005 Payroll Expenses:WCB Expense</v>
      </c>
      <c r="B128" s="1390">
        <f>_xlfn.XLOOKUP(A128,'TB.1 - F25'!A:A,'TB.1 - F25'!D:D,0,0,1)</f>
        <v>0</v>
      </c>
      <c r="C128" s="1390">
        <f>_xlfn.XLOOKUP(A128,'TB.1 - F25'!A:A,'TB.1 - F25'!H:H,0,0,1)</f>
        <v>0</v>
      </c>
      <c r="D128" s="1390">
        <f>_xlfn.XLOOKUP(A128,'AJE.1 - F25'!A:A,'AJE.1 - F25'!F:F,0,0,1)</f>
        <v>0</v>
      </c>
      <c r="E128" s="1390"/>
      <c r="F128" s="219">
        <f>ROUND(SUM(B128:E128),0)</f>
        <v>0</v>
      </c>
      <c r="G128" s="1390">
        <f>_xlfn.XLOOKUP($A128,TB.PRO!$A:$A,TB.PRO!F:F,0,0,1)</f>
        <v>0</v>
      </c>
      <c r="H128" s="1390">
        <f>_xlfn.XLOOKUP($A128,TB.PRO!$A:$A,TB.PRO!G:G,0,0,1)</f>
        <v>0</v>
      </c>
      <c r="I128" s="1390">
        <f>SUMIF('[2]Sum - Fiscal'!$P:$P,A128,'[2]Sum - Fiscal'!$E:$E)</f>
        <v>0</v>
      </c>
      <c r="J128" s="1390"/>
      <c r="K128" s="1390"/>
      <c r="L128" s="665">
        <f>ROUND(SUM(G128:K128),0)</f>
        <v>0</v>
      </c>
      <c r="M128" s="1390">
        <f>_xlfn.XLOOKUP($A128,TB.PRO!$A:$A,TB.PRO!I:I,0,0,1)</f>
        <v>0</v>
      </c>
      <c r="N128" s="1390">
        <f>_xlfn.XLOOKUP($A128,TB.PRO!$A:$A,TB.PRO!J:J,0,0,1)</f>
        <v>0</v>
      </c>
      <c r="O128" s="1390">
        <f>SUMIF('[2]Sum - Fiscal'!$P:$P,$A128,'[2]Sum - Fiscal'!$F:$F)</f>
        <v>0</v>
      </c>
      <c r="P128" s="1390"/>
      <c r="Q128" s="1390"/>
      <c r="R128" s="665">
        <f>ROUND(SUM(M128:Q128),0)</f>
        <v>0</v>
      </c>
      <c r="S128" s="1390">
        <f>_xlfn.XLOOKUP($A128,TB.PRO!$A:$A,TB.PRO!L:L,0,0,1)</f>
        <v>0</v>
      </c>
      <c r="T128" s="1390">
        <f>_xlfn.XLOOKUP($A128,TB.PRO!$A:$A,TB.PRO!M:M,0,0,1)</f>
        <v>0</v>
      </c>
      <c r="U128" s="1390">
        <f>SUMIF('[2]Sum - Fiscal'!$P:$P,$A128,'[2]Sum - Fiscal'!$G:$G)</f>
        <v>0</v>
      </c>
      <c r="V128" s="1390"/>
      <c r="W128" s="1390"/>
      <c r="X128" s="665">
        <f>ROUND(SUM(S128:W128),0)</f>
        <v>0</v>
      </c>
      <c r="Y128" s="1390">
        <f>_xlfn.XLOOKUP($A128,TB.PRO!$A:$A,TB.PRO!O:O,0,0,1)</f>
        <v>0</v>
      </c>
      <c r="Z128" s="1390">
        <f>_xlfn.XLOOKUP($A128,TB.PRO!$A:$A,TB.PRO!P:P,0,0,1)</f>
        <v>0</v>
      </c>
      <c r="AA128" s="1390">
        <f>SUMIF('[2]Sum - Fiscal'!$P:$P,$A128,'[2]Sum - Fiscal'!$H:$H)</f>
        <v>0</v>
      </c>
      <c r="AB128" s="1390"/>
      <c r="AC128" s="1390"/>
      <c r="AD128" s="219">
        <f>ROUND(SUM(Y128:AC128),0)</f>
        <v>0</v>
      </c>
      <c r="AE128" s="1390">
        <f>_xlfn.XLOOKUP($A128,TB.PRO!$A:$A,TB.PRO!R:R,0,0,1)</f>
        <v>0</v>
      </c>
      <c r="AF128" s="1390">
        <f>_xlfn.XLOOKUP($A128,TB.PRO!$A:$A,TB.PRO!S:S,0,0,1)</f>
        <v>0</v>
      </c>
      <c r="AG128" s="1390">
        <f>SUMIF('[2]Sum - Fiscal'!$P:$P,$A128,'[2]Sum - Fiscal'!$I:$I)</f>
        <v>0</v>
      </c>
      <c r="AH128" s="1390"/>
      <c r="AI128" s="1390"/>
      <c r="AJ128" s="219">
        <f>ROUND(SUM(AE128:AI128),0)</f>
        <v>0</v>
      </c>
      <c r="AK128" s="178" t="str">
        <f>_xlfn.XLOOKUP($A128,COA!$B:$B,COA!$C:$C,0,0,1)</f>
        <v>General and administration</v>
      </c>
      <c r="AL128" s="178" t="str">
        <f>_xlfn.XLOOKUP($A128,COA!$B:$B,COA!$D:$D,0,0,1)</f>
        <v xml:space="preserve">Salaries, wages, and benefits </v>
      </c>
      <c r="AM128" s="178" t="str">
        <f>_xlfn.XLOOKUP($A128,COA!$B:$B,COA!$E:$E,0,0,1)</f>
        <v>Accumulated deficit</v>
      </c>
      <c r="AO128" s="85" t="str">
        <f>_xlfn.XLOOKUP(AM128,FS.1!A:A,AM:AM,0,0,1)</f>
        <v>Due to related parties</v>
      </c>
      <c r="AP128" s="87"/>
      <c r="AQ128" s="87"/>
      <c r="AR128" s="87"/>
      <c r="AS128" s="87"/>
      <c r="AT128" s="85"/>
      <c r="AU128" s="85"/>
      <c r="AV128" s="85"/>
      <c r="AW128" s="85"/>
      <c r="AX128" s="85"/>
      <c r="AY128" s="85"/>
      <c r="AZ128" s="85"/>
      <c r="BA128" s="85"/>
      <c r="BB128" s="85"/>
      <c r="BC128" s="85"/>
      <c r="BD128" s="85"/>
      <c r="BE128" s="85"/>
      <c r="BF128" s="85"/>
      <c r="BG128" s="85"/>
    </row>
    <row r="129" spans="1:59" hidden="1" x14ac:dyDescent="0.25">
      <c r="A129" s="1389" t="str">
        <f>COA!B125</f>
        <v>6010 Other G&amp;A</v>
      </c>
      <c r="B129" s="1390">
        <f>_xlfn.XLOOKUP(A129,'TB.1 - F25'!A:A,'TB.1 - F25'!D:D,0,0,1)</f>
        <v>0</v>
      </c>
      <c r="C129" s="1390">
        <f>_xlfn.XLOOKUP(A129,'TB.1 - F25'!A:A,'TB.1 - F25'!H:H,0,0,1)</f>
        <v>0</v>
      </c>
      <c r="D129" s="1390">
        <f>_xlfn.XLOOKUP(A129,'AJE.1 - F25'!A:A,'AJE.1 - F25'!F:F,0,0,1)</f>
        <v>0</v>
      </c>
      <c r="E129" s="1390"/>
      <c r="F129" s="219">
        <f>ROUND(SUM(B129:E129),0)</f>
        <v>0</v>
      </c>
      <c r="G129" s="1390">
        <f>_xlfn.XLOOKUP($A129,TB.PRO!$A:$A,TB.PRO!F:F,0,0,1)</f>
        <v>0</v>
      </c>
      <c r="H129" s="1390">
        <f>_xlfn.XLOOKUP($A129,TB.PRO!$A:$A,TB.PRO!G:G,0,0,1)</f>
        <v>0</v>
      </c>
      <c r="I129" s="1390">
        <f>SUMIF('[2]Sum - Fiscal'!$P:$P,A129,'[2]Sum - Fiscal'!$E:$E)</f>
        <v>0</v>
      </c>
      <c r="J129" s="1390"/>
      <c r="K129" s="1390"/>
      <c r="L129" s="665">
        <f>ROUND(SUM(G129:K129),0)</f>
        <v>0</v>
      </c>
      <c r="M129" s="1390">
        <f>_xlfn.XLOOKUP($A129,TB.PRO!$A:$A,TB.PRO!I:I,0,0,1)</f>
        <v>0</v>
      </c>
      <c r="N129" s="1390">
        <f>_xlfn.XLOOKUP($A129,TB.PRO!$A:$A,TB.PRO!J:J,0,0,1)</f>
        <v>0</v>
      </c>
      <c r="O129" s="1390">
        <f>SUMIF('[2]Sum - Fiscal'!$P:$P,$A129,'[2]Sum - Fiscal'!$F:$F)</f>
        <v>0</v>
      </c>
      <c r="P129" s="1390"/>
      <c r="Q129" s="1390"/>
      <c r="R129" s="665">
        <f>ROUND(SUM(M129:Q129),0)</f>
        <v>0</v>
      </c>
      <c r="S129" s="1390">
        <f>_xlfn.XLOOKUP($A129,TB.PRO!$A:$A,TB.PRO!L:L,0,0,1)</f>
        <v>0</v>
      </c>
      <c r="T129" s="1390">
        <f>_xlfn.XLOOKUP($A129,TB.PRO!$A:$A,TB.PRO!M:M,0,0,1)</f>
        <v>0</v>
      </c>
      <c r="U129" s="1390">
        <f>SUMIF('[2]Sum - Fiscal'!$P:$P,$A129,'[2]Sum - Fiscal'!$G:$G)</f>
        <v>0</v>
      </c>
      <c r="V129" s="1390"/>
      <c r="W129" s="1390"/>
      <c r="X129" s="665">
        <f>ROUND(SUM(S129:W129),0)</f>
        <v>0</v>
      </c>
      <c r="Y129" s="1390">
        <f>_xlfn.XLOOKUP($A129,TB.PRO!$A:$A,TB.PRO!O:O,0,0,1)</f>
        <v>0</v>
      </c>
      <c r="Z129" s="1390">
        <f>_xlfn.XLOOKUP($A129,TB.PRO!$A:$A,TB.PRO!P:P,0,0,1)</f>
        <v>0</v>
      </c>
      <c r="AA129" s="1390">
        <f>SUMIF('[2]Sum - Fiscal'!$P:$P,$A129,'[2]Sum - Fiscal'!$H:$H)</f>
        <v>0</v>
      </c>
      <c r="AB129" s="1390"/>
      <c r="AC129" s="1390"/>
      <c r="AD129" s="219">
        <f>ROUND(SUM(Y129:AC129),0)</f>
        <v>0</v>
      </c>
      <c r="AE129" s="1390">
        <f>_xlfn.XLOOKUP($A129,TB.PRO!$A:$A,TB.PRO!R:R,0,0,1)</f>
        <v>0</v>
      </c>
      <c r="AF129" s="1390">
        <f>_xlfn.XLOOKUP($A129,TB.PRO!$A:$A,TB.PRO!S:S,0,0,1)</f>
        <v>0</v>
      </c>
      <c r="AG129" s="1390">
        <f>SUMIF('[2]Sum - Fiscal'!$P:$P,$A129,'[2]Sum - Fiscal'!$I:$I)</f>
        <v>0</v>
      </c>
      <c r="AH129" s="1390"/>
      <c r="AI129" s="1390"/>
      <c r="AJ129" s="219">
        <f>ROUND(SUM(AE129:AI129),0)</f>
        <v>0</v>
      </c>
      <c r="AK129" s="178" t="str">
        <f>_xlfn.XLOOKUP($A129,COA!$B:$B,COA!$C:$C,0,0,1)</f>
        <v>General and administration</v>
      </c>
      <c r="AL129" s="178" t="str">
        <f>_xlfn.XLOOKUP($A129,COA!$B:$B,COA!$D:$D,0,0,1)</f>
        <v>Office expenses</v>
      </c>
      <c r="AM129" s="178" t="str">
        <f>_xlfn.XLOOKUP($A129,COA!$B:$B,COA!$E:$E,0,0,1)</f>
        <v>Accumulated deficit</v>
      </c>
      <c r="AO129" s="85" t="str">
        <f>_xlfn.XLOOKUP(AM129,FS.1!A:A,AM:AM,0,0,1)</f>
        <v>Due to related parties</v>
      </c>
      <c r="AP129" s="87"/>
      <c r="AQ129" s="87"/>
      <c r="AR129" s="87"/>
      <c r="AS129" s="87"/>
      <c r="AT129" s="85"/>
      <c r="AU129" s="85"/>
      <c r="AV129" s="85"/>
      <c r="AW129" s="85"/>
      <c r="AX129" s="85"/>
      <c r="AY129" s="85"/>
      <c r="AZ129" s="85"/>
      <c r="BA129" s="85"/>
      <c r="BB129" s="85"/>
      <c r="BC129" s="85"/>
      <c r="BD129" s="85"/>
      <c r="BE129" s="85"/>
      <c r="BF129" s="85"/>
      <c r="BG129" s="85"/>
    </row>
    <row r="130" spans="1:59" x14ac:dyDescent="0.25">
      <c r="A130" s="1389" t="str">
        <f>COA!B126</f>
        <v>6011 Bank charges</v>
      </c>
      <c r="B130" s="1390">
        <f>_xlfn.XLOOKUP(A130,'TB.1 - F25'!A:A,'TB.1 - F25'!D:D,0,0,1)</f>
        <v>1602.05</v>
      </c>
      <c r="C130" s="1390">
        <f>_xlfn.XLOOKUP(A130,'TB.1 - F25'!A:A,'TB.1 - F25'!H:H,0,0,1)</f>
        <v>678.5</v>
      </c>
      <c r="D130" s="1390">
        <f>_xlfn.XLOOKUP(A130,'AJE.1 - F25'!A:A,'AJE.1 - F25'!F:F,0,0,1)</f>
        <v>0</v>
      </c>
      <c r="E130" s="1390"/>
      <c r="F130" s="219">
        <f>ROUND(SUM(B130:E130),0)</f>
        <v>2281</v>
      </c>
      <c r="G130" s="1390">
        <f>_xlfn.XLOOKUP($A130,TB.PRO!$A:$A,TB.PRO!F:F,0,0,1)</f>
        <v>563.70000000000005</v>
      </c>
      <c r="H130" s="1390">
        <f>_xlfn.XLOOKUP($A130,TB.PRO!$A:$A,TB.PRO!G:G,0,0,1)</f>
        <v>313.16000000000003</v>
      </c>
      <c r="I130" s="1390">
        <f>SUMIF('[2]Sum - Fiscal'!$P:$P,A130,'[2]Sum - Fiscal'!$E:$E)*0.5</f>
        <v>1197.5250000000001</v>
      </c>
      <c r="J130" s="1390"/>
      <c r="K130" s="1390"/>
      <c r="L130" s="665">
        <f>ROUND(SUM(G130:K130),0)</f>
        <v>2074</v>
      </c>
      <c r="M130" s="1390">
        <f>_xlfn.XLOOKUP($A130,TB.PRO!$A:$A,TB.PRO!I:I,0,0,1)</f>
        <v>0</v>
      </c>
      <c r="N130" s="1390">
        <f>_xlfn.XLOOKUP($A130,TB.PRO!$A:$A,TB.PRO!J:J,0,0,1)</f>
        <v>0</v>
      </c>
      <c r="O130" s="1390">
        <f>SUMIF('[2]Sum - Fiscal'!$P:$P,$A130,'[2]Sum - Fiscal'!$F:$F)</f>
        <v>2514.8025000000002</v>
      </c>
      <c r="P130" s="1390"/>
      <c r="Q130" s="1390">
        <v>-1</v>
      </c>
      <c r="R130" s="665">
        <f>ROUND(SUM(M130:Q130),0)</f>
        <v>2514</v>
      </c>
      <c r="S130" s="1390">
        <f>_xlfn.XLOOKUP($A130,TB.PRO!$A:$A,TB.PRO!L:L,0,0,1)</f>
        <v>0</v>
      </c>
      <c r="T130" s="1390">
        <f>_xlfn.XLOOKUP($A130,TB.PRO!$A:$A,TB.PRO!M:M,0,0,1)</f>
        <v>0</v>
      </c>
      <c r="U130" s="1390">
        <f>SUMIF('[2]Sum - Fiscal'!$P:$P,$A130,'[2]Sum - Fiscal'!$G:$G)</f>
        <v>2640.5426250000005</v>
      </c>
      <c r="V130" s="1390"/>
      <c r="W130" s="1390">
        <v>-2</v>
      </c>
      <c r="X130" s="665">
        <f>ROUND(SUM(S130:W130),0)</f>
        <v>2639</v>
      </c>
      <c r="Y130" s="1390">
        <f>_xlfn.XLOOKUP($A130,TB.PRO!$A:$A,TB.PRO!O:O,0,0,1)</f>
        <v>0</v>
      </c>
      <c r="Z130" s="1390">
        <f>_xlfn.XLOOKUP($A130,TB.PRO!$A:$A,TB.PRO!P:P,0,0,1)</f>
        <v>0</v>
      </c>
      <c r="AA130" s="1390">
        <f>SUMIF('[2]Sum - Fiscal'!$P:$P,$A130,'[2]Sum - Fiscal'!$H:$H)</f>
        <v>2772.5697562500009</v>
      </c>
      <c r="AB130" s="1390"/>
      <c r="AC130" s="1390">
        <v>-1</v>
      </c>
      <c r="AD130" s="219">
        <f>ROUND(SUM(Y130:AC130),0)</f>
        <v>2772</v>
      </c>
      <c r="AE130" s="1390">
        <f>_xlfn.XLOOKUP($A130,TB.PRO!$A:$A,TB.PRO!R:R,0,0,1)</f>
        <v>0</v>
      </c>
      <c r="AF130" s="1390">
        <f>_xlfn.XLOOKUP($A130,TB.PRO!$A:$A,TB.PRO!S:S,0,0,1)</f>
        <v>0</v>
      </c>
      <c r="AG130" s="1390">
        <f>SUMIF('[2]Sum - Fiscal'!$P:$P,$A130,'[2]Sum - Fiscal'!$I:$I)</f>
        <v>2911.1982440625011</v>
      </c>
      <c r="AH130" s="1390"/>
      <c r="AI130" s="1390">
        <v>-1</v>
      </c>
      <c r="AJ130" s="219">
        <f>ROUND(SUM(AE130:AI130),0)</f>
        <v>2910</v>
      </c>
      <c r="AK130" s="178" t="str">
        <f>_xlfn.XLOOKUP($A130,COA!$B:$B,COA!$C:$C,0,0,1)</f>
        <v>General and administration</v>
      </c>
      <c r="AL130" s="178" t="str">
        <f>_xlfn.XLOOKUP($A130,COA!$B:$B,COA!$D:$D,0,0,1)</f>
        <v>Bank fees</v>
      </c>
      <c r="AM130" s="178" t="str">
        <f>_xlfn.XLOOKUP($A130,COA!$B:$B,COA!$E:$E,0,0,1)</f>
        <v>Accumulated deficit</v>
      </c>
      <c r="AO130" s="85" t="str">
        <f>AM130</f>
        <v>Accumulated deficit</v>
      </c>
      <c r="AP130" s="87"/>
      <c r="AQ130" s="87"/>
      <c r="AR130" s="87"/>
      <c r="AS130" s="87"/>
      <c r="AT130" s="85"/>
      <c r="AU130" s="85"/>
      <c r="AV130" s="85"/>
      <c r="AW130" s="85"/>
      <c r="AX130" s="85"/>
      <c r="AY130" s="85"/>
      <c r="AZ130" s="85"/>
      <c r="BA130" s="85"/>
      <c r="BB130" s="85"/>
      <c r="BC130" s="85"/>
      <c r="BD130" s="85"/>
      <c r="BE130" s="85"/>
      <c r="BF130" s="85"/>
      <c r="BG130" s="85"/>
    </row>
    <row r="131" spans="1:59" hidden="1" x14ac:dyDescent="0.25">
      <c r="A131" s="1389" t="str">
        <f>COA!B127</f>
        <v>6012 Bad debts</v>
      </c>
      <c r="B131" s="1390">
        <f>_xlfn.XLOOKUP(A131,'TB.1 - F25'!A:A,'TB.1 - F25'!D:D,0,0,1)</f>
        <v>0</v>
      </c>
      <c r="C131" s="1390">
        <f>_xlfn.XLOOKUP(A131,'TB.1 - F25'!A:A,'TB.1 - F25'!H:H,0,0,1)</f>
        <v>0</v>
      </c>
      <c r="D131" s="1390">
        <f>_xlfn.XLOOKUP(A131,'AJE.1 - F25'!A:A,'AJE.1 - F25'!F:F,0,0,1)</f>
        <v>0</v>
      </c>
      <c r="E131" s="1390"/>
      <c r="F131" s="219">
        <f>ROUND(SUM(B131:E131),0)</f>
        <v>0</v>
      </c>
      <c r="G131" s="1390">
        <f>_xlfn.XLOOKUP($A131,TB.PRO!$A:$A,TB.PRO!F:F,0,0,1)</f>
        <v>0</v>
      </c>
      <c r="H131" s="1390">
        <f>_xlfn.XLOOKUP($A131,TB.PRO!$A:$A,TB.PRO!G:G,0,0,1)</f>
        <v>0</v>
      </c>
      <c r="I131" s="1390">
        <f>SUMIF('[2]Sum - Fiscal'!$P:$P,A131,'[2]Sum - Fiscal'!$E:$E)</f>
        <v>0</v>
      </c>
      <c r="J131" s="1390"/>
      <c r="K131" s="1390"/>
      <c r="L131" s="665">
        <f>ROUND(SUM(G131:K131),0)</f>
        <v>0</v>
      </c>
      <c r="M131" s="1390">
        <f>_xlfn.XLOOKUP($A131,TB.PRO!$A:$A,TB.PRO!I:I,0,0,1)</f>
        <v>0</v>
      </c>
      <c r="N131" s="1390">
        <f>_xlfn.XLOOKUP($A131,TB.PRO!$A:$A,TB.PRO!J:J,0,0,1)</f>
        <v>0</v>
      </c>
      <c r="O131" s="1390">
        <f>SUMIF('[2]Sum - Fiscal'!$P:$P,$A131,'[2]Sum - Fiscal'!$F:$F)</f>
        <v>0</v>
      </c>
      <c r="P131" s="1390"/>
      <c r="Q131" s="1390"/>
      <c r="R131" s="665">
        <f>ROUND(SUM(M131:Q131),0)</f>
        <v>0</v>
      </c>
      <c r="S131" s="1390">
        <f>_xlfn.XLOOKUP($A131,TB.PRO!$A:$A,TB.PRO!L:L,0,0,1)</f>
        <v>0</v>
      </c>
      <c r="T131" s="1390">
        <f>_xlfn.XLOOKUP($A131,TB.PRO!$A:$A,TB.PRO!M:M,0,0,1)</f>
        <v>0</v>
      </c>
      <c r="U131" s="1390">
        <f>SUMIF('[2]Sum - Fiscal'!$P:$P,$A131,'[2]Sum - Fiscal'!$G:$G)</f>
        <v>0</v>
      </c>
      <c r="V131" s="1390"/>
      <c r="W131" s="1390"/>
      <c r="X131" s="665">
        <f>ROUND(SUM(S131:W131),0)</f>
        <v>0</v>
      </c>
      <c r="Y131" s="1390">
        <f>_xlfn.XLOOKUP($A131,TB.PRO!$A:$A,TB.PRO!O:O,0,0,1)</f>
        <v>0</v>
      </c>
      <c r="Z131" s="1390">
        <f>_xlfn.XLOOKUP($A131,TB.PRO!$A:$A,TB.PRO!P:P,0,0,1)</f>
        <v>0</v>
      </c>
      <c r="AA131" s="1390">
        <f>SUMIF('[2]Sum - Fiscal'!$P:$P,$A131,'[2]Sum - Fiscal'!$H:$H)</f>
        <v>0</v>
      </c>
      <c r="AB131" s="1390"/>
      <c r="AC131" s="1390"/>
      <c r="AD131" s="219">
        <f>ROUND(SUM(Y131:AC131),0)</f>
        <v>0</v>
      </c>
      <c r="AE131" s="1390">
        <f>_xlfn.XLOOKUP($A131,TB.PRO!$A:$A,TB.PRO!R:R,0,0,1)</f>
        <v>0</v>
      </c>
      <c r="AF131" s="1390">
        <f>_xlfn.XLOOKUP($A131,TB.PRO!$A:$A,TB.PRO!S:S,0,0,1)</f>
        <v>0</v>
      </c>
      <c r="AG131" s="1390">
        <f>SUMIF('[2]Sum - Fiscal'!$P:$P,$A131,'[2]Sum - Fiscal'!$I:$I)</f>
        <v>0</v>
      </c>
      <c r="AH131" s="1390"/>
      <c r="AI131" s="1390"/>
      <c r="AJ131" s="219">
        <f>ROUND(SUM(AE131:AI131),0)</f>
        <v>0</v>
      </c>
      <c r="AK131" s="178" t="str">
        <f>_xlfn.XLOOKUP($A131,COA!$B:$B,COA!$C:$C,0,0,1)</f>
        <v>General and administration</v>
      </c>
      <c r="AL131" s="178" t="str">
        <f>_xlfn.XLOOKUP($A131,COA!$B:$B,COA!$D:$D,0,0,1)</f>
        <v>Bad debt expense</v>
      </c>
      <c r="AM131" s="178" t="str">
        <f>_xlfn.XLOOKUP($A131,COA!$B:$B,COA!$E:$E,0,0,1)</f>
        <v>Accumulated deficit</v>
      </c>
      <c r="AO131" s="85" t="str">
        <f>_xlfn.XLOOKUP(AM131,FS.1!A:A,AM:AM,0,0,1)</f>
        <v>Due to related parties</v>
      </c>
      <c r="AP131" s="87"/>
      <c r="AQ131" s="87"/>
      <c r="AR131" s="87"/>
      <c r="AS131" s="87"/>
      <c r="AT131" s="85"/>
      <c r="AU131" s="85"/>
      <c r="AV131" s="85"/>
      <c r="AW131" s="85"/>
      <c r="AX131" s="85"/>
      <c r="AY131" s="85"/>
      <c r="AZ131" s="85"/>
      <c r="BA131" s="85"/>
      <c r="BB131" s="85"/>
      <c r="BC131" s="85"/>
      <c r="BD131" s="85"/>
      <c r="BE131" s="85"/>
      <c r="BF131" s="85"/>
      <c r="BG131" s="85"/>
    </row>
    <row r="132" spans="1:59" hidden="1" x14ac:dyDescent="0.25">
      <c r="A132" s="1389" t="str">
        <f>COA!B128</f>
        <v>6012 Bad Debt</v>
      </c>
      <c r="B132" s="1390">
        <f>_xlfn.XLOOKUP(A132,'TB.1 - F25'!A:A,'TB.1 - F25'!D:D,0,0,1)</f>
        <v>0</v>
      </c>
      <c r="C132" s="1390">
        <f>_xlfn.XLOOKUP(A132,'TB.1 - F25'!A:A,'TB.1 - F25'!H:H,0,0,1)</f>
        <v>0</v>
      </c>
      <c r="D132" s="1390">
        <f>_xlfn.XLOOKUP(A132,'AJE.1 - F25'!A:A,'AJE.1 - F25'!F:F,0,0,1)</f>
        <v>0</v>
      </c>
      <c r="E132" s="1390"/>
      <c r="F132" s="219">
        <f>ROUND(SUM(B132:E132),0)</f>
        <v>0</v>
      </c>
      <c r="G132" s="1390">
        <f>_xlfn.XLOOKUP($A132,TB.PRO!$A:$A,TB.PRO!F:F,0,0,1)</f>
        <v>0</v>
      </c>
      <c r="H132" s="1390">
        <f>_xlfn.XLOOKUP($A132,TB.PRO!$A:$A,TB.PRO!G:G,0,0,1)</f>
        <v>0</v>
      </c>
      <c r="I132" s="1390">
        <f>SUMIF('[2]Sum - Fiscal'!$P:$P,A132,'[2]Sum - Fiscal'!$E:$E)</f>
        <v>0</v>
      </c>
      <c r="J132" s="1390"/>
      <c r="K132" s="1390"/>
      <c r="L132" s="665">
        <f>ROUND(SUM(G132:K132),0)</f>
        <v>0</v>
      </c>
      <c r="M132" s="1390">
        <f>_xlfn.XLOOKUP($A132,TB.PRO!$A:$A,TB.PRO!I:I,0,0,1)</f>
        <v>0</v>
      </c>
      <c r="N132" s="1390">
        <f>_xlfn.XLOOKUP($A132,TB.PRO!$A:$A,TB.PRO!J:J,0,0,1)</f>
        <v>0</v>
      </c>
      <c r="O132" s="1390">
        <f>SUMIF('[2]Sum - Fiscal'!$P:$P,$A132,'[2]Sum - Fiscal'!$F:$F)</f>
        <v>0</v>
      </c>
      <c r="P132" s="1390"/>
      <c r="Q132" s="1390"/>
      <c r="R132" s="665">
        <f>ROUND(SUM(M132:Q132),0)</f>
        <v>0</v>
      </c>
      <c r="S132" s="1390">
        <f>_xlfn.XLOOKUP($A132,TB.PRO!$A:$A,TB.PRO!L:L,0,0,1)</f>
        <v>0</v>
      </c>
      <c r="T132" s="1390">
        <f>_xlfn.XLOOKUP($A132,TB.PRO!$A:$A,TB.PRO!M:M,0,0,1)</f>
        <v>0</v>
      </c>
      <c r="U132" s="1390">
        <f>SUMIF('[2]Sum - Fiscal'!$P:$P,$A132,'[2]Sum - Fiscal'!$G:$G)</f>
        <v>0</v>
      </c>
      <c r="V132" s="1390"/>
      <c r="W132" s="1390"/>
      <c r="X132" s="665">
        <f>ROUND(SUM(S132:W132),0)</f>
        <v>0</v>
      </c>
      <c r="Y132" s="1390">
        <f>_xlfn.XLOOKUP($A132,TB.PRO!$A:$A,TB.PRO!O:O,0,0,1)</f>
        <v>0</v>
      </c>
      <c r="Z132" s="1390">
        <f>_xlfn.XLOOKUP($A132,TB.PRO!$A:$A,TB.PRO!P:P,0,0,1)</f>
        <v>0</v>
      </c>
      <c r="AA132" s="1390">
        <f>SUMIF('[2]Sum - Fiscal'!$P:$P,$A132,'[2]Sum - Fiscal'!$H:$H)</f>
        <v>0</v>
      </c>
      <c r="AB132" s="1390"/>
      <c r="AC132" s="1390"/>
      <c r="AD132" s="219">
        <f>ROUND(SUM(Y132:AC132),0)</f>
        <v>0</v>
      </c>
      <c r="AE132" s="1390">
        <f>_xlfn.XLOOKUP($A132,TB.PRO!$A:$A,TB.PRO!R:R,0,0,1)</f>
        <v>0</v>
      </c>
      <c r="AF132" s="1390">
        <f>_xlfn.XLOOKUP($A132,TB.PRO!$A:$A,TB.PRO!S:S,0,0,1)</f>
        <v>0</v>
      </c>
      <c r="AG132" s="1390">
        <f>SUMIF('[2]Sum - Fiscal'!$P:$P,$A132,'[2]Sum - Fiscal'!$I:$I)</f>
        <v>0</v>
      </c>
      <c r="AH132" s="1390"/>
      <c r="AI132" s="1390"/>
      <c r="AJ132" s="219">
        <f>ROUND(SUM(AE132:AI132),0)</f>
        <v>0</v>
      </c>
      <c r="AK132" s="178" t="str">
        <f>_xlfn.XLOOKUP($A132,COA!$B:$B,COA!$C:$C,0,0,1)</f>
        <v>General and administration</v>
      </c>
      <c r="AL132" s="178" t="str">
        <f>_xlfn.XLOOKUP($A132,COA!$B:$B,COA!$D:$D,0,0,1)</f>
        <v>Bad debt expense</v>
      </c>
      <c r="AM132" s="178" t="str">
        <f>_xlfn.XLOOKUP($A132,COA!$B:$B,COA!$E:$E,0,0,1)</f>
        <v>Accumulated deficit</v>
      </c>
      <c r="AO132" s="85" t="str">
        <f>_xlfn.XLOOKUP(AM132,FS.1!A:A,AM:AM,0,0,1)</f>
        <v>Due to related parties</v>
      </c>
      <c r="AP132" s="87"/>
      <c r="AQ132" s="87"/>
      <c r="AR132" s="87"/>
      <c r="AS132" s="87"/>
      <c r="AT132" s="85"/>
      <c r="AU132" s="85"/>
      <c r="AV132" s="85"/>
      <c r="AW132" s="85"/>
      <c r="AX132" s="85"/>
      <c r="AY132" s="85"/>
      <c r="AZ132" s="85"/>
      <c r="BA132" s="85"/>
      <c r="BB132" s="85"/>
      <c r="BC132" s="85"/>
      <c r="BD132" s="85"/>
      <c r="BE132" s="85"/>
      <c r="BF132" s="85"/>
      <c r="BG132" s="85"/>
    </row>
    <row r="133" spans="1:59" hidden="1" x14ac:dyDescent="0.25">
      <c r="A133" s="1389" t="str">
        <f>COA!B129</f>
        <v>6013 Interest expense</v>
      </c>
      <c r="B133" s="1390">
        <f>_xlfn.XLOOKUP(A133,'TB.1 - F25'!A:A,'TB.1 - F25'!D:D,0,0,1)</f>
        <v>37565</v>
      </c>
      <c r="C133" s="1390">
        <f>_xlfn.XLOOKUP(A133,'TB.1 - F25'!A:A,'TB.1 - F25'!H:H,0,0,1)</f>
        <v>7666.57</v>
      </c>
      <c r="D133" s="1390">
        <f>_xlfn.XLOOKUP(A133,'AJE.1 - F25'!A:A,'AJE.1 - F25'!F:F,0,0,1)</f>
        <v>0</v>
      </c>
      <c r="E133" s="1390"/>
      <c r="F133" s="219">
        <f>ROUND(SUM(B133:E133),0)</f>
        <v>45232</v>
      </c>
      <c r="G133" s="1390">
        <f>_xlfn.XLOOKUP($A133,TB.PRO!$A:$A,TB.PRO!F:F,0,0,1)</f>
        <v>20812</v>
      </c>
      <c r="H133" s="1390">
        <f>_xlfn.XLOOKUP($A133,TB.PRO!$A:$A,TB.PRO!G:G,0,0,1)</f>
        <v>961.17</v>
      </c>
      <c r="I133" s="1390">
        <f>SUMIF('[2]Sum - Fiscal'!$P:$P,A133,'[2]Sum - Fiscal'!$E:$E)</f>
        <v>0</v>
      </c>
      <c r="J133" s="1619">
        <f>C198</f>
        <v>120000</v>
      </c>
      <c r="K133" s="1390"/>
      <c r="L133" s="665">
        <f>ROUND(SUM(G133:K133),0)</f>
        <v>141773</v>
      </c>
      <c r="M133" s="1390">
        <f>_xlfn.XLOOKUP($A133,TB.PRO!$A:$A,TB.PRO!I:I,0,0,1)</f>
        <v>0</v>
      </c>
      <c r="N133" s="1390">
        <f>_xlfn.XLOOKUP($A133,TB.PRO!$A:$A,TB.PRO!J:J,0,0,1)</f>
        <v>0</v>
      </c>
      <c r="O133" s="1390">
        <f>SUMIF('[2]Sum - Fiscal'!$P:$P,$A133,'[2]Sum - Fiscal'!$F:$F)</f>
        <v>0</v>
      </c>
      <c r="P133" s="1619">
        <f>C199</f>
        <v>360000</v>
      </c>
      <c r="Q133" s="1390"/>
      <c r="R133" s="665">
        <f>ROUND(SUM(M133:Q133),0)</f>
        <v>360000</v>
      </c>
      <c r="S133" s="1390">
        <f>_xlfn.XLOOKUP($A133,TB.PRO!$A:$A,TB.PRO!L:L,0,0,1)</f>
        <v>0</v>
      </c>
      <c r="T133" s="1390">
        <f>_xlfn.XLOOKUP($A133,TB.PRO!$A:$A,TB.PRO!M:M,0,0,1)</f>
        <v>0</v>
      </c>
      <c r="U133" s="1390">
        <f>SUMIF('[2]Sum - Fiscal'!$P:$P,$A133,'[2]Sum - Fiscal'!$G:$G)</f>
        <v>0</v>
      </c>
      <c r="V133" s="1619">
        <f>C200</f>
        <v>360000</v>
      </c>
      <c r="W133" s="1390"/>
      <c r="X133" s="665">
        <f>ROUND(SUM(S133:W133),0)</f>
        <v>360000</v>
      </c>
      <c r="Y133" s="1390">
        <f>_xlfn.XLOOKUP($A133,TB.PRO!$A:$A,TB.PRO!O:O,0,0,1)</f>
        <v>0</v>
      </c>
      <c r="Z133" s="1390">
        <f>_xlfn.XLOOKUP($A133,TB.PRO!$A:$A,TB.PRO!P:P,0,0,1)</f>
        <v>0</v>
      </c>
      <c r="AA133" s="1390">
        <f>SUMIF('[2]Sum - Fiscal'!$P:$P,$A133,'[2]Sum - Fiscal'!$H:$H)</f>
        <v>0</v>
      </c>
      <c r="AB133" s="1390"/>
      <c r="AC133" s="1390"/>
      <c r="AD133" s="219">
        <f>ROUND(SUM(Y133:AC133),0)</f>
        <v>0</v>
      </c>
      <c r="AE133" s="1390">
        <f>_xlfn.XLOOKUP($A133,TB.PRO!$A:$A,TB.PRO!R:R,0,0,1)</f>
        <v>0</v>
      </c>
      <c r="AF133" s="1390">
        <f>_xlfn.XLOOKUP($A133,TB.PRO!$A:$A,TB.PRO!S:S,0,0,1)</f>
        <v>0</v>
      </c>
      <c r="AG133" s="1390">
        <f>SUMIF('[2]Sum - Fiscal'!$P:$P,$A133,'[2]Sum - Fiscal'!$I:$I)</f>
        <v>0</v>
      </c>
      <c r="AH133" s="1390"/>
      <c r="AI133" s="1390"/>
      <c r="AJ133" s="219">
        <f>ROUND(SUM(AE133:AI133),0)</f>
        <v>0</v>
      </c>
      <c r="AK133" s="178" t="str">
        <f>_xlfn.XLOOKUP($A133,COA!$B:$B,COA!$C:$C,0,0,1)</f>
        <v>Interest expense</v>
      </c>
      <c r="AL133" s="178" t="str">
        <f>_xlfn.XLOOKUP($A133,COA!$B:$B,COA!$D:$D,0,0,1)</f>
        <v>Interest expense</v>
      </c>
      <c r="AM133" s="178" t="str">
        <f>_xlfn.XLOOKUP($A133,COA!$B:$B,COA!$E:$E,0,0,1)</f>
        <v>Accumulated deficit</v>
      </c>
      <c r="AO133" s="85" t="str">
        <f>AM133</f>
        <v>Accumulated deficit</v>
      </c>
      <c r="AP133" s="87"/>
      <c r="AQ133" s="87"/>
      <c r="AR133" s="87"/>
      <c r="AS133" s="87"/>
      <c r="AT133" s="85"/>
      <c r="AU133" s="85"/>
      <c r="AV133" s="85"/>
      <c r="AW133" s="85"/>
      <c r="AX133" s="85"/>
      <c r="AY133" s="85"/>
      <c r="AZ133" s="85"/>
      <c r="BA133" s="85"/>
      <c r="BB133" s="85"/>
      <c r="BC133" s="85"/>
      <c r="BD133" s="85"/>
      <c r="BE133" s="85"/>
      <c r="BF133" s="85"/>
      <c r="BG133" s="85"/>
    </row>
    <row r="134" spans="1:59" hidden="1" x14ac:dyDescent="0.25">
      <c r="A134" s="1389" t="str">
        <f>COA!B130</f>
        <v>6015 Accounting Fees</v>
      </c>
      <c r="B134" s="1390">
        <f>_xlfn.XLOOKUP(A134,'TB.1 - F25'!A:A,'TB.1 - F25'!D:D,0,0,1)</f>
        <v>0</v>
      </c>
      <c r="C134" s="1390">
        <f>_xlfn.XLOOKUP(A134,'TB.1 - F25'!A:A,'TB.1 - F25'!H:H,0,0,1)</f>
        <v>0</v>
      </c>
      <c r="D134" s="1390">
        <f>_xlfn.XLOOKUP(A134,'AJE.1 - F25'!A:A,'AJE.1 - F25'!F:F,0,0,1)</f>
        <v>0</v>
      </c>
      <c r="E134" s="1390"/>
      <c r="F134" s="219">
        <f>ROUND(SUM(B134:E134),0)</f>
        <v>0</v>
      </c>
      <c r="G134" s="1390">
        <f>_xlfn.XLOOKUP($A134,TB.PRO!$A:$A,TB.PRO!F:F,0,0,1)</f>
        <v>0</v>
      </c>
      <c r="H134" s="1390">
        <f>_xlfn.XLOOKUP($A134,TB.PRO!$A:$A,TB.PRO!G:G,0,0,1)</f>
        <v>0</v>
      </c>
      <c r="I134" s="1390">
        <f>SUMIF('[2]Sum - Fiscal'!$P:$P,A134,'[2]Sum - Fiscal'!$E:$E)</f>
        <v>0</v>
      </c>
      <c r="J134" s="1390"/>
      <c r="K134" s="1390"/>
      <c r="L134" s="665">
        <f>ROUND(SUM(G134:K134),0)</f>
        <v>0</v>
      </c>
      <c r="M134" s="1390">
        <f>_xlfn.XLOOKUP($A134,TB.PRO!$A:$A,TB.PRO!I:I,0,0,1)</f>
        <v>0</v>
      </c>
      <c r="N134" s="1390">
        <f>_xlfn.XLOOKUP($A134,TB.PRO!$A:$A,TB.PRO!J:J,0,0,1)</f>
        <v>0</v>
      </c>
      <c r="O134" s="1390">
        <f>SUMIF('[2]Sum - Fiscal'!$P:$P,$A134,'[2]Sum - Fiscal'!$F:$F)</f>
        <v>0</v>
      </c>
      <c r="P134" s="1390"/>
      <c r="Q134" s="1390"/>
      <c r="R134" s="665">
        <f>ROUND(SUM(M134:Q134),0)</f>
        <v>0</v>
      </c>
      <c r="S134" s="1390">
        <f>_xlfn.XLOOKUP($A134,TB.PRO!$A:$A,TB.PRO!L:L,0,0,1)</f>
        <v>0</v>
      </c>
      <c r="T134" s="1390">
        <f>_xlfn.XLOOKUP($A134,TB.PRO!$A:$A,TB.PRO!M:M,0,0,1)</f>
        <v>0</v>
      </c>
      <c r="U134" s="1390">
        <f>SUMIF('[2]Sum - Fiscal'!$P:$P,$A134,'[2]Sum - Fiscal'!$G:$G)</f>
        <v>0</v>
      </c>
      <c r="V134" s="1390"/>
      <c r="W134" s="1390"/>
      <c r="X134" s="665">
        <f>ROUND(SUM(S134:W134),0)</f>
        <v>0</v>
      </c>
      <c r="Y134" s="1390">
        <f>_xlfn.XLOOKUP($A134,TB.PRO!$A:$A,TB.PRO!O:O,0,0,1)</f>
        <v>0</v>
      </c>
      <c r="Z134" s="1390">
        <f>_xlfn.XLOOKUP($A134,TB.PRO!$A:$A,TB.PRO!P:P,0,0,1)</f>
        <v>0</v>
      </c>
      <c r="AA134" s="1390">
        <f>SUMIF('[2]Sum - Fiscal'!$P:$P,$A134,'[2]Sum - Fiscal'!$H:$H)</f>
        <v>0</v>
      </c>
      <c r="AB134" s="1390"/>
      <c r="AC134" s="1390"/>
      <c r="AD134" s="219">
        <f>ROUND(SUM(Y134:AC134),0)</f>
        <v>0</v>
      </c>
      <c r="AE134" s="1390">
        <f>_xlfn.XLOOKUP($A134,TB.PRO!$A:$A,TB.PRO!R:R,0,0,1)</f>
        <v>0</v>
      </c>
      <c r="AF134" s="1390">
        <f>_xlfn.XLOOKUP($A134,TB.PRO!$A:$A,TB.PRO!S:S,0,0,1)</f>
        <v>0</v>
      </c>
      <c r="AG134" s="1390">
        <f>SUMIF('[2]Sum - Fiscal'!$P:$P,$A134,'[2]Sum - Fiscal'!$I:$I)</f>
        <v>0</v>
      </c>
      <c r="AH134" s="1390"/>
      <c r="AI134" s="1390"/>
      <c r="AJ134" s="219">
        <f>ROUND(SUM(AE134:AI134),0)</f>
        <v>0</v>
      </c>
      <c r="AK134" s="178" t="str">
        <f>_xlfn.XLOOKUP($A134,COA!$B:$B,COA!$C:$C,0,0,1)</f>
        <v>General and administration</v>
      </c>
      <c r="AL134" s="178" t="str">
        <f>_xlfn.XLOOKUP($A134,COA!$B:$B,COA!$D:$D,0,0,1)</f>
        <v>Professional fees</v>
      </c>
      <c r="AM134" s="178" t="str">
        <f>_xlfn.XLOOKUP($A134,COA!$B:$B,COA!$E:$E,0,0,1)</f>
        <v>Accumulated deficit</v>
      </c>
      <c r="AO134" s="85" t="str">
        <f>_xlfn.XLOOKUP(AM134,FS.1!A:A,AM:AM,0,0,1)</f>
        <v>Due to related parties</v>
      </c>
      <c r="AP134" s="87"/>
      <c r="AQ134" s="87"/>
      <c r="AR134" s="87"/>
      <c r="AS134" s="87"/>
      <c r="AT134" s="85"/>
      <c r="AU134" s="85"/>
      <c r="AV134" s="85"/>
      <c r="AW134" s="85"/>
      <c r="AX134" s="85"/>
      <c r="AY134" s="85"/>
      <c r="AZ134" s="85"/>
      <c r="BA134" s="85"/>
      <c r="BB134" s="85"/>
      <c r="BC134" s="85"/>
      <c r="BD134" s="85"/>
      <c r="BE134" s="85"/>
      <c r="BF134" s="85"/>
      <c r="BG134" s="85"/>
    </row>
    <row r="135" spans="1:59" hidden="1" x14ac:dyDescent="0.25">
      <c r="A135" s="1389" t="str">
        <f>COA!B131</f>
        <v>6015 Accounting &amp; Legal</v>
      </c>
      <c r="B135" s="1390">
        <f>_xlfn.XLOOKUP(A135,'TB.1 - F25'!A:A,'TB.1 - F25'!D:D,0,0,1)</f>
        <v>0</v>
      </c>
      <c r="C135" s="1390">
        <f>_xlfn.XLOOKUP(A135,'TB.1 - F25'!A:A,'TB.1 - F25'!H:H,0,0,1)</f>
        <v>449.4</v>
      </c>
      <c r="D135" s="1390">
        <f>_xlfn.XLOOKUP(A135,'AJE.1 - F25'!A:A,'AJE.1 - F25'!F:F,0,0,1)</f>
        <v>0</v>
      </c>
      <c r="E135" s="1390"/>
      <c r="F135" s="219">
        <f>ROUND(SUM(B135:E135),0)</f>
        <v>449</v>
      </c>
      <c r="G135" s="1390">
        <f>_xlfn.XLOOKUP($A135,TB.PRO!$A:$A,TB.PRO!F:F,0,0,1)</f>
        <v>0</v>
      </c>
      <c r="H135" s="1390">
        <f>_xlfn.XLOOKUP($A135,TB.PRO!$A:$A,TB.PRO!G:G,0,0,1)</f>
        <v>1500</v>
      </c>
      <c r="I135" s="1390">
        <f>SUMIF('[2]Sum - Fiscal'!$P:$P,A135,'[2]Sum - Fiscal'!$E:$E)</f>
        <v>0</v>
      </c>
      <c r="J135" s="1390"/>
      <c r="K135" s="1390"/>
      <c r="L135" s="665">
        <f>ROUND(SUM(G135:K135),0)</f>
        <v>1500</v>
      </c>
      <c r="M135" s="1390">
        <f>_xlfn.XLOOKUP($A135,TB.PRO!$A:$A,TB.PRO!I:I,0,0,1)</f>
        <v>0</v>
      </c>
      <c r="N135" s="1390">
        <f>_xlfn.XLOOKUP($A135,TB.PRO!$A:$A,TB.PRO!J:J,0,0,1)</f>
        <v>0</v>
      </c>
      <c r="O135" s="1390">
        <f>SUMIF('[2]Sum - Fiscal'!$P:$P,$A135,'[2]Sum - Fiscal'!$F:$F)</f>
        <v>0</v>
      </c>
      <c r="P135" s="1390"/>
      <c r="Q135" s="1390"/>
      <c r="R135" s="665">
        <f>ROUND(SUM(M135:Q135),0)</f>
        <v>0</v>
      </c>
      <c r="S135" s="1390">
        <f>_xlfn.XLOOKUP($A135,TB.PRO!$A:$A,TB.PRO!L:L,0,0,1)</f>
        <v>0</v>
      </c>
      <c r="T135" s="1390">
        <f>_xlfn.XLOOKUP($A135,TB.PRO!$A:$A,TB.PRO!M:M,0,0,1)</f>
        <v>0</v>
      </c>
      <c r="U135" s="1390">
        <f>SUMIF('[2]Sum - Fiscal'!$P:$P,$A135,'[2]Sum - Fiscal'!$G:$G)</f>
        <v>0</v>
      </c>
      <c r="V135" s="1390"/>
      <c r="W135" s="1390"/>
      <c r="X135" s="665">
        <f>ROUND(SUM(S135:W135),0)</f>
        <v>0</v>
      </c>
      <c r="Y135" s="1390">
        <f>_xlfn.XLOOKUP($A135,TB.PRO!$A:$A,TB.PRO!O:O,0,0,1)</f>
        <v>0</v>
      </c>
      <c r="Z135" s="1390">
        <f>_xlfn.XLOOKUP($A135,TB.PRO!$A:$A,TB.PRO!P:P,0,0,1)</f>
        <v>0</v>
      </c>
      <c r="AA135" s="1390">
        <f>SUMIF('[2]Sum - Fiscal'!$P:$P,$A135,'[2]Sum - Fiscal'!$H:$H)</f>
        <v>0</v>
      </c>
      <c r="AB135" s="1390"/>
      <c r="AC135" s="1390"/>
      <c r="AD135" s="219">
        <f>ROUND(SUM(Y135:AC135),0)</f>
        <v>0</v>
      </c>
      <c r="AE135" s="1390">
        <f>_xlfn.XLOOKUP($A135,TB.PRO!$A:$A,TB.PRO!R:R,0,0,1)</f>
        <v>0</v>
      </c>
      <c r="AF135" s="1390">
        <f>_xlfn.XLOOKUP($A135,TB.PRO!$A:$A,TB.PRO!S:S,0,0,1)</f>
        <v>0</v>
      </c>
      <c r="AG135" s="1390">
        <f>SUMIF('[2]Sum - Fiscal'!$P:$P,$A135,'[2]Sum - Fiscal'!$I:$I)</f>
        <v>0</v>
      </c>
      <c r="AH135" s="1390"/>
      <c r="AI135" s="1390"/>
      <c r="AJ135" s="219">
        <f>ROUND(SUM(AE135:AI135),0)</f>
        <v>0</v>
      </c>
      <c r="AK135" s="178" t="str">
        <f>_xlfn.XLOOKUP($A135,COA!$B:$B,COA!$C:$C,0,0,1)</f>
        <v>General and administration</v>
      </c>
      <c r="AL135" s="178" t="str">
        <f>_xlfn.XLOOKUP($A135,COA!$B:$B,COA!$D:$D,0,0,1)</f>
        <v>Professional fees</v>
      </c>
      <c r="AM135" s="178" t="str">
        <f>_xlfn.XLOOKUP($A135,COA!$B:$B,COA!$E:$E,0,0,1)</f>
        <v>Accumulated deficit</v>
      </c>
      <c r="AO135" s="85" t="str">
        <f t="shared" ref="AO135:AO152" si="20">AM135</f>
        <v>Accumulated deficit</v>
      </c>
      <c r="AP135" s="87"/>
      <c r="AQ135" s="87"/>
      <c r="AR135" s="87"/>
      <c r="AS135" s="87"/>
      <c r="AT135" s="85"/>
      <c r="AU135" s="85"/>
      <c r="AV135" s="85"/>
      <c r="AW135" s="85"/>
      <c r="AX135" s="85"/>
      <c r="AY135" s="85"/>
      <c r="AZ135" s="85"/>
      <c r="BA135" s="85"/>
      <c r="BB135" s="85"/>
      <c r="BC135" s="85"/>
      <c r="BD135" s="85"/>
      <c r="BE135" s="85"/>
      <c r="BF135" s="85"/>
      <c r="BG135" s="85"/>
    </row>
    <row r="136" spans="1:59" x14ac:dyDescent="0.25">
      <c r="A136" s="1389" t="str">
        <f>COA!B132</f>
        <v>6016 Legal and professional fees</v>
      </c>
      <c r="B136" s="1390">
        <f>_xlfn.XLOOKUP(A136,'TB.1 - F25'!A:A,'TB.1 - F25'!D:D,0,0,1)</f>
        <v>133276.85</v>
      </c>
      <c r="C136" s="1390">
        <f>_xlfn.XLOOKUP(A136,'TB.1 - F25'!A:A,'TB.1 - F25'!H:H,0,0,1)</f>
        <v>0</v>
      </c>
      <c r="D136" s="1390">
        <f>_xlfn.XLOOKUP(A136,'AJE.1 - F25'!A:A,'AJE.1 - F25'!F:F,0,0,1)</f>
        <v>0</v>
      </c>
      <c r="E136" s="1390"/>
      <c r="F136" s="219">
        <f>ROUND(SUM(B136:E136),0)</f>
        <v>133277</v>
      </c>
      <c r="G136" s="1390">
        <f>_xlfn.XLOOKUP($A136,TB.PRO!$A:$A,TB.PRO!F:F,0,0,1)</f>
        <v>0</v>
      </c>
      <c r="H136" s="1390">
        <f>_xlfn.XLOOKUP($A136,TB.PRO!$A:$A,TB.PRO!G:G,0,0,1)</f>
        <v>0</v>
      </c>
      <c r="I136" s="1390">
        <f>SUMIF('[2]Sum - Fiscal'!$P:$P,A136,'[2]Sum - Fiscal'!$E:$E)</f>
        <v>110000</v>
      </c>
      <c r="J136" s="1390"/>
      <c r="K136" s="1390"/>
      <c r="L136" s="665">
        <f>ROUND(SUM(G136:K136),0)</f>
        <v>110000</v>
      </c>
      <c r="M136" s="1390">
        <f>_xlfn.XLOOKUP($A136,TB.PRO!$A:$A,TB.PRO!I:I,0,0,1)</f>
        <v>0</v>
      </c>
      <c r="N136" s="1390">
        <f>_xlfn.XLOOKUP($A136,TB.PRO!$A:$A,TB.PRO!J:J,0,0,1)</f>
        <v>0</v>
      </c>
      <c r="O136" s="1390">
        <f>SUMIF('[2]Sum - Fiscal'!$P:$P,$A136,'[2]Sum - Fiscal'!$F:$F)</f>
        <v>90000</v>
      </c>
      <c r="P136" s="1390"/>
      <c r="Q136" s="1390"/>
      <c r="R136" s="665">
        <f>ROUND(SUM(M136:Q136),0)</f>
        <v>90000</v>
      </c>
      <c r="S136" s="1390">
        <f>_xlfn.XLOOKUP($A136,TB.PRO!$A:$A,TB.PRO!L:L,0,0,1)</f>
        <v>0</v>
      </c>
      <c r="T136" s="1390">
        <f>_xlfn.XLOOKUP($A136,TB.PRO!$A:$A,TB.PRO!M:M,0,0,1)</f>
        <v>0</v>
      </c>
      <c r="U136" s="1390">
        <f>SUMIF('[2]Sum - Fiscal'!$P:$P,$A136,'[2]Sum - Fiscal'!$G:$G)</f>
        <v>90000</v>
      </c>
      <c r="V136" s="1390"/>
      <c r="W136" s="1390"/>
      <c r="X136" s="665">
        <f>ROUND(SUM(S136:W136),0)</f>
        <v>90000</v>
      </c>
      <c r="Y136" s="1390">
        <f>_xlfn.XLOOKUP($A136,TB.PRO!$A:$A,TB.PRO!O:O,0,0,1)</f>
        <v>0</v>
      </c>
      <c r="Z136" s="1390">
        <f>_xlfn.XLOOKUP($A136,TB.PRO!$A:$A,TB.PRO!P:P,0,0,1)</f>
        <v>0</v>
      </c>
      <c r="AA136" s="1390">
        <f>SUMIF('[2]Sum - Fiscal'!$P:$P,$A136,'[2]Sum - Fiscal'!$H:$H)</f>
        <v>108000</v>
      </c>
      <c r="AB136" s="1390"/>
      <c r="AC136" s="1390"/>
      <c r="AD136" s="219">
        <f>ROUND(SUM(Y136:AC136),0)</f>
        <v>108000</v>
      </c>
      <c r="AE136" s="1390">
        <f>_xlfn.XLOOKUP($A136,TB.PRO!$A:$A,TB.PRO!R:R,0,0,1)</f>
        <v>0</v>
      </c>
      <c r="AF136" s="1390">
        <f>_xlfn.XLOOKUP($A136,TB.PRO!$A:$A,TB.PRO!S:S,0,0,1)</f>
        <v>0</v>
      </c>
      <c r="AG136" s="1390">
        <f>SUMIF('[2]Sum - Fiscal'!$P:$P,$A136,'[2]Sum - Fiscal'!$I:$I)</f>
        <v>129600</v>
      </c>
      <c r="AH136" s="1390"/>
      <c r="AI136" s="1390"/>
      <c r="AJ136" s="219">
        <f>ROUND(SUM(AE136:AI136),0)</f>
        <v>129600</v>
      </c>
      <c r="AK136" s="178" t="str">
        <f>_xlfn.XLOOKUP($A136,COA!$B:$B,COA!$C:$C,0,0,1)</f>
        <v>General and administration</v>
      </c>
      <c r="AL136" s="178" t="str">
        <f>_xlfn.XLOOKUP($A136,COA!$B:$B,COA!$D:$D,0,0,1)</f>
        <v>Professional fees</v>
      </c>
      <c r="AM136" s="178" t="str">
        <f>_xlfn.XLOOKUP($A136,COA!$B:$B,COA!$E:$E,0,0,1)</f>
        <v>Accumulated deficit</v>
      </c>
      <c r="AO136" s="85" t="str">
        <f t="shared" si="20"/>
        <v>Accumulated deficit</v>
      </c>
      <c r="AP136" s="87"/>
      <c r="AQ136" s="87"/>
      <c r="AR136" s="87"/>
      <c r="AS136" s="87"/>
      <c r="AT136" s="85"/>
      <c r="AU136" s="85"/>
      <c r="AV136" s="85"/>
      <c r="AW136" s="85"/>
      <c r="AX136" s="85"/>
      <c r="AY136" s="85"/>
      <c r="AZ136" s="85"/>
      <c r="BA136" s="85"/>
      <c r="BB136" s="85"/>
      <c r="BC136" s="85"/>
      <c r="BD136" s="85"/>
      <c r="BE136" s="85"/>
      <c r="BF136" s="85"/>
      <c r="BG136" s="85"/>
    </row>
    <row r="137" spans="1:59" x14ac:dyDescent="0.25">
      <c r="A137" s="1389" t="str">
        <f>COA!B133</f>
        <v>6016 Consulting Expense</v>
      </c>
      <c r="B137" s="1390">
        <f>_xlfn.XLOOKUP(A137,'TB.1 - F25'!A:A,'TB.1 - F25'!D:D,0,0,1)</f>
        <v>0</v>
      </c>
      <c r="C137" s="1390">
        <f>_xlfn.XLOOKUP(A137,'TB.1 - F25'!A:A,'TB.1 - F25'!H:H,0,0,1)</f>
        <v>225291.05</v>
      </c>
      <c r="D137" s="1390">
        <f>_xlfn.XLOOKUP(A137,'AJE.1 - F25'!A:A,'AJE.1 - F25'!F:F,0,0,1)</f>
        <v>0</v>
      </c>
      <c r="E137" s="1390"/>
      <c r="F137" s="219">
        <f>ROUND(SUM(B137:E137),0)</f>
        <v>225291</v>
      </c>
      <c r="G137" s="1390">
        <f>_xlfn.XLOOKUP($A137,TB.PRO!$A:$A,TB.PRO!F:F,0,0,1)</f>
        <v>0</v>
      </c>
      <c r="H137" s="1390">
        <f>_xlfn.XLOOKUP($A137,TB.PRO!$A:$A,TB.PRO!G:G,0,0,1)</f>
        <v>149417</v>
      </c>
      <c r="I137" s="1390">
        <f>SUMIF('[2]Sum - Fiscal'!$P:$P,A137,'[2]Sum - Fiscal'!$E:$E)*0.5</f>
        <v>108000</v>
      </c>
      <c r="J137" s="1390"/>
      <c r="K137" s="1390"/>
      <c r="L137" s="665">
        <f>ROUND(SUM(G137:K137),0)</f>
        <v>257417</v>
      </c>
      <c r="M137" s="1390">
        <f>_xlfn.XLOOKUP($A137,TB.PRO!$A:$A,TB.PRO!I:I,0,0,1)</f>
        <v>0</v>
      </c>
      <c r="N137" s="1390">
        <f>_xlfn.XLOOKUP($A137,TB.PRO!$A:$A,TB.PRO!J:J,0,0,1)</f>
        <v>0</v>
      </c>
      <c r="O137" s="1390">
        <f>SUMIF('[2]Sum - Fiscal'!$P:$P,$A137,'[2]Sum - Fiscal'!$F:$F)</f>
        <v>276000</v>
      </c>
      <c r="P137" s="1390"/>
      <c r="Q137" s="1390"/>
      <c r="R137" s="665">
        <f>ROUND(SUM(M137:Q137),0)</f>
        <v>276000</v>
      </c>
      <c r="S137" s="1390">
        <f>_xlfn.XLOOKUP($A137,TB.PRO!$A:$A,TB.PRO!L:L,0,0,1)</f>
        <v>0</v>
      </c>
      <c r="T137" s="1390">
        <f>_xlfn.XLOOKUP($A137,TB.PRO!$A:$A,TB.PRO!M:M,0,0,1)</f>
        <v>0</v>
      </c>
      <c r="U137" s="1390">
        <f>SUMIF('[2]Sum - Fiscal'!$P:$P,$A137,'[2]Sum - Fiscal'!$G:$G)</f>
        <v>276000</v>
      </c>
      <c r="V137" s="1390"/>
      <c r="W137" s="1390"/>
      <c r="X137" s="665">
        <f>ROUND(SUM(S137:W137),0)</f>
        <v>276000</v>
      </c>
      <c r="Y137" s="1390">
        <f>_xlfn.XLOOKUP($A137,TB.PRO!$A:$A,TB.PRO!O:O,0,0,1)</f>
        <v>0</v>
      </c>
      <c r="Z137" s="1390">
        <f>_xlfn.XLOOKUP($A137,TB.PRO!$A:$A,TB.PRO!P:P,0,0,1)</f>
        <v>0</v>
      </c>
      <c r="AA137" s="1390">
        <f>SUMIF('[2]Sum - Fiscal'!$P:$P,$A137,'[2]Sum - Fiscal'!$H:$H)</f>
        <v>276000</v>
      </c>
      <c r="AB137" s="1390"/>
      <c r="AC137" s="1390"/>
      <c r="AD137" s="219">
        <f>ROUND(SUM(Y137:AC137),0)</f>
        <v>276000</v>
      </c>
      <c r="AE137" s="1390">
        <f>_xlfn.XLOOKUP($A137,TB.PRO!$A:$A,TB.PRO!R:R,0,0,1)</f>
        <v>0</v>
      </c>
      <c r="AF137" s="1390">
        <f>_xlfn.XLOOKUP($A137,TB.PRO!$A:$A,TB.PRO!S:S,0,0,1)</f>
        <v>0</v>
      </c>
      <c r="AG137" s="1390">
        <f>SUMIF('[2]Sum - Fiscal'!$P:$P,$A137,'[2]Sum - Fiscal'!$I:$I)</f>
        <v>276000</v>
      </c>
      <c r="AH137" s="1390"/>
      <c r="AI137" s="1390"/>
      <c r="AJ137" s="219">
        <f>ROUND(SUM(AE137:AI137),0)</f>
        <v>276000</v>
      </c>
      <c r="AK137" s="178" t="str">
        <f>_xlfn.XLOOKUP($A137,COA!$B:$B,COA!$C:$C,0,0,1)</f>
        <v>General and administration</v>
      </c>
      <c r="AL137" s="178" t="str">
        <f>_xlfn.XLOOKUP($A137,COA!$B:$B,COA!$D:$D,0,0,1)</f>
        <v>Consulting expense</v>
      </c>
      <c r="AM137" s="178" t="str">
        <f>_xlfn.XLOOKUP($A137,COA!$B:$B,COA!$E:$E,0,0,1)</f>
        <v>Accumulated deficit</v>
      </c>
      <c r="AO137" s="85" t="str">
        <f t="shared" si="20"/>
        <v>Accumulated deficit</v>
      </c>
      <c r="AP137" s="87"/>
      <c r="AQ137" s="87"/>
      <c r="AR137" s="87"/>
      <c r="AS137" s="87"/>
      <c r="AT137" s="85"/>
      <c r="AU137" s="85"/>
      <c r="AV137" s="85"/>
      <c r="AW137" s="85"/>
      <c r="AX137" s="85"/>
      <c r="AY137" s="85"/>
      <c r="AZ137" s="85"/>
      <c r="BA137" s="85"/>
      <c r="BB137" s="85"/>
      <c r="BC137" s="85"/>
      <c r="BD137" s="85"/>
      <c r="BE137" s="85"/>
      <c r="BF137" s="85"/>
      <c r="BG137" s="85"/>
    </row>
    <row r="138" spans="1:59" hidden="1" x14ac:dyDescent="0.25">
      <c r="A138" s="1389" t="str">
        <f>COA!B134</f>
        <v>6017 Consulting Fees</v>
      </c>
      <c r="B138" s="1390">
        <f>_xlfn.XLOOKUP(A138,'TB.1 - F25'!A:A,'TB.1 - F25'!D:D,0,0,1)</f>
        <v>93000</v>
      </c>
      <c r="C138" s="1390">
        <f>_xlfn.XLOOKUP(A138,'TB.1 - F25'!A:A,'TB.1 - F25'!H:H,0,0,1)</f>
        <v>0</v>
      </c>
      <c r="D138" s="1390">
        <f>_xlfn.XLOOKUP(A138,'AJE.1 - F25'!A:A,'AJE.1 - F25'!F:F,0,0,1)</f>
        <v>0</v>
      </c>
      <c r="E138" s="1390"/>
      <c r="F138" s="219">
        <f>ROUND(SUM(B138:E138),0)</f>
        <v>93000</v>
      </c>
      <c r="G138" s="1390">
        <f>_xlfn.XLOOKUP($A138,TB.PRO!$A:$A,TB.PRO!F:F,0,0,1)</f>
        <v>16000</v>
      </c>
      <c r="H138" s="1390">
        <f>_xlfn.XLOOKUP($A138,TB.PRO!$A:$A,TB.PRO!G:G,0,0,1)</f>
        <v>0</v>
      </c>
      <c r="I138" s="1390">
        <f>SUMIF('[2]Sum - Fiscal'!$P:$P,A138,'[2]Sum - Fiscal'!$E:$E)</f>
        <v>0</v>
      </c>
      <c r="J138" s="1390"/>
      <c r="K138" s="1390"/>
      <c r="L138" s="665">
        <f>ROUND(SUM(G138:K138),0)</f>
        <v>16000</v>
      </c>
      <c r="M138" s="1390">
        <f>_xlfn.XLOOKUP($A138,TB.PRO!$A:$A,TB.PRO!I:I,0,0,1)</f>
        <v>0</v>
      </c>
      <c r="N138" s="1390">
        <f>_xlfn.XLOOKUP($A138,TB.PRO!$A:$A,TB.PRO!J:J,0,0,1)</f>
        <v>0</v>
      </c>
      <c r="O138" s="1390">
        <f>SUMIF('[2]Sum - Fiscal'!$P:$P,$A138,'[2]Sum - Fiscal'!$F:$F)</f>
        <v>0</v>
      </c>
      <c r="P138" s="1390"/>
      <c r="Q138" s="1390"/>
      <c r="R138" s="665">
        <f>ROUND(SUM(M138:Q138),0)</f>
        <v>0</v>
      </c>
      <c r="S138" s="1390">
        <f>_xlfn.XLOOKUP($A138,TB.PRO!$A:$A,TB.PRO!L:L,0,0,1)</f>
        <v>0</v>
      </c>
      <c r="T138" s="1390">
        <f>_xlfn.XLOOKUP($A138,TB.PRO!$A:$A,TB.PRO!M:M,0,0,1)</f>
        <v>0</v>
      </c>
      <c r="U138" s="1390">
        <f>SUMIF('[2]Sum - Fiscal'!$P:$P,$A138,'[2]Sum - Fiscal'!$G:$G)</f>
        <v>0</v>
      </c>
      <c r="V138" s="1390"/>
      <c r="W138" s="1390"/>
      <c r="X138" s="665">
        <f>ROUND(SUM(S138:W138),0)</f>
        <v>0</v>
      </c>
      <c r="Y138" s="1390">
        <f>_xlfn.XLOOKUP($A138,TB.PRO!$A:$A,TB.PRO!O:O,0,0,1)</f>
        <v>0</v>
      </c>
      <c r="Z138" s="1390">
        <f>_xlfn.XLOOKUP($A138,TB.PRO!$A:$A,TB.PRO!P:P,0,0,1)</f>
        <v>0</v>
      </c>
      <c r="AA138" s="1390">
        <f>SUMIF('[2]Sum - Fiscal'!$P:$P,$A138,'[2]Sum - Fiscal'!$H:$H)</f>
        <v>0</v>
      </c>
      <c r="AB138" s="1390"/>
      <c r="AC138" s="1390"/>
      <c r="AD138" s="219">
        <f>ROUND(SUM(Y138:AC138),0)</f>
        <v>0</v>
      </c>
      <c r="AE138" s="1390">
        <f>_xlfn.XLOOKUP($A138,TB.PRO!$A:$A,TB.PRO!R:R,0,0,1)</f>
        <v>0</v>
      </c>
      <c r="AF138" s="1390">
        <f>_xlfn.XLOOKUP($A138,TB.PRO!$A:$A,TB.PRO!S:S,0,0,1)</f>
        <v>0</v>
      </c>
      <c r="AG138" s="1390">
        <f>SUMIF('[2]Sum - Fiscal'!$P:$P,$A138,'[2]Sum - Fiscal'!$I:$I)</f>
        <v>0</v>
      </c>
      <c r="AH138" s="1390"/>
      <c r="AI138" s="1390"/>
      <c r="AJ138" s="219">
        <f>ROUND(SUM(AE138:AI138),0)</f>
        <v>0</v>
      </c>
      <c r="AK138" s="178" t="str">
        <f>_xlfn.XLOOKUP($A138,COA!$B:$B,COA!$C:$C,0,0,1)</f>
        <v>General and administration</v>
      </c>
      <c r="AL138" s="178" t="str">
        <f>_xlfn.XLOOKUP($A138,COA!$B:$B,COA!$D:$D,0,0,1)</f>
        <v>Consulting expense</v>
      </c>
      <c r="AM138" s="178" t="str">
        <f>_xlfn.XLOOKUP($A138,COA!$B:$B,COA!$E:$E,0,0,1)</f>
        <v>Accumulated deficit</v>
      </c>
      <c r="AO138" s="85" t="str">
        <f t="shared" si="20"/>
        <v>Accumulated deficit</v>
      </c>
      <c r="AP138" s="87"/>
      <c r="AQ138" s="87"/>
      <c r="AR138" s="87"/>
      <c r="AS138" s="87"/>
      <c r="AT138" s="85"/>
      <c r="AU138" s="85"/>
      <c r="AV138" s="85"/>
      <c r="AW138" s="85"/>
      <c r="AX138" s="85"/>
      <c r="AY138" s="85"/>
      <c r="AZ138" s="85"/>
      <c r="BA138" s="85"/>
      <c r="BB138" s="85"/>
      <c r="BC138" s="85"/>
      <c r="BD138" s="85"/>
      <c r="BE138" s="85"/>
      <c r="BF138" s="85"/>
      <c r="BG138" s="85"/>
    </row>
    <row r="139" spans="1:59" x14ac:dyDescent="0.25">
      <c r="A139" s="1389" t="str">
        <f>COA!B135</f>
        <v>6018 Dues and Subscription</v>
      </c>
      <c r="B139" s="1390">
        <f>_xlfn.XLOOKUP(A139,'TB.1 - F25'!A:A,'TB.1 - F25'!D:D,0,0,1)</f>
        <v>0</v>
      </c>
      <c r="C139" s="1390">
        <f>_xlfn.XLOOKUP(A139,'TB.1 - F25'!A:A,'TB.1 - F25'!H:H,0,0,1)</f>
        <v>-29.16</v>
      </c>
      <c r="D139" s="1390">
        <f>_xlfn.XLOOKUP(A139,'AJE.1 - F25'!A:A,'AJE.1 - F25'!F:F,0,0,1)</f>
        <v>0</v>
      </c>
      <c r="E139" s="1390"/>
      <c r="F139" s="219">
        <f>ROUND(SUM(B139:E139),0)</f>
        <v>-29</v>
      </c>
      <c r="G139" s="1390">
        <f>_xlfn.XLOOKUP($A139,TB.PRO!$A:$A,TB.PRO!F:F,0,0,1)</f>
        <v>0</v>
      </c>
      <c r="H139" s="1390">
        <f>_xlfn.XLOOKUP($A139,TB.PRO!$A:$A,TB.PRO!G:G,0,0,1)</f>
        <v>0</v>
      </c>
      <c r="I139" s="1390">
        <f>SUMIF('[2]Sum - Fiscal'!$P:$P,A139,'[2]Sum - Fiscal'!$E:$E)</f>
        <v>1776.84</v>
      </c>
      <c r="J139" s="1390"/>
      <c r="K139" s="1390"/>
      <c r="L139" s="665">
        <f>ROUND(SUM(G139:K139),0)</f>
        <v>1777</v>
      </c>
      <c r="M139" s="1390">
        <f>_xlfn.XLOOKUP($A139,TB.PRO!$A:$A,TB.PRO!I:I,0,0,1)</f>
        <v>0</v>
      </c>
      <c r="N139" s="1390">
        <f>_xlfn.XLOOKUP($A139,TB.PRO!$A:$A,TB.PRO!J:J,0,0,1)</f>
        <v>0</v>
      </c>
      <c r="O139" s="1390">
        <f>SUMIF('[2]Sum - Fiscal'!$P:$P,$A139,'[2]Sum - Fiscal'!$F:$F)</f>
        <v>1812.3768</v>
      </c>
      <c r="P139" s="1390"/>
      <c r="Q139" s="1390"/>
      <c r="R139" s="665">
        <f>ROUND(SUM(M139:Q139),0)</f>
        <v>1812</v>
      </c>
      <c r="S139" s="1390">
        <f>_xlfn.XLOOKUP($A139,TB.PRO!$A:$A,TB.PRO!L:L,0,0,1)</f>
        <v>0</v>
      </c>
      <c r="T139" s="1390">
        <f>_xlfn.XLOOKUP($A139,TB.PRO!$A:$A,TB.PRO!M:M,0,0,1)</f>
        <v>0</v>
      </c>
      <c r="U139" s="1390">
        <f>SUMIF('[2]Sum - Fiscal'!$P:$P,$A139,'[2]Sum - Fiscal'!$G:$G)</f>
        <v>1848.6243360000001</v>
      </c>
      <c r="V139" s="1390"/>
      <c r="W139" s="1390"/>
      <c r="X139" s="665">
        <f>ROUND(SUM(S139:W139),0)</f>
        <v>1849</v>
      </c>
      <c r="Y139" s="1390">
        <f>_xlfn.XLOOKUP($A139,TB.PRO!$A:$A,TB.PRO!O:O,0,0,1)</f>
        <v>0</v>
      </c>
      <c r="Z139" s="1390">
        <f>_xlfn.XLOOKUP($A139,TB.PRO!$A:$A,TB.PRO!P:P,0,0,1)</f>
        <v>0</v>
      </c>
      <c r="AA139" s="1390">
        <f>SUMIF('[2]Sum - Fiscal'!$P:$P,$A139,'[2]Sum - Fiscal'!$H:$H)</f>
        <v>1885.5968227200001</v>
      </c>
      <c r="AB139" s="1390"/>
      <c r="AC139" s="1390"/>
      <c r="AD139" s="219">
        <f>ROUND(SUM(Y139:AC139),0)</f>
        <v>1886</v>
      </c>
      <c r="AE139" s="1390">
        <f>_xlfn.XLOOKUP($A139,TB.PRO!$A:$A,TB.PRO!R:R,0,0,1)</f>
        <v>0</v>
      </c>
      <c r="AF139" s="1390">
        <f>_xlfn.XLOOKUP($A139,TB.PRO!$A:$A,TB.PRO!S:S,0,0,1)</f>
        <v>0</v>
      </c>
      <c r="AG139" s="1390">
        <f>SUMIF('[2]Sum - Fiscal'!$P:$P,$A139,'[2]Sum - Fiscal'!$I:$I)</f>
        <v>1923.3087591744002</v>
      </c>
      <c r="AH139" s="1390"/>
      <c r="AI139" s="1390"/>
      <c r="AJ139" s="219">
        <f>ROUND(SUM(AE139:AI139),0)</f>
        <v>1923</v>
      </c>
      <c r="AK139" s="178" t="str">
        <f>_xlfn.XLOOKUP($A139,COA!$B:$B,COA!$C:$C,0,0,1)</f>
        <v>General and administration</v>
      </c>
      <c r="AL139" s="178" t="str">
        <f>_xlfn.XLOOKUP($A139,COA!$B:$B,COA!$D:$D,0,0,1)</f>
        <v>Dues, licenses, and permits</v>
      </c>
      <c r="AM139" s="178" t="str">
        <f>_xlfn.XLOOKUP($A139,COA!$B:$B,COA!$E:$E,0,0,1)</f>
        <v>Accumulated deficit</v>
      </c>
      <c r="AO139" s="85" t="str">
        <f t="shared" si="20"/>
        <v>Accumulated deficit</v>
      </c>
      <c r="AP139" s="87"/>
      <c r="AQ139" s="87"/>
      <c r="AR139" s="87"/>
      <c r="AS139" s="87"/>
      <c r="AT139" s="85"/>
      <c r="AU139" s="85"/>
      <c r="AV139" s="85"/>
      <c r="AW139" s="85"/>
      <c r="AX139" s="85"/>
      <c r="AY139" s="85"/>
      <c r="AZ139" s="85"/>
      <c r="BA139" s="85"/>
      <c r="BB139" s="85"/>
      <c r="BC139" s="85"/>
      <c r="BD139" s="85"/>
      <c r="BE139" s="85"/>
      <c r="BF139" s="85"/>
      <c r="BG139" s="85"/>
    </row>
    <row r="140" spans="1:59" x14ac:dyDescent="0.25">
      <c r="A140" s="1389" t="str">
        <f>COA!B136</f>
        <v>6020 Advertising &amp; Promotion</v>
      </c>
      <c r="B140" s="1390">
        <f>_xlfn.XLOOKUP(A140,'TB.1 - F25'!A:A,'TB.1 - F25'!D:D,0,0,1)</f>
        <v>0</v>
      </c>
      <c r="C140" s="1390">
        <f>_xlfn.XLOOKUP(A140,'TB.1 - F25'!A:A,'TB.1 - F25'!H:H,0,0,1)</f>
        <v>65281.8</v>
      </c>
      <c r="D140" s="1390">
        <f>_xlfn.XLOOKUP(A140,'AJE.1 - F25'!A:A,'AJE.1 - F25'!F:F,0,0,1)</f>
        <v>0</v>
      </c>
      <c r="E140" s="1390"/>
      <c r="F140" s="219">
        <f>ROUND(SUM(B140:E140),0)</f>
        <v>65282</v>
      </c>
      <c r="G140" s="1390">
        <f>_xlfn.XLOOKUP($A140,TB.PRO!$A:$A,TB.PRO!F:F,0,0,1)</f>
        <v>0</v>
      </c>
      <c r="H140" s="1390">
        <f>_xlfn.XLOOKUP($A140,TB.PRO!$A:$A,TB.PRO!G:G,0,0,1)</f>
        <v>39640.050000000003</v>
      </c>
      <c r="I140" s="1390">
        <f>SUMIF('[2]Sum - Fiscal'!$P:$P,A140,'[2]Sum - Fiscal'!$E:$E)*0.5</f>
        <v>39000</v>
      </c>
      <c r="J140" s="1390"/>
      <c r="K140" s="1390"/>
      <c r="L140" s="665">
        <f>ROUND(SUM(G140:K140),0)</f>
        <v>78640</v>
      </c>
      <c r="M140" s="1390">
        <f>_xlfn.XLOOKUP($A140,TB.PRO!$A:$A,TB.PRO!I:I,0,0,1)</f>
        <v>0</v>
      </c>
      <c r="N140" s="1390">
        <f>_xlfn.XLOOKUP($A140,TB.PRO!$A:$A,TB.PRO!J:J,0,0,1)</f>
        <v>0</v>
      </c>
      <c r="O140" s="1390">
        <f>SUMIF('[2]Sum - Fiscal'!$P:$P,$A140,'[2]Sum - Fiscal'!$F:$F)</f>
        <v>434250</v>
      </c>
      <c r="P140" s="1390"/>
      <c r="Q140" s="1390"/>
      <c r="R140" s="665">
        <f>ROUND(SUM(M140:Q140),0)</f>
        <v>434250</v>
      </c>
      <c r="S140" s="1390">
        <f>_xlfn.XLOOKUP($A140,TB.PRO!$A:$A,TB.PRO!L:L,0,0,1)</f>
        <v>0</v>
      </c>
      <c r="T140" s="1390">
        <f>_xlfn.XLOOKUP($A140,TB.PRO!$A:$A,TB.PRO!M:M,0,0,1)</f>
        <v>0</v>
      </c>
      <c r="U140" s="1390">
        <f>SUMIF('[2]Sum - Fiscal'!$P:$P,$A140,'[2]Sum - Fiscal'!$G:$G)</f>
        <v>1671750</v>
      </c>
      <c r="V140" s="1390"/>
      <c r="W140" s="1390"/>
      <c r="X140" s="665">
        <f>ROUND(SUM(S140:W140),0)</f>
        <v>1671750</v>
      </c>
      <c r="Y140" s="1390">
        <f>_xlfn.XLOOKUP($A140,TB.PRO!$A:$A,TB.PRO!O:O,0,0,1)</f>
        <v>0</v>
      </c>
      <c r="Z140" s="1390">
        <f>_xlfn.XLOOKUP($A140,TB.PRO!$A:$A,TB.PRO!P:P,0,0,1)</f>
        <v>0</v>
      </c>
      <c r="AA140" s="1390">
        <f>SUMIF('[2]Sum - Fiscal'!$P:$P,$A140,'[2]Sum - Fiscal'!$H:$H)</f>
        <v>3828000</v>
      </c>
      <c r="AB140" s="1390"/>
      <c r="AC140" s="1390"/>
      <c r="AD140" s="219">
        <f>ROUND(SUM(Y140:AC140),0)</f>
        <v>3828000</v>
      </c>
      <c r="AE140" s="1390">
        <f>_xlfn.XLOOKUP($A140,TB.PRO!$A:$A,TB.PRO!R:R,0,0,1)</f>
        <v>0</v>
      </c>
      <c r="AF140" s="1390">
        <f>_xlfn.XLOOKUP($A140,TB.PRO!$A:$A,TB.PRO!S:S,0,0,1)</f>
        <v>0</v>
      </c>
      <c r="AG140" s="1390">
        <f>SUMIF('[2]Sum - Fiscal'!$P:$P,$A140,'[2]Sum - Fiscal'!$I:$I)</f>
        <v>6640500</v>
      </c>
      <c r="AH140" s="1390"/>
      <c r="AI140" s="1390"/>
      <c r="AJ140" s="219">
        <f>ROUND(SUM(AE140:AI140),0)</f>
        <v>6640500</v>
      </c>
      <c r="AK140" s="178" t="str">
        <f>_xlfn.XLOOKUP($A140,COA!$B:$B,COA!$C:$C,0,0,1)</f>
        <v>Sales and marketing</v>
      </c>
      <c r="AL140" s="178" t="str">
        <f>_xlfn.XLOOKUP($A140,COA!$B:$B,COA!$D:$D,0,0,1)</f>
        <v>Advertising and marketing</v>
      </c>
      <c r="AM140" s="178" t="str">
        <f>_xlfn.XLOOKUP($A140,COA!$B:$B,COA!$E:$E,0,0,1)</f>
        <v>Accumulated deficit</v>
      </c>
      <c r="AO140" s="85" t="str">
        <f t="shared" si="20"/>
        <v>Accumulated deficit</v>
      </c>
      <c r="AP140" s="87"/>
      <c r="AQ140" s="87"/>
      <c r="AR140" s="87"/>
      <c r="AS140" s="87"/>
      <c r="AT140" s="85"/>
      <c r="AU140" s="85"/>
      <c r="AV140" s="85"/>
      <c r="AW140" s="85"/>
      <c r="AX140" s="85"/>
      <c r="AY140" s="85"/>
      <c r="AZ140" s="85"/>
      <c r="BA140" s="85"/>
      <c r="BB140" s="85"/>
      <c r="BC140" s="85"/>
      <c r="BD140" s="85"/>
      <c r="BE140" s="85"/>
      <c r="BF140" s="85"/>
      <c r="BG140" s="85"/>
    </row>
    <row r="141" spans="1:59" hidden="1" x14ac:dyDescent="0.25">
      <c r="A141" s="1389" t="str">
        <f>COA!B137</f>
        <v>6021 Tradeshows and conventions</v>
      </c>
      <c r="B141" s="1390">
        <f>_xlfn.XLOOKUP(A141,'TB.1 - F25'!A:A,'TB.1 - F25'!D:D,0,0,1)</f>
        <v>0</v>
      </c>
      <c r="C141" s="1390">
        <f>_xlfn.XLOOKUP(A141,'TB.1 - F25'!A:A,'TB.1 - F25'!H:H,0,0,1)</f>
        <v>5675.68</v>
      </c>
      <c r="D141" s="1390">
        <f>_xlfn.XLOOKUP(A141,'AJE.1 - F25'!A:A,'AJE.1 - F25'!F:F,0,0,1)</f>
        <v>0</v>
      </c>
      <c r="E141" s="1390"/>
      <c r="F141" s="219">
        <f>ROUND(SUM(B141:E141),0)</f>
        <v>5676</v>
      </c>
      <c r="G141" s="1390">
        <f>_xlfn.XLOOKUP($A141,TB.PRO!$A:$A,TB.PRO!F:F,0,0,1)</f>
        <v>0</v>
      </c>
      <c r="H141" s="1390">
        <f>_xlfn.XLOOKUP($A141,TB.PRO!$A:$A,TB.PRO!G:G,0,0,1)</f>
        <v>0</v>
      </c>
      <c r="I141" s="1390">
        <f>SUMIF('[2]Sum - Fiscal'!$P:$P,A141,'[2]Sum - Fiscal'!$E:$E)</f>
        <v>0</v>
      </c>
      <c r="J141" s="1390"/>
      <c r="K141" s="1390"/>
      <c r="L141" s="665">
        <f>ROUND(SUM(G141:K141),0)</f>
        <v>0</v>
      </c>
      <c r="M141" s="1390">
        <f>_xlfn.XLOOKUP($A141,TB.PRO!$A:$A,TB.PRO!I:I,0,0,1)</f>
        <v>0</v>
      </c>
      <c r="N141" s="1390">
        <f>_xlfn.XLOOKUP($A141,TB.PRO!$A:$A,TB.PRO!J:J,0,0,1)</f>
        <v>0</v>
      </c>
      <c r="O141" s="1390">
        <f>SUMIF('[2]Sum - Fiscal'!$P:$P,$A141,'[2]Sum - Fiscal'!$F:$F)</f>
        <v>0</v>
      </c>
      <c r="P141" s="1390"/>
      <c r="Q141" s="1390"/>
      <c r="R141" s="665">
        <f>ROUND(SUM(M141:Q141),0)</f>
        <v>0</v>
      </c>
      <c r="S141" s="1390">
        <f>_xlfn.XLOOKUP($A141,TB.PRO!$A:$A,TB.PRO!L:L,0,0,1)</f>
        <v>0</v>
      </c>
      <c r="T141" s="1390">
        <f>_xlfn.XLOOKUP($A141,TB.PRO!$A:$A,TB.PRO!M:M,0,0,1)</f>
        <v>0</v>
      </c>
      <c r="U141" s="1390">
        <f>SUMIF('[2]Sum - Fiscal'!$P:$P,$A141,'[2]Sum - Fiscal'!$G:$G)</f>
        <v>0</v>
      </c>
      <c r="V141" s="1390"/>
      <c r="W141" s="1390"/>
      <c r="X141" s="665">
        <f>ROUND(SUM(S141:W141),0)</f>
        <v>0</v>
      </c>
      <c r="Y141" s="1390">
        <f>_xlfn.XLOOKUP($A141,TB.PRO!$A:$A,TB.PRO!O:O,0,0,1)</f>
        <v>0</v>
      </c>
      <c r="Z141" s="1390">
        <f>_xlfn.XLOOKUP($A141,TB.PRO!$A:$A,TB.PRO!P:P,0,0,1)</f>
        <v>0</v>
      </c>
      <c r="AA141" s="1390">
        <f>SUMIF('[2]Sum - Fiscal'!$P:$P,$A141,'[2]Sum - Fiscal'!$H:$H)</f>
        <v>0</v>
      </c>
      <c r="AB141" s="1390"/>
      <c r="AC141" s="1390"/>
      <c r="AD141" s="219">
        <f>ROUND(SUM(Y141:AC141),0)</f>
        <v>0</v>
      </c>
      <c r="AE141" s="1390">
        <f>_xlfn.XLOOKUP($A141,TB.PRO!$A:$A,TB.PRO!R:R,0,0,1)</f>
        <v>0</v>
      </c>
      <c r="AF141" s="1390">
        <f>_xlfn.XLOOKUP($A141,TB.PRO!$A:$A,TB.PRO!S:S,0,0,1)</f>
        <v>0</v>
      </c>
      <c r="AG141" s="1390">
        <f>SUMIF('[2]Sum - Fiscal'!$P:$P,$A141,'[2]Sum - Fiscal'!$I:$I)</f>
        <v>0</v>
      </c>
      <c r="AH141" s="1390"/>
      <c r="AI141" s="1390"/>
      <c r="AJ141" s="219">
        <f>ROUND(SUM(AE141:AI141),0)</f>
        <v>0</v>
      </c>
      <c r="AK141" s="178" t="str">
        <f>_xlfn.XLOOKUP($A141,COA!$B:$B,COA!$C:$C,0,0,1)</f>
        <v>Sales and marketing</v>
      </c>
      <c r="AL141" s="178" t="str">
        <f>_xlfn.XLOOKUP($A141,COA!$B:$B,COA!$D:$D,0,0,1)</f>
        <v>Advertising and marketing</v>
      </c>
      <c r="AM141" s="178" t="str">
        <f>_xlfn.XLOOKUP($A141,COA!$B:$B,COA!$E:$E,0,0,1)</f>
        <v>Accumulated deficit</v>
      </c>
      <c r="AO141" s="85" t="str">
        <f t="shared" si="20"/>
        <v>Accumulated deficit</v>
      </c>
      <c r="AP141" s="87"/>
      <c r="AQ141" s="87"/>
      <c r="AR141" s="87"/>
      <c r="AS141" s="87"/>
      <c r="AT141" s="85"/>
      <c r="AU141" s="85"/>
      <c r="AV141" s="85"/>
      <c r="AW141" s="85"/>
      <c r="AX141" s="85"/>
      <c r="AY141" s="85"/>
      <c r="AZ141" s="85"/>
      <c r="BA141" s="85"/>
      <c r="BB141" s="85"/>
      <c r="BC141" s="85"/>
      <c r="BD141" s="85"/>
      <c r="BE141" s="85"/>
      <c r="BF141" s="85"/>
      <c r="BG141" s="85"/>
    </row>
    <row r="142" spans="1:59" hidden="1" x14ac:dyDescent="0.25">
      <c r="A142" s="1389" t="str">
        <f>COA!B138</f>
        <v>6025 Dues and Subscriptions</v>
      </c>
      <c r="B142" s="1390">
        <f>_xlfn.XLOOKUP(A142,'TB.1 - F25'!A:A,'TB.1 - F25'!D:D,0,0,1)</f>
        <v>1771.23</v>
      </c>
      <c r="C142" s="1390">
        <f>_xlfn.XLOOKUP(A142,'TB.1 - F25'!A:A,'TB.1 - F25'!H:H,0,0,1)</f>
        <v>0</v>
      </c>
      <c r="D142" s="1390">
        <f>_xlfn.XLOOKUP(A142,'AJE.1 - F25'!A:A,'AJE.1 - F25'!F:F,0,0,1)</f>
        <v>0</v>
      </c>
      <c r="E142" s="1390"/>
      <c r="F142" s="219">
        <f>ROUND(SUM(B142:E142),0)</f>
        <v>1771</v>
      </c>
      <c r="G142" s="1390">
        <f>_xlfn.XLOOKUP($A142,TB.PRO!$A:$A,TB.PRO!F:F,0,0,1)</f>
        <v>417.3</v>
      </c>
      <c r="H142" s="1390">
        <f>_xlfn.XLOOKUP($A142,TB.PRO!$A:$A,TB.PRO!G:G,0,0,1)</f>
        <v>0</v>
      </c>
      <c r="I142" s="1390">
        <f>SUMIF('[2]Sum - Fiscal'!$P:$P,A142,'[2]Sum - Fiscal'!$E:$E)</f>
        <v>0</v>
      </c>
      <c r="J142" s="1390"/>
      <c r="K142" s="1390"/>
      <c r="L142" s="665">
        <f>ROUND(SUM(G142:K142),0)</f>
        <v>417</v>
      </c>
      <c r="M142" s="1390">
        <f>_xlfn.XLOOKUP($A142,TB.PRO!$A:$A,TB.PRO!I:I,0,0,1)</f>
        <v>0</v>
      </c>
      <c r="N142" s="1390">
        <f>_xlfn.XLOOKUP($A142,TB.PRO!$A:$A,TB.PRO!J:J,0,0,1)</f>
        <v>0</v>
      </c>
      <c r="O142" s="1390">
        <f>SUMIF('[2]Sum - Fiscal'!$P:$P,$A142,'[2]Sum - Fiscal'!$F:$F)</f>
        <v>0</v>
      </c>
      <c r="P142" s="1390"/>
      <c r="Q142" s="1390"/>
      <c r="R142" s="665">
        <f>ROUND(SUM(M142:Q142),0)</f>
        <v>0</v>
      </c>
      <c r="S142" s="1390">
        <f>_xlfn.XLOOKUP($A142,TB.PRO!$A:$A,TB.PRO!L:L,0,0,1)</f>
        <v>0</v>
      </c>
      <c r="T142" s="1390">
        <f>_xlfn.XLOOKUP($A142,TB.PRO!$A:$A,TB.PRO!M:M,0,0,1)</f>
        <v>0</v>
      </c>
      <c r="U142" s="1390">
        <f>SUMIF('[2]Sum - Fiscal'!$P:$P,$A142,'[2]Sum - Fiscal'!$G:$G)</f>
        <v>0</v>
      </c>
      <c r="V142" s="1390"/>
      <c r="W142" s="1390"/>
      <c r="X142" s="665">
        <f>ROUND(SUM(S142:W142),0)</f>
        <v>0</v>
      </c>
      <c r="Y142" s="1390">
        <f>_xlfn.XLOOKUP($A142,TB.PRO!$A:$A,TB.PRO!O:O,0,0,1)</f>
        <v>0</v>
      </c>
      <c r="Z142" s="1390">
        <f>_xlfn.XLOOKUP($A142,TB.PRO!$A:$A,TB.PRO!P:P,0,0,1)</f>
        <v>0</v>
      </c>
      <c r="AA142" s="1390">
        <f>SUMIF('[2]Sum - Fiscal'!$P:$P,$A142,'[2]Sum - Fiscal'!$H:$H)</f>
        <v>0</v>
      </c>
      <c r="AB142" s="1390"/>
      <c r="AC142" s="1390"/>
      <c r="AD142" s="219">
        <f>ROUND(SUM(Y142:AC142),0)</f>
        <v>0</v>
      </c>
      <c r="AE142" s="1390">
        <f>_xlfn.XLOOKUP($A142,TB.PRO!$A:$A,TB.PRO!R:R,0,0,1)</f>
        <v>0</v>
      </c>
      <c r="AF142" s="1390">
        <f>_xlfn.XLOOKUP($A142,TB.PRO!$A:$A,TB.PRO!S:S,0,0,1)</f>
        <v>0</v>
      </c>
      <c r="AG142" s="1390">
        <f>SUMIF('[2]Sum - Fiscal'!$P:$P,$A142,'[2]Sum - Fiscal'!$I:$I)</f>
        <v>0</v>
      </c>
      <c r="AH142" s="1390"/>
      <c r="AI142" s="1390"/>
      <c r="AJ142" s="219">
        <f>ROUND(SUM(AE142:AI142),0)</f>
        <v>0</v>
      </c>
      <c r="AK142" s="178" t="str">
        <f>_xlfn.XLOOKUP($A142,COA!$B:$B,COA!$C:$C,0,0,1)</f>
        <v>General and administration</v>
      </c>
      <c r="AL142" s="178" t="str">
        <f>_xlfn.XLOOKUP($A142,COA!$B:$B,COA!$D:$D,0,0,1)</f>
        <v>Dues, licenses, and permits</v>
      </c>
      <c r="AM142" s="178" t="str">
        <f>_xlfn.XLOOKUP($A142,COA!$B:$B,COA!$E:$E,0,0,1)</f>
        <v>Accumulated deficit</v>
      </c>
      <c r="AO142" s="85" t="str">
        <f t="shared" si="20"/>
        <v>Accumulated deficit</v>
      </c>
      <c r="AP142" s="87"/>
      <c r="AQ142" s="87"/>
      <c r="AR142" s="87"/>
      <c r="AS142" s="87"/>
      <c r="AT142" s="85"/>
      <c r="AU142" s="85"/>
      <c r="AV142" s="85"/>
      <c r="AW142" s="85"/>
      <c r="AX142" s="85"/>
      <c r="AY142" s="85"/>
      <c r="AZ142" s="85"/>
      <c r="BA142" s="85"/>
      <c r="BB142" s="85"/>
      <c r="BC142" s="85"/>
      <c r="BD142" s="85"/>
      <c r="BE142" s="85"/>
      <c r="BF142" s="85"/>
      <c r="BG142" s="85"/>
    </row>
    <row r="143" spans="1:59" hidden="1" x14ac:dyDescent="0.25">
      <c r="A143" s="1389" t="str">
        <f>COA!B139</f>
        <v>6025 Automobile</v>
      </c>
      <c r="B143" s="1390">
        <f>_xlfn.XLOOKUP(A143,'TB.1 - F25'!A:A,'TB.1 - F25'!D:D,0,0,1)</f>
        <v>0</v>
      </c>
      <c r="C143" s="1390">
        <f>_xlfn.XLOOKUP(A143,'TB.1 - F25'!A:A,'TB.1 - F25'!H:H,0,0,1)</f>
        <v>0</v>
      </c>
      <c r="D143" s="1390">
        <f>_xlfn.XLOOKUP(A143,'AJE.1 - F25'!A:A,'AJE.1 - F25'!F:F,0,0,1)</f>
        <v>0</v>
      </c>
      <c r="E143" s="1390"/>
      <c r="F143" s="219">
        <f>ROUND(SUM(B143:E143),0)</f>
        <v>0</v>
      </c>
      <c r="G143" s="1390">
        <f>_xlfn.XLOOKUP($A143,TB.PRO!$A:$A,TB.PRO!F:F,0,0,1)</f>
        <v>0</v>
      </c>
      <c r="H143" s="1390">
        <f>_xlfn.XLOOKUP($A143,TB.PRO!$A:$A,TB.PRO!G:G,0,0,1)</f>
        <v>0</v>
      </c>
      <c r="I143" s="1390">
        <f>SUMIF('[2]Sum - Fiscal'!$P:$P,A143,'[2]Sum - Fiscal'!$E:$E)</f>
        <v>0</v>
      </c>
      <c r="J143" s="1390"/>
      <c r="K143" s="1390"/>
      <c r="L143" s="665">
        <f>ROUND(SUM(G143:K143),0)</f>
        <v>0</v>
      </c>
      <c r="M143" s="1390">
        <f>_xlfn.XLOOKUP($A143,TB.PRO!$A:$A,TB.PRO!I:I,0,0,1)</f>
        <v>0</v>
      </c>
      <c r="N143" s="1390">
        <f>_xlfn.XLOOKUP($A143,TB.PRO!$A:$A,TB.PRO!J:J,0,0,1)</f>
        <v>0</v>
      </c>
      <c r="O143" s="1390">
        <f>SUMIF('[2]Sum - Fiscal'!$P:$P,$A143,'[2]Sum - Fiscal'!$F:$F)</f>
        <v>0</v>
      </c>
      <c r="P143" s="1390"/>
      <c r="Q143" s="1390"/>
      <c r="R143" s="665">
        <f>ROUND(SUM(M143:Q143),0)</f>
        <v>0</v>
      </c>
      <c r="S143" s="1390">
        <f>_xlfn.XLOOKUP($A143,TB.PRO!$A:$A,TB.PRO!L:L,0,0,1)</f>
        <v>0</v>
      </c>
      <c r="T143" s="1390">
        <f>_xlfn.XLOOKUP($A143,TB.PRO!$A:$A,TB.PRO!M:M,0,0,1)</f>
        <v>0</v>
      </c>
      <c r="U143" s="1390">
        <f>SUMIF('[2]Sum - Fiscal'!$P:$P,$A143,'[2]Sum - Fiscal'!$G:$G)</f>
        <v>0</v>
      </c>
      <c r="V143" s="1390"/>
      <c r="W143" s="1390"/>
      <c r="X143" s="665">
        <f>ROUND(SUM(S143:W143),0)</f>
        <v>0</v>
      </c>
      <c r="Y143" s="1390">
        <f>_xlfn.XLOOKUP($A143,TB.PRO!$A:$A,TB.PRO!O:O,0,0,1)</f>
        <v>0</v>
      </c>
      <c r="Z143" s="1390">
        <f>_xlfn.XLOOKUP($A143,TB.PRO!$A:$A,TB.PRO!P:P,0,0,1)</f>
        <v>0</v>
      </c>
      <c r="AA143" s="1390">
        <f>SUMIF('[2]Sum - Fiscal'!$P:$P,$A143,'[2]Sum - Fiscal'!$H:$H)</f>
        <v>0</v>
      </c>
      <c r="AB143" s="1390"/>
      <c r="AC143" s="1390"/>
      <c r="AD143" s="219">
        <f>ROUND(SUM(Y143:AC143),0)</f>
        <v>0</v>
      </c>
      <c r="AE143" s="1390">
        <f>_xlfn.XLOOKUP($A143,TB.PRO!$A:$A,TB.PRO!R:R,0,0,1)</f>
        <v>0</v>
      </c>
      <c r="AF143" s="1390">
        <f>_xlfn.XLOOKUP($A143,TB.PRO!$A:$A,TB.PRO!S:S,0,0,1)</f>
        <v>0</v>
      </c>
      <c r="AG143" s="1390">
        <f>SUMIF('[2]Sum - Fiscal'!$P:$P,$A143,'[2]Sum - Fiscal'!$I:$I)</f>
        <v>0</v>
      </c>
      <c r="AH143" s="1390"/>
      <c r="AI143" s="1390"/>
      <c r="AJ143" s="219">
        <f>ROUND(SUM(AE143:AI143),0)</f>
        <v>0</v>
      </c>
      <c r="AK143" s="178" t="str">
        <f>_xlfn.XLOOKUP($A143,COA!$B:$B,COA!$C:$C,0,0,1)</f>
        <v>General and administration</v>
      </c>
      <c r="AL143" s="178" t="str">
        <f>_xlfn.XLOOKUP($A143,COA!$B:$B,COA!$D:$D,0,0,1)</f>
        <v>Other miscellaneous</v>
      </c>
      <c r="AM143" s="178" t="str">
        <f>_xlfn.XLOOKUP($A143,COA!$B:$B,COA!$E:$E,0,0,1)</f>
        <v>Accumulated deficit</v>
      </c>
      <c r="AO143" s="85" t="str">
        <f>_xlfn.XLOOKUP(AM143,FS.1!A:A,AM:AM,0,0,1)</f>
        <v>Due to related parties</v>
      </c>
      <c r="AP143" s="87"/>
      <c r="AQ143" s="87"/>
      <c r="AR143" s="87"/>
      <c r="AS143" s="87"/>
      <c r="AT143" s="85"/>
      <c r="AU143" s="85"/>
      <c r="AV143" s="85"/>
      <c r="AW143" s="85"/>
      <c r="AX143" s="85"/>
      <c r="AY143" s="85"/>
      <c r="AZ143" s="85"/>
      <c r="BA143" s="85"/>
      <c r="BB143" s="85"/>
      <c r="BC143" s="85"/>
      <c r="BD143" s="85"/>
      <c r="BE143" s="85"/>
      <c r="BF143" s="85"/>
      <c r="BG143" s="85"/>
    </row>
    <row r="144" spans="1:59" hidden="1" x14ac:dyDescent="0.25">
      <c r="A144" s="1389" t="str">
        <f>COA!B140</f>
        <v>6026 Fuel / Industrial Gas</v>
      </c>
      <c r="B144" s="1390">
        <f>_xlfn.XLOOKUP(A144,'TB.1 - F25'!A:A,'TB.1 - F25'!D:D,0,0,1)</f>
        <v>0</v>
      </c>
      <c r="C144" s="1390">
        <f>_xlfn.XLOOKUP(A144,'TB.1 - F25'!A:A,'TB.1 - F25'!H:H,0,0,1)</f>
        <v>1350.8</v>
      </c>
      <c r="D144" s="1390">
        <f>_xlfn.XLOOKUP(A144,'AJE.1 - F25'!A:A,'AJE.1 - F25'!F:F,0,0,1)</f>
        <v>0</v>
      </c>
      <c r="E144" s="1390"/>
      <c r="F144" s="219">
        <f>ROUND(SUM(B144:E144),0)</f>
        <v>1351</v>
      </c>
      <c r="G144" s="1390">
        <f>_xlfn.XLOOKUP($A144,TB.PRO!$A:$A,TB.PRO!F:F,0,0,1)</f>
        <v>0</v>
      </c>
      <c r="H144" s="1390">
        <f>_xlfn.XLOOKUP($A144,TB.PRO!$A:$A,TB.PRO!G:G,0,0,1)</f>
        <v>0</v>
      </c>
      <c r="I144" s="1390">
        <f>SUMIF('[2]Sum - Fiscal'!$P:$P,A144,'[2]Sum - Fiscal'!$E:$E)</f>
        <v>0</v>
      </c>
      <c r="J144" s="1390"/>
      <c r="K144" s="1390"/>
      <c r="L144" s="665">
        <f>ROUND(SUM(G144:K144),0)</f>
        <v>0</v>
      </c>
      <c r="M144" s="1390">
        <f>_xlfn.XLOOKUP($A144,TB.PRO!$A:$A,TB.PRO!I:I,0,0,1)</f>
        <v>0</v>
      </c>
      <c r="N144" s="1390">
        <f>_xlfn.XLOOKUP($A144,TB.PRO!$A:$A,TB.PRO!J:J,0,0,1)</f>
        <v>0</v>
      </c>
      <c r="O144" s="1390">
        <f>SUMIF('[2]Sum - Fiscal'!$P:$P,$A144,'[2]Sum - Fiscal'!$F:$F)</f>
        <v>0</v>
      </c>
      <c r="P144" s="1390"/>
      <c r="Q144" s="1390"/>
      <c r="R144" s="665">
        <f>ROUND(SUM(M144:Q144),0)</f>
        <v>0</v>
      </c>
      <c r="S144" s="1390">
        <f>_xlfn.XLOOKUP($A144,TB.PRO!$A:$A,TB.PRO!L:L,0,0,1)</f>
        <v>0</v>
      </c>
      <c r="T144" s="1390">
        <f>_xlfn.XLOOKUP($A144,TB.PRO!$A:$A,TB.PRO!M:M,0,0,1)</f>
        <v>0</v>
      </c>
      <c r="U144" s="1390">
        <f>SUMIF('[2]Sum - Fiscal'!$P:$P,$A144,'[2]Sum - Fiscal'!$G:$G)</f>
        <v>0</v>
      </c>
      <c r="V144" s="1390"/>
      <c r="W144" s="1390"/>
      <c r="X144" s="665">
        <f>ROUND(SUM(S144:W144),0)</f>
        <v>0</v>
      </c>
      <c r="Y144" s="1390">
        <f>_xlfn.XLOOKUP($A144,TB.PRO!$A:$A,TB.PRO!O:O,0,0,1)</f>
        <v>0</v>
      </c>
      <c r="Z144" s="1390">
        <f>_xlfn.XLOOKUP($A144,TB.PRO!$A:$A,TB.PRO!P:P,0,0,1)</f>
        <v>0</v>
      </c>
      <c r="AA144" s="1390">
        <f>SUMIF('[2]Sum - Fiscal'!$P:$P,$A144,'[2]Sum - Fiscal'!$H:$H)</f>
        <v>0</v>
      </c>
      <c r="AB144" s="1390"/>
      <c r="AC144" s="1390"/>
      <c r="AD144" s="219">
        <f>ROUND(SUM(Y144:AC144),0)</f>
        <v>0</v>
      </c>
      <c r="AE144" s="1390">
        <f>_xlfn.XLOOKUP($A144,TB.PRO!$A:$A,TB.PRO!R:R,0,0,1)</f>
        <v>0</v>
      </c>
      <c r="AF144" s="1390">
        <f>_xlfn.XLOOKUP($A144,TB.PRO!$A:$A,TB.PRO!S:S,0,0,1)</f>
        <v>0</v>
      </c>
      <c r="AG144" s="1390">
        <f>SUMIF('[2]Sum - Fiscal'!$P:$P,$A144,'[2]Sum - Fiscal'!$I:$I)</f>
        <v>0</v>
      </c>
      <c r="AH144" s="1390"/>
      <c r="AI144" s="1390"/>
      <c r="AJ144" s="219">
        <f>ROUND(SUM(AE144:AI144),0)</f>
        <v>0</v>
      </c>
      <c r="AK144" s="178" t="str">
        <f>_xlfn.XLOOKUP($A144,COA!$B:$B,COA!$C:$C,0,0,1)</f>
        <v>General and administration</v>
      </c>
      <c r="AL144" s="178" t="str">
        <f>_xlfn.XLOOKUP($A144,COA!$B:$B,COA!$D:$D,0,0,1)</f>
        <v>Other miscellaneous</v>
      </c>
      <c r="AM144" s="178" t="str">
        <f>_xlfn.XLOOKUP($A144,COA!$B:$B,COA!$E:$E,0,0,1)</f>
        <v>Accumulated deficit</v>
      </c>
      <c r="AO144" s="85" t="str">
        <f t="shared" si="20"/>
        <v>Accumulated deficit</v>
      </c>
      <c r="AP144" s="87"/>
      <c r="AQ144" s="87"/>
      <c r="AR144" s="87"/>
      <c r="AS144" s="87"/>
      <c r="AT144" s="85"/>
      <c r="AU144" s="85"/>
      <c r="AV144" s="85"/>
      <c r="AW144" s="85"/>
      <c r="AX144" s="85"/>
      <c r="AY144" s="85"/>
      <c r="AZ144" s="85"/>
      <c r="BA144" s="85"/>
      <c r="BB144" s="85"/>
      <c r="BC144" s="85"/>
      <c r="BD144" s="85"/>
      <c r="BE144" s="85"/>
      <c r="BF144" s="85"/>
      <c r="BG144" s="85"/>
    </row>
    <row r="145" spans="1:59" hidden="1" x14ac:dyDescent="0.25">
      <c r="A145" s="1389" t="str">
        <f>COA!B141</f>
        <v>6030 Communications</v>
      </c>
      <c r="B145" s="1390">
        <f>_xlfn.XLOOKUP(A145,'TB.1 - F25'!A:A,'TB.1 - F25'!D:D,0,0,1)</f>
        <v>0</v>
      </c>
      <c r="C145" s="1390">
        <f>_xlfn.XLOOKUP(A145,'TB.1 - F25'!A:A,'TB.1 - F25'!H:H,0,0,1)</f>
        <v>0</v>
      </c>
      <c r="D145" s="1390">
        <f>_xlfn.XLOOKUP(A145,'AJE.1 - F25'!A:A,'AJE.1 - F25'!F:F,0,0,1)</f>
        <v>0</v>
      </c>
      <c r="E145" s="1390"/>
      <c r="F145" s="219">
        <f>ROUND(SUM(B145:E145),0)</f>
        <v>0</v>
      </c>
      <c r="G145" s="1390">
        <f>_xlfn.XLOOKUP($A145,TB.PRO!$A:$A,TB.PRO!F:F,0,0,1)</f>
        <v>0</v>
      </c>
      <c r="H145" s="1390">
        <f>_xlfn.XLOOKUP($A145,TB.PRO!$A:$A,TB.PRO!G:G,0,0,1)</f>
        <v>0</v>
      </c>
      <c r="I145" s="1390">
        <f>SUMIF('[2]Sum - Fiscal'!$P:$P,A145,'[2]Sum - Fiscal'!$E:$E)</f>
        <v>0</v>
      </c>
      <c r="J145" s="1390"/>
      <c r="K145" s="1390"/>
      <c r="L145" s="665">
        <f>ROUND(SUM(G145:K145),0)</f>
        <v>0</v>
      </c>
      <c r="M145" s="1390">
        <f>_xlfn.XLOOKUP($A145,TB.PRO!$A:$A,TB.PRO!I:I,0,0,1)</f>
        <v>0</v>
      </c>
      <c r="N145" s="1390">
        <f>_xlfn.XLOOKUP($A145,TB.PRO!$A:$A,TB.PRO!J:J,0,0,1)</f>
        <v>0</v>
      </c>
      <c r="O145" s="1390">
        <f>SUMIF('[2]Sum - Fiscal'!$P:$P,$A145,'[2]Sum - Fiscal'!$F:$F)</f>
        <v>0</v>
      </c>
      <c r="P145" s="1390"/>
      <c r="Q145" s="1390"/>
      <c r="R145" s="665">
        <f>ROUND(SUM(M145:Q145),0)</f>
        <v>0</v>
      </c>
      <c r="S145" s="1390">
        <f>_xlfn.XLOOKUP($A145,TB.PRO!$A:$A,TB.PRO!L:L,0,0,1)</f>
        <v>0</v>
      </c>
      <c r="T145" s="1390">
        <f>_xlfn.XLOOKUP($A145,TB.PRO!$A:$A,TB.PRO!M:M,0,0,1)</f>
        <v>0</v>
      </c>
      <c r="U145" s="1390">
        <f>SUMIF('[2]Sum - Fiscal'!$P:$P,$A145,'[2]Sum - Fiscal'!$G:$G)</f>
        <v>0</v>
      </c>
      <c r="V145" s="1390"/>
      <c r="W145" s="1390"/>
      <c r="X145" s="665">
        <f>ROUND(SUM(S145:W145),0)</f>
        <v>0</v>
      </c>
      <c r="Y145" s="1390">
        <f>_xlfn.XLOOKUP($A145,TB.PRO!$A:$A,TB.PRO!O:O,0,0,1)</f>
        <v>0</v>
      </c>
      <c r="Z145" s="1390">
        <f>_xlfn.XLOOKUP($A145,TB.PRO!$A:$A,TB.PRO!P:P,0,0,1)</f>
        <v>0</v>
      </c>
      <c r="AA145" s="1390">
        <f>SUMIF('[2]Sum - Fiscal'!$P:$P,$A145,'[2]Sum - Fiscal'!$H:$H)</f>
        <v>0</v>
      </c>
      <c r="AB145" s="1390"/>
      <c r="AC145" s="1390"/>
      <c r="AD145" s="219">
        <f>ROUND(SUM(Y145:AC145),0)</f>
        <v>0</v>
      </c>
      <c r="AE145" s="1390">
        <f>_xlfn.XLOOKUP($A145,TB.PRO!$A:$A,TB.PRO!R:R,0,0,1)</f>
        <v>0</v>
      </c>
      <c r="AF145" s="1390">
        <f>_xlfn.XLOOKUP($A145,TB.PRO!$A:$A,TB.PRO!S:S,0,0,1)</f>
        <v>0</v>
      </c>
      <c r="AG145" s="1390">
        <f>SUMIF('[2]Sum - Fiscal'!$P:$P,$A145,'[2]Sum - Fiscal'!$I:$I)</f>
        <v>0</v>
      </c>
      <c r="AH145" s="1390"/>
      <c r="AI145" s="1390"/>
      <c r="AJ145" s="219">
        <f>ROUND(SUM(AE145:AI145),0)</f>
        <v>0</v>
      </c>
      <c r="AK145" s="178" t="str">
        <f>_xlfn.XLOOKUP($A145,COA!$B:$B,COA!$C:$C,0,0,1)</f>
        <v>General and administration</v>
      </c>
      <c r="AL145" s="178" t="str">
        <f>_xlfn.XLOOKUP($A145,COA!$B:$B,COA!$D:$D,0,0,1)</f>
        <v>Communications</v>
      </c>
      <c r="AM145" s="178" t="str">
        <f>_xlfn.XLOOKUP($A145,COA!$B:$B,COA!$E:$E,0,0,1)</f>
        <v>Accumulated deficit</v>
      </c>
      <c r="AO145" s="85" t="str">
        <f>_xlfn.XLOOKUP(AM145,FS.1!A:A,AM:AM,0,0,1)</f>
        <v>Due to related parties</v>
      </c>
      <c r="AP145" s="87"/>
      <c r="AQ145" s="87"/>
      <c r="AR145" s="87"/>
      <c r="AS145" s="87"/>
      <c r="AT145" s="85"/>
      <c r="AU145" s="85"/>
      <c r="AV145" s="85"/>
      <c r="AW145" s="85"/>
      <c r="AX145" s="85"/>
      <c r="AY145" s="85"/>
      <c r="AZ145" s="85"/>
      <c r="BA145" s="85"/>
      <c r="BB145" s="85"/>
      <c r="BC145" s="85"/>
      <c r="BD145" s="85"/>
      <c r="BE145" s="85"/>
      <c r="BF145" s="85"/>
      <c r="BG145" s="85"/>
    </row>
    <row r="146" spans="1:59" hidden="1" x14ac:dyDescent="0.25">
      <c r="A146" s="1389" t="str">
        <f>COA!B142</f>
        <v>6031 IT Expense</v>
      </c>
      <c r="B146" s="1390">
        <f>_xlfn.XLOOKUP(A146,'TB.1 - F25'!A:A,'TB.1 - F25'!D:D,0,0,1)</f>
        <v>0</v>
      </c>
      <c r="C146" s="1390">
        <f>_xlfn.XLOOKUP(A146,'TB.1 - F25'!A:A,'TB.1 - F25'!H:H,0,0,1)</f>
        <v>2566.8200000000002</v>
      </c>
      <c r="D146" s="1390">
        <f>_xlfn.XLOOKUP(A146,'AJE.1 - F25'!A:A,'AJE.1 - F25'!F:F,0,0,1)</f>
        <v>0</v>
      </c>
      <c r="E146" s="1390"/>
      <c r="F146" s="219">
        <f>ROUND(SUM(B146:E146),0)</f>
        <v>2567</v>
      </c>
      <c r="G146" s="1390">
        <f>_xlfn.XLOOKUP($A146,TB.PRO!$A:$A,TB.PRO!F:F,0,0,1)</f>
        <v>0</v>
      </c>
      <c r="H146" s="1390">
        <f>_xlfn.XLOOKUP($A146,TB.PRO!$A:$A,TB.PRO!G:G,0,0,1)</f>
        <v>220.85</v>
      </c>
      <c r="I146" s="1390">
        <f>SUMIF('[2]Sum - Fiscal'!$P:$P,A146,'[2]Sum - Fiscal'!$E:$E)</f>
        <v>0</v>
      </c>
      <c r="J146" s="1390"/>
      <c r="K146" s="1390"/>
      <c r="L146" s="665">
        <f>ROUND(SUM(G146:K146),0)</f>
        <v>221</v>
      </c>
      <c r="M146" s="1390">
        <f>_xlfn.XLOOKUP($A146,TB.PRO!$A:$A,TB.PRO!I:I,0,0,1)</f>
        <v>0</v>
      </c>
      <c r="N146" s="1390">
        <f>_xlfn.XLOOKUP($A146,TB.PRO!$A:$A,TB.PRO!J:J,0,0,1)</f>
        <v>0</v>
      </c>
      <c r="O146" s="1390">
        <f>SUMIF('[2]Sum - Fiscal'!$P:$P,$A146,'[2]Sum - Fiscal'!$F:$F)</f>
        <v>0</v>
      </c>
      <c r="P146" s="1390"/>
      <c r="Q146" s="1390"/>
      <c r="R146" s="665">
        <f>ROUND(SUM(M146:Q146),0)</f>
        <v>0</v>
      </c>
      <c r="S146" s="1390">
        <f>_xlfn.XLOOKUP($A146,TB.PRO!$A:$A,TB.PRO!L:L,0,0,1)</f>
        <v>0</v>
      </c>
      <c r="T146" s="1390">
        <f>_xlfn.XLOOKUP($A146,TB.PRO!$A:$A,TB.PRO!M:M,0,0,1)</f>
        <v>0</v>
      </c>
      <c r="U146" s="1390">
        <f>SUMIF('[2]Sum - Fiscal'!$P:$P,$A146,'[2]Sum - Fiscal'!$G:$G)</f>
        <v>0</v>
      </c>
      <c r="V146" s="1390"/>
      <c r="W146" s="1390"/>
      <c r="X146" s="665">
        <f>ROUND(SUM(S146:W146),0)</f>
        <v>0</v>
      </c>
      <c r="Y146" s="1390">
        <f>_xlfn.XLOOKUP($A146,TB.PRO!$A:$A,TB.PRO!O:O,0,0,1)</f>
        <v>0</v>
      </c>
      <c r="Z146" s="1390">
        <f>_xlfn.XLOOKUP($A146,TB.PRO!$A:$A,TB.PRO!P:P,0,0,1)</f>
        <v>0</v>
      </c>
      <c r="AA146" s="1390">
        <f>SUMIF('[2]Sum - Fiscal'!$P:$P,$A146,'[2]Sum - Fiscal'!$H:$H)</f>
        <v>0</v>
      </c>
      <c r="AB146" s="1390"/>
      <c r="AC146" s="1390"/>
      <c r="AD146" s="219">
        <f>ROUND(SUM(Y146:AC146),0)</f>
        <v>0</v>
      </c>
      <c r="AE146" s="1390">
        <f>_xlfn.XLOOKUP($A146,TB.PRO!$A:$A,TB.PRO!R:R,0,0,1)</f>
        <v>0</v>
      </c>
      <c r="AF146" s="1390">
        <f>_xlfn.XLOOKUP($A146,TB.PRO!$A:$A,TB.PRO!S:S,0,0,1)</f>
        <v>0</v>
      </c>
      <c r="AG146" s="1390">
        <f>SUMIF('[2]Sum - Fiscal'!$P:$P,$A146,'[2]Sum - Fiscal'!$I:$I)</f>
        <v>0</v>
      </c>
      <c r="AH146" s="1390"/>
      <c r="AI146" s="1390"/>
      <c r="AJ146" s="219">
        <f>ROUND(SUM(AE146:AI146),0)</f>
        <v>0</v>
      </c>
      <c r="AK146" s="178" t="str">
        <f>_xlfn.XLOOKUP($A146,COA!$B:$B,COA!$C:$C,0,0,1)</f>
        <v>General and administration</v>
      </c>
      <c r="AL146" s="178" t="str">
        <f>_xlfn.XLOOKUP($A146,COA!$B:$B,COA!$D:$D,0,0,1)</f>
        <v>Office expenses</v>
      </c>
      <c r="AM146" s="178" t="str">
        <f>_xlfn.XLOOKUP($A146,COA!$B:$B,COA!$E:$E,0,0,1)</f>
        <v>Accumulated deficit</v>
      </c>
      <c r="AO146" s="85" t="str">
        <f t="shared" si="20"/>
        <v>Accumulated deficit</v>
      </c>
      <c r="AP146" s="87"/>
      <c r="AQ146" s="87"/>
      <c r="AR146" s="87"/>
      <c r="AS146" s="87"/>
      <c r="AT146" s="85"/>
      <c r="AU146" s="85"/>
      <c r="AV146" s="85"/>
      <c r="AW146" s="85"/>
      <c r="AX146" s="85"/>
      <c r="AY146" s="85"/>
      <c r="AZ146" s="85"/>
      <c r="BA146" s="85"/>
      <c r="BB146" s="85"/>
      <c r="BC146" s="85"/>
      <c r="BD146" s="85"/>
      <c r="BE146" s="85"/>
      <c r="BF146" s="85"/>
      <c r="BG146" s="85"/>
    </row>
    <row r="147" spans="1:59" x14ac:dyDescent="0.25">
      <c r="A147" s="1389" t="str">
        <f>COA!B143</f>
        <v>6040 Meals and entertainment</v>
      </c>
      <c r="B147" s="1390">
        <f>_xlfn.XLOOKUP(A147,'TB.1 - F25'!A:A,'TB.1 - F25'!D:D,0,0,1)</f>
        <v>0</v>
      </c>
      <c r="C147" s="1390">
        <f>_xlfn.XLOOKUP(A147,'TB.1 - F25'!A:A,'TB.1 - F25'!H:H,0,0,1)</f>
        <v>934.17</v>
      </c>
      <c r="D147" s="1390">
        <f>_xlfn.XLOOKUP(A147,'AJE.1 - F25'!A:A,'AJE.1 - F25'!F:F,0,0,1)</f>
        <v>0</v>
      </c>
      <c r="E147" s="1390"/>
      <c r="F147" s="219">
        <f>ROUND(SUM(B147:E147),0)</f>
        <v>934</v>
      </c>
      <c r="G147" s="1390">
        <f>_xlfn.XLOOKUP($A147,TB.PRO!$A:$A,TB.PRO!F:F,0,0,1)</f>
        <v>0</v>
      </c>
      <c r="H147" s="1390">
        <f>_xlfn.XLOOKUP($A147,TB.PRO!$A:$A,TB.PRO!G:G,0,0,1)</f>
        <v>0</v>
      </c>
      <c r="I147" s="1390">
        <f>SUMIF('[2]Sum - Fiscal'!$P:$P,A147,'[2]Sum - Fiscal'!$E:$E)</f>
        <v>3000</v>
      </c>
      <c r="J147" s="1390"/>
      <c r="K147" s="1390"/>
      <c r="L147" s="665">
        <f>ROUND(SUM(G147:K147),0)</f>
        <v>3000</v>
      </c>
      <c r="M147" s="1390">
        <f>_xlfn.XLOOKUP($A147,TB.PRO!$A:$A,TB.PRO!I:I,0,0,1)</f>
        <v>0</v>
      </c>
      <c r="N147" s="1390">
        <f>_xlfn.XLOOKUP($A147,TB.PRO!$A:$A,TB.PRO!J:J,0,0,1)</f>
        <v>0</v>
      </c>
      <c r="O147" s="1390">
        <f>SUMIF('[2]Sum - Fiscal'!$P:$P,$A147,'[2]Sum - Fiscal'!$F:$F)</f>
        <v>3300.0000000000005</v>
      </c>
      <c r="P147" s="1390"/>
      <c r="Q147" s="1390"/>
      <c r="R147" s="665">
        <f>ROUND(SUM(M147:Q147),0)</f>
        <v>3300</v>
      </c>
      <c r="S147" s="1390">
        <f>_xlfn.XLOOKUP($A147,TB.PRO!$A:$A,TB.PRO!L:L,0,0,1)</f>
        <v>0</v>
      </c>
      <c r="T147" s="1390">
        <f>_xlfn.XLOOKUP($A147,TB.PRO!$A:$A,TB.PRO!M:M,0,0,1)</f>
        <v>0</v>
      </c>
      <c r="U147" s="1390">
        <f>SUMIF('[2]Sum - Fiscal'!$P:$P,$A147,'[2]Sum - Fiscal'!$G:$G)</f>
        <v>3630.0000000000009</v>
      </c>
      <c r="V147" s="1390"/>
      <c r="W147" s="1390"/>
      <c r="X147" s="665">
        <f>ROUND(SUM(S147:W147),0)</f>
        <v>3630</v>
      </c>
      <c r="Y147" s="1390">
        <f>_xlfn.XLOOKUP($A147,TB.PRO!$A:$A,TB.PRO!O:O,0,0,1)</f>
        <v>0</v>
      </c>
      <c r="Z147" s="1390">
        <f>_xlfn.XLOOKUP($A147,TB.PRO!$A:$A,TB.PRO!P:P,0,0,1)</f>
        <v>0</v>
      </c>
      <c r="AA147" s="1390">
        <f>SUMIF('[2]Sum - Fiscal'!$P:$P,$A147,'[2]Sum - Fiscal'!$H:$H)</f>
        <v>3993.0000000000014</v>
      </c>
      <c r="AB147" s="1390"/>
      <c r="AC147" s="1390"/>
      <c r="AD147" s="219">
        <f>ROUND(SUM(Y147:AC147),0)</f>
        <v>3993</v>
      </c>
      <c r="AE147" s="1390">
        <f>_xlfn.XLOOKUP($A147,TB.PRO!$A:$A,TB.PRO!R:R,0,0,1)</f>
        <v>0</v>
      </c>
      <c r="AF147" s="1390">
        <f>_xlfn.XLOOKUP($A147,TB.PRO!$A:$A,TB.PRO!S:S,0,0,1)</f>
        <v>0</v>
      </c>
      <c r="AG147" s="1390">
        <f>SUMIF('[2]Sum - Fiscal'!$P:$P,$A147,'[2]Sum - Fiscal'!$I:$I)</f>
        <v>4392.300000000002</v>
      </c>
      <c r="AH147" s="1390"/>
      <c r="AI147" s="1390"/>
      <c r="AJ147" s="219">
        <f>ROUND(SUM(AE147:AI147),0)</f>
        <v>4392</v>
      </c>
      <c r="AK147" s="178" t="str">
        <f>_xlfn.XLOOKUP($A147,COA!$B:$B,COA!$C:$C,0,0,1)</f>
        <v>General and administration</v>
      </c>
      <c r="AL147" s="178" t="str">
        <f>_xlfn.XLOOKUP($A147,COA!$B:$B,COA!$D:$D,0,0,1)</f>
        <v>Meals and entertainment</v>
      </c>
      <c r="AM147" s="178" t="str">
        <f>_xlfn.XLOOKUP($A147,COA!$B:$B,COA!$E:$E,0,0,1)</f>
        <v>Accumulated deficit</v>
      </c>
      <c r="AO147" s="85" t="str">
        <f t="shared" si="20"/>
        <v>Accumulated deficit</v>
      </c>
      <c r="AP147" s="87"/>
      <c r="AQ147" s="87"/>
      <c r="AR147" s="87"/>
      <c r="AS147" s="87"/>
      <c r="AT147" s="85"/>
      <c r="AU147" s="85"/>
      <c r="AV147" s="85"/>
      <c r="AW147" s="85"/>
      <c r="AX147" s="85"/>
      <c r="AY147" s="85"/>
      <c r="AZ147" s="85"/>
      <c r="BA147" s="85"/>
      <c r="BB147" s="85"/>
      <c r="BC147" s="85"/>
      <c r="BD147" s="85"/>
      <c r="BE147" s="85"/>
      <c r="BF147" s="85"/>
      <c r="BG147" s="85"/>
    </row>
    <row r="148" spans="1:59" hidden="1" x14ac:dyDescent="0.25">
      <c r="A148" s="1389" t="str">
        <f>COA!B144</f>
        <v>6041 Travel Meals</v>
      </c>
      <c r="B148" s="1390">
        <f>_xlfn.XLOOKUP(A148,'TB.1 - F25'!A:A,'TB.1 - F25'!D:D,0,0,1)</f>
        <v>0</v>
      </c>
      <c r="C148" s="1390">
        <f>_xlfn.XLOOKUP(A148,'TB.1 - F25'!A:A,'TB.1 - F25'!H:H,0,0,1)</f>
        <v>198.61</v>
      </c>
      <c r="D148" s="1390">
        <f>_xlfn.XLOOKUP(A148,'AJE.1 - F25'!A:A,'AJE.1 - F25'!F:F,0,0,1)</f>
        <v>0</v>
      </c>
      <c r="E148" s="1390"/>
      <c r="F148" s="219">
        <f>ROUND(SUM(B148:E148),0)</f>
        <v>199</v>
      </c>
      <c r="G148" s="1390">
        <f>_xlfn.XLOOKUP($A148,TB.PRO!$A:$A,TB.PRO!F:F,0,0,1)</f>
        <v>0</v>
      </c>
      <c r="H148" s="1390">
        <f>_xlfn.XLOOKUP($A148,TB.PRO!$A:$A,TB.PRO!G:G,0,0,1)</f>
        <v>0</v>
      </c>
      <c r="I148" s="1390">
        <f>SUMIF('[2]Sum - Fiscal'!$P:$P,A148,'[2]Sum - Fiscal'!$E:$E)</f>
        <v>0</v>
      </c>
      <c r="J148" s="1390"/>
      <c r="K148" s="1390"/>
      <c r="L148" s="665">
        <f>ROUND(SUM(G148:K148),0)</f>
        <v>0</v>
      </c>
      <c r="M148" s="1390">
        <f>_xlfn.XLOOKUP($A148,TB.PRO!$A:$A,TB.PRO!I:I,0,0,1)</f>
        <v>0</v>
      </c>
      <c r="N148" s="1390">
        <f>_xlfn.XLOOKUP($A148,TB.PRO!$A:$A,TB.PRO!J:J,0,0,1)</f>
        <v>0</v>
      </c>
      <c r="O148" s="1390">
        <f>SUMIF('[2]Sum - Fiscal'!$P:$P,$A148,'[2]Sum - Fiscal'!$F:$F)</f>
        <v>0</v>
      </c>
      <c r="P148" s="1390"/>
      <c r="Q148" s="1390"/>
      <c r="R148" s="665">
        <f>ROUND(SUM(M148:Q148),0)</f>
        <v>0</v>
      </c>
      <c r="S148" s="1390">
        <f>_xlfn.XLOOKUP($A148,TB.PRO!$A:$A,TB.PRO!L:L,0,0,1)</f>
        <v>0</v>
      </c>
      <c r="T148" s="1390">
        <f>_xlfn.XLOOKUP($A148,TB.PRO!$A:$A,TB.PRO!M:M,0,0,1)</f>
        <v>0</v>
      </c>
      <c r="U148" s="1390">
        <f>SUMIF('[2]Sum - Fiscal'!$P:$P,$A148,'[2]Sum - Fiscal'!$G:$G)</f>
        <v>0</v>
      </c>
      <c r="V148" s="1390"/>
      <c r="W148" s="1390"/>
      <c r="X148" s="665">
        <f>ROUND(SUM(S148:W148),0)</f>
        <v>0</v>
      </c>
      <c r="Y148" s="1390">
        <f>_xlfn.XLOOKUP($A148,TB.PRO!$A:$A,TB.PRO!O:O,0,0,1)</f>
        <v>0</v>
      </c>
      <c r="Z148" s="1390">
        <f>_xlfn.XLOOKUP($A148,TB.PRO!$A:$A,TB.PRO!P:P,0,0,1)</f>
        <v>0</v>
      </c>
      <c r="AA148" s="1390">
        <f>SUMIF('[2]Sum - Fiscal'!$P:$P,$A148,'[2]Sum - Fiscal'!$H:$H)</f>
        <v>0</v>
      </c>
      <c r="AB148" s="1390"/>
      <c r="AC148" s="1390"/>
      <c r="AD148" s="219">
        <f>ROUND(SUM(Y148:AC148),0)</f>
        <v>0</v>
      </c>
      <c r="AE148" s="1390">
        <f>_xlfn.XLOOKUP($A148,TB.PRO!$A:$A,TB.PRO!R:R,0,0,1)</f>
        <v>0</v>
      </c>
      <c r="AF148" s="1390">
        <f>_xlfn.XLOOKUP($A148,TB.PRO!$A:$A,TB.PRO!S:S,0,0,1)</f>
        <v>0</v>
      </c>
      <c r="AG148" s="1390">
        <f>SUMIF('[2]Sum - Fiscal'!$P:$P,$A148,'[2]Sum - Fiscal'!$I:$I)</f>
        <v>0</v>
      </c>
      <c r="AH148" s="1390"/>
      <c r="AI148" s="1390"/>
      <c r="AJ148" s="219">
        <f>ROUND(SUM(AE148:AI148),0)</f>
        <v>0</v>
      </c>
      <c r="AK148" s="178" t="str">
        <f>_xlfn.XLOOKUP($A148,COA!$B:$B,COA!$C:$C,0,0,1)</f>
        <v>General and administration</v>
      </c>
      <c r="AL148" s="178" t="str">
        <f>_xlfn.XLOOKUP($A148,COA!$B:$B,COA!$D:$D,0,0,1)</f>
        <v>Travel expenses</v>
      </c>
      <c r="AM148" s="178" t="str">
        <f>_xlfn.XLOOKUP($A148,COA!$B:$B,COA!$E:$E,0,0,1)</f>
        <v>Accumulated deficit</v>
      </c>
      <c r="AO148" s="85" t="str">
        <f t="shared" si="20"/>
        <v>Accumulated deficit</v>
      </c>
      <c r="AP148" s="87"/>
      <c r="AQ148" s="87"/>
      <c r="AR148" s="87"/>
      <c r="AS148" s="87"/>
      <c r="AT148" s="85"/>
      <c r="AU148" s="85"/>
      <c r="AV148" s="85"/>
      <c r="AW148" s="85"/>
      <c r="AX148" s="85"/>
      <c r="AY148" s="85"/>
      <c r="AZ148" s="85"/>
      <c r="BA148" s="85"/>
      <c r="BB148" s="85"/>
      <c r="BC148" s="85"/>
      <c r="BD148" s="85"/>
      <c r="BE148" s="85"/>
      <c r="BF148" s="85"/>
      <c r="BG148" s="85"/>
    </row>
    <row r="149" spans="1:59" x14ac:dyDescent="0.25">
      <c r="A149" s="1389" t="str">
        <f>COA!B145</f>
        <v>6042 Travel</v>
      </c>
      <c r="B149" s="1390">
        <f>_xlfn.XLOOKUP(A149,'TB.1 - F25'!A:A,'TB.1 - F25'!D:D,0,0,1)</f>
        <v>0</v>
      </c>
      <c r="C149" s="1390">
        <f>_xlfn.XLOOKUP(A149,'TB.1 - F25'!A:A,'TB.1 - F25'!H:H,0,0,1)</f>
        <v>4325.18</v>
      </c>
      <c r="D149" s="1390">
        <f>_xlfn.XLOOKUP(A149,'AJE.1 - F25'!A:A,'AJE.1 - F25'!F:F,0,0,1)</f>
        <v>0</v>
      </c>
      <c r="E149" s="1390"/>
      <c r="F149" s="219">
        <f>ROUND(SUM(B149:E149),0)</f>
        <v>4325</v>
      </c>
      <c r="G149" s="1390">
        <f>_xlfn.XLOOKUP($A149,TB.PRO!$A:$A,TB.PRO!F:F,0,0,1)</f>
        <v>0</v>
      </c>
      <c r="H149" s="1390">
        <f>_xlfn.XLOOKUP($A149,TB.PRO!$A:$A,TB.PRO!G:G,0,0,1)</f>
        <v>0</v>
      </c>
      <c r="I149" s="1390">
        <f>SUMIF('[2]Sum - Fiscal'!$P:$P,A149,'[2]Sum - Fiscal'!$E:$E)</f>
        <v>6000</v>
      </c>
      <c r="J149" s="1390"/>
      <c r="K149" s="1390"/>
      <c r="L149" s="665">
        <f>ROUND(SUM(G149:K149),0)</f>
        <v>6000</v>
      </c>
      <c r="M149" s="1390">
        <f>_xlfn.XLOOKUP($A149,TB.PRO!$A:$A,TB.PRO!I:I,0,0,1)</f>
        <v>0</v>
      </c>
      <c r="N149" s="1390">
        <f>_xlfn.XLOOKUP($A149,TB.PRO!$A:$A,TB.PRO!J:J,0,0,1)</f>
        <v>0</v>
      </c>
      <c r="O149" s="1390">
        <f>SUMIF('[2]Sum - Fiscal'!$P:$P,$A149,'[2]Sum - Fiscal'!$F:$F)</f>
        <v>6600.0000000000009</v>
      </c>
      <c r="P149" s="1390"/>
      <c r="Q149" s="1390"/>
      <c r="R149" s="665">
        <f>ROUND(SUM(M149:Q149),0)</f>
        <v>6600</v>
      </c>
      <c r="S149" s="1390">
        <f>_xlfn.XLOOKUP($A149,TB.PRO!$A:$A,TB.PRO!L:L,0,0,1)</f>
        <v>0</v>
      </c>
      <c r="T149" s="1390">
        <f>_xlfn.XLOOKUP($A149,TB.PRO!$A:$A,TB.PRO!M:M,0,0,1)</f>
        <v>0</v>
      </c>
      <c r="U149" s="1390">
        <f>SUMIF('[2]Sum - Fiscal'!$P:$P,$A149,'[2]Sum - Fiscal'!$G:$G)</f>
        <v>7260.0000000000018</v>
      </c>
      <c r="V149" s="1390"/>
      <c r="W149" s="1390"/>
      <c r="X149" s="665">
        <f>ROUND(SUM(S149:W149),0)</f>
        <v>7260</v>
      </c>
      <c r="Y149" s="1390">
        <f>_xlfn.XLOOKUP($A149,TB.PRO!$A:$A,TB.PRO!O:O,0,0,1)</f>
        <v>0</v>
      </c>
      <c r="Z149" s="1390">
        <f>_xlfn.XLOOKUP($A149,TB.PRO!$A:$A,TB.PRO!P:P,0,0,1)</f>
        <v>0</v>
      </c>
      <c r="AA149" s="1390">
        <f>SUMIF('[2]Sum - Fiscal'!$P:$P,$A149,'[2]Sum - Fiscal'!$H:$H)</f>
        <v>7986.0000000000027</v>
      </c>
      <c r="AB149" s="1390"/>
      <c r="AC149" s="1390"/>
      <c r="AD149" s="219">
        <f>ROUND(SUM(Y149:AC149),0)</f>
        <v>7986</v>
      </c>
      <c r="AE149" s="1390">
        <f>_xlfn.XLOOKUP($A149,TB.PRO!$A:$A,TB.PRO!R:R,0,0,1)</f>
        <v>0</v>
      </c>
      <c r="AF149" s="1390">
        <f>_xlfn.XLOOKUP($A149,TB.PRO!$A:$A,TB.PRO!S:S,0,0,1)</f>
        <v>0</v>
      </c>
      <c r="AG149" s="1390">
        <f>SUMIF('[2]Sum - Fiscal'!$P:$P,$A149,'[2]Sum - Fiscal'!$I:$I)</f>
        <v>8784.600000000004</v>
      </c>
      <c r="AH149" s="1390"/>
      <c r="AI149" s="1390"/>
      <c r="AJ149" s="219">
        <f>ROUND(SUM(AE149:AI149),0)</f>
        <v>8785</v>
      </c>
      <c r="AK149" s="178" t="str">
        <f>_xlfn.XLOOKUP($A149,COA!$B:$B,COA!$C:$C,0,0,1)</f>
        <v>General and administration</v>
      </c>
      <c r="AL149" s="178" t="str">
        <f>_xlfn.XLOOKUP($A149,COA!$B:$B,COA!$D:$D,0,0,1)</f>
        <v>Travel expenses</v>
      </c>
      <c r="AM149" s="178" t="str">
        <f>_xlfn.XLOOKUP($A149,COA!$B:$B,COA!$E:$E,0,0,1)</f>
        <v>Accumulated deficit</v>
      </c>
      <c r="AO149" s="85" t="str">
        <f t="shared" si="20"/>
        <v>Accumulated deficit</v>
      </c>
      <c r="AP149" s="87"/>
      <c r="AQ149" s="87"/>
      <c r="AR149" s="87"/>
      <c r="AS149" s="87"/>
      <c r="AT149" s="85"/>
      <c r="AU149" s="85"/>
      <c r="AV149" s="85"/>
      <c r="AW149" s="85"/>
      <c r="AX149" s="85"/>
      <c r="AY149" s="85"/>
      <c r="AZ149" s="85"/>
      <c r="BA149" s="85"/>
      <c r="BB149" s="85"/>
      <c r="BC149" s="85"/>
      <c r="BD149" s="85"/>
      <c r="BE149" s="85"/>
      <c r="BF149" s="85"/>
      <c r="BG149" s="85"/>
    </row>
    <row r="150" spans="1:59" x14ac:dyDescent="0.25">
      <c r="A150" s="1389" t="str">
        <f>COA!B146</f>
        <v>6043 Transfer agent and regulatory expenses</v>
      </c>
      <c r="B150" s="1390">
        <f>_xlfn.XLOOKUP(A150,'TB.1 - F25'!A:A,'TB.1 - F25'!D:D,0,0,1)</f>
        <v>0</v>
      </c>
      <c r="C150" s="1390">
        <f>_xlfn.XLOOKUP(A150,'TB.1 - F25'!A:A,'TB.1 - F25'!H:H,0,0,1)</f>
        <v>0</v>
      </c>
      <c r="D150" s="1390">
        <f>_xlfn.XLOOKUP(A150,'AJE.1 - F25'!A:A,'AJE.1 - F25'!F:F,0,0,1)</f>
        <v>0</v>
      </c>
      <c r="E150" s="1390"/>
      <c r="F150" s="219">
        <f>ROUND(SUM(B150:E150),0)</f>
        <v>0</v>
      </c>
      <c r="G150" s="1390">
        <f>_xlfn.XLOOKUP($A150,TB.PRO!$A:$A,TB.PRO!F:F,0,0,1)</f>
        <v>0</v>
      </c>
      <c r="H150" s="1390">
        <f>_xlfn.XLOOKUP($A150,TB.PRO!$A:$A,TB.PRO!G:G,0,0,1)</f>
        <v>0</v>
      </c>
      <c r="I150" s="1390">
        <f>SUMIF('[2]Sum - Fiscal'!$P:$P,A150,'[2]Sum - Fiscal'!$E:$E)</f>
        <v>9000</v>
      </c>
      <c r="J150" s="1390"/>
      <c r="K150" s="1390"/>
      <c r="L150" s="665">
        <f>ROUND(SUM(G150:K150),0)</f>
        <v>9000</v>
      </c>
      <c r="M150" s="1390">
        <f>_xlfn.XLOOKUP($A150,TB.PRO!$A:$A,TB.PRO!I:I,0,0,1)</f>
        <v>0</v>
      </c>
      <c r="N150" s="1390">
        <f>_xlfn.XLOOKUP($A150,TB.PRO!$A:$A,TB.PRO!J:J,0,0,1)</f>
        <v>0</v>
      </c>
      <c r="O150" s="1390">
        <f>SUMIF('[2]Sum - Fiscal'!$P:$P,$A150,'[2]Sum - Fiscal'!$F:$F)</f>
        <v>9450</v>
      </c>
      <c r="P150" s="1390"/>
      <c r="Q150" s="1390"/>
      <c r="R150" s="665">
        <f>ROUND(SUM(M150:Q150),0)</f>
        <v>9450</v>
      </c>
      <c r="S150" s="1390">
        <f>_xlfn.XLOOKUP($A150,TB.PRO!$A:$A,TB.PRO!L:L,0,0,1)</f>
        <v>0</v>
      </c>
      <c r="T150" s="1390">
        <f>_xlfn.XLOOKUP($A150,TB.PRO!$A:$A,TB.PRO!M:M,0,0,1)</f>
        <v>0</v>
      </c>
      <c r="U150" s="1390">
        <f>SUMIF('[2]Sum - Fiscal'!$P:$P,$A150,'[2]Sum - Fiscal'!$G:$G)</f>
        <v>9922.5</v>
      </c>
      <c r="V150" s="1390"/>
      <c r="W150" s="1390"/>
      <c r="X150" s="665">
        <f>ROUND(SUM(S150:W150),0)</f>
        <v>9923</v>
      </c>
      <c r="Y150" s="1390">
        <f>_xlfn.XLOOKUP($A150,TB.PRO!$A:$A,TB.PRO!O:O,0,0,1)</f>
        <v>0</v>
      </c>
      <c r="Z150" s="1390">
        <f>_xlfn.XLOOKUP($A150,TB.PRO!$A:$A,TB.PRO!P:P,0,0,1)</f>
        <v>0</v>
      </c>
      <c r="AA150" s="1390">
        <f>SUMIF('[2]Sum - Fiscal'!$P:$P,$A150,'[2]Sum - Fiscal'!$H:$H)</f>
        <v>10418.625</v>
      </c>
      <c r="AB150" s="1390"/>
      <c r="AC150" s="1390"/>
      <c r="AD150" s="219">
        <f>ROUND(SUM(Y150:AC150),0)</f>
        <v>10419</v>
      </c>
      <c r="AE150" s="1390">
        <f>_xlfn.XLOOKUP($A150,TB.PRO!$A:$A,TB.PRO!R:R,0,0,1)</f>
        <v>0</v>
      </c>
      <c r="AF150" s="1390">
        <f>_xlfn.XLOOKUP($A150,TB.PRO!$A:$A,TB.PRO!S:S,0,0,1)</f>
        <v>0</v>
      </c>
      <c r="AG150" s="1390">
        <f>SUMIF('[2]Sum - Fiscal'!$P:$P,$A150,'[2]Sum - Fiscal'!$I:$I)</f>
        <v>10939.55625</v>
      </c>
      <c r="AH150" s="1390"/>
      <c r="AI150" s="1390"/>
      <c r="AJ150" s="219">
        <f>ROUND(SUM(AE150:AI150),0)</f>
        <v>10940</v>
      </c>
      <c r="AK150" s="178" t="str">
        <f>_xlfn.XLOOKUP($A150,COA!$B:$B,COA!$C:$C,0,0,1)</f>
        <v>General and administration</v>
      </c>
      <c r="AL150" s="178" t="str">
        <f>_xlfn.XLOOKUP($A150,COA!$B:$B,COA!$D:$D,0,0,1)</f>
        <v>Transfer agent and regulatory expenses</v>
      </c>
      <c r="AM150" s="178" t="str">
        <f>_xlfn.XLOOKUP($A150,COA!$B:$B,COA!$E:$E,0,0,1)</f>
        <v>Accumulated deficit</v>
      </c>
      <c r="AO150" s="85" t="str">
        <f>_xlfn.XLOOKUP(AM150,FS.1!A:A,AM:AM,0,0,1)</f>
        <v>Due to related parties</v>
      </c>
      <c r="AP150" s="87"/>
      <c r="AQ150" s="87"/>
      <c r="AR150" s="87"/>
      <c r="AS150" s="87"/>
      <c r="AT150" s="85"/>
      <c r="AU150" s="85"/>
      <c r="AV150" s="85"/>
      <c r="AW150" s="85"/>
      <c r="AX150" s="85"/>
      <c r="AY150" s="85"/>
      <c r="AZ150" s="85"/>
      <c r="BA150" s="85"/>
      <c r="BB150" s="85"/>
      <c r="BC150" s="85"/>
      <c r="BD150" s="85"/>
      <c r="BE150" s="85"/>
      <c r="BF150" s="85"/>
      <c r="BG150" s="85"/>
    </row>
    <row r="151" spans="1:59" x14ac:dyDescent="0.25">
      <c r="A151" s="1389" t="str">
        <f>COA!B147</f>
        <v>6050 Insurance</v>
      </c>
      <c r="B151" s="1390">
        <f>_xlfn.XLOOKUP(A151,'TB.1 - F25'!A:A,'TB.1 - F25'!D:D,0,0,1)</f>
        <v>26182.36</v>
      </c>
      <c r="C151" s="1390">
        <f>_xlfn.XLOOKUP(A151,'TB.1 - F25'!A:A,'TB.1 - F25'!H:H,0,0,1)</f>
        <v>0</v>
      </c>
      <c r="D151" s="1390">
        <f>_xlfn.XLOOKUP(A151,'AJE.1 - F25'!A:A,'AJE.1 - F25'!F:F,0,0,1)</f>
        <v>0</v>
      </c>
      <c r="E151" s="1390"/>
      <c r="F151" s="219">
        <f>ROUND(SUM(B151:E151),0)</f>
        <v>26182</v>
      </c>
      <c r="G151" s="1390">
        <f>_xlfn.XLOOKUP($A151,TB.PRO!$A:$A,TB.PRO!F:F,0,0,1)</f>
        <v>0</v>
      </c>
      <c r="H151" s="1390">
        <f>_xlfn.XLOOKUP($A151,TB.PRO!$A:$A,TB.PRO!G:G,0,0,1)</f>
        <v>204.28</v>
      </c>
      <c r="I151" s="1390">
        <f>SUMIF('[2]Sum - Fiscal'!$P:$P,A151,'[2]Sum - Fiscal'!$E:$E)</f>
        <v>30000</v>
      </c>
      <c r="J151" s="1390"/>
      <c r="K151" s="1390"/>
      <c r="L151" s="665">
        <f>ROUND(SUM(G151:K151),0)</f>
        <v>30204</v>
      </c>
      <c r="M151" s="1390">
        <f>_xlfn.XLOOKUP($A151,TB.PRO!$A:$A,TB.PRO!I:I,0,0,1)</f>
        <v>0</v>
      </c>
      <c r="N151" s="1390">
        <f>_xlfn.XLOOKUP($A151,TB.PRO!$A:$A,TB.PRO!J:J,0,0,1)</f>
        <v>0</v>
      </c>
      <c r="O151" s="1390">
        <f>SUMIF('[2]Sum - Fiscal'!$P:$P,$A151,'[2]Sum - Fiscal'!$F:$F)</f>
        <v>31500</v>
      </c>
      <c r="P151" s="1390"/>
      <c r="Q151" s="1390"/>
      <c r="R151" s="665">
        <f>ROUND(SUM(M151:Q151),0)</f>
        <v>31500</v>
      </c>
      <c r="S151" s="1390">
        <f>_xlfn.XLOOKUP($A151,TB.PRO!$A:$A,TB.PRO!L:L,0,0,1)</f>
        <v>0</v>
      </c>
      <c r="T151" s="1390">
        <f>_xlfn.XLOOKUP($A151,TB.PRO!$A:$A,TB.PRO!M:M,0,0,1)</f>
        <v>0</v>
      </c>
      <c r="U151" s="1390">
        <f>SUMIF('[2]Sum - Fiscal'!$P:$P,$A151,'[2]Sum - Fiscal'!$G:$G)</f>
        <v>33075</v>
      </c>
      <c r="V151" s="1390"/>
      <c r="W151" s="1390"/>
      <c r="X151" s="665">
        <f>ROUND(SUM(S151:W151),0)</f>
        <v>33075</v>
      </c>
      <c r="Y151" s="1390">
        <f>_xlfn.XLOOKUP($A151,TB.PRO!$A:$A,TB.PRO!O:O,0,0,1)</f>
        <v>0</v>
      </c>
      <c r="Z151" s="1390">
        <f>_xlfn.XLOOKUP($A151,TB.PRO!$A:$A,TB.PRO!P:P,0,0,1)</f>
        <v>0</v>
      </c>
      <c r="AA151" s="1390">
        <f>SUMIF('[2]Sum - Fiscal'!$P:$P,$A151,'[2]Sum - Fiscal'!$H:$H)</f>
        <v>34728.75</v>
      </c>
      <c r="AB151" s="1390"/>
      <c r="AC151" s="1390"/>
      <c r="AD151" s="219">
        <f>ROUND(SUM(Y151:AC151),0)</f>
        <v>34729</v>
      </c>
      <c r="AE151" s="1390">
        <f>_xlfn.XLOOKUP($A151,TB.PRO!$A:$A,TB.PRO!R:R,0,0,1)</f>
        <v>0</v>
      </c>
      <c r="AF151" s="1390">
        <f>_xlfn.XLOOKUP($A151,TB.PRO!$A:$A,TB.PRO!S:S,0,0,1)</f>
        <v>0</v>
      </c>
      <c r="AG151" s="1390">
        <f>SUMIF('[2]Sum - Fiscal'!$P:$P,$A151,'[2]Sum - Fiscal'!$I:$I)</f>
        <v>36465.1875</v>
      </c>
      <c r="AH151" s="1390"/>
      <c r="AI151" s="1390"/>
      <c r="AJ151" s="219">
        <f>ROUND(SUM(AE151:AI151),0)</f>
        <v>36465</v>
      </c>
      <c r="AK151" s="178" t="str">
        <f>_xlfn.XLOOKUP($A151,COA!$B:$B,COA!$C:$C,0,0,1)</f>
        <v>General and administration</v>
      </c>
      <c r="AL151" s="178" t="str">
        <f>_xlfn.XLOOKUP($A151,COA!$B:$B,COA!$D:$D,0,0,1)</f>
        <v>Insurance</v>
      </c>
      <c r="AM151" s="178" t="str">
        <f>_xlfn.XLOOKUP($A151,COA!$B:$B,COA!$E:$E,0,0,1)</f>
        <v>Accumulated deficit</v>
      </c>
      <c r="AO151" s="85" t="str">
        <f t="shared" si="20"/>
        <v>Accumulated deficit</v>
      </c>
      <c r="AP151" s="87"/>
      <c r="AQ151" s="87"/>
      <c r="AR151" s="87"/>
      <c r="AS151" s="87"/>
      <c r="AT151" s="85"/>
      <c r="AU151" s="85"/>
      <c r="AV151" s="85"/>
      <c r="AW151" s="85"/>
      <c r="AX151" s="85"/>
      <c r="AY151" s="85"/>
      <c r="AZ151" s="85"/>
      <c r="BA151" s="85"/>
      <c r="BB151" s="85"/>
      <c r="BC151" s="85"/>
      <c r="BD151" s="85"/>
      <c r="BE151" s="85"/>
      <c r="BF151" s="85"/>
      <c r="BG151" s="85"/>
    </row>
    <row r="152" spans="1:59" x14ac:dyDescent="0.25">
      <c r="A152" s="1389" t="str">
        <f>COA!B148</f>
        <v>6060 Office expenses</v>
      </c>
      <c r="B152" s="1390">
        <f>_xlfn.XLOOKUP(A152,'TB.1 - F25'!A:A,'TB.1 - F25'!D:D,0,0,1)</f>
        <v>64.319999999999993</v>
      </c>
      <c r="C152" s="1390">
        <f>_xlfn.XLOOKUP(A152,'TB.1 - F25'!A:A,'TB.1 - F25'!H:H,0,0,1)</f>
        <v>0</v>
      </c>
      <c r="D152" s="1390">
        <f>_xlfn.XLOOKUP(A152,'AJE.1 - F25'!A:A,'AJE.1 - F25'!F:F,0,0,1)</f>
        <v>0</v>
      </c>
      <c r="E152" s="1390"/>
      <c r="F152" s="219">
        <f>ROUND(SUM(B152:E152),0)</f>
        <v>64</v>
      </c>
      <c r="G152" s="1390">
        <f>_xlfn.XLOOKUP($A152,TB.PRO!$A:$A,TB.PRO!F:F,0,0,1)</f>
        <v>367.84</v>
      </c>
      <c r="H152" s="1390">
        <f>_xlfn.XLOOKUP($A152,TB.PRO!$A:$A,TB.PRO!G:G,0,0,1)</f>
        <v>0</v>
      </c>
      <c r="I152" s="1390">
        <f>SUMIF('[2]Sum - Fiscal'!$P:$P,A152,'[2]Sum - Fiscal'!$E:$E)</f>
        <v>24000</v>
      </c>
      <c r="J152" s="1390"/>
      <c r="K152" s="1390"/>
      <c r="L152" s="665">
        <f>ROUND(SUM(G152:K152),0)</f>
        <v>24368</v>
      </c>
      <c r="M152" s="1390">
        <f>_xlfn.XLOOKUP($A152,TB.PRO!$A:$A,TB.PRO!I:I,0,0,1)</f>
        <v>0</v>
      </c>
      <c r="N152" s="1390">
        <f>_xlfn.XLOOKUP($A152,TB.PRO!$A:$A,TB.PRO!J:J,0,0,1)</f>
        <v>0</v>
      </c>
      <c r="O152" s="1390">
        <f>SUMIF('[2]Sum - Fiscal'!$P:$P,$A152,'[2]Sum - Fiscal'!$F:$F)</f>
        <v>26400.000000000004</v>
      </c>
      <c r="P152" s="1390"/>
      <c r="Q152" s="1390"/>
      <c r="R152" s="665">
        <f>ROUND(SUM(M152:Q152),0)</f>
        <v>26400</v>
      </c>
      <c r="S152" s="1390">
        <f>_xlfn.XLOOKUP($A152,TB.PRO!$A:$A,TB.PRO!L:L,0,0,1)</f>
        <v>0</v>
      </c>
      <c r="T152" s="1390">
        <f>_xlfn.XLOOKUP($A152,TB.PRO!$A:$A,TB.PRO!M:M,0,0,1)</f>
        <v>0</v>
      </c>
      <c r="U152" s="1390">
        <f>SUMIF('[2]Sum - Fiscal'!$P:$P,$A152,'[2]Sum - Fiscal'!$G:$G)</f>
        <v>29040.000000000007</v>
      </c>
      <c r="V152" s="1390"/>
      <c r="W152" s="1390"/>
      <c r="X152" s="665">
        <f>ROUND(SUM(S152:W152),0)</f>
        <v>29040</v>
      </c>
      <c r="Y152" s="1390">
        <f>_xlfn.XLOOKUP($A152,TB.PRO!$A:$A,TB.PRO!O:O,0,0,1)</f>
        <v>0</v>
      </c>
      <c r="Z152" s="1390">
        <f>_xlfn.XLOOKUP($A152,TB.PRO!$A:$A,TB.PRO!P:P,0,0,1)</f>
        <v>0</v>
      </c>
      <c r="AA152" s="1390">
        <f>SUMIF('[2]Sum - Fiscal'!$P:$P,$A152,'[2]Sum - Fiscal'!$H:$H)</f>
        <v>31944.000000000011</v>
      </c>
      <c r="AB152" s="1390"/>
      <c r="AC152" s="1390"/>
      <c r="AD152" s="219">
        <f>ROUND(SUM(Y152:AC152),0)</f>
        <v>31944</v>
      </c>
      <c r="AE152" s="1390">
        <f>_xlfn.XLOOKUP($A152,TB.PRO!$A:$A,TB.PRO!R:R,0,0,1)</f>
        <v>0</v>
      </c>
      <c r="AF152" s="1390">
        <f>_xlfn.XLOOKUP($A152,TB.PRO!$A:$A,TB.PRO!S:S,0,0,1)</f>
        <v>0</v>
      </c>
      <c r="AG152" s="1390">
        <f>SUMIF('[2]Sum - Fiscal'!$P:$P,$A152,'[2]Sum - Fiscal'!$I:$I)</f>
        <v>35138.400000000016</v>
      </c>
      <c r="AH152" s="1390"/>
      <c r="AI152" s="1390"/>
      <c r="AJ152" s="219">
        <f>ROUND(SUM(AE152:AI152),0)</f>
        <v>35138</v>
      </c>
      <c r="AK152" s="178" t="str">
        <f>_xlfn.XLOOKUP($A152,COA!$B:$B,COA!$C:$C,0,0,1)</f>
        <v>General and administration</v>
      </c>
      <c r="AL152" s="178" t="str">
        <f>_xlfn.XLOOKUP($A152,COA!$B:$B,COA!$D:$D,0,0,1)</f>
        <v>Office expenses</v>
      </c>
      <c r="AM152" s="178" t="str">
        <f>_xlfn.XLOOKUP($A152,COA!$B:$B,COA!$E:$E,0,0,1)</f>
        <v>Accumulated deficit</v>
      </c>
      <c r="AO152" s="85" t="str">
        <f t="shared" si="20"/>
        <v>Accumulated deficit</v>
      </c>
      <c r="AP152" s="87"/>
      <c r="AQ152" s="87"/>
      <c r="AR152" s="87"/>
      <c r="AS152" s="87"/>
      <c r="AT152" s="85"/>
      <c r="AU152" s="85"/>
      <c r="AV152" s="85"/>
      <c r="AW152" s="85"/>
      <c r="AX152" s="85"/>
      <c r="AY152" s="85"/>
      <c r="AZ152" s="85"/>
      <c r="BA152" s="85"/>
      <c r="BB152" s="85"/>
      <c r="BC152" s="85"/>
      <c r="BD152" s="85"/>
      <c r="BE152" s="85"/>
      <c r="BF152" s="85"/>
      <c r="BG152" s="85"/>
    </row>
    <row r="153" spans="1:59" hidden="1" x14ac:dyDescent="0.25">
      <c r="A153" s="1389" t="str">
        <f>COA!B149</f>
        <v>6060 Repairs and Maintenance</v>
      </c>
      <c r="B153" s="1390">
        <f>_xlfn.XLOOKUP(A153,'TB.1 - F25'!A:A,'TB.1 - F25'!D:D,0,0,1)</f>
        <v>0</v>
      </c>
      <c r="C153" s="1390">
        <f>_xlfn.XLOOKUP(A153,'TB.1 - F25'!A:A,'TB.1 - F25'!H:H,0,0,1)</f>
        <v>0</v>
      </c>
      <c r="D153" s="1390">
        <f>_xlfn.XLOOKUP(A153,'AJE.1 - F25'!A:A,'AJE.1 - F25'!F:F,0,0,1)</f>
        <v>0</v>
      </c>
      <c r="E153" s="1390"/>
      <c r="F153" s="219">
        <f>ROUND(SUM(B153:E153),0)</f>
        <v>0</v>
      </c>
      <c r="G153" s="1390">
        <f>_xlfn.XLOOKUP($A153,TB.PRO!$A:$A,TB.PRO!F:F,0,0,1)</f>
        <v>0</v>
      </c>
      <c r="H153" s="1390">
        <f>_xlfn.XLOOKUP($A153,TB.PRO!$A:$A,TB.PRO!G:G,0,0,1)</f>
        <v>0</v>
      </c>
      <c r="I153" s="1390">
        <f>SUMIF('[2]Sum - Fiscal'!$P:$P,A153,'[2]Sum - Fiscal'!$E:$E)</f>
        <v>0</v>
      </c>
      <c r="J153" s="1390"/>
      <c r="K153" s="1390"/>
      <c r="L153" s="665">
        <f>ROUND(SUM(G153:K153),0)</f>
        <v>0</v>
      </c>
      <c r="M153" s="1390">
        <f>_xlfn.XLOOKUP($A153,TB.PRO!$A:$A,TB.PRO!I:I,0,0,1)</f>
        <v>0</v>
      </c>
      <c r="N153" s="1390">
        <f>_xlfn.XLOOKUP($A153,TB.PRO!$A:$A,TB.PRO!J:J,0,0,1)</f>
        <v>0</v>
      </c>
      <c r="O153" s="1390">
        <f>SUMIF('[2]Sum - Fiscal'!$P:$P,$A153,'[2]Sum - Fiscal'!$F:$F)</f>
        <v>0</v>
      </c>
      <c r="P153" s="1390"/>
      <c r="Q153" s="1390"/>
      <c r="R153" s="665">
        <f>ROUND(SUM(M153:Q153),0)</f>
        <v>0</v>
      </c>
      <c r="S153" s="1390">
        <f>_xlfn.XLOOKUP($A153,TB.PRO!$A:$A,TB.PRO!L:L,0,0,1)</f>
        <v>0</v>
      </c>
      <c r="T153" s="1390">
        <f>_xlfn.XLOOKUP($A153,TB.PRO!$A:$A,TB.PRO!M:M,0,0,1)</f>
        <v>0</v>
      </c>
      <c r="U153" s="1390">
        <f>SUMIF('[2]Sum - Fiscal'!$P:$P,$A153,'[2]Sum - Fiscal'!$G:$G)</f>
        <v>0</v>
      </c>
      <c r="V153" s="1390"/>
      <c r="W153" s="1390"/>
      <c r="X153" s="665">
        <f>ROUND(SUM(S153:W153),0)</f>
        <v>0</v>
      </c>
      <c r="Y153" s="1390">
        <f>_xlfn.XLOOKUP($A153,TB.PRO!$A:$A,TB.PRO!O:O,0,0,1)</f>
        <v>0</v>
      </c>
      <c r="Z153" s="1390">
        <f>_xlfn.XLOOKUP($A153,TB.PRO!$A:$A,TB.PRO!P:P,0,0,1)</f>
        <v>0</v>
      </c>
      <c r="AA153" s="1390">
        <f>SUMIF('[2]Sum - Fiscal'!$P:$P,$A153,'[2]Sum - Fiscal'!$H:$H)</f>
        <v>0</v>
      </c>
      <c r="AB153" s="1390"/>
      <c r="AC153" s="1390"/>
      <c r="AD153" s="219">
        <f>ROUND(SUM(Y153:AC153),0)</f>
        <v>0</v>
      </c>
      <c r="AE153" s="1390">
        <f>_xlfn.XLOOKUP($A153,TB.PRO!$A:$A,TB.PRO!R:R,0,0,1)</f>
        <v>0</v>
      </c>
      <c r="AF153" s="1390">
        <f>_xlfn.XLOOKUP($A153,TB.PRO!$A:$A,TB.PRO!S:S,0,0,1)</f>
        <v>0</v>
      </c>
      <c r="AG153" s="1390">
        <f>SUMIF('[2]Sum - Fiscal'!$P:$P,$A153,'[2]Sum - Fiscal'!$I:$I)</f>
        <v>0</v>
      </c>
      <c r="AH153" s="1390"/>
      <c r="AI153" s="1390"/>
      <c r="AJ153" s="219">
        <f>ROUND(SUM(AE153:AI153),0)</f>
        <v>0</v>
      </c>
      <c r="AK153" s="178" t="str">
        <f>_xlfn.XLOOKUP($A153,COA!$B:$B,COA!$C:$C,0,0,1)</f>
        <v>General and administration</v>
      </c>
      <c r="AL153" s="178" t="str">
        <f>_xlfn.XLOOKUP($A153,COA!$B:$B,COA!$D:$D,0,0,1)</f>
        <v>Repairs and maintenance</v>
      </c>
      <c r="AM153" s="178" t="str">
        <f>_xlfn.XLOOKUP($A153,COA!$B:$B,COA!$E:$E,0,0,1)</f>
        <v>Accumulated deficit</v>
      </c>
      <c r="AO153" s="85" t="str">
        <f>_xlfn.XLOOKUP(AM153,FS.1!A:A,AM:AM,0,0,1)</f>
        <v>Due to related parties</v>
      </c>
      <c r="AP153" s="87"/>
      <c r="AQ153" s="87"/>
      <c r="AR153" s="87"/>
      <c r="AS153" s="87"/>
      <c r="AT153" s="85"/>
      <c r="AU153" s="85"/>
      <c r="AV153" s="85"/>
      <c r="AW153" s="85"/>
      <c r="AX153" s="85"/>
      <c r="AY153" s="85"/>
      <c r="AZ153" s="85"/>
      <c r="BA153" s="85"/>
      <c r="BB153" s="85"/>
      <c r="BC153" s="85"/>
      <c r="BD153" s="85"/>
      <c r="BE153" s="85"/>
      <c r="BF153" s="85"/>
      <c r="BG153" s="85"/>
    </row>
    <row r="154" spans="1:59" hidden="1" x14ac:dyDescent="0.25">
      <c r="A154" s="1389" t="str">
        <f>COA!B150</f>
        <v>6061 Other general and administrative expenses</v>
      </c>
      <c r="B154" s="1390">
        <f>_xlfn.XLOOKUP(A154,'TB.1 - F25'!A:A,'TB.1 - F25'!D:D,0,0,1)</f>
        <v>0</v>
      </c>
      <c r="C154" s="1390">
        <f>_xlfn.XLOOKUP(A154,'TB.1 - F25'!A:A,'TB.1 - F25'!H:H,0,0,1)</f>
        <v>0</v>
      </c>
      <c r="D154" s="1390">
        <f>_xlfn.XLOOKUP(A154,'AJE.1 - F25'!A:A,'AJE.1 - F25'!F:F,0,0,1)</f>
        <v>0</v>
      </c>
      <c r="E154" s="1390"/>
      <c r="F154" s="219">
        <f>ROUND(SUM(B154:E154),0)</f>
        <v>0</v>
      </c>
      <c r="G154" s="1390">
        <f>_xlfn.XLOOKUP($A154,TB.PRO!$A:$A,TB.PRO!F:F,0,0,1)</f>
        <v>0</v>
      </c>
      <c r="H154" s="1390">
        <f>_xlfn.XLOOKUP($A154,TB.PRO!$A:$A,TB.PRO!G:G,0,0,1)</f>
        <v>0</v>
      </c>
      <c r="I154" s="1390">
        <f>SUMIF('[2]Sum - Fiscal'!$P:$P,A154,'[2]Sum - Fiscal'!$E:$E)</f>
        <v>0</v>
      </c>
      <c r="J154" s="1390"/>
      <c r="K154" s="1390"/>
      <c r="L154" s="665">
        <f>ROUND(SUM(G154:K154),0)</f>
        <v>0</v>
      </c>
      <c r="M154" s="1390">
        <f>_xlfn.XLOOKUP($A154,TB.PRO!$A:$A,TB.PRO!I:I,0,0,1)</f>
        <v>0</v>
      </c>
      <c r="N154" s="1390">
        <f>_xlfn.XLOOKUP($A154,TB.PRO!$A:$A,TB.PRO!J:J,0,0,1)</f>
        <v>0</v>
      </c>
      <c r="O154" s="1390">
        <f>SUMIF('[2]Sum - Fiscal'!$P:$P,$A154,'[2]Sum - Fiscal'!$F:$F)</f>
        <v>0</v>
      </c>
      <c r="P154" s="1390"/>
      <c r="Q154" s="1390"/>
      <c r="R154" s="665">
        <f>ROUND(SUM(M154:Q154),0)</f>
        <v>0</v>
      </c>
      <c r="S154" s="1390">
        <f>_xlfn.XLOOKUP($A154,TB.PRO!$A:$A,TB.PRO!L:L,0,0,1)</f>
        <v>0</v>
      </c>
      <c r="T154" s="1390">
        <f>_xlfn.XLOOKUP($A154,TB.PRO!$A:$A,TB.PRO!M:M,0,0,1)</f>
        <v>0</v>
      </c>
      <c r="U154" s="1390">
        <f>SUMIF('[2]Sum - Fiscal'!$P:$P,$A154,'[2]Sum - Fiscal'!$G:$G)</f>
        <v>0</v>
      </c>
      <c r="V154" s="1390"/>
      <c r="W154" s="1390"/>
      <c r="X154" s="665">
        <f>ROUND(SUM(S154:W154),0)</f>
        <v>0</v>
      </c>
      <c r="Y154" s="1390">
        <f>_xlfn.XLOOKUP($A154,TB.PRO!$A:$A,TB.PRO!O:O,0,0,1)</f>
        <v>0</v>
      </c>
      <c r="Z154" s="1390">
        <f>_xlfn.XLOOKUP($A154,TB.PRO!$A:$A,TB.PRO!P:P,0,0,1)</f>
        <v>0</v>
      </c>
      <c r="AA154" s="1390">
        <f>SUMIF('[2]Sum - Fiscal'!$P:$P,$A154,'[2]Sum - Fiscal'!$H:$H)</f>
        <v>0</v>
      </c>
      <c r="AB154" s="1390"/>
      <c r="AC154" s="1390"/>
      <c r="AD154" s="219">
        <f>ROUND(SUM(Y154:AC154),0)</f>
        <v>0</v>
      </c>
      <c r="AE154" s="1390">
        <f>_xlfn.XLOOKUP($A154,TB.PRO!$A:$A,TB.PRO!R:R,0,0,1)</f>
        <v>0</v>
      </c>
      <c r="AF154" s="1390">
        <f>_xlfn.XLOOKUP($A154,TB.PRO!$A:$A,TB.PRO!S:S,0,0,1)</f>
        <v>0</v>
      </c>
      <c r="AG154" s="1390">
        <f>SUMIF('[2]Sum - Fiscal'!$P:$P,$A154,'[2]Sum - Fiscal'!$I:$I)</f>
        <v>0</v>
      </c>
      <c r="AH154" s="1390"/>
      <c r="AI154" s="1390"/>
      <c r="AJ154" s="219">
        <f>ROUND(SUM(AE154:AI154),0)</f>
        <v>0</v>
      </c>
      <c r="AK154" s="178" t="str">
        <f>_xlfn.XLOOKUP($A154,COA!$B:$B,COA!$C:$C,0,0,1)</f>
        <v>General and administration</v>
      </c>
      <c r="AL154" s="178" t="str">
        <f>_xlfn.XLOOKUP($A154,COA!$B:$B,COA!$D:$D,0,0,1)</f>
        <v>Other miscellaneous</v>
      </c>
      <c r="AM154" s="178" t="str">
        <f>_xlfn.XLOOKUP($A154,COA!$B:$B,COA!$E:$E,0,0,1)</f>
        <v>Accumulated deficit</v>
      </c>
      <c r="AO154" s="85" t="str">
        <f>_xlfn.XLOOKUP(AM154,FS.1!A:A,AM:AM,0,0,1)</f>
        <v>Due to related parties</v>
      </c>
      <c r="AP154" s="87"/>
      <c r="AQ154" s="87"/>
      <c r="AR154" s="87"/>
      <c r="AS154" s="87"/>
      <c r="AT154" s="85"/>
      <c r="AU154" s="85"/>
      <c r="AV154" s="85"/>
      <c r="AW154" s="85"/>
      <c r="AX154" s="85"/>
      <c r="AY154" s="85"/>
      <c r="AZ154" s="85"/>
      <c r="BA154" s="85"/>
      <c r="BB154" s="85"/>
      <c r="BC154" s="85"/>
      <c r="BD154" s="85"/>
      <c r="BE154" s="85"/>
      <c r="BF154" s="85"/>
      <c r="BG154" s="85"/>
    </row>
    <row r="155" spans="1:59" x14ac:dyDescent="0.25">
      <c r="A155" s="1389" t="str">
        <f>COA!B151</f>
        <v>6065 Rent</v>
      </c>
      <c r="B155" s="1390">
        <f>_xlfn.XLOOKUP(A155,'TB.1 - F25'!A:A,'TB.1 - F25'!D:D,0,0,1)</f>
        <v>0</v>
      </c>
      <c r="C155" s="1390">
        <f>_xlfn.XLOOKUP(A155,'TB.1 - F25'!A:A,'TB.1 - F25'!H:H,0,0,1)</f>
        <v>0</v>
      </c>
      <c r="D155" s="1390">
        <f>_xlfn.XLOOKUP(A155,'AJE.1 - F25'!A:A,'AJE.1 - F25'!F:F,0,0,1)</f>
        <v>0</v>
      </c>
      <c r="E155" s="1390"/>
      <c r="F155" s="219">
        <f>ROUND(SUM(B155:E155),0)</f>
        <v>0</v>
      </c>
      <c r="G155" s="1390">
        <f>_xlfn.XLOOKUP($A155,TB.PRO!$A:$A,TB.PRO!F:F,0,0,1)</f>
        <v>0</v>
      </c>
      <c r="H155" s="1390">
        <f>_xlfn.XLOOKUP($A155,TB.PRO!$A:$A,TB.PRO!G:G,0,0,1)</f>
        <v>9000</v>
      </c>
      <c r="I155" s="1390">
        <f>SUMIF('[2]Sum - Fiscal'!$P:$P,A155,'[2]Sum - Fiscal'!$E:$E)-H155</f>
        <v>3000</v>
      </c>
      <c r="J155" s="1390"/>
      <c r="K155" s="1390"/>
      <c r="L155" s="665">
        <f>ROUND(SUM(G155:K155),0)</f>
        <v>12000</v>
      </c>
      <c r="M155" s="1390">
        <f>_xlfn.XLOOKUP($A155,TB.PRO!$A:$A,TB.PRO!I:I,0,0,1)</f>
        <v>0</v>
      </c>
      <c r="N155" s="1390">
        <f>_xlfn.XLOOKUP($A155,TB.PRO!$A:$A,TB.PRO!J:J,0,0,1)</f>
        <v>0</v>
      </c>
      <c r="O155" s="1390">
        <f>SUMIF('[2]Sum - Fiscal'!$P:$P,$A155,'[2]Sum - Fiscal'!$F:$F)</f>
        <v>63000</v>
      </c>
      <c r="P155" s="1390"/>
      <c r="Q155" s="1390"/>
      <c r="R155" s="665">
        <f>ROUND(SUM(M155:Q155),0)</f>
        <v>63000</v>
      </c>
      <c r="S155" s="1390">
        <f>_xlfn.XLOOKUP($A155,TB.PRO!$A:$A,TB.PRO!L:L,0,0,1)</f>
        <v>0</v>
      </c>
      <c r="T155" s="1390">
        <f>_xlfn.XLOOKUP($A155,TB.PRO!$A:$A,TB.PRO!M:M,0,0,1)</f>
        <v>0</v>
      </c>
      <c r="U155" s="1390">
        <f>SUMIF('[2]Sum - Fiscal'!$P:$P,$A155,'[2]Sum - Fiscal'!$G:$G)</f>
        <v>228000</v>
      </c>
      <c r="V155" s="1390"/>
      <c r="W155" s="1390"/>
      <c r="X155" s="665">
        <f>ROUND(SUM(S155:W155),0)</f>
        <v>228000</v>
      </c>
      <c r="Y155" s="1390">
        <f>_xlfn.XLOOKUP($A155,TB.PRO!$A:$A,TB.PRO!O:O,0,0,1)</f>
        <v>0</v>
      </c>
      <c r="Z155" s="1390">
        <f>_xlfn.XLOOKUP($A155,TB.PRO!$A:$A,TB.PRO!P:P,0,0,1)</f>
        <v>0</v>
      </c>
      <c r="AA155" s="1390">
        <f>SUMIF('[2]Sum - Fiscal'!$P:$P,$A155,'[2]Sum - Fiscal'!$H:$H)</f>
        <v>228000</v>
      </c>
      <c r="AB155" s="1390"/>
      <c r="AC155" s="1390"/>
      <c r="AD155" s="219">
        <f>ROUND(SUM(Y155:AC155),0)</f>
        <v>228000</v>
      </c>
      <c r="AE155" s="1390">
        <f>_xlfn.XLOOKUP($A155,TB.PRO!$A:$A,TB.PRO!R:R,0,0,1)</f>
        <v>0</v>
      </c>
      <c r="AF155" s="1390">
        <f>_xlfn.XLOOKUP($A155,TB.PRO!$A:$A,TB.PRO!S:S,0,0,1)</f>
        <v>0</v>
      </c>
      <c r="AG155" s="1390">
        <f>SUMIF('[2]Sum - Fiscal'!$P:$P,$A155,'[2]Sum - Fiscal'!$I:$I)</f>
        <v>228000</v>
      </c>
      <c r="AH155" s="1390"/>
      <c r="AI155" s="1390"/>
      <c r="AJ155" s="219">
        <f>ROUND(SUM(AE155:AI155),0)</f>
        <v>228000</v>
      </c>
      <c r="AK155" s="178" t="str">
        <f>_xlfn.XLOOKUP($A155,COA!$B:$B,COA!$C:$C,0,0,1)</f>
        <v>General and administration</v>
      </c>
      <c r="AL155" s="178" t="str">
        <f>_xlfn.XLOOKUP($A155,COA!$B:$B,COA!$D:$D,0,0,1)</f>
        <v>Rent</v>
      </c>
      <c r="AM155" s="178" t="str">
        <f>_xlfn.XLOOKUP($A155,COA!$B:$B,COA!$E:$E,0,0,1)</f>
        <v>Accumulated deficit</v>
      </c>
      <c r="AO155" s="85" t="str">
        <f>_xlfn.XLOOKUP(AM155,FS.1!A:A,AM:AM,0,0,1)</f>
        <v>Due to related parties</v>
      </c>
      <c r="AP155" s="87"/>
      <c r="AQ155" s="87"/>
      <c r="AR155" s="87"/>
      <c r="AS155" s="87"/>
      <c r="AT155" s="85"/>
      <c r="AU155" s="85"/>
      <c r="AV155" s="85"/>
      <c r="AW155" s="85"/>
      <c r="AX155" s="85"/>
      <c r="AY155" s="85"/>
      <c r="AZ155" s="85"/>
      <c r="BA155" s="85"/>
      <c r="BB155" s="85"/>
      <c r="BC155" s="85"/>
      <c r="BD155" s="85"/>
      <c r="BE155" s="85"/>
      <c r="BF155" s="85"/>
      <c r="BG155" s="85"/>
    </row>
    <row r="156" spans="1:59" hidden="1" x14ac:dyDescent="0.25">
      <c r="A156" s="1389" t="str">
        <f>COA!B152</f>
        <v>6066 Utilities</v>
      </c>
      <c r="B156" s="1390">
        <f>_xlfn.XLOOKUP(A156,'TB.1 - F25'!A:A,'TB.1 - F25'!D:D,0,0,1)</f>
        <v>0</v>
      </c>
      <c r="C156" s="1390">
        <f>_xlfn.XLOOKUP(A156,'TB.1 - F25'!A:A,'TB.1 - F25'!H:H,0,0,1)</f>
        <v>0</v>
      </c>
      <c r="D156" s="1390">
        <f>_xlfn.XLOOKUP(A156,'AJE.1 - F25'!A:A,'AJE.1 - F25'!F:F,0,0,1)</f>
        <v>0</v>
      </c>
      <c r="E156" s="1390"/>
      <c r="F156" s="219">
        <f>ROUND(SUM(B156:E156),0)</f>
        <v>0</v>
      </c>
      <c r="G156" s="1390">
        <f>_xlfn.XLOOKUP($A156,TB.PRO!$A:$A,TB.PRO!F:F,0,0,1)</f>
        <v>0</v>
      </c>
      <c r="H156" s="1390">
        <f>_xlfn.XLOOKUP($A156,TB.PRO!$A:$A,TB.PRO!G:G,0,0,1)</f>
        <v>0</v>
      </c>
      <c r="I156" s="1390">
        <f>SUMIF('[2]Sum - Fiscal'!$P:$P,A156,'[2]Sum - Fiscal'!$E:$E)</f>
        <v>0</v>
      </c>
      <c r="J156" s="1390"/>
      <c r="K156" s="1390"/>
      <c r="L156" s="665">
        <f>ROUND(SUM(G156:K156),0)</f>
        <v>0</v>
      </c>
      <c r="M156" s="1390">
        <f>_xlfn.XLOOKUP($A156,TB.PRO!$A:$A,TB.PRO!I:I,0,0,1)</f>
        <v>0</v>
      </c>
      <c r="N156" s="1390">
        <f>_xlfn.XLOOKUP($A156,TB.PRO!$A:$A,TB.PRO!J:J,0,0,1)</f>
        <v>0</v>
      </c>
      <c r="O156" s="1390">
        <f>SUMIF('[2]Sum - Fiscal'!$P:$P,$A156,'[2]Sum - Fiscal'!$F:$F)</f>
        <v>0</v>
      </c>
      <c r="P156" s="1390"/>
      <c r="Q156" s="1390"/>
      <c r="R156" s="665">
        <f>ROUND(SUM(M156:Q156),0)</f>
        <v>0</v>
      </c>
      <c r="S156" s="1390">
        <f>_xlfn.XLOOKUP($A156,TB.PRO!$A:$A,TB.PRO!L:L,0,0,1)</f>
        <v>0</v>
      </c>
      <c r="T156" s="1390">
        <f>_xlfn.XLOOKUP($A156,TB.PRO!$A:$A,TB.PRO!M:M,0,0,1)</f>
        <v>0</v>
      </c>
      <c r="U156" s="1390">
        <f>SUMIF('[2]Sum - Fiscal'!$P:$P,$A156,'[2]Sum - Fiscal'!$G:$G)</f>
        <v>0</v>
      </c>
      <c r="V156" s="1390"/>
      <c r="W156" s="1390"/>
      <c r="X156" s="665">
        <f>ROUND(SUM(S156:W156),0)</f>
        <v>0</v>
      </c>
      <c r="Y156" s="1390">
        <f>_xlfn.XLOOKUP($A156,TB.PRO!$A:$A,TB.PRO!O:O,0,0,1)</f>
        <v>0</v>
      </c>
      <c r="Z156" s="1390">
        <f>_xlfn.XLOOKUP($A156,TB.PRO!$A:$A,TB.PRO!P:P,0,0,1)</f>
        <v>0</v>
      </c>
      <c r="AA156" s="1390">
        <f>SUMIF('[2]Sum - Fiscal'!$P:$P,$A156,'[2]Sum - Fiscal'!$H:$H)</f>
        <v>0</v>
      </c>
      <c r="AB156" s="1390"/>
      <c r="AC156" s="1390"/>
      <c r="AD156" s="219">
        <f>ROUND(SUM(Y156:AC156),0)</f>
        <v>0</v>
      </c>
      <c r="AE156" s="1390">
        <f>_xlfn.XLOOKUP($A156,TB.PRO!$A:$A,TB.PRO!R:R,0,0,1)</f>
        <v>0</v>
      </c>
      <c r="AF156" s="1390">
        <f>_xlfn.XLOOKUP($A156,TB.PRO!$A:$A,TB.PRO!S:S,0,0,1)</f>
        <v>0</v>
      </c>
      <c r="AG156" s="1390">
        <f>SUMIF('[2]Sum - Fiscal'!$P:$P,$A156,'[2]Sum - Fiscal'!$I:$I)</f>
        <v>0</v>
      </c>
      <c r="AH156" s="1390"/>
      <c r="AI156" s="1390"/>
      <c r="AJ156" s="219">
        <f>ROUND(SUM(AE156:AI156),0)</f>
        <v>0</v>
      </c>
      <c r="AK156" s="178" t="str">
        <f>_xlfn.XLOOKUP($A156,COA!$B:$B,COA!$C:$C,0,0,1)</f>
        <v>General and administration</v>
      </c>
      <c r="AL156" s="178" t="str">
        <f>_xlfn.XLOOKUP($A156,COA!$B:$B,COA!$D:$D,0,0,1)</f>
        <v>Utilities</v>
      </c>
      <c r="AM156" s="178" t="str">
        <f>_xlfn.XLOOKUP($A156,COA!$B:$B,COA!$E:$E,0,0,1)</f>
        <v>Accumulated deficit</v>
      </c>
      <c r="AO156" s="85" t="str">
        <f>_xlfn.XLOOKUP(AM156,FS.1!A:A,AM:AM,0,0,1)</f>
        <v>Due to related parties</v>
      </c>
      <c r="AP156" s="87"/>
      <c r="AQ156" s="87"/>
      <c r="AR156" s="87"/>
      <c r="AS156" s="87"/>
      <c r="AT156" s="85"/>
      <c r="AU156" s="85"/>
      <c r="AV156" s="85"/>
      <c r="AW156" s="85"/>
      <c r="AX156" s="85"/>
      <c r="AY156" s="85"/>
      <c r="AZ156" s="85"/>
      <c r="BA156" s="85"/>
      <c r="BB156" s="85"/>
      <c r="BC156" s="85"/>
      <c r="BD156" s="85"/>
      <c r="BE156" s="85"/>
      <c r="BF156" s="85"/>
      <c r="BG156" s="85"/>
    </row>
    <row r="157" spans="1:59" x14ac:dyDescent="0.25">
      <c r="A157" s="1389" t="str">
        <f>COA!B153</f>
        <v>6068 Shipping, Freight, and Delivery</v>
      </c>
      <c r="B157" s="1390">
        <f>_xlfn.XLOOKUP(A157,'TB.1 - F25'!A:A,'TB.1 - F25'!D:D,0,0,1)</f>
        <v>0</v>
      </c>
      <c r="C157" s="1390">
        <f>_xlfn.XLOOKUP(A157,'TB.1 - F25'!A:A,'TB.1 - F25'!H:H,0,0,1)</f>
        <v>0</v>
      </c>
      <c r="D157" s="1390">
        <f>_xlfn.XLOOKUP(A157,'AJE.1 - F25'!A:A,'AJE.1 - F25'!F:F,0,0,1)</f>
        <v>0</v>
      </c>
      <c r="E157" s="1390"/>
      <c r="F157" s="219">
        <f>ROUND(SUM(B157:E157),0)</f>
        <v>0</v>
      </c>
      <c r="G157" s="1390">
        <f>_xlfn.XLOOKUP($A157,TB.PRO!$A:$A,TB.PRO!F:F,0,0,1)</f>
        <v>0</v>
      </c>
      <c r="H157" s="1390">
        <f>_xlfn.XLOOKUP($A157,TB.PRO!$A:$A,TB.PRO!G:G,0,0,1)</f>
        <v>0</v>
      </c>
      <c r="I157" s="1390">
        <f>SUMIF('[2]Sum - Fiscal'!$P:$P,A157,'[2]Sum - Fiscal'!$E:$E)</f>
        <v>6000</v>
      </c>
      <c r="J157" s="1390"/>
      <c r="K157" s="1390"/>
      <c r="L157" s="665">
        <f>ROUND(SUM(G157:K157),0)</f>
        <v>6000</v>
      </c>
      <c r="M157" s="1390">
        <f>_xlfn.XLOOKUP($A157,TB.PRO!$A:$A,TB.PRO!I:I,0,0,1)</f>
        <v>0</v>
      </c>
      <c r="N157" s="1390">
        <f>_xlfn.XLOOKUP($A157,TB.PRO!$A:$A,TB.PRO!J:J,0,0,1)</f>
        <v>0</v>
      </c>
      <c r="O157" s="1390">
        <f>SUMIF('[2]Sum - Fiscal'!$P:$P,$A157,'[2]Sum - Fiscal'!$F:$F)</f>
        <v>142500</v>
      </c>
      <c r="P157" s="1390"/>
      <c r="Q157" s="1390"/>
      <c r="R157" s="665">
        <f>ROUND(SUM(M157:Q157),0)</f>
        <v>142500</v>
      </c>
      <c r="S157" s="1390">
        <f>_xlfn.XLOOKUP($A157,TB.PRO!$A:$A,TB.PRO!L:L,0,0,1)</f>
        <v>0</v>
      </c>
      <c r="T157" s="1390">
        <f>_xlfn.XLOOKUP($A157,TB.PRO!$A:$A,TB.PRO!M:M,0,0,1)</f>
        <v>0</v>
      </c>
      <c r="U157" s="1390">
        <f>SUMIF('[2]Sum - Fiscal'!$P:$P,$A157,'[2]Sum - Fiscal'!$G:$G)</f>
        <v>637500</v>
      </c>
      <c r="V157" s="1390"/>
      <c r="W157" s="1390"/>
      <c r="X157" s="665">
        <f>ROUND(SUM(S157:W157),0)</f>
        <v>637500</v>
      </c>
      <c r="Y157" s="1390">
        <f>_xlfn.XLOOKUP($A157,TB.PRO!$A:$A,TB.PRO!O:O,0,0,1)</f>
        <v>0</v>
      </c>
      <c r="Z157" s="1390">
        <f>_xlfn.XLOOKUP($A157,TB.PRO!$A:$A,TB.PRO!P:P,0,0,1)</f>
        <v>0</v>
      </c>
      <c r="AA157" s="1390">
        <f>SUMIF('[2]Sum - Fiscal'!$P:$P,$A157,'[2]Sum - Fiscal'!$H:$H)</f>
        <v>1500000</v>
      </c>
      <c r="AB157" s="1390"/>
      <c r="AC157" s="1390"/>
      <c r="AD157" s="219">
        <f>ROUND(SUM(Y157:AC157),0)</f>
        <v>1500000</v>
      </c>
      <c r="AE157" s="1390">
        <f>_xlfn.XLOOKUP($A157,TB.PRO!$A:$A,TB.PRO!R:R,0,0,1)</f>
        <v>0</v>
      </c>
      <c r="AF157" s="1390">
        <f>_xlfn.XLOOKUP($A157,TB.PRO!$A:$A,TB.PRO!S:S,0,0,1)</f>
        <v>0</v>
      </c>
      <c r="AG157" s="1390">
        <f>SUMIF('[2]Sum - Fiscal'!$P:$P,$A157,'[2]Sum - Fiscal'!$I:$I)</f>
        <v>2625000</v>
      </c>
      <c r="AH157" s="1390"/>
      <c r="AI157" s="1390"/>
      <c r="AJ157" s="219">
        <f>ROUND(SUM(AE157:AI157),0)</f>
        <v>2625000</v>
      </c>
      <c r="AK157" s="178" t="str">
        <f>_xlfn.XLOOKUP($A157,COA!$B:$B,COA!$C:$C,0,0,1)</f>
        <v>General and administration</v>
      </c>
      <c r="AL157" s="178" t="str">
        <f>_xlfn.XLOOKUP($A157,COA!$B:$B,COA!$D:$D,0,0,1)</f>
        <v>Shipping expense</v>
      </c>
      <c r="AM157" s="178" t="str">
        <f>_xlfn.XLOOKUP($A157,COA!$B:$B,COA!$E:$E,0,0,1)</f>
        <v>Accumulated deficit</v>
      </c>
      <c r="AO157" s="85" t="str">
        <f>_xlfn.XLOOKUP(AM157,FS.1!A:A,AM:AM,0,0,1)</f>
        <v>Due to related parties</v>
      </c>
      <c r="AP157" s="87"/>
      <c r="AQ157" s="87"/>
      <c r="AR157" s="87"/>
      <c r="AS157" s="87"/>
      <c r="AT157" s="85"/>
      <c r="AU157" s="85"/>
      <c r="AV157" s="85"/>
      <c r="AW157" s="85"/>
      <c r="AX157" s="85"/>
      <c r="AY157" s="85"/>
      <c r="AZ157" s="85"/>
      <c r="BA157" s="85"/>
      <c r="BB157" s="85"/>
      <c r="BC157" s="85"/>
      <c r="BD157" s="85"/>
      <c r="BE157" s="85"/>
      <c r="BF157" s="85"/>
      <c r="BG157" s="85"/>
    </row>
    <row r="158" spans="1:59" hidden="1" x14ac:dyDescent="0.25">
      <c r="A158" s="1389" t="str">
        <f>COA!B154</f>
        <v>6070 Office Supplies</v>
      </c>
      <c r="B158" s="1390">
        <f>_xlfn.XLOOKUP(A158,'TB.1 - F25'!A:A,'TB.1 - F25'!D:D,0,0,1)</f>
        <v>0</v>
      </c>
      <c r="C158" s="1390">
        <f>_xlfn.XLOOKUP(A158,'TB.1 - F25'!A:A,'TB.1 - F25'!H:H,0,0,1)</f>
        <v>116.46</v>
      </c>
      <c r="D158" s="1390">
        <f>_xlfn.XLOOKUP(A158,'AJE.1 - F25'!A:A,'AJE.1 - F25'!F:F,0,0,1)</f>
        <v>0</v>
      </c>
      <c r="E158" s="1390"/>
      <c r="F158" s="219">
        <f>ROUND(SUM(B158:E158),0)</f>
        <v>116</v>
      </c>
      <c r="G158" s="1390">
        <f>_xlfn.XLOOKUP($A158,TB.PRO!$A:$A,TB.PRO!F:F,0,0,1)</f>
        <v>0</v>
      </c>
      <c r="H158" s="1390">
        <f>_xlfn.XLOOKUP($A158,TB.PRO!$A:$A,TB.PRO!G:G,0,0,1)</f>
        <v>0</v>
      </c>
      <c r="I158" s="1390">
        <f>SUMIF('[2]Sum - Fiscal'!$P:$P,A158,'[2]Sum - Fiscal'!$E:$E)</f>
        <v>0</v>
      </c>
      <c r="J158" s="1390"/>
      <c r="K158" s="1390"/>
      <c r="L158" s="665">
        <f>ROUND(SUM(G158:K158),0)</f>
        <v>0</v>
      </c>
      <c r="M158" s="1390">
        <f>_xlfn.XLOOKUP($A158,TB.PRO!$A:$A,TB.PRO!I:I,0,0,1)</f>
        <v>0</v>
      </c>
      <c r="N158" s="1390">
        <f>_xlfn.XLOOKUP($A158,TB.PRO!$A:$A,TB.PRO!J:J,0,0,1)</f>
        <v>0</v>
      </c>
      <c r="O158" s="1390">
        <f>SUMIF('[2]Sum - Fiscal'!$P:$P,$A158,'[2]Sum - Fiscal'!$F:$F)</f>
        <v>0</v>
      </c>
      <c r="P158" s="1390"/>
      <c r="Q158" s="1390"/>
      <c r="R158" s="665">
        <f>ROUND(SUM(M158:Q158),0)</f>
        <v>0</v>
      </c>
      <c r="S158" s="1390">
        <f>_xlfn.XLOOKUP($A158,TB.PRO!$A:$A,TB.PRO!L:L,0,0,1)</f>
        <v>0</v>
      </c>
      <c r="T158" s="1390">
        <f>_xlfn.XLOOKUP($A158,TB.PRO!$A:$A,TB.PRO!M:M,0,0,1)</f>
        <v>0</v>
      </c>
      <c r="U158" s="1390">
        <f>SUMIF('[2]Sum - Fiscal'!$P:$P,$A158,'[2]Sum - Fiscal'!$G:$G)</f>
        <v>0</v>
      </c>
      <c r="V158" s="1390"/>
      <c r="W158" s="1390"/>
      <c r="X158" s="665">
        <f>ROUND(SUM(S158:W158),0)</f>
        <v>0</v>
      </c>
      <c r="Y158" s="1390">
        <f>_xlfn.XLOOKUP($A158,TB.PRO!$A:$A,TB.PRO!O:O,0,0,1)</f>
        <v>0</v>
      </c>
      <c r="Z158" s="1390">
        <f>_xlfn.XLOOKUP($A158,TB.PRO!$A:$A,TB.PRO!P:P,0,0,1)</f>
        <v>0</v>
      </c>
      <c r="AA158" s="1390">
        <f>SUMIF('[2]Sum - Fiscal'!$P:$P,$A158,'[2]Sum - Fiscal'!$H:$H)</f>
        <v>0</v>
      </c>
      <c r="AB158" s="1390"/>
      <c r="AC158" s="1390"/>
      <c r="AD158" s="219">
        <f>ROUND(SUM(Y158:AC158),0)</f>
        <v>0</v>
      </c>
      <c r="AE158" s="1390">
        <f>_xlfn.XLOOKUP($A158,TB.PRO!$A:$A,TB.PRO!R:R,0,0,1)</f>
        <v>0</v>
      </c>
      <c r="AF158" s="1390">
        <f>_xlfn.XLOOKUP($A158,TB.PRO!$A:$A,TB.PRO!S:S,0,0,1)</f>
        <v>0</v>
      </c>
      <c r="AG158" s="1390">
        <f>SUMIF('[2]Sum - Fiscal'!$P:$P,$A158,'[2]Sum - Fiscal'!$I:$I)</f>
        <v>0</v>
      </c>
      <c r="AH158" s="1390"/>
      <c r="AI158" s="1390"/>
      <c r="AJ158" s="219">
        <f>ROUND(SUM(AE158:AI158),0)</f>
        <v>0</v>
      </c>
      <c r="AK158" s="178" t="str">
        <f>_xlfn.XLOOKUP($A158,COA!$B:$B,COA!$C:$C,0,0,1)</f>
        <v>General and administration</v>
      </c>
      <c r="AL158" s="178" t="str">
        <f>_xlfn.XLOOKUP($A158,COA!$B:$B,COA!$D:$D,0,0,1)</f>
        <v>Office expenses</v>
      </c>
      <c r="AM158" s="178" t="str">
        <f>_xlfn.XLOOKUP($A158,COA!$B:$B,COA!$E:$E,0,0,1)</f>
        <v>Accumulated deficit</v>
      </c>
      <c r="AO158" s="85" t="str">
        <f t="shared" ref="AO158" si="21">AM158</f>
        <v>Accumulated deficit</v>
      </c>
      <c r="AP158" s="87"/>
      <c r="AQ158" s="87"/>
      <c r="AR158" s="87"/>
      <c r="AS158" s="87"/>
      <c r="AT158" s="85"/>
      <c r="AU158" s="85"/>
      <c r="AV158" s="85"/>
      <c r="AW158" s="85"/>
      <c r="AX158" s="85"/>
      <c r="AY158" s="85"/>
      <c r="AZ158" s="85"/>
      <c r="BA158" s="85"/>
      <c r="BB158" s="85"/>
      <c r="BC158" s="85"/>
      <c r="BD158" s="85"/>
      <c r="BE158" s="85"/>
      <c r="BF158" s="85"/>
      <c r="BG158" s="85"/>
    </row>
    <row r="159" spans="1:59" hidden="1" x14ac:dyDescent="0.25">
      <c r="A159" s="1389" t="str">
        <f>COA!B155</f>
        <v>6075 Minor shop tools</v>
      </c>
      <c r="B159" s="1390">
        <f>_xlfn.XLOOKUP(A159,'TB.1 - F25'!A:A,'TB.1 - F25'!D:D,0,0,1)</f>
        <v>0</v>
      </c>
      <c r="C159" s="1390">
        <f>_xlfn.XLOOKUP(A159,'TB.1 - F25'!A:A,'TB.1 - F25'!H:H,0,0,1)</f>
        <v>0</v>
      </c>
      <c r="D159" s="1390">
        <f>_xlfn.XLOOKUP(A159,'AJE.1 - F25'!A:A,'AJE.1 - F25'!F:F,0,0,1)</f>
        <v>0</v>
      </c>
      <c r="E159" s="1390"/>
      <c r="F159" s="219">
        <f>ROUND(SUM(B159:E159),0)</f>
        <v>0</v>
      </c>
      <c r="G159" s="1390">
        <f>_xlfn.XLOOKUP($A159,TB.PRO!$A:$A,TB.PRO!F:F,0,0,1)</f>
        <v>0</v>
      </c>
      <c r="H159" s="1390">
        <f>_xlfn.XLOOKUP($A159,TB.PRO!$A:$A,TB.PRO!G:G,0,0,1)</f>
        <v>0</v>
      </c>
      <c r="I159" s="1390">
        <f>SUMIF('[2]Sum - Fiscal'!$P:$P,A159,'[2]Sum - Fiscal'!$E:$E)</f>
        <v>0</v>
      </c>
      <c r="J159" s="1390"/>
      <c r="K159" s="1390"/>
      <c r="L159" s="665">
        <f>ROUND(SUM(G159:K159),0)</f>
        <v>0</v>
      </c>
      <c r="M159" s="1390">
        <f>_xlfn.XLOOKUP($A159,TB.PRO!$A:$A,TB.PRO!I:I,0,0,1)</f>
        <v>0</v>
      </c>
      <c r="N159" s="1390">
        <f>_xlfn.XLOOKUP($A159,TB.PRO!$A:$A,TB.PRO!J:J,0,0,1)</f>
        <v>0</v>
      </c>
      <c r="O159" s="1390">
        <f>SUMIF('[2]Sum - Fiscal'!$P:$P,$A159,'[2]Sum - Fiscal'!$F:$F)</f>
        <v>0</v>
      </c>
      <c r="P159" s="1390"/>
      <c r="Q159" s="1390"/>
      <c r="R159" s="665">
        <f>ROUND(SUM(M159:Q159),0)</f>
        <v>0</v>
      </c>
      <c r="S159" s="1390">
        <f>_xlfn.XLOOKUP($A159,TB.PRO!$A:$A,TB.PRO!L:L,0,0,1)</f>
        <v>0</v>
      </c>
      <c r="T159" s="1390">
        <f>_xlfn.XLOOKUP($A159,TB.PRO!$A:$A,TB.PRO!M:M,0,0,1)</f>
        <v>0</v>
      </c>
      <c r="U159" s="1390">
        <f>SUMIF('[2]Sum - Fiscal'!$P:$P,$A159,'[2]Sum - Fiscal'!$G:$G)</f>
        <v>0</v>
      </c>
      <c r="V159" s="1390"/>
      <c r="W159" s="1390"/>
      <c r="X159" s="665">
        <f>ROUND(SUM(S159:W159),0)</f>
        <v>0</v>
      </c>
      <c r="Y159" s="1390">
        <f>_xlfn.XLOOKUP($A159,TB.PRO!$A:$A,TB.PRO!O:O,0,0,1)</f>
        <v>0</v>
      </c>
      <c r="Z159" s="1390">
        <f>_xlfn.XLOOKUP($A159,TB.PRO!$A:$A,TB.PRO!P:P,0,0,1)</f>
        <v>0</v>
      </c>
      <c r="AA159" s="1390">
        <f>SUMIF('[2]Sum - Fiscal'!$P:$P,$A159,'[2]Sum - Fiscal'!$H:$H)</f>
        <v>0</v>
      </c>
      <c r="AB159" s="1390"/>
      <c r="AC159" s="1390"/>
      <c r="AD159" s="219">
        <f>ROUND(SUM(Y159:AC159),0)</f>
        <v>0</v>
      </c>
      <c r="AE159" s="1390">
        <f>_xlfn.XLOOKUP($A159,TB.PRO!$A:$A,TB.PRO!R:R,0,0,1)</f>
        <v>0</v>
      </c>
      <c r="AF159" s="1390">
        <f>_xlfn.XLOOKUP($A159,TB.PRO!$A:$A,TB.PRO!S:S,0,0,1)</f>
        <v>0</v>
      </c>
      <c r="AG159" s="1390">
        <f>SUMIF('[2]Sum - Fiscal'!$P:$P,$A159,'[2]Sum - Fiscal'!$I:$I)</f>
        <v>0</v>
      </c>
      <c r="AH159" s="1390"/>
      <c r="AI159" s="1390"/>
      <c r="AJ159" s="219">
        <f>ROUND(SUM(AE159:AI159),0)</f>
        <v>0</v>
      </c>
      <c r="AK159" s="178" t="str">
        <f>_xlfn.XLOOKUP($A159,COA!$B:$B,COA!$C:$C,0,0,1)</f>
        <v>General and administration</v>
      </c>
      <c r="AL159" s="178" t="str">
        <f>_xlfn.XLOOKUP($A159,COA!$B:$B,COA!$D:$D,0,0,1)</f>
        <v>Shop supplies</v>
      </c>
      <c r="AM159" s="178" t="str">
        <f>_xlfn.XLOOKUP($A159,COA!$B:$B,COA!$E:$E,0,0,1)</f>
        <v>Accumulated deficit</v>
      </c>
      <c r="AO159" s="85" t="str">
        <f>_xlfn.XLOOKUP(AM159,FS.1!A:A,AM:AM,0,0,1)</f>
        <v>Due to related parties</v>
      </c>
      <c r="AP159" s="87"/>
      <c r="AQ159" s="87"/>
      <c r="AR159" s="87"/>
      <c r="AS159" s="87"/>
      <c r="AT159" s="85"/>
      <c r="AU159" s="85"/>
      <c r="AV159" s="85"/>
      <c r="AW159" s="85"/>
      <c r="AX159" s="85"/>
      <c r="AY159" s="85"/>
      <c r="AZ159" s="85"/>
      <c r="BA159" s="85"/>
      <c r="BB159" s="85"/>
      <c r="BC159" s="85"/>
      <c r="BD159" s="85"/>
      <c r="BE159" s="85"/>
      <c r="BF159" s="85"/>
      <c r="BG159" s="85"/>
    </row>
    <row r="160" spans="1:59" hidden="1" x14ac:dyDescent="0.25">
      <c r="A160" s="1389" t="str">
        <f>COA!B156</f>
        <v>6076 Disposal/Landfill</v>
      </c>
      <c r="B160" s="1390">
        <f>_xlfn.XLOOKUP(A160,'TB.1 - F25'!A:A,'TB.1 - F25'!D:D,0,0,1)</f>
        <v>0</v>
      </c>
      <c r="C160" s="1390">
        <f>_xlfn.XLOOKUP(A160,'TB.1 - F25'!A:A,'TB.1 - F25'!H:H,0,0,1)</f>
        <v>0</v>
      </c>
      <c r="D160" s="1390">
        <f>_xlfn.XLOOKUP(A160,'AJE.1 - F25'!A:A,'AJE.1 - F25'!F:F,0,0,1)</f>
        <v>0</v>
      </c>
      <c r="E160" s="1390"/>
      <c r="F160" s="219">
        <f>ROUND(SUM(B160:E160),0)</f>
        <v>0</v>
      </c>
      <c r="G160" s="1390">
        <f>_xlfn.XLOOKUP($A160,TB.PRO!$A:$A,TB.PRO!F:F,0,0,1)</f>
        <v>0</v>
      </c>
      <c r="H160" s="1390">
        <f>_xlfn.XLOOKUP($A160,TB.PRO!$A:$A,TB.PRO!G:G,0,0,1)</f>
        <v>0</v>
      </c>
      <c r="I160" s="1390">
        <f>SUMIF('[2]Sum - Fiscal'!$P:$P,A160,'[2]Sum - Fiscal'!$E:$E)</f>
        <v>0</v>
      </c>
      <c r="J160" s="1390"/>
      <c r="K160" s="1390"/>
      <c r="L160" s="665">
        <f>ROUND(SUM(G160:K160),0)</f>
        <v>0</v>
      </c>
      <c r="M160" s="1390">
        <f>_xlfn.XLOOKUP($A160,TB.PRO!$A:$A,TB.PRO!I:I,0,0,1)</f>
        <v>0</v>
      </c>
      <c r="N160" s="1390">
        <f>_xlfn.XLOOKUP($A160,TB.PRO!$A:$A,TB.PRO!J:J,0,0,1)</f>
        <v>0</v>
      </c>
      <c r="O160" s="1390">
        <f>SUMIF('[2]Sum - Fiscal'!$P:$P,$A160,'[2]Sum - Fiscal'!$F:$F)</f>
        <v>0</v>
      </c>
      <c r="P160" s="1390"/>
      <c r="Q160" s="1390"/>
      <c r="R160" s="665">
        <f>ROUND(SUM(M160:Q160),0)</f>
        <v>0</v>
      </c>
      <c r="S160" s="1390">
        <f>_xlfn.XLOOKUP($A160,TB.PRO!$A:$A,TB.PRO!L:L,0,0,1)</f>
        <v>0</v>
      </c>
      <c r="T160" s="1390">
        <f>_xlfn.XLOOKUP($A160,TB.PRO!$A:$A,TB.PRO!M:M,0,0,1)</f>
        <v>0</v>
      </c>
      <c r="U160" s="1390">
        <f>SUMIF('[2]Sum - Fiscal'!$P:$P,$A160,'[2]Sum - Fiscal'!$G:$G)</f>
        <v>0</v>
      </c>
      <c r="V160" s="1390"/>
      <c r="W160" s="1390"/>
      <c r="X160" s="665">
        <f>ROUND(SUM(S160:W160),0)</f>
        <v>0</v>
      </c>
      <c r="Y160" s="1390">
        <f>_xlfn.XLOOKUP($A160,TB.PRO!$A:$A,TB.PRO!O:O,0,0,1)</f>
        <v>0</v>
      </c>
      <c r="Z160" s="1390">
        <f>_xlfn.XLOOKUP($A160,TB.PRO!$A:$A,TB.PRO!P:P,0,0,1)</f>
        <v>0</v>
      </c>
      <c r="AA160" s="1390">
        <f>SUMIF('[2]Sum - Fiscal'!$P:$P,$A160,'[2]Sum - Fiscal'!$H:$H)</f>
        <v>0</v>
      </c>
      <c r="AB160" s="1390"/>
      <c r="AC160" s="1390"/>
      <c r="AD160" s="219">
        <f>ROUND(SUM(Y160:AC160),0)</f>
        <v>0</v>
      </c>
      <c r="AE160" s="1390">
        <f>_xlfn.XLOOKUP($A160,TB.PRO!$A:$A,TB.PRO!R:R,0,0,1)</f>
        <v>0</v>
      </c>
      <c r="AF160" s="1390">
        <f>_xlfn.XLOOKUP($A160,TB.PRO!$A:$A,TB.PRO!S:S,0,0,1)</f>
        <v>0</v>
      </c>
      <c r="AG160" s="1390">
        <f>SUMIF('[2]Sum - Fiscal'!$P:$P,$A160,'[2]Sum - Fiscal'!$I:$I)</f>
        <v>0</v>
      </c>
      <c r="AH160" s="1390"/>
      <c r="AI160" s="1390"/>
      <c r="AJ160" s="219">
        <f>ROUND(SUM(AE160:AI160),0)</f>
        <v>0</v>
      </c>
      <c r="AK160" s="178" t="str">
        <f>_xlfn.XLOOKUP($A160,COA!$B:$B,COA!$C:$C,0,0,1)</f>
        <v>General and administration</v>
      </c>
      <c r="AL160" s="178" t="str">
        <f>_xlfn.XLOOKUP($A160,COA!$B:$B,COA!$D:$D,0,0,1)</f>
        <v>Other miscellaneous</v>
      </c>
      <c r="AM160" s="178" t="str">
        <f>_xlfn.XLOOKUP($A160,COA!$B:$B,COA!$E:$E,0,0,1)</f>
        <v>Accumulated deficit</v>
      </c>
      <c r="AO160" s="85" t="str">
        <f>_xlfn.XLOOKUP(AM160,FS.1!A:A,AM:AM,0,0,1)</f>
        <v>Due to related parties</v>
      </c>
      <c r="AP160" s="87"/>
      <c r="AQ160" s="87"/>
      <c r="AR160" s="87"/>
      <c r="AS160" s="87"/>
      <c r="AT160" s="85"/>
      <c r="AU160" s="85"/>
      <c r="AV160" s="85"/>
      <c r="AW160" s="85"/>
      <c r="AX160" s="85"/>
      <c r="AY160" s="85"/>
      <c r="AZ160" s="85"/>
      <c r="BA160" s="85"/>
      <c r="BB160" s="85"/>
      <c r="BC160" s="85"/>
      <c r="BD160" s="85"/>
      <c r="BE160" s="85"/>
      <c r="BF160" s="85"/>
      <c r="BG160" s="85"/>
    </row>
    <row r="161" spans="1:59" hidden="1" x14ac:dyDescent="0.25">
      <c r="A161" s="1389" t="str">
        <f>COA!B157</f>
        <v>6080 PST Expense (BC)</v>
      </c>
      <c r="B161" s="1390">
        <f>_xlfn.XLOOKUP(A161,'TB.1 - F25'!A:A,'TB.1 - F25'!D:D,0,0,1)</f>
        <v>0</v>
      </c>
      <c r="C161" s="1390">
        <f>_xlfn.XLOOKUP(A161,'TB.1 - F25'!A:A,'TB.1 - F25'!H:H,0,0,1)</f>
        <v>0</v>
      </c>
      <c r="D161" s="1390">
        <f>_xlfn.XLOOKUP(A161,'AJE.1 - F25'!A:A,'AJE.1 - F25'!F:F,0,0,1)</f>
        <v>0</v>
      </c>
      <c r="E161" s="1390"/>
      <c r="F161" s="219">
        <f>ROUND(SUM(B161:E161),0)</f>
        <v>0</v>
      </c>
      <c r="G161" s="1390">
        <f>_xlfn.XLOOKUP($A161,TB.PRO!$A:$A,TB.PRO!F:F,0,0,1)</f>
        <v>0</v>
      </c>
      <c r="H161" s="1390">
        <f>_xlfn.XLOOKUP($A161,TB.PRO!$A:$A,TB.PRO!G:G,0,0,1)</f>
        <v>0</v>
      </c>
      <c r="I161" s="1390">
        <f>SUMIF('[2]Sum - Fiscal'!$P:$P,A161,'[2]Sum - Fiscal'!$E:$E)</f>
        <v>0</v>
      </c>
      <c r="J161" s="1390"/>
      <c r="K161" s="1390"/>
      <c r="L161" s="665">
        <f>ROUND(SUM(G161:K161),0)</f>
        <v>0</v>
      </c>
      <c r="M161" s="1390">
        <f>_xlfn.XLOOKUP($A161,TB.PRO!$A:$A,TB.PRO!I:I,0,0,1)</f>
        <v>0</v>
      </c>
      <c r="N161" s="1390">
        <f>_xlfn.XLOOKUP($A161,TB.PRO!$A:$A,TB.PRO!J:J,0,0,1)</f>
        <v>0</v>
      </c>
      <c r="O161" s="1390">
        <f>SUMIF('[2]Sum - Fiscal'!$P:$P,$A161,'[2]Sum - Fiscal'!$F:$F)</f>
        <v>0</v>
      </c>
      <c r="P161" s="1390"/>
      <c r="Q161" s="1390"/>
      <c r="R161" s="665">
        <f>ROUND(SUM(M161:Q161),0)</f>
        <v>0</v>
      </c>
      <c r="S161" s="1390">
        <f>_xlfn.XLOOKUP($A161,TB.PRO!$A:$A,TB.PRO!L:L,0,0,1)</f>
        <v>0</v>
      </c>
      <c r="T161" s="1390">
        <f>_xlfn.XLOOKUP($A161,TB.PRO!$A:$A,TB.PRO!M:M,0,0,1)</f>
        <v>0</v>
      </c>
      <c r="U161" s="1390">
        <f>SUMIF('[2]Sum - Fiscal'!$P:$P,$A161,'[2]Sum - Fiscal'!$G:$G)</f>
        <v>0</v>
      </c>
      <c r="V161" s="1390"/>
      <c r="W161" s="1390"/>
      <c r="X161" s="665">
        <f>ROUND(SUM(S161:W161),0)</f>
        <v>0</v>
      </c>
      <c r="Y161" s="1390">
        <f>_xlfn.XLOOKUP($A161,TB.PRO!$A:$A,TB.PRO!O:O,0,0,1)</f>
        <v>0</v>
      </c>
      <c r="Z161" s="1390">
        <f>_xlfn.XLOOKUP($A161,TB.PRO!$A:$A,TB.PRO!P:P,0,0,1)</f>
        <v>0</v>
      </c>
      <c r="AA161" s="1390">
        <f>SUMIF('[2]Sum - Fiscal'!$P:$P,$A161,'[2]Sum - Fiscal'!$H:$H)</f>
        <v>0</v>
      </c>
      <c r="AB161" s="1390"/>
      <c r="AC161" s="1390"/>
      <c r="AD161" s="219">
        <f>ROUND(SUM(Y161:AC161),0)</f>
        <v>0</v>
      </c>
      <c r="AE161" s="1390">
        <f>_xlfn.XLOOKUP($A161,TB.PRO!$A:$A,TB.PRO!R:R,0,0,1)</f>
        <v>0</v>
      </c>
      <c r="AF161" s="1390">
        <f>_xlfn.XLOOKUP($A161,TB.PRO!$A:$A,TB.PRO!S:S,0,0,1)</f>
        <v>0</v>
      </c>
      <c r="AG161" s="1390">
        <f>SUMIF('[2]Sum - Fiscal'!$P:$P,$A161,'[2]Sum - Fiscal'!$I:$I)</f>
        <v>0</v>
      </c>
      <c r="AH161" s="1390"/>
      <c r="AI161" s="1390"/>
      <c r="AJ161" s="219">
        <f>ROUND(SUM(AE161:AI161),0)</f>
        <v>0</v>
      </c>
      <c r="AK161" s="178" t="str">
        <f>_xlfn.XLOOKUP($A161,COA!$B:$B,COA!$C:$C,0,0,1)</f>
        <v>General and administration</v>
      </c>
      <c r="AL161" s="178" t="str">
        <f>_xlfn.XLOOKUP($A161,COA!$B:$B,COA!$D:$D,0,0,1)</f>
        <v>Taxes and licenses</v>
      </c>
      <c r="AM161" s="178" t="str">
        <f>_xlfn.XLOOKUP($A161,COA!$B:$B,COA!$E:$E,0,0,1)</f>
        <v>Accumulated deficit</v>
      </c>
      <c r="AO161" s="85" t="str">
        <f>_xlfn.XLOOKUP(AM161,FS.1!A:A,AM:AM,0,0,1)</f>
        <v>Due to related parties</v>
      </c>
      <c r="AP161" s="87"/>
      <c r="AQ161" s="87"/>
      <c r="AR161" s="87"/>
      <c r="AS161" s="87"/>
      <c r="AT161" s="85"/>
      <c r="AU161" s="85"/>
      <c r="AV161" s="85"/>
      <c r="AW161" s="85"/>
      <c r="AX161" s="85"/>
      <c r="AY161" s="85"/>
      <c r="AZ161" s="85"/>
      <c r="BA161" s="85"/>
      <c r="BB161" s="85"/>
      <c r="BC161" s="85"/>
      <c r="BD161" s="85"/>
      <c r="BE161" s="85"/>
      <c r="BF161" s="85"/>
      <c r="BG161" s="85"/>
    </row>
    <row r="162" spans="1:59" x14ac:dyDescent="0.25">
      <c r="A162" s="1389" t="str">
        <f>COA!B158</f>
        <v>6080 Shop and other supplies</v>
      </c>
      <c r="B162" s="1390">
        <f>_xlfn.XLOOKUP(A162,'TB.1 - F25'!A:A,'TB.1 - F25'!D:D,0,0,1)</f>
        <v>0</v>
      </c>
      <c r="C162" s="1390">
        <f>_xlfn.XLOOKUP(A162,'TB.1 - F25'!A:A,'TB.1 - F25'!H:H,0,0,1)</f>
        <v>241.4</v>
      </c>
      <c r="D162" s="1390">
        <f>_xlfn.XLOOKUP(A162,'AJE.1 - F25'!A:A,'AJE.1 - F25'!F:F,0,0,1)</f>
        <v>0</v>
      </c>
      <c r="E162" s="1390"/>
      <c r="F162" s="219">
        <f>ROUND(SUM(B162:E162),0)</f>
        <v>241</v>
      </c>
      <c r="G162" s="1390">
        <f>_xlfn.XLOOKUP($A162,TB.PRO!$A:$A,TB.PRO!F:F,0,0,1)</f>
        <v>0</v>
      </c>
      <c r="H162" s="1390">
        <f>_xlfn.XLOOKUP($A162,TB.PRO!$A:$A,TB.PRO!G:G,0,0,1)</f>
        <v>0</v>
      </c>
      <c r="I162" s="1390">
        <f>SUMIF('[2]Sum - Fiscal'!$P:$P,A162,'[2]Sum - Fiscal'!$E:$E)</f>
        <v>3633.3333333333335</v>
      </c>
      <c r="J162" s="1390"/>
      <c r="K162" s="1390"/>
      <c r="L162" s="665">
        <f>ROUND(SUM(G162:K162),0)</f>
        <v>3633</v>
      </c>
      <c r="M162" s="1390">
        <f>_xlfn.XLOOKUP($A162,TB.PRO!$A:$A,TB.PRO!I:I,0,0,1)</f>
        <v>0</v>
      </c>
      <c r="N162" s="1390">
        <f>_xlfn.XLOOKUP($A162,TB.PRO!$A:$A,TB.PRO!J:J,0,0,1)</f>
        <v>0</v>
      </c>
      <c r="O162" s="1390">
        <f>SUMIF('[2]Sum - Fiscal'!$P:$P,$A162,'[2]Sum - Fiscal'!$F:$F)</f>
        <v>86291.666666666672</v>
      </c>
      <c r="P162" s="1390"/>
      <c r="Q162" s="1390"/>
      <c r="R162" s="665">
        <f>ROUND(SUM(M162:Q162),0)</f>
        <v>86292</v>
      </c>
      <c r="S162" s="1390">
        <f>_xlfn.XLOOKUP($A162,TB.PRO!$A:$A,TB.PRO!L:L,0,0,1)</f>
        <v>0</v>
      </c>
      <c r="T162" s="1390">
        <f>_xlfn.XLOOKUP($A162,TB.PRO!$A:$A,TB.PRO!M:M,0,0,1)</f>
        <v>0</v>
      </c>
      <c r="U162" s="1390">
        <f>SUMIF('[2]Sum - Fiscal'!$P:$P,$A162,'[2]Sum - Fiscal'!$G:$G)</f>
        <v>386041.66666666669</v>
      </c>
      <c r="V162" s="1390"/>
      <c r="W162" s="1390"/>
      <c r="X162" s="665">
        <f>ROUND(SUM(S162:W162),0)</f>
        <v>386042</v>
      </c>
      <c r="Y162" s="1390">
        <f>_xlfn.XLOOKUP($A162,TB.PRO!$A:$A,TB.PRO!O:O,0,0,1)</f>
        <v>0</v>
      </c>
      <c r="Z162" s="1390">
        <f>_xlfn.XLOOKUP($A162,TB.PRO!$A:$A,TB.PRO!P:P,0,0,1)</f>
        <v>0</v>
      </c>
      <c r="AA162" s="1390">
        <f>SUMIF('[2]Sum - Fiscal'!$P:$P,$A162,'[2]Sum - Fiscal'!$H:$H)</f>
        <v>908333.33333333337</v>
      </c>
      <c r="AB162" s="1390"/>
      <c r="AC162" s="1390"/>
      <c r="AD162" s="219">
        <f>ROUND(SUM(Y162:AC162),0)</f>
        <v>908333</v>
      </c>
      <c r="AE162" s="1390">
        <f>_xlfn.XLOOKUP($A162,TB.PRO!$A:$A,TB.PRO!R:R,0,0,1)</f>
        <v>0</v>
      </c>
      <c r="AF162" s="1390">
        <f>_xlfn.XLOOKUP($A162,TB.PRO!$A:$A,TB.PRO!S:S,0,0,1)</f>
        <v>0</v>
      </c>
      <c r="AG162" s="1390">
        <f>SUMIF('[2]Sum - Fiscal'!$P:$P,$A162,'[2]Sum - Fiscal'!$I:$I)</f>
        <v>1589583.3333333335</v>
      </c>
      <c r="AH162" s="1390"/>
      <c r="AI162" s="1390"/>
      <c r="AJ162" s="219">
        <f>ROUND(SUM(AE162:AI162),0)</f>
        <v>1589583</v>
      </c>
      <c r="AK162" s="178" t="str">
        <f>_xlfn.XLOOKUP($A162,COA!$B:$B,COA!$C:$C,0,0,1)</f>
        <v>General and administration</v>
      </c>
      <c r="AL162" s="178" t="str">
        <f>_xlfn.XLOOKUP($A162,COA!$B:$B,COA!$D:$D,0,0,1)</f>
        <v>Shop supplies</v>
      </c>
      <c r="AM162" s="178" t="str">
        <f>_xlfn.XLOOKUP($A162,COA!$B:$B,COA!$E:$E,0,0,1)</f>
        <v>Accumulated deficit</v>
      </c>
      <c r="AO162" s="85" t="str">
        <f t="shared" ref="AO162:AO163" si="22">AM162</f>
        <v>Accumulated deficit</v>
      </c>
      <c r="AP162" s="87"/>
      <c r="AQ162" s="87"/>
      <c r="AR162" s="87"/>
      <c r="AS162" s="87"/>
      <c r="AT162" s="85"/>
      <c r="AU162" s="85"/>
      <c r="AV162" s="85"/>
      <c r="AW162" s="85"/>
      <c r="AX162" s="85"/>
      <c r="AY162" s="85"/>
      <c r="AZ162" s="85"/>
      <c r="BA162" s="85"/>
      <c r="BB162" s="85"/>
      <c r="BC162" s="85"/>
      <c r="BD162" s="85"/>
      <c r="BE162" s="85"/>
      <c r="BF162" s="85"/>
      <c r="BG162" s="85"/>
    </row>
    <row r="163" spans="1:59" hidden="1" x14ac:dyDescent="0.25">
      <c r="A163" s="1389" t="str">
        <f>COA!B159</f>
        <v>6085 Depreciation</v>
      </c>
      <c r="B163" s="1390">
        <f>_xlfn.XLOOKUP(A163,'TB.1 - F25'!A:A,'TB.1 - F25'!D:D,0,0,1)</f>
        <v>0</v>
      </c>
      <c r="C163" s="1390">
        <f>_xlfn.XLOOKUP(A163,'TB.1 - F25'!A:A,'TB.1 - F25'!H:H,0,0,1)</f>
        <v>0</v>
      </c>
      <c r="D163" s="1390">
        <f>_xlfn.XLOOKUP(A163,'AJE.1 - F25'!A:A,'AJE.1 - F25'!F:F,0,0,1)</f>
        <v>1256364</v>
      </c>
      <c r="E163" s="1390"/>
      <c r="F163" s="219">
        <f>ROUND(SUM(B163:E163),0)</f>
        <v>1256364</v>
      </c>
      <c r="G163" s="1390">
        <f>_xlfn.XLOOKUP($A163,TB.PRO!$A:$A,TB.PRO!F:F,0,0,1)</f>
        <v>0</v>
      </c>
      <c r="H163" s="1390">
        <f>_xlfn.XLOOKUP($A163,TB.PRO!$A:$A,TB.PRO!G:G,0,0,1)</f>
        <v>0</v>
      </c>
      <c r="I163" s="1390">
        <f>SUMIF('[2]Sum - Fiscal'!$P:$P,A163,'[2]Sum - Fiscal'!$E:$E)</f>
        <v>0</v>
      </c>
      <c r="J163" s="1390"/>
      <c r="K163" s="1390"/>
      <c r="L163" s="665">
        <f>ROUND(SUM(G163:K163),0)</f>
        <v>0</v>
      </c>
      <c r="M163" s="1390">
        <f>_xlfn.XLOOKUP($A163,TB.PRO!$A:$A,TB.PRO!I:I,0,0,1)</f>
        <v>0</v>
      </c>
      <c r="N163" s="1390">
        <f>_xlfn.XLOOKUP($A163,TB.PRO!$A:$A,TB.PRO!J:J,0,0,1)</f>
        <v>0</v>
      </c>
      <c r="O163" s="1390">
        <f>SUMIF('[2]Sum - Fiscal'!$P:$P,$A163,'[2]Sum - Fiscal'!$F:$F)</f>
        <v>0</v>
      </c>
      <c r="P163" s="1390"/>
      <c r="Q163" s="1390"/>
      <c r="R163" s="665">
        <f>ROUND(SUM(M163:Q163),0)</f>
        <v>0</v>
      </c>
      <c r="S163" s="1390">
        <f>_xlfn.XLOOKUP($A163,TB.PRO!$A:$A,TB.PRO!L:L,0,0,1)</f>
        <v>0</v>
      </c>
      <c r="T163" s="1390">
        <f>_xlfn.XLOOKUP($A163,TB.PRO!$A:$A,TB.PRO!M:M,0,0,1)</f>
        <v>0</v>
      </c>
      <c r="U163" s="1390">
        <f>SUMIF('[2]Sum - Fiscal'!$P:$P,$A163,'[2]Sum - Fiscal'!$G:$G)</f>
        <v>0</v>
      </c>
      <c r="V163" s="1390"/>
      <c r="W163" s="1390"/>
      <c r="X163" s="665">
        <f>ROUND(SUM(S163:W163),0)</f>
        <v>0</v>
      </c>
      <c r="Y163" s="1390">
        <f>_xlfn.XLOOKUP($A163,TB.PRO!$A:$A,TB.PRO!O:O,0,0,1)</f>
        <v>0</v>
      </c>
      <c r="Z163" s="1390">
        <f>_xlfn.XLOOKUP($A163,TB.PRO!$A:$A,TB.PRO!P:P,0,0,1)</f>
        <v>0</v>
      </c>
      <c r="AA163" s="1390">
        <f>SUMIF('[2]Sum - Fiscal'!$P:$P,$A163,'[2]Sum - Fiscal'!$H:$H)</f>
        <v>0</v>
      </c>
      <c r="AB163" s="1390"/>
      <c r="AC163" s="1390"/>
      <c r="AD163" s="219">
        <f>ROUND(SUM(Y163:AC163),0)</f>
        <v>0</v>
      </c>
      <c r="AE163" s="1390">
        <f>_xlfn.XLOOKUP($A163,TB.PRO!$A:$A,TB.PRO!R:R,0,0,1)</f>
        <v>0</v>
      </c>
      <c r="AF163" s="1390">
        <f>_xlfn.XLOOKUP($A163,TB.PRO!$A:$A,TB.PRO!S:S,0,0,1)</f>
        <v>0</v>
      </c>
      <c r="AG163" s="1390">
        <f>SUMIF('[2]Sum - Fiscal'!$P:$P,$A163,'[2]Sum - Fiscal'!$I:$I)</f>
        <v>0</v>
      </c>
      <c r="AH163" s="1390"/>
      <c r="AI163" s="1390"/>
      <c r="AJ163" s="219">
        <f>ROUND(SUM(AE163:AI163),0)</f>
        <v>0</v>
      </c>
      <c r="AK163" s="178" t="str">
        <f>_xlfn.XLOOKUP($A163,COA!$B:$B,COA!$C:$C,0,0,1)</f>
        <v>General and administration</v>
      </c>
      <c r="AL163" s="178" t="str">
        <f>_xlfn.XLOOKUP($A163,COA!$B:$B,COA!$D:$D,0,0,1)</f>
        <v>Depreciation and amortization</v>
      </c>
      <c r="AM163" s="178" t="str">
        <f>_xlfn.XLOOKUP($A163,COA!$B:$B,COA!$E:$E,0,0,1)</f>
        <v>Accumulated deficit</v>
      </c>
      <c r="AO163" s="85" t="str">
        <f t="shared" si="22"/>
        <v>Accumulated deficit</v>
      </c>
      <c r="AP163" s="87"/>
      <c r="AQ163" s="87"/>
      <c r="AR163" s="87"/>
      <c r="AS163" s="87"/>
      <c r="AT163" s="85"/>
      <c r="AU163" s="85"/>
      <c r="AV163" s="85"/>
      <c r="AW163" s="85"/>
      <c r="AX163" s="85"/>
      <c r="AY163" s="85"/>
      <c r="AZ163" s="85"/>
      <c r="BA163" s="85"/>
      <c r="BB163" s="85"/>
      <c r="BC163" s="85"/>
      <c r="BD163" s="85"/>
      <c r="BE163" s="85"/>
      <c r="BF163" s="85"/>
      <c r="BG163" s="85"/>
    </row>
    <row r="164" spans="1:59" hidden="1" x14ac:dyDescent="0.25">
      <c r="A164" s="1389" t="str">
        <f>COA!B160</f>
        <v>6090 Corporate Tax Expense</v>
      </c>
      <c r="B164" s="1390">
        <f>_xlfn.XLOOKUP(A164,'TB.1 - F25'!A:A,'TB.1 - F25'!D:D,0,0,1)</f>
        <v>0</v>
      </c>
      <c r="C164" s="1390">
        <f>_xlfn.XLOOKUP(A164,'TB.1 - F25'!A:A,'TB.1 - F25'!H:H,0,0,1)</f>
        <v>0</v>
      </c>
      <c r="D164" s="1390">
        <f>_xlfn.XLOOKUP(A164,'AJE.1 - F25'!A:A,'AJE.1 - F25'!F:F,0,0,1)</f>
        <v>0</v>
      </c>
      <c r="E164" s="1390"/>
      <c r="F164" s="219">
        <f>ROUND(SUM(B164:E164),0)</f>
        <v>0</v>
      </c>
      <c r="G164" s="1390">
        <f>_xlfn.XLOOKUP($A164,TB.PRO!$A:$A,TB.PRO!F:F,0,0,1)</f>
        <v>0</v>
      </c>
      <c r="H164" s="1390">
        <f>_xlfn.XLOOKUP($A164,TB.PRO!$A:$A,TB.PRO!G:G,0,0,1)</f>
        <v>0</v>
      </c>
      <c r="I164" s="1390">
        <f>SUMIF('[2]Sum - Fiscal'!$P:$P,A164,'[2]Sum - Fiscal'!$E:$E)</f>
        <v>0</v>
      </c>
      <c r="J164" s="1390"/>
      <c r="K164" s="1390"/>
      <c r="L164" s="665">
        <f>ROUND(SUM(G164:K164),0)</f>
        <v>0</v>
      </c>
      <c r="M164" s="1390">
        <f>_xlfn.XLOOKUP($A164,TB.PRO!$A:$A,TB.PRO!I:I,0,0,1)</f>
        <v>0</v>
      </c>
      <c r="N164" s="1390">
        <f>_xlfn.XLOOKUP($A164,TB.PRO!$A:$A,TB.PRO!J:J,0,0,1)</f>
        <v>0</v>
      </c>
      <c r="O164" s="1390">
        <f>SUMIF('[2]Sum - Fiscal'!$P:$P,$A164,'[2]Sum - Fiscal'!$F:$F)</f>
        <v>0</v>
      </c>
      <c r="P164" s="1390"/>
      <c r="Q164" s="1390"/>
      <c r="R164" s="665">
        <f>ROUND(SUM(M164:Q164),0)</f>
        <v>0</v>
      </c>
      <c r="S164" s="1390">
        <f>_xlfn.XLOOKUP($A164,TB.PRO!$A:$A,TB.PRO!L:L,0,0,1)</f>
        <v>0</v>
      </c>
      <c r="T164" s="1390">
        <f>_xlfn.XLOOKUP($A164,TB.PRO!$A:$A,TB.PRO!M:M,0,0,1)</f>
        <v>0</v>
      </c>
      <c r="U164" s="1390">
        <f>SUMIF('[2]Sum - Fiscal'!$P:$P,$A164,'[2]Sum - Fiscal'!$G:$G)</f>
        <v>0</v>
      </c>
      <c r="V164" s="1390"/>
      <c r="W164" s="1390"/>
      <c r="X164" s="665">
        <f>ROUND(SUM(S164:W164),0)</f>
        <v>0</v>
      </c>
      <c r="Y164" s="1390">
        <f>_xlfn.XLOOKUP($A164,TB.PRO!$A:$A,TB.PRO!O:O,0,0,1)</f>
        <v>0</v>
      </c>
      <c r="Z164" s="1390">
        <f>_xlfn.XLOOKUP($A164,TB.PRO!$A:$A,TB.PRO!P:P,0,0,1)</f>
        <v>0</v>
      </c>
      <c r="AA164" s="1390">
        <f>SUMIF('[2]Sum - Fiscal'!$P:$P,$A164,'[2]Sum - Fiscal'!$H:$H)</f>
        <v>0</v>
      </c>
      <c r="AB164" s="1390"/>
      <c r="AC164" s="1390"/>
      <c r="AD164" s="219">
        <f>ROUND(SUM(Y164:AC164),0)</f>
        <v>0</v>
      </c>
      <c r="AE164" s="1390">
        <f>_xlfn.XLOOKUP($A164,TB.PRO!$A:$A,TB.PRO!R:R,0,0,1)</f>
        <v>0</v>
      </c>
      <c r="AF164" s="1390">
        <f>_xlfn.XLOOKUP($A164,TB.PRO!$A:$A,TB.PRO!S:S,0,0,1)</f>
        <v>0</v>
      </c>
      <c r="AG164" s="1390">
        <f>SUMIF('[2]Sum - Fiscal'!$P:$P,$A164,'[2]Sum - Fiscal'!$I:$I)</f>
        <v>0</v>
      </c>
      <c r="AH164" s="1390"/>
      <c r="AI164" s="1390"/>
      <c r="AJ164" s="219">
        <f>ROUND(SUM(AE164:AI164),0)</f>
        <v>0</v>
      </c>
      <c r="AK164" s="178" t="str">
        <f>_xlfn.XLOOKUP($A164,COA!$B:$B,COA!$C:$C,0,0,1)</f>
        <v>General and administration</v>
      </c>
      <c r="AL164" s="178" t="str">
        <f>_xlfn.XLOOKUP($A164,COA!$B:$B,COA!$D:$D,0,0,1)</f>
        <v>Current tax recovery (expense)</v>
      </c>
      <c r="AM164" s="178" t="str">
        <f>_xlfn.XLOOKUP($A164,COA!$B:$B,COA!$E:$E,0,0,1)</f>
        <v>Accumulated deficit</v>
      </c>
      <c r="AO164" s="85" t="str">
        <f>_xlfn.XLOOKUP(AM164,FS.1!A:A,AM:AM,0,0,1)</f>
        <v>Due to related parties</v>
      </c>
      <c r="AP164" s="87"/>
      <c r="AQ164" s="87"/>
      <c r="AR164" s="87"/>
      <c r="AS164" s="87"/>
      <c r="AT164" s="85"/>
      <c r="AU164" s="85"/>
      <c r="AV164" s="85"/>
      <c r="AW164" s="85"/>
      <c r="AX164" s="85"/>
      <c r="AY164" s="85"/>
      <c r="AZ164" s="85"/>
      <c r="BA164" s="85"/>
      <c r="BB164" s="85"/>
      <c r="BC164" s="85"/>
      <c r="BD164" s="85"/>
      <c r="BE164" s="85"/>
      <c r="BF164" s="85"/>
      <c r="BG164" s="85"/>
    </row>
    <row r="165" spans="1:59" hidden="1" x14ac:dyDescent="0.25">
      <c r="A165" s="1389" t="str">
        <f>COA!B161</f>
        <v>6092 Penalties</v>
      </c>
      <c r="B165" s="1390">
        <f>_xlfn.XLOOKUP(A165,'TB.1 - F25'!A:A,'TB.1 - F25'!D:D,0,0,1)</f>
        <v>0</v>
      </c>
      <c r="C165" s="1390">
        <f>_xlfn.XLOOKUP(A165,'TB.1 - F25'!A:A,'TB.1 - F25'!H:H,0,0,1)</f>
        <v>0</v>
      </c>
      <c r="D165" s="1390">
        <f>_xlfn.XLOOKUP(A165,'AJE.1 - F25'!A:A,'AJE.1 - F25'!F:F,0,0,1)</f>
        <v>0</v>
      </c>
      <c r="E165" s="1390"/>
      <c r="F165" s="219">
        <f>ROUND(SUM(B165:E165),0)</f>
        <v>0</v>
      </c>
      <c r="G165" s="1390">
        <f>_xlfn.XLOOKUP($A165,TB.PRO!$A:$A,TB.PRO!F:F,0,0,1)</f>
        <v>0</v>
      </c>
      <c r="H165" s="1390">
        <f>_xlfn.XLOOKUP($A165,TB.PRO!$A:$A,TB.PRO!G:G,0,0,1)</f>
        <v>0</v>
      </c>
      <c r="I165" s="1390">
        <f>SUMIF('[2]Sum - Fiscal'!$P:$P,A165,'[2]Sum - Fiscal'!$E:$E)</f>
        <v>0</v>
      </c>
      <c r="J165" s="1390"/>
      <c r="K165" s="1390"/>
      <c r="L165" s="665">
        <f>ROUND(SUM(G165:K165),0)</f>
        <v>0</v>
      </c>
      <c r="M165" s="1390">
        <f>_xlfn.XLOOKUP($A165,TB.PRO!$A:$A,TB.PRO!I:I,0,0,1)</f>
        <v>0</v>
      </c>
      <c r="N165" s="1390">
        <f>_xlfn.XLOOKUP($A165,TB.PRO!$A:$A,TB.PRO!J:J,0,0,1)</f>
        <v>0</v>
      </c>
      <c r="O165" s="1390">
        <f>SUMIF('[2]Sum - Fiscal'!$P:$P,$A165,'[2]Sum - Fiscal'!$F:$F)</f>
        <v>0</v>
      </c>
      <c r="P165" s="1390"/>
      <c r="Q165" s="1390"/>
      <c r="R165" s="665">
        <f>ROUND(SUM(M165:Q165),0)</f>
        <v>0</v>
      </c>
      <c r="S165" s="1390">
        <f>_xlfn.XLOOKUP($A165,TB.PRO!$A:$A,TB.PRO!L:L,0,0,1)</f>
        <v>0</v>
      </c>
      <c r="T165" s="1390">
        <f>_xlfn.XLOOKUP($A165,TB.PRO!$A:$A,TB.PRO!M:M,0,0,1)</f>
        <v>0</v>
      </c>
      <c r="U165" s="1390">
        <f>SUMIF('[2]Sum - Fiscal'!$P:$P,$A165,'[2]Sum - Fiscal'!$G:$G)</f>
        <v>0</v>
      </c>
      <c r="V165" s="1390"/>
      <c r="W165" s="1390"/>
      <c r="X165" s="665">
        <f>ROUND(SUM(S165:W165),0)</f>
        <v>0</v>
      </c>
      <c r="Y165" s="1390">
        <f>_xlfn.XLOOKUP($A165,TB.PRO!$A:$A,TB.PRO!O:O,0,0,1)</f>
        <v>0</v>
      </c>
      <c r="Z165" s="1390">
        <f>_xlfn.XLOOKUP($A165,TB.PRO!$A:$A,TB.PRO!P:P,0,0,1)</f>
        <v>0</v>
      </c>
      <c r="AA165" s="1390">
        <f>SUMIF('[2]Sum - Fiscal'!$P:$P,$A165,'[2]Sum - Fiscal'!$H:$H)</f>
        <v>0</v>
      </c>
      <c r="AB165" s="1390"/>
      <c r="AC165" s="1390"/>
      <c r="AD165" s="219">
        <f>ROUND(SUM(Y165:AC165),0)</f>
        <v>0</v>
      </c>
      <c r="AE165" s="1390">
        <f>_xlfn.XLOOKUP($A165,TB.PRO!$A:$A,TB.PRO!R:R,0,0,1)</f>
        <v>0</v>
      </c>
      <c r="AF165" s="1390">
        <f>_xlfn.XLOOKUP($A165,TB.PRO!$A:$A,TB.PRO!S:S,0,0,1)</f>
        <v>0</v>
      </c>
      <c r="AG165" s="1390">
        <f>SUMIF('[2]Sum - Fiscal'!$P:$P,$A165,'[2]Sum - Fiscal'!$I:$I)</f>
        <v>0</v>
      </c>
      <c r="AH165" s="1390"/>
      <c r="AI165" s="1390"/>
      <c r="AJ165" s="219">
        <f>ROUND(SUM(AE165:AI165),0)</f>
        <v>0</v>
      </c>
      <c r="AK165" s="178" t="str">
        <f>_xlfn.XLOOKUP($A165,COA!$B:$B,COA!$C:$C,0,0,1)</f>
        <v>General and administration</v>
      </c>
      <c r="AL165" s="178" t="str">
        <f>_xlfn.XLOOKUP($A165,COA!$B:$B,COA!$D:$D,0,0,1)</f>
        <v>Interest expense</v>
      </c>
      <c r="AM165" s="178" t="str">
        <f>_xlfn.XLOOKUP($A165,COA!$B:$B,COA!$E:$E,0,0,1)</f>
        <v>Accumulated deficit</v>
      </c>
      <c r="AO165" s="85" t="str">
        <f>_xlfn.XLOOKUP(AM165,FS.1!A:A,AM:AM,0,0,1)</f>
        <v>Due to related parties</v>
      </c>
      <c r="AP165" s="87"/>
      <c r="AQ165" s="87"/>
      <c r="AR165" s="87"/>
      <c r="AS165" s="87"/>
      <c r="AT165" s="85"/>
      <c r="AU165" s="85"/>
      <c r="AV165" s="85"/>
      <c r="AW165" s="85"/>
      <c r="AX165" s="85"/>
      <c r="AY165" s="85"/>
      <c r="AZ165" s="85"/>
      <c r="BA165" s="85"/>
      <c r="BB165" s="85"/>
      <c r="BC165" s="85"/>
      <c r="BD165" s="85"/>
      <c r="BE165" s="85"/>
      <c r="BF165" s="85"/>
      <c r="BG165" s="85"/>
    </row>
    <row r="166" spans="1:59" hidden="1" x14ac:dyDescent="0.25">
      <c r="A166" s="1389" t="str">
        <f>COA!B162</f>
        <v>6092 Penalities</v>
      </c>
      <c r="B166" s="1390">
        <f>_xlfn.XLOOKUP(A166,'TB.1 - F25'!A:A,'TB.1 - F25'!D:D,0,0,1)</f>
        <v>0</v>
      </c>
      <c r="C166" s="1390">
        <f>_xlfn.XLOOKUP(A166,'TB.1 - F25'!A:A,'TB.1 - F25'!H:H,0,0,1)</f>
        <v>0</v>
      </c>
      <c r="D166" s="1390">
        <f>_xlfn.XLOOKUP(A166,'AJE.1 - F25'!A:A,'AJE.1 - F25'!F:F,0,0,1)</f>
        <v>0</v>
      </c>
      <c r="E166" s="1390"/>
      <c r="F166" s="219">
        <f>ROUND(SUM(B166:E166),0)</f>
        <v>0</v>
      </c>
      <c r="G166" s="1390">
        <f>_xlfn.XLOOKUP($A166,TB.PRO!$A:$A,TB.PRO!F:F,0,0,1)</f>
        <v>0</v>
      </c>
      <c r="H166" s="1390">
        <f>_xlfn.XLOOKUP($A166,TB.PRO!$A:$A,TB.PRO!G:G,0,0,1)</f>
        <v>0</v>
      </c>
      <c r="I166" s="1390">
        <f>SUMIF('[2]Sum - Fiscal'!$P:$P,A166,'[2]Sum - Fiscal'!$E:$E)</f>
        <v>0</v>
      </c>
      <c r="J166" s="1390"/>
      <c r="K166" s="1390"/>
      <c r="L166" s="665">
        <f>ROUND(SUM(G166:K166),0)</f>
        <v>0</v>
      </c>
      <c r="M166" s="1390">
        <f>_xlfn.XLOOKUP($A166,TB.PRO!$A:$A,TB.PRO!I:I,0,0,1)</f>
        <v>0</v>
      </c>
      <c r="N166" s="1390">
        <f>_xlfn.XLOOKUP($A166,TB.PRO!$A:$A,TB.PRO!J:J,0,0,1)</f>
        <v>0</v>
      </c>
      <c r="O166" s="1390">
        <f>SUMIF('[2]Sum - Fiscal'!$P:$P,$A166,'[2]Sum - Fiscal'!$F:$F)</f>
        <v>0</v>
      </c>
      <c r="P166" s="1390"/>
      <c r="Q166" s="1390"/>
      <c r="R166" s="665">
        <f>ROUND(SUM(M166:Q166),0)</f>
        <v>0</v>
      </c>
      <c r="S166" s="1390">
        <f>_xlfn.XLOOKUP($A166,TB.PRO!$A:$A,TB.PRO!L:L,0,0,1)</f>
        <v>0</v>
      </c>
      <c r="T166" s="1390">
        <f>_xlfn.XLOOKUP($A166,TB.PRO!$A:$A,TB.PRO!M:M,0,0,1)</f>
        <v>0</v>
      </c>
      <c r="U166" s="1390">
        <f>SUMIF('[2]Sum - Fiscal'!$P:$P,$A166,'[2]Sum - Fiscal'!$G:$G)</f>
        <v>0</v>
      </c>
      <c r="V166" s="1390"/>
      <c r="W166" s="1390"/>
      <c r="X166" s="665">
        <f>ROUND(SUM(S166:W166),0)</f>
        <v>0</v>
      </c>
      <c r="Y166" s="1390">
        <f>_xlfn.XLOOKUP($A166,TB.PRO!$A:$A,TB.PRO!O:O,0,0,1)</f>
        <v>0</v>
      </c>
      <c r="Z166" s="1390">
        <f>_xlfn.XLOOKUP($A166,TB.PRO!$A:$A,TB.PRO!P:P,0,0,1)</f>
        <v>0</v>
      </c>
      <c r="AA166" s="1390">
        <f>SUMIF('[2]Sum - Fiscal'!$P:$P,$A166,'[2]Sum - Fiscal'!$H:$H)</f>
        <v>0</v>
      </c>
      <c r="AB166" s="1390"/>
      <c r="AC166" s="1390"/>
      <c r="AD166" s="219">
        <f>ROUND(SUM(Y166:AC166),0)</f>
        <v>0</v>
      </c>
      <c r="AE166" s="1390">
        <f>_xlfn.XLOOKUP($A166,TB.PRO!$A:$A,TB.PRO!R:R,0,0,1)</f>
        <v>0</v>
      </c>
      <c r="AF166" s="1390">
        <f>_xlfn.XLOOKUP($A166,TB.PRO!$A:$A,TB.PRO!S:S,0,0,1)</f>
        <v>0</v>
      </c>
      <c r="AG166" s="1390">
        <f>SUMIF('[2]Sum - Fiscal'!$P:$P,$A166,'[2]Sum - Fiscal'!$I:$I)</f>
        <v>0</v>
      </c>
      <c r="AH166" s="1390"/>
      <c r="AI166" s="1390"/>
      <c r="AJ166" s="219">
        <f>ROUND(SUM(AE166:AI166),0)</f>
        <v>0</v>
      </c>
      <c r="AK166" s="178" t="str">
        <f>_xlfn.XLOOKUP($A166,COA!$B:$B,COA!$C:$C,0,0,1)</f>
        <v>General and administration</v>
      </c>
      <c r="AL166" s="178" t="str">
        <f>_xlfn.XLOOKUP($A166,COA!$B:$B,COA!$D:$D,0,0,1)</f>
        <v xml:space="preserve">Interest and penalties </v>
      </c>
      <c r="AM166" s="178" t="str">
        <f>_xlfn.XLOOKUP($A166,COA!$B:$B,COA!$E:$E,0,0,1)</f>
        <v>Accumulated deficit</v>
      </c>
      <c r="AO166" s="85" t="str">
        <f>_xlfn.XLOOKUP(AM166,FS.1!A:A,AM:AM,0,0,1)</f>
        <v>Due to related parties</v>
      </c>
      <c r="AP166" s="87"/>
      <c r="AQ166" s="87"/>
      <c r="AR166" s="87"/>
      <c r="AS166" s="87"/>
      <c r="AT166" s="85"/>
      <c r="AU166" s="85"/>
      <c r="AV166" s="85"/>
      <c r="AW166" s="85"/>
      <c r="AX166" s="85"/>
      <c r="AY166" s="85"/>
      <c r="AZ166" s="85"/>
      <c r="BA166" s="85"/>
      <c r="BB166" s="85"/>
      <c r="BC166" s="85"/>
      <c r="BD166" s="85"/>
      <c r="BE166" s="85"/>
      <c r="BF166" s="85"/>
      <c r="BG166" s="85"/>
    </row>
    <row r="167" spans="1:59" hidden="1" x14ac:dyDescent="0.25">
      <c r="A167" s="1389" t="str">
        <f>COA!B163</f>
        <v>6100 Listing expense</v>
      </c>
      <c r="B167" s="1390">
        <f>_xlfn.XLOOKUP(A167,'TB.1 - F25'!A:A,'TB.1 - F25'!D:D,0,0,1)</f>
        <v>0</v>
      </c>
      <c r="C167" s="1390">
        <f>_xlfn.XLOOKUP(A167,'TB.1 - F25'!A:A,'TB.1 - F25'!H:H,0,0,1)</f>
        <v>0</v>
      </c>
      <c r="D167" s="1390">
        <f>_xlfn.XLOOKUP(A167,'AJE.1 - F25'!A:A,'AJE.1 - F25'!F:F,0,0,1)</f>
        <v>0</v>
      </c>
      <c r="E167" s="1390"/>
      <c r="F167" s="219">
        <f>ROUND(SUM(B167:E167),0)</f>
        <v>0</v>
      </c>
      <c r="G167" s="1390">
        <f>_xlfn.XLOOKUP($A167,TB.PRO!$A:$A,TB.PRO!F:F,0,0,1)</f>
        <v>0</v>
      </c>
      <c r="H167" s="1390">
        <f>_xlfn.XLOOKUP($A167,TB.PRO!$A:$A,TB.PRO!G:G,0,0,1)</f>
        <v>0</v>
      </c>
      <c r="I167" s="1390">
        <f>SUMIF('[2]Sum - Fiscal'!$P:$P,A167,'[2]Sum - Fiscal'!$E:$E)</f>
        <v>0</v>
      </c>
      <c r="J167" s="1390"/>
      <c r="K167" s="1390"/>
      <c r="L167" s="665">
        <f>ROUND(SUM(G167:K167),0)</f>
        <v>0</v>
      </c>
      <c r="M167" s="1390">
        <f>_xlfn.XLOOKUP($A167,TB.PRO!$A:$A,TB.PRO!I:I,0,0,1)</f>
        <v>0</v>
      </c>
      <c r="N167" s="1390">
        <f>_xlfn.XLOOKUP($A167,TB.PRO!$A:$A,TB.PRO!J:J,0,0,1)</f>
        <v>0</v>
      </c>
      <c r="O167" s="1390">
        <f>SUMIF('[2]Sum - Fiscal'!$P:$P,$A167,'[2]Sum - Fiscal'!$F:$F)</f>
        <v>0</v>
      </c>
      <c r="P167" s="1390"/>
      <c r="Q167" s="1390"/>
      <c r="R167" s="665">
        <f>ROUND(SUM(M167:Q167),0)</f>
        <v>0</v>
      </c>
      <c r="S167" s="1390">
        <f>_xlfn.XLOOKUP($A167,TB.PRO!$A:$A,TB.PRO!L:L,0,0,1)</f>
        <v>0</v>
      </c>
      <c r="T167" s="1390">
        <f>_xlfn.XLOOKUP($A167,TB.PRO!$A:$A,TB.PRO!M:M,0,0,1)</f>
        <v>0</v>
      </c>
      <c r="U167" s="1390">
        <f>SUMIF('[2]Sum - Fiscal'!$P:$P,$A167,'[2]Sum - Fiscal'!$G:$G)</f>
        <v>0</v>
      </c>
      <c r="V167" s="1390"/>
      <c r="W167" s="1390"/>
      <c r="X167" s="665">
        <f>ROUND(SUM(S167:W167),0)</f>
        <v>0</v>
      </c>
      <c r="Y167" s="1390">
        <f>_xlfn.XLOOKUP($A167,TB.PRO!$A:$A,TB.PRO!O:O,0,0,1)</f>
        <v>0</v>
      </c>
      <c r="Z167" s="1390">
        <f>_xlfn.XLOOKUP($A167,TB.PRO!$A:$A,TB.PRO!P:P,0,0,1)</f>
        <v>0</v>
      </c>
      <c r="AA167" s="1390">
        <f>SUMIF('[2]Sum - Fiscal'!$P:$P,$A167,'[2]Sum - Fiscal'!$H:$H)</f>
        <v>0</v>
      </c>
      <c r="AB167" s="1390"/>
      <c r="AC167" s="1390"/>
      <c r="AD167" s="219">
        <f>ROUND(SUM(Y167:AC167),0)</f>
        <v>0</v>
      </c>
      <c r="AE167" s="1390">
        <f>_xlfn.XLOOKUP($A167,TB.PRO!$A:$A,TB.PRO!R:R,0,0,1)</f>
        <v>0</v>
      </c>
      <c r="AF167" s="1390">
        <f>_xlfn.XLOOKUP($A167,TB.PRO!$A:$A,TB.PRO!S:S,0,0,1)</f>
        <v>0</v>
      </c>
      <c r="AG167" s="1390">
        <f>SUMIF('[2]Sum - Fiscal'!$P:$P,$A167,'[2]Sum - Fiscal'!$I:$I)</f>
        <v>0</v>
      </c>
      <c r="AH167" s="1390"/>
      <c r="AI167" s="1390"/>
      <c r="AJ167" s="219">
        <f>ROUND(SUM(AE167:AI167),0)</f>
        <v>0</v>
      </c>
      <c r="AK167" s="178" t="str">
        <f>_xlfn.XLOOKUP($A167,COA!$B:$B,COA!$C:$C,0,0,1)</f>
        <v>General and administration</v>
      </c>
      <c r="AL167" s="178" t="str">
        <f>_xlfn.XLOOKUP($A167,COA!$B:$B,COA!$D:$D,0,0,1)</f>
        <v>Listing expense</v>
      </c>
      <c r="AM167" s="178" t="str">
        <f>_xlfn.XLOOKUP($A167,COA!$B:$B,COA!$E:$E,0,0,1)</f>
        <v>Accumulated deficit</v>
      </c>
      <c r="AO167" s="85" t="str">
        <f>_xlfn.XLOOKUP(AM167,FS.1!A:A,AM:AM,0,0,1)</f>
        <v>Due to related parties</v>
      </c>
      <c r="AP167" s="87"/>
      <c r="AQ167" s="87"/>
      <c r="AR167" s="87"/>
      <c r="AS167" s="87"/>
      <c r="AT167" s="85"/>
      <c r="AU167" s="85"/>
      <c r="AV167" s="85"/>
      <c r="AW167" s="85"/>
      <c r="AX167" s="85"/>
      <c r="AY167" s="85"/>
      <c r="AZ167" s="85"/>
      <c r="BA167" s="85"/>
      <c r="BB167" s="85"/>
      <c r="BC167" s="85"/>
      <c r="BD167" s="85"/>
      <c r="BE167" s="85"/>
      <c r="BF167" s="85"/>
      <c r="BG167" s="85"/>
    </row>
    <row r="168" spans="1:59" hidden="1" x14ac:dyDescent="0.25">
      <c r="A168" s="1389" t="str">
        <f>COA!B164</f>
        <v>6300 Unapplied Cash Bill Payment Expense</v>
      </c>
      <c r="B168" s="1390">
        <f>_xlfn.XLOOKUP(A168,'TB.1 - F25'!A:A,'TB.1 - F25'!D:D,0,0,1)</f>
        <v>0</v>
      </c>
      <c r="C168" s="1390">
        <f>_xlfn.XLOOKUP(A168,'TB.1 - F25'!A:A,'TB.1 - F25'!H:H,0,0,1)</f>
        <v>0</v>
      </c>
      <c r="D168" s="1390">
        <f>_xlfn.XLOOKUP(A168,'AJE.1 - F25'!A:A,'AJE.1 - F25'!F:F,0,0,1)</f>
        <v>0</v>
      </c>
      <c r="E168" s="1390"/>
      <c r="F168" s="219">
        <f>ROUND(SUM(B168:E168),0)</f>
        <v>0</v>
      </c>
      <c r="G168" s="1390">
        <f>_xlfn.XLOOKUP($A168,TB.PRO!$A:$A,TB.PRO!F:F,0,0,1)</f>
        <v>0</v>
      </c>
      <c r="H168" s="1390">
        <f>_xlfn.XLOOKUP($A168,TB.PRO!$A:$A,TB.PRO!G:G,0,0,1)</f>
        <v>0</v>
      </c>
      <c r="I168" s="1390">
        <f>SUMIF('[2]Sum - Fiscal'!$P:$P,A168,'[2]Sum - Fiscal'!$E:$E)</f>
        <v>0</v>
      </c>
      <c r="J168" s="1390"/>
      <c r="K168" s="1390"/>
      <c r="L168" s="665">
        <f>ROUND(SUM(G168:K168),0)</f>
        <v>0</v>
      </c>
      <c r="M168" s="1390">
        <f>_xlfn.XLOOKUP($A168,TB.PRO!$A:$A,TB.PRO!I:I,0,0,1)</f>
        <v>0</v>
      </c>
      <c r="N168" s="1390">
        <f>_xlfn.XLOOKUP($A168,TB.PRO!$A:$A,TB.PRO!J:J,0,0,1)</f>
        <v>0</v>
      </c>
      <c r="O168" s="1390">
        <f>SUMIF('[2]Sum - Fiscal'!$P:$P,$A168,'[2]Sum - Fiscal'!$F:$F)</f>
        <v>0</v>
      </c>
      <c r="P168" s="1390"/>
      <c r="Q168" s="1390"/>
      <c r="R168" s="665">
        <f>ROUND(SUM(M168:Q168),0)</f>
        <v>0</v>
      </c>
      <c r="S168" s="1390">
        <f>_xlfn.XLOOKUP($A168,TB.PRO!$A:$A,TB.PRO!L:L,0,0,1)</f>
        <v>0</v>
      </c>
      <c r="T168" s="1390">
        <f>_xlfn.XLOOKUP($A168,TB.PRO!$A:$A,TB.PRO!M:M,0,0,1)</f>
        <v>0</v>
      </c>
      <c r="U168" s="1390">
        <f>SUMIF('[2]Sum - Fiscal'!$P:$P,$A168,'[2]Sum - Fiscal'!$G:$G)</f>
        <v>0</v>
      </c>
      <c r="V168" s="1390"/>
      <c r="W168" s="1390"/>
      <c r="X168" s="665">
        <f>ROUND(SUM(S168:W168),0)</f>
        <v>0</v>
      </c>
      <c r="Y168" s="1390">
        <f>_xlfn.XLOOKUP($A168,TB.PRO!$A:$A,TB.PRO!O:O,0,0,1)</f>
        <v>0</v>
      </c>
      <c r="Z168" s="1390">
        <f>_xlfn.XLOOKUP($A168,TB.PRO!$A:$A,TB.PRO!P:P,0,0,1)</f>
        <v>0</v>
      </c>
      <c r="AA168" s="1390">
        <f>SUMIF('[2]Sum - Fiscal'!$P:$P,$A168,'[2]Sum - Fiscal'!$H:$H)</f>
        <v>0</v>
      </c>
      <c r="AB168" s="1390"/>
      <c r="AC168" s="1390"/>
      <c r="AD168" s="219">
        <f>ROUND(SUM(Y168:AC168),0)</f>
        <v>0</v>
      </c>
      <c r="AE168" s="1390">
        <f>_xlfn.XLOOKUP($A168,TB.PRO!$A:$A,TB.PRO!R:R,0,0,1)</f>
        <v>0</v>
      </c>
      <c r="AF168" s="1390">
        <f>_xlfn.XLOOKUP($A168,TB.PRO!$A:$A,TB.PRO!S:S,0,0,1)</f>
        <v>0</v>
      </c>
      <c r="AG168" s="1390">
        <f>SUMIF('[2]Sum - Fiscal'!$P:$P,$A168,'[2]Sum - Fiscal'!$I:$I)</f>
        <v>0</v>
      </c>
      <c r="AH168" s="1390"/>
      <c r="AI168" s="1390"/>
      <c r="AJ168" s="219">
        <f>ROUND(SUM(AE168:AI168),0)</f>
        <v>0</v>
      </c>
      <c r="AK168" s="178" t="str">
        <f>_xlfn.XLOOKUP($A168,COA!$B:$B,COA!$C:$C,0,0,1)</f>
        <v>General and administration</v>
      </c>
      <c r="AL168" s="178" t="str">
        <f>_xlfn.XLOOKUP($A168,COA!$B:$B,COA!$D:$D,0,0,1)</f>
        <v>Other miscellaneous</v>
      </c>
      <c r="AM168" s="178" t="str">
        <f>_xlfn.XLOOKUP($A168,COA!$B:$B,COA!$E:$E,0,0,1)</f>
        <v>Accumulated deficit</v>
      </c>
      <c r="AO168" s="85" t="str">
        <f>_xlfn.XLOOKUP(AM168,FS.1!A:A,AM:AM,0,0,1)</f>
        <v>Due to related parties</v>
      </c>
      <c r="AP168" s="87"/>
      <c r="AQ168" s="87"/>
      <c r="AR168" s="87"/>
      <c r="AS168" s="87"/>
      <c r="AT168" s="85"/>
      <c r="AU168" s="85"/>
      <c r="AV168" s="85"/>
      <c r="AW168" s="85"/>
      <c r="AX168" s="85"/>
      <c r="AY168" s="85"/>
      <c r="AZ168" s="85"/>
      <c r="BA168" s="85"/>
      <c r="BB168" s="85"/>
      <c r="BC168" s="85"/>
      <c r="BD168" s="85"/>
      <c r="BE168" s="85"/>
      <c r="BF168" s="85"/>
      <c r="BG168" s="85"/>
    </row>
    <row r="169" spans="1:59" hidden="1" x14ac:dyDescent="0.25">
      <c r="A169" s="1389" t="str">
        <f>COA!B165</f>
        <v>6300 Design and modeling</v>
      </c>
      <c r="B169" s="1390">
        <f>_xlfn.XLOOKUP(A169,'TB.1 - F25'!A:A,'TB.1 - F25'!D:D,0,0,1)</f>
        <v>0</v>
      </c>
      <c r="C169" s="1390">
        <f>_xlfn.XLOOKUP(A169,'TB.1 - F25'!A:A,'TB.1 - F25'!H:H,0,0,1)</f>
        <v>5306.24</v>
      </c>
      <c r="D169" s="1390">
        <f>_xlfn.XLOOKUP(A169,'AJE.1 - F25'!A:A,'AJE.1 - F25'!F:F,0,0,1)</f>
        <v>0</v>
      </c>
      <c r="E169" s="1390"/>
      <c r="F169" s="219">
        <f>ROUND(SUM(B169:E169),0)</f>
        <v>5306</v>
      </c>
      <c r="G169" s="1390">
        <f>_xlfn.XLOOKUP($A169,TB.PRO!$A:$A,TB.PRO!F:F,0,0,1)</f>
        <v>0</v>
      </c>
      <c r="H169" s="1390">
        <f>_xlfn.XLOOKUP($A169,TB.PRO!$A:$A,TB.PRO!G:G,0,0,1)</f>
        <v>0</v>
      </c>
      <c r="I169" s="1390">
        <f>SUMIF('[2]Sum - Fiscal'!$P:$P,A169,'[2]Sum - Fiscal'!$E:$E)</f>
        <v>0</v>
      </c>
      <c r="J169" s="1390"/>
      <c r="K169" s="1390"/>
      <c r="L169" s="665">
        <f>ROUND(SUM(G169:K169),0)</f>
        <v>0</v>
      </c>
      <c r="M169" s="1390">
        <f>_xlfn.XLOOKUP($A169,TB.PRO!$A:$A,TB.PRO!I:I,0,0,1)</f>
        <v>0</v>
      </c>
      <c r="N169" s="1390">
        <f>_xlfn.XLOOKUP($A169,TB.PRO!$A:$A,TB.PRO!J:J,0,0,1)</f>
        <v>0</v>
      </c>
      <c r="O169" s="1390">
        <f>SUMIF('[2]Sum - Fiscal'!$P:$P,$A169,'[2]Sum - Fiscal'!$F:$F)</f>
        <v>0</v>
      </c>
      <c r="P169" s="1390"/>
      <c r="Q169" s="1390"/>
      <c r="R169" s="665">
        <f>ROUND(SUM(M169:Q169),0)</f>
        <v>0</v>
      </c>
      <c r="S169" s="1390">
        <f>_xlfn.XLOOKUP($A169,TB.PRO!$A:$A,TB.PRO!L:L,0,0,1)</f>
        <v>0</v>
      </c>
      <c r="T169" s="1390">
        <f>_xlfn.XLOOKUP($A169,TB.PRO!$A:$A,TB.PRO!M:M,0,0,1)</f>
        <v>0</v>
      </c>
      <c r="U169" s="1390">
        <f>SUMIF('[2]Sum - Fiscal'!$P:$P,$A169,'[2]Sum - Fiscal'!$G:$G)</f>
        <v>0</v>
      </c>
      <c r="V169" s="1390"/>
      <c r="W169" s="1390"/>
      <c r="X169" s="665">
        <f>ROUND(SUM(S169:W169),0)</f>
        <v>0</v>
      </c>
      <c r="Y169" s="1390">
        <f>_xlfn.XLOOKUP($A169,TB.PRO!$A:$A,TB.PRO!O:O,0,0,1)</f>
        <v>0</v>
      </c>
      <c r="Z169" s="1390">
        <f>_xlfn.XLOOKUP($A169,TB.PRO!$A:$A,TB.PRO!P:P,0,0,1)</f>
        <v>0</v>
      </c>
      <c r="AA169" s="1390">
        <f>SUMIF('[2]Sum - Fiscal'!$P:$P,$A169,'[2]Sum - Fiscal'!$H:$H)</f>
        <v>0</v>
      </c>
      <c r="AB169" s="1390"/>
      <c r="AC169" s="1390"/>
      <c r="AD169" s="219">
        <f>ROUND(SUM(Y169:AC169),0)</f>
        <v>0</v>
      </c>
      <c r="AE169" s="1390">
        <f>_xlfn.XLOOKUP($A169,TB.PRO!$A:$A,TB.PRO!R:R,0,0,1)</f>
        <v>0</v>
      </c>
      <c r="AF169" s="1390">
        <f>_xlfn.XLOOKUP($A169,TB.PRO!$A:$A,TB.PRO!S:S,0,0,1)</f>
        <v>0</v>
      </c>
      <c r="AG169" s="1390">
        <f>SUMIF('[2]Sum - Fiscal'!$P:$P,$A169,'[2]Sum - Fiscal'!$I:$I)</f>
        <v>0</v>
      </c>
      <c r="AH169" s="1390"/>
      <c r="AI169" s="1390"/>
      <c r="AJ169" s="219">
        <f>ROUND(SUM(AE169:AI169),0)</f>
        <v>0</v>
      </c>
      <c r="AK169" s="178" t="str">
        <f>_xlfn.XLOOKUP($A169,COA!$B:$B,COA!$C:$C,0,0,1)</f>
        <v>General and administration</v>
      </c>
      <c r="AL169" s="178" t="str">
        <f>_xlfn.XLOOKUP($A169,COA!$B:$B,COA!$D:$D,0,0,1)</f>
        <v>Other miscellaneous</v>
      </c>
      <c r="AM169" s="178" t="str">
        <f>_xlfn.XLOOKUP($A169,COA!$B:$B,COA!$E:$E,0,0,1)</f>
        <v>Accumulated deficit</v>
      </c>
      <c r="AO169" s="85" t="str">
        <f t="shared" ref="AO169:AO170" si="23">AM169</f>
        <v>Accumulated deficit</v>
      </c>
      <c r="AP169" s="87"/>
      <c r="AQ169" s="87"/>
      <c r="AR169" s="87"/>
      <c r="AS169" s="87"/>
      <c r="AT169" s="85"/>
      <c r="AU169" s="85"/>
      <c r="AV169" s="85"/>
      <c r="AW169" s="85"/>
      <c r="AX169" s="85"/>
      <c r="AY169" s="85"/>
      <c r="AZ169" s="85"/>
      <c r="BA169" s="85"/>
      <c r="BB169" s="85"/>
      <c r="BC169" s="85"/>
      <c r="BD169" s="85"/>
      <c r="BE169" s="85"/>
      <c r="BF169" s="85"/>
      <c r="BG169" s="85"/>
    </row>
    <row r="170" spans="1:59" hidden="1" x14ac:dyDescent="0.25">
      <c r="A170" s="1389" t="str">
        <f>COA!B166</f>
        <v>6350 Other labor costs</v>
      </c>
      <c r="B170" s="1390">
        <f>_xlfn.XLOOKUP(A170,'TB.1 - F25'!A:A,'TB.1 - F25'!D:D,0,0,1)</f>
        <v>0</v>
      </c>
      <c r="C170" s="1390">
        <f>_xlfn.XLOOKUP(A170,'TB.1 - F25'!A:A,'TB.1 - F25'!H:H,0,0,1)</f>
        <v>1713.44</v>
      </c>
      <c r="D170" s="1390">
        <f>_xlfn.XLOOKUP(A170,'AJE.1 - F25'!A:A,'AJE.1 - F25'!F:F,0,0,1)</f>
        <v>0</v>
      </c>
      <c r="E170" s="1390"/>
      <c r="F170" s="219">
        <f>ROUND(SUM(B170:E170),0)</f>
        <v>1713</v>
      </c>
      <c r="G170" s="1390">
        <f>_xlfn.XLOOKUP($A170,TB.PRO!$A:$A,TB.PRO!F:F,0,0,1)</f>
        <v>0</v>
      </c>
      <c r="H170" s="1390">
        <f>_xlfn.XLOOKUP($A170,TB.PRO!$A:$A,TB.PRO!G:G,0,0,1)</f>
        <v>0</v>
      </c>
      <c r="I170" s="1390">
        <f>SUMIF('[2]Sum - Fiscal'!$P:$P,A170,'[2]Sum - Fiscal'!$E:$E)</f>
        <v>0</v>
      </c>
      <c r="J170" s="1390"/>
      <c r="K170" s="1390"/>
      <c r="L170" s="665">
        <f>ROUND(SUM(G170:K170),0)</f>
        <v>0</v>
      </c>
      <c r="M170" s="1390">
        <f>_xlfn.XLOOKUP($A170,TB.PRO!$A:$A,TB.PRO!I:I,0,0,1)</f>
        <v>0</v>
      </c>
      <c r="N170" s="1390">
        <f>_xlfn.XLOOKUP($A170,TB.PRO!$A:$A,TB.PRO!J:J,0,0,1)</f>
        <v>0</v>
      </c>
      <c r="O170" s="1390">
        <f>SUMIF('[2]Sum - Fiscal'!$P:$P,$A170,'[2]Sum - Fiscal'!$F:$F)</f>
        <v>0</v>
      </c>
      <c r="P170" s="1390"/>
      <c r="Q170" s="1390"/>
      <c r="R170" s="665">
        <f>ROUND(SUM(M170:Q170),0)</f>
        <v>0</v>
      </c>
      <c r="S170" s="1390">
        <f>_xlfn.XLOOKUP($A170,TB.PRO!$A:$A,TB.PRO!L:L,0,0,1)</f>
        <v>0</v>
      </c>
      <c r="T170" s="1390">
        <f>_xlfn.XLOOKUP($A170,TB.PRO!$A:$A,TB.PRO!M:M,0,0,1)</f>
        <v>0</v>
      </c>
      <c r="U170" s="1390">
        <f>SUMIF('[2]Sum - Fiscal'!$P:$P,$A170,'[2]Sum - Fiscal'!$G:$G)</f>
        <v>0</v>
      </c>
      <c r="V170" s="1390"/>
      <c r="W170" s="1390"/>
      <c r="X170" s="665">
        <f>ROUND(SUM(S170:W170),0)</f>
        <v>0</v>
      </c>
      <c r="Y170" s="1390">
        <f>_xlfn.XLOOKUP($A170,TB.PRO!$A:$A,TB.PRO!O:O,0,0,1)</f>
        <v>0</v>
      </c>
      <c r="Z170" s="1390">
        <f>_xlfn.XLOOKUP($A170,TB.PRO!$A:$A,TB.PRO!P:P,0,0,1)</f>
        <v>0</v>
      </c>
      <c r="AA170" s="1390">
        <f>SUMIF('[2]Sum - Fiscal'!$P:$P,$A170,'[2]Sum - Fiscal'!$H:$H)</f>
        <v>0</v>
      </c>
      <c r="AB170" s="1390"/>
      <c r="AC170" s="1390"/>
      <c r="AD170" s="219">
        <f>ROUND(SUM(Y170:AC170),0)</f>
        <v>0</v>
      </c>
      <c r="AE170" s="1390">
        <f>_xlfn.XLOOKUP($A170,TB.PRO!$A:$A,TB.PRO!R:R,0,0,1)</f>
        <v>0</v>
      </c>
      <c r="AF170" s="1390">
        <f>_xlfn.XLOOKUP($A170,TB.PRO!$A:$A,TB.PRO!S:S,0,0,1)</f>
        <v>0</v>
      </c>
      <c r="AG170" s="1390">
        <f>SUMIF('[2]Sum - Fiscal'!$P:$P,$A170,'[2]Sum - Fiscal'!$I:$I)</f>
        <v>0</v>
      </c>
      <c r="AH170" s="1390"/>
      <c r="AI170" s="1390"/>
      <c r="AJ170" s="219">
        <f>ROUND(SUM(AE170:AI170),0)</f>
        <v>0</v>
      </c>
      <c r="AK170" s="178" t="str">
        <f>_xlfn.XLOOKUP($A170,COA!$B:$B,COA!$C:$C,0,0,1)</f>
        <v>General and administration</v>
      </c>
      <c r="AL170" s="178" t="str">
        <f>_xlfn.XLOOKUP($A170,COA!$B:$B,COA!$D:$D,0,0,1)</f>
        <v>Other miscellaneous</v>
      </c>
      <c r="AM170" s="178" t="str">
        <f>_xlfn.XLOOKUP($A170,COA!$B:$B,COA!$E:$E,0,0,1)</f>
        <v>Accumulated deficit</v>
      </c>
      <c r="AO170" s="85" t="str">
        <f t="shared" si="23"/>
        <v>Accumulated deficit</v>
      </c>
      <c r="AP170" s="87"/>
      <c r="AQ170" s="87"/>
      <c r="AR170" s="87"/>
      <c r="AS170" s="87"/>
      <c r="AT170" s="85"/>
      <c r="AU170" s="85"/>
      <c r="AV170" s="85"/>
      <c r="AW170" s="85"/>
      <c r="AX170" s="85"/>
      <c r="AY170" s="85"/>
      <c r="AZ170" s="85"/>
      <c r="BA170" s="85"/>
      <c r="BB170" s="85"/>
      <c r="BC170" s="85"/>
      <c r="BD170" s="85"/>
      <c r="BE170" s="85"/>
      <c r="BF170" s="85"/>
      <c r="BG170" s="85"/>
    </row>
    <row r="171" spans="1:59" hidden="1" x14ac:dyDescent="0.25">
      <c r="A171" s="1389" t="str">
        <f>COA!B167</f>
        <v>6997 Unapplied Cash Bill Payment Expense</v>
      </c>
      <c r="B171" s="1390">
        <f>_xlfn.XLOOKUP(A171,'TB.1 - F25'!A:A,'TB.1 - F25'!D:D,0,0,1)</f>
        <v>0</v>
      </c>
      <c r="C171" s="1390">
        <f>_xlfn.XLOOKUP(A171,'TB.1 - F25'!A:A,'TB.1 - F25'!H:H,0,0,1)</f>
        <v>0</v>
      </c>
      <c r="D171" s="1390">
        <f>_xlfn.XLOOKUP(A171,'AJE.1 - F25'!A:A,'AJE.1 - F25'!F:F,0,0,1)</f>
        <v>0</v>
      </c>
      <c r="E171" s="1390"/>
      <c r="F171" s="219">
        <f>ROUND(SUM(B171:E171),0)</f>
        <v>0</v>
      </c>
      <c r="G171" s="1390">
        <f>_xlfn.XLOOKUP($A171,TB.PRO!$A:$A,TB.PRO!F:F,0,0,1)</f>
        <v>0</v>
      </c>
      <c r="H171" s="1390">
        <f>_xlfn.XLOOKUP($A171,TB.PRO!$A:$A,TB.PRO!G:G,0,0,1)</f>
        <v>0</v>
      </c>
      <c r="I171" s="1390">
        <f>SUMIF('[2]Sum - Fiscal'!$P:$P,A171,'[2]Sum - Fiscal'!$E:$E)</f>
        <v>0</v>
      </c>
      <c r="J171" s="1390"/>
      <c r="K171" s="1390"/>
      <c r="L171" s="665">
        <f>ROUND(SUM(G171:K171),0)</f>
        <v>0</v>
      </c>
      <c r="M171" s="1390">
        <f>_xlfn.XLOOKUP($A171,TB.PRO!$A:$A,TB.PRO!I:I,0,0,1)</f>
        <v>0</v>
      </c>
      <c r="N171" s="1390">
        <f>_xlfn.XLOOKUP($A171,TB.PRO!$A:$A,TB.PRO!J:J,0,0,1)</f>
        <v>0</v>
      </c>
      <c r="O171" s="1390">
        <f>SUMIF('[2]Sum - Fiscal'!$P:$P,$A171,'[2]Sum - Fiscal'!$F:$F)</f>
        <v>0</v>
      </c>
      <c r="P171" s="1390"/>
      <c r="Q171" s="1390"/>
      <c r="R171" s="665">
        <f>ROUND(SUM(M171:Q171),0)</f>
        <v>0</v>
      </c>
      <c r="S171" s="1390">
        <f>_xlfn.XLOOKUP($A171,TB.PRO!$A:$A,TB.PRO!L:L,0,0,1)</f>
        <v>0</v>
      </c>
      <c r="T171" s="1390">
        <f>_xlfn.XLOOKUP($A171,TB.PRO!$A:$A,TB.PRO!M:M,0,0,1)</f>
        <v>0</v>
      </c>
      <c r="U171" s="1390">
        <f>SUMIF('[2]Sum - Fiscal'!$P:$P,$A171,'[2]Sum - Fiscal'!$G:$G)</f>
        <v>0</v>
      </c>
      <c r="V171" s="1390"/>
      <c r="W171" s="1390"/>
      <c r="X171" s="665">
        <f>ROUND(SUM(S171:W171),0)</f>
        <v>0</v>
      </c>
      <c r="Y171" s="1390">
        <f>_xlfn.XLOOKUP($A171,TB.PRO!$A:$A,TB.PRO!O:O,0,0,1)</f>
        <v>0</v>
      </c>
      <c r="Z171" s="1390">
        <f>_xlfn.XLOOKUP($A171,TB.PRO!$A:$A,TB.PRO!P:P,0,0,1)</f>
        <v>0</v>
      </c>
      <c r="AA171" s="1390">
        <f>SUMIF('[2]Sum - Fiscal'!$P:$P,$A171,'[2]Sum - Fiscal'!$H:$H)</f>
        <v>0</v>
      </c>
      <c r="AB171" s="1390"/>
      <c r="AC171" s="1390"/>
      <c r="AD171" s="219">
        <f>ROUND(SUM(Y171:AC171),0)</f>
        <v>0</v>
      </c>
      <c r="AE171" s="1390">
        <f>_xlfn.XLOOKUP($A171,TB.PRO!$A:$A,TB.PRO!R:R,0,0,1)</f>
        <v>0</v>
      </c>
      <c r="AF171" s="1390">
        <f>_xlfn.XLOOKUP($A171,TB.PRO!$A:$A,TB.PRO!S:S,0,0,1)</f>
        <v>0</v>
      </c>
      <c r="AG171" s="1390">
        <f>SUMIF('[2]Sum - Fiscal'!$P:$P,$A171,'[2]Sum - Fiscal'!$I:$I)</f>
        <v>0</v>
      </c>
      <c r="AH171" s="1390"/>
      <c r="AI171" s="1390"/>
      <c r="AJ171" s="219">
        <f>ROUND(SUM(AE171:AI171),0)</f>
        <v>0</v>
      </c>
      <c r="AK171" s="178" t="str">
        <f>_xlfn.XLOOKUP($A171,COA!$B:$B,COA!$C:$C,0,0,1)</f>
        <v>Other expenses</v>
      </c>
      <c r="AL171" s="178" t="str">
        <f>_xlfn.XLOOKUP($A171,COA!$B:$B,COA!$D:$D,0,0,1)</f>
        <v>Other miscellaneous</v>
      </c>
      <c r="AM171" s="178" t="str">
        <f>_xlfn.XLOOKUP($A171,COA!$B:$B,COA!$E:$E,0,0,1)</f>
        <v>Accumulated deficit</v>
      </c>
      <c r="AO171" s="85" t="str">
        <f>_xlfn.XLOOKUP(AM171,FS.1!A:A,AM:AM,0,0,1)</f>
        <v>Due to related parties</v>
      </c>
      <c r="AP171" s="87"/>
      <c r="AQ171" s="87"/>
      <c r="AR171" s="87"/>
      <c r="AS171" s="87"/>
      <c r="AT171" s="85"/>
      <c r="AU171" s="85"/>
      <c r="AV171" s="85"/>
      <c r="AW171" s="85"/>
      <c r="AX171" s="85"/>
      <c r="AY171" s="85"/>
      <c r="AZ171" s="85"/>
      <c r="BA171" s="85"/>
      <c r="BB171" s="85"/>
      <c r="BC171" s="85"/>
      <c r="BD171" s="85"/>
      <c r="BE171" s="85"/>
      <c r="BF171" s="85"/>
      <c r="BG171" s="85"/>
    </row>
    <row r="172" spans="1:59" hidden="1" x14ac:dyDescent="0.25">
      <c r="A172" s="1389" t="str">
        <f>COA!B168</f>
        <v>6998 Uncategorized Expense</v>
      </c>
      <c r="B172" s="1390">
        <f>_xlfn.XLOOKUP(A172,'TB.1 - F25'!A:A,'TB.1 - F25'!D:D,0,0,1)</f>
        <v>0</v>
      </c>
      <c r="C172" s="1390">
        <f>_xlfn.XLOOKUP(A172,'TB.1 - F25'!A:A,'TB.1 - F25'!H:H,0,0,1)</f>
        <v>0</v>
      </c>
      <c r="D172" s="1390">
        <f>_xlfn.XLOOKUP(A172,'AJE.1 - F25'!A:A,'AJE.1 - F25'!F:F,0,0,1)</f>
        <v>0</v>
      </c>
      <c r="E172" s="1390"/>
      <c r="F172" s="219">
        <f>ROUND(SUM(B172:E172),0)</f>
        <v>0</v>
      </c>
      <c r="G172" s="1390">
        <f>_xlfn.XLOOKUP($A172,TB.PRO!$A:$A,TB.PRO!F:F,0,0,1)</f>
        <v>0</v>
      </c>
      <c r="H172" s="1390">
        <f>_xlfn.XLOOKUP($A172,TB.PRO!$A:$A,TB.PRO!G:G,0,0,1)</f>
        <v>0</v>
      </c>
      <c r="I172" s="1390">
        <f>SUMIF('[2]Sum - Fiscal'!$P:$P,A172,'[2]Sum - Fiscal'!$E:$E)</f>
        <v>0</v>
      </c>
      <c r="J172" s="1390"/>
      <c r="K172" s="1390"/>
      <c r="L172" s="665">
        <f>ROUND(SUM(G172:K172),0)</f>
        <v>0</v>
      </c>
      <c r="M172" s="1390">
        <f>_xlfn.XLOOKUP($A172,TB.PRO!$A:$A,TB.PRO!I:I,0,0,1)</f>
        <v>0</v>
      </c>
      <c r="N172" s="1390">
        <f>_xlfn.XLOOKUP($A172,TB.PRO!$A:$A,TB.PRO!J:J,0,0,1)</f>
        <v>0</v>
      </c>
      <c r="O172" s="1390">
        <f>SUMIF('[2]Sum - Fiscal'!$P:$P,$A172,'[2]Sum - Fiscal'!$F:$F)</f>
        <v>0</v>
      </c>
      <c r="P172" s="1390"/>
      <c r="Q172" s="1390"/>
      <c r="R172" s="665">
        <f>ROUND(SUM(M172:Q172),0)</f>
        <v>0</v>
      </c>
      <c r="S172" s="1390">
        <f>_xlfn.XLOOKUP($A172,TB.PRO!$A:$A,TB.PRO!L:L,0,0,1)</f>
        <v>0</v>
      </c>
      <c r="T172" s="1390">
        <f>_xlfn.XLOOKUP($A172,TB.PRO!$A:$A,TB.PRO!M:M,0,0,1)</f>
        <v>0</v>
      </c>
      <c r="U172" s="1390">
        <f>SUMIF('[2]Sum - Fiscal'!$P:$P,$A172,'[2]Sum - Fiscal'!$G:$G)</f>
        <v>0</v>
      </c>
      <c r="V172" s="1390"/>
      <c r="W172" s="1390"/>
      <c r="X172" s="665">
        <f>ROUND(SUM(S172:W172),0)</f>
        <v>0</v>
      </c>
      <c r="Y172" s="1390">
        <f>_xlfn.XLOOKUP($A172,TB.PRO!$A:$A,TB.PRO!O:O,0,0,1)</f>
        <v>0</v>
      </c>
      <c r="Z172" s="1390">
        <f>_xlfn.XLOOKUP($A172,TB.PRO!$A:$A,TB.PRO!P:P,0,0,1)</f>
        <v>0</v>
      </c>
      <c r="AA172" s="1390">
        <f>SUMIF('[2]Sum - Fiscal'!$P:$P,$A172,'[2]Sum - Fiscal'!$H:$H)</f>
        <v>0</v>
      </c>
      <c r="AB172" s="1390"/>
      <c r="AC172" s="1390"/>
      <c r="AD172" s="219">
        <f>ROUND(SUM(Y172:AC172),0)</f>
        <v>0</v>
      </c>
      <c r="AE172" s="1390">
        <f>_xlfn.XLOOKUP($A172,TB.PRO!$A:$A,TB.PRO!R:R,0,0,1)</f>
        <v>0</v>
      </c>
      <c r="AF172" s="1390">
        <f>_xlfn.XLOOKUP($A172,TB.PRO!$A:$A,TB.PRO!S:S,0,0,1)</f>
        <v>0</v>
      </c>
      <c r="AG172" s="1390">
        <f>SUMIF('[2]Sum - Fiscal'!$P:$P,$A172,'[2]Sum - Fiscal'!$I:$I)</f>
        <v>0</v>
      </c>
      <c r="AH172" s="1390"/>
      <c r="AI172" s="1390"/>
      <c r="AJ172" s="219">
        <f>ROUND(SUM(AE172:AI172),0)</f>
        <v>0</v>
      </c>
      <c r="AK172" s="178" t="str">
        <f>_xlfn.XLOOKUP($A172,COA!$B:$B,COA!$C:$C,0,0,1)</f>
        <v>General and administration</v>
      </c>
      <c r="AL172" s="178" t="str">
        <f>_xlfn.XLOOKUP($A172,COA!$B:$B,COA!$D:$D,0,0,1)</f>
        <v>Other miscellaneous</v>
      </c>
      <c r="AM172" s="178" t="str">
        <f>_xlfn.XLOOKUP($A172,COA!$B:$B,COA!$E:$E,0,0,1)</f>
        <v>Accumulated deficit</v>
      </c>
      <c r="AO172" s="85" t="str">
        <f>_xlfn.XLOOKUP(AM172,FS.1!A:A,AM:AM,0,0,1)</f>
        <v>Due to related parties</v>
      </c>
      <c r="AP172" s="87"/>
      <c r="AQ172" s="87"/>
      <c r="AR172" s="87"/>
      <c r="AS172" s="87"/>
      <c r="AT172" s="85"/>
      <c r="AU172" s="85"/>
      <c r="AV172" s="85"/>
      <c r="AW172" s="85"/>
      <c r="AX172" s="85"/>
      <c r="AY172" s="85"/>
      <c r="AZ172" s="85"/>
      <c r="BA172" s="85"/>
      <c r="BB172" s="85"/>
      <c r="BC172" s="85"/>
      <c r="BD172" s="85"/>
      <c r="BE172" s="85"/>
      <c r="BF172" s="85"/>
      <c r="BG172" s="85"/>
    </row>
    <row r="173" spans="1:59" hidden="1" x14ac:dyDescent="0.25">
      <c r="A173" s="1389" t="str">
        <f>COA!B169</f>
        <v>6999 Miscellaneous</v>
      </c>
      <c r="B173" s="1390">
        <f>_xlfn.XLOOKUP(A173,'TB.1 - F25'!A:A,'TB.1 - F25'!D:D,0,0,1)</f>
        <v>0</v>
      </c>
      <c r="C173" s="1390">
        <f>_xlfn.XLOOKUP(A173,'TB.1 - F25'!A:A,'TB.1 - F25'!H:H,0,0,1)</f>
        <v>0</v>
      </c>
      <c r="D173" s="1390">
        <f>_xlfn.XLOOKUP(A173,'AJE.1 - F25'!A:A,'AJE.1 - F25'!F:F,0,0,1)</f>
        <v>0</v>
      </c>
      <c r="E173" s="1390"/>
      <c r="F173" s="219">
        <f>ROUND(SUM(B173:E173),0)</f>
        <v>0</v>
      </c>
      <c r="G173" s="1390">
        <f>_xlfn.XLOOKUP($A173,TB.PRO!$A:$A,TB.PRO!F:F,0,0,1)</f>
        <v>0</v>
      </c>
      <c r="H173" s="1390">
        <f>_xlfn.XLOOKUP($A173,TB.PRO!$A:$A,TB.PRO!G:G,0,0,1)</f>
        <v>0</v>
      </c>
      <c r="I173" s="1390">
        <f>SUMIF('[2]Sum - Fiscal'!$P:$P,A173,'[2]Sum - Fiscal'!$E:$E)</f>
        <v>0</v>
      </c>
      <c r="J173" s="1390"/>
      <c r="K173" s="1390"/>
      <c r="L173" s="665">
        <f>ROUND(SUM(G173:K173),0)</f>
        <v>0</v>
      </c>
      <c r="M173" s="1390">
        <f>_xlfn.XLOOKUP($A173,TB.PRO!$A:$A,TB.PRO!I:I,0,0,1)</f>
        <v>0</v>
      </c>
      <c r="N173" s="1390">
        <f>_xlfn.XLOOKUP($A173,TB.PRO!$A:$A,TB.PRO!J:J,0,0,1)</f>
        <v>0</v>
      </c>
      <c r="O173" s="1390">
        <f>SUMIF('[2]Sum - Fiscal'!$P:$P,$A173,'[2]Sum - Fiscal'!$F:$F)</f>
        <v>0</v>
      </c>
      <c r="P173" s="1390"/>
      <c r="Q173" s="1390"/>
      <c r="R173" s="665">
        <f>ROUND(SUM(M173:Q173),0)</f>
        <v>0</v>
      </c>
      <c r="S173" s="1390">
        <f>_xlfn.XLOOKUP($A173,TB.PRO!$A:$A,TB.PRO!L:L,0,0,1)</f>
        <v>0</v>
      </c>
      <c r="T173" s="1390">
        <f>_xlfn.XLOOKUP($A173,TB.PRO!$A:$A,TB.PRO!M:M,0,0,1)</f>
        <v>0</v>
      </c>
      <c r="U173" s="1390">
        <f>SUMIF('[2]Sum - Fiscal'!$P:$P,$A173,'[2]Sum - Fiscal'!$G:$G)</f>
        <v>0</v>
      </c>
      <c r="V173" s="1390"/>
      <c r="W173" s="1390"/>
      <c r="X173" s="665">
        <f>ROUND(SUM(S173:W173),0)</f>
        <v>0</v>
      </c>
      <c r="Y173" s="1390">
        <f>_xlfn.XLOOKUP($A173,TB.PRO!$A:$A,TB.PRO!O:O,0,0,1)</f>
        <v>0</v>
      </c>
      <c r="Z173" s="1390">
        <f>_xlfn.XLOOKUP($A173,TB.PRO!$A:$A,TB.PRO!P:P,0,0,1)</f>
        <v>0</v>
      </c>
      <c r="AA173" s="1390">
        <f>SUMIF('[2]Sum - Fiscal'!$P:$P,$A173,'[2]Sum - Fiscal'!$H:$H)</f>
        <v>0</v>
      </c>
      <c r="AB173" s="1390"/>
      <c r="AC173" s="1390"/>
      <c r="AD173" s="219">
        <f>ROUND(SUM(Y173:AC173),0)</f>
        <v>0</v>
      </c>
      <c r="AE173" s="1390">
        <f>_xlfn.XLOOKUP($A173,TB.PRO!$A:$A,TB.PRO!R:R,0,0,1)</f>
        <v>0</v>
      </c>
      <c r="AF173" s="1390">
        <f>_xlfn.XLOOKUP($A173,TB.PRO!$A:$A,TB.PRO!S:S,0,0,1)</f>
        <v>0</v>
      </c>
      <c r="AG173" s="1390">
        <f>SUMIF('[2]Sum - Fiscal'!$P:$P,$A173,'[2]Sum - Fiscal'!$I:$I)</f>
        <v>0</v>
      </c>
      <c r="AH173" s="1390"/>
      <c r="AI173" s="1390"/>
      <c r="AJ173" s="219">
        <f>ROUND(SUM(AE173:AI173),0)</f>
        <v>0</v>
      </c>
      <c r="AK173" s="178" t="str">
        <f>_xlfn.XLOOKUP($A173,COA!$B:$B,COA!$C:$C,0,0,1)</f>
        <v>General and administration</v>
      </c>
      <c r="AL173" s="178" t="str">
        <f>_xlfn.XLOOKUP($A173,COA!$B:$B,COA!$D:$D,0,0,1)</f>
        <v>Other miscellaneous</v>
      </c>
      <c r="AM173" s="178" t="str">
        <f>_xlfn.XLOOKUP($A173,COA!$B:$B,COA!$E:$E,0,0,1)</f>
        <v>Accumulated deficit</v>
      </c>
      <c r="AO173" s="85" t="str">
        <f>_xlfn.XLOOKUP(AM173,FS.1!A:A,AM:AM,0,0,1)</f>
        <v>Due to related parties</v>
      </c>
      <c r="AP173" s="87"/>
      <c r="AQ173" s="87"/>
      <c r="AR173" s="87"/>
      <c r="AS173" s="87"/>
      <c r="AT173" s="85"/>
      <c r="AU173" s="85"/>
      <c r="AV173" s="85"/>
      <c r="AW173" s="85"/>
      <c r="AX173" s="85"/>
      <c r="AY173" s="85"/>
      <c r="AZ173" s="85"/>
      <c r="BA173" s="85"/>
      <c r="BB173" s="85"/>
      <c r="BC173" s="85"/>
      <c r="BD173" s="85"/>
      <c r="BE173" s="85"/>
      <c r="BF173" s="85"/>
      <c r="BG173" s="85"/>
    </row>
    <row r="174" spans="1:59" hidden="1" x14ac:dyDescent="0.25">
      <c r="A174" s="1389" t="str">
        <f>COA!B170</f>
        <v>7000 Reconciliation Discrepancies</v>
      </c>
      <c r="B174" s="1390">
        <f>_xlfn.XLOOKUP(A174,'TB.1 - F25'!A:A,'TB.1 - F25'!D:D,0,0,1)</f>
        <v>0</v>
      </c>
      <c r="C174" s="1390">
        <f>_xlfn.XLOOKUP(A174,'TB.1 - F25'!A:A,'TB.1 - F25'!H:H,0,0,1)</f>
        <v>0</v>
      </c>
      <c r="D174" s="1390">
        <f>_xlfn.XLOOKUP(A174,'AJE.1 - F25'!A:A,'AJE.1 - F25'!F:F,0,0,1)</f>
        <v>0</v>
      </c>
      <c r="E174" s="1390"/>
      <c r="F174" s="219">
        <f>ROUND(SUM(B174:E174),0)</f>
        <v>0</v>
      </c>
      <c r="G174" s="1390">
        <f>_xlfn.XLOOKUP($A174,TB.PRO!$A:$A,TB.PRO!F:F,0,0,1)</f>
        <v>0</v>
      </c>
      <c r="H174" s="1390">
        <f>_xlfn.XLOOKUP($A174,TB.PRO!$A:$A,TB.PRO!G:G,0,0,1)</f>
        <v>0</v>
      </c>
      <c r="I174" s="1390">
        <f>SUMIF('[2]Sum - Fiscal'!$P:$P,A174,'[2]Sum - Fiscal'!$E:$E)</f>
        <v>0</v>
      </c>
      <c r="J174" s="1390"/>
      <c r="K174" s="1390"/>
      <c r="L174" s="665">
        <f>ROUND(SUM(G174:K174),0)</f>
        <v>0</v>
      </c>
      <c r="M174" s="1390">
        <f>_xlfn.XLOOKUP($A174,TB.PRO!$A:$A,TB.PRO!I:I,0,0,1)</f>
        <v>0</v>
      </c>
      <c r="N174" s="1390">
        <f>_xlfn.XLOOKUP($A174,TB.PRO!$A:$A,TB.PRO!J:J,0,0,1)</f>
        <v>0</v>
      </c>
      <c r="O174" s="1390">
        <f>SUMIF('[2]Sum - Fiscal'!$P:$P,$A174,'[2]Sum - Fiscal'!$F:$F)</f>
        <v>0</v>
      </c>
      <c r="P174" s="1390"/>
      <c r="Q174" s="1390"/>
      <c r="R174" s="665">
        <f>ROUND(SUM(M174:Q174),0)</f>
        <v>0</v>
      </c>
      <c r="S174" s="1390">
        <f>_xlfn.XLOOKUP($A174,TB.PRO!$A:$A,TB.PRO!L:L,0,0,1)</f>
        <v>0</v>
      </c>
      <c r="T174" s="1390">
        <f>_xlfn.XLOOKUP($A174,TB.PRO!$A:$A,TB.PRO!M:M,0,0,1)</f>
        <v>0</v>
      </c>
      <c r="U174" s="1390">
        <f>SUMIF('[2]Sum - Fiscal'!$P:$P,$A174,'[2]Sum - Fiscal'!$G:$G)</f>
        <v>0</v>
      </c>
      <c r="V174" s="1390"/>
      <c r="W174" s="1390"/>
      <c r="X174" s="665">
        <f>ROUND(SUM(S174:W174),0)</f>
        <v>0</v>
      </c>
      <c r="Y174" s="1390">
        <f>_xlfn.XLOOKUP($A174,TB.PRO!$A:$A,TB.PRO!O:O,0,0,1)</f>
        <v>0</v>
      </c>
      <c r="Z174" s="1390">
        <f>_xlfn.XLOOKUP($A174,TB.PRO!$A:$A,TB.PRO!P:P,0,0,1)</f>
        <v>0</v>
      </c>
      <c r="AA174" s="1390">
        <f>SUMIF('[2]Sum - Fiscal'!$P:$P,$A174,'[2]Sum - Fiscal'!$H:$H)</f>
        <v>0</v>
      </c>
      <c r="AB174" s="1390"/>
      <c r="AC174" s="1390"/>
      <c r="AD174" s="219">
        <f>ROUND(SUM(Y174:AC174),0)</f>
        <v>0</v>
      </c>
      <c r="AE174" s="1390">
        <f>_xlfn.XLOOKUP($A174,TB.PRO!$A:$A,TB.PRO!R:R,0,0,1)</f>
        <v>0</v>
      </c>
      <c r="AF174" s="1390">
        <f>_xlfn.XLOOKUP($A174,TB.PRO!$A:$A,TB.PRO!S:S,0,0,1)</f>
        <v>0</v>
      </c>
      <c r="AG174" s="1390">
        <f>SUMIF('[2]Sum - Fiscal'!$P:$P,$A174,'[2]Sum - Fiscal'!$I:$I)</f>
        <v>0</v>
      </c>
      <c r="AH174" s="1390"/>
      <c r="AI174" s="1390"/>
      <c r="AJ174" s="219">
        <f>ROUND(SUM(AE174:AI174),0)</f>
        <v>0</v>
      </c>
      <c r="AK174" s="178" t="str">
        <f>_xlfn.XLOOKUP($A174,COA!$B:$B,COA!$C:$C,0,0,1)</f>
        <v>General and administration</v>
      </c>
      <c r="AL174" s="178" t="str">
        <f>_xlfn.XLOOKUP($A174,COA!$B:$B,COA!$D:$D,0,0,1)</f>
        <v>Other miscellaneous</v>
      </c>
      <c r="AM174" s="178" t="str">
        <f>_xlfn.XLOOKUP($A174,COA!$B:$B,COA!$E:$E,0,0,1)</f>
        <v>Accumulated deficit</v>
      </c>
      <c r="AO174" s="85" t="str">
        <f>_xlfn.XLOOKUP(AM174,FS.1!A:A,AM:AM,0,0,1)</f>
        <v>Due to related parties</v>
      </c>
      <c r="AP174" s="87"/>
      <c r="AQ174" s="87"/>
      <c r="AR174" s="87"/>
      <c r="AS174" s="87"/>
      <c r="AT174" s="85"/>
      <c r="AU174" s="85"/>
      <c r="AV174" s="85"/>
      <c r="AW174" s="85"/>
      <c r="AX174" s="85"/>
      <c r="AY174" s="85"/>
      <c r="AZ174" s="85"/>
      <c r="BA174" s="85"/>
      <c r="BB174" s="85"/>
      <c r="BC174" s="85"/>
      <c r="BD174" s="85"/>
      <c r="BE174" s="85"/>
      <c r="BF174" s="85"/>
      <c r="BG174" s="85"/>
    </row>
    <row r="175" spans="1:59" hidden="1" x14ac:dyDescent="0.25">
      <c r="A175" s="1389" t="str">
        <f>COA!B171</f>
        <v>8000 Exchange Gain or Loss</v>
      </c>
      <c r="B175" s="1390">
        <f>_xlfn.XLOOKUP(A175,'TB.1 - F25'!A:A,'TB.1 - F25'!D:D,0,0,1)</f>
        <v>0</v>
      </c>
      <c r="C175" s="1390">
        <f>_xlfn.XLOOKUP(A175,'TB.1 - F25'!A:A,'TB.1 - F25'!H:H,0,0,1)</f>
        <v>42.78</v>
      </c>
      <c r="D175" s="1390">
        <f>_xlfn.XLOOKUP(A175,'AJE.1 - F25'!A:A,'AJE.1 - F25'!F:F,0,0,1)</f>
        <v>0</v>
      </c>
      <c r="E175" s="1390">
        <f>-E29</f>
        <v>-26</v>
      </c>
      <c r="F175" s="219">
        <f>ROUND(SUM(B175:E175),0)</f>
        <v>17</v>
      </c>
      <c r="G175" s="1390">
        <f>_xlfn.XLOOKUP($A175,TB.PRO!$A:$A,TB.PRO!F:F,0,0,1)</f>
        <v>0</v>
      </c>
      <c r="H175" s="1390">
        <f>_xlfn.XLOOKUP($A175,TB.PRO!$A:$A,TB.PRO!G:G,0,0,1)</f>
        <v>3.84</v>
      </c>
      <c r="I175" s="1390">
        <f>SUMIF('[2]Sum - Fiscal'!$P:$P,A175,'[2]Sum - Fiscal'!$E:$E)</f>
        <v>0</v>
      </c>
      <c r="J175" s="1390">
        <f>-J29</f>
        <v>-73</v>
      </c>
      <c r="K175" s="1390"/>
      <c r="L175" s="665">
        <f>ROUND(SUM(G175:K175),0)</f>
        <v>-69</v>
      </c>
      <c r="M175" s="1390">
        <f>_xlfn.XLOOKUP($A175,TB.PRO!$A:$A,TB.PRO!I:I,0,0,1)</f>
        <v>0</v>
      </c>
      <c r="N175" s="1390">
        <f>_xlfn.XLOOKUP($A175,TB.PRO!$A:$A,TB.PRO!J:J,0,0,1)</f>
        <v>0</v>
      </c>
      <c r="O175" s="1390">
        <f>SUMIF('[2]Sum - Fiscal'!$P:$P,$A175,'[2]Sum - Fiscal'!$F:$F)</f>
        <v>0</v>
      </c>
      <c r="P175" s="1390"/>
      <c r="Q175" s="1390"/>
      <c r="R175" s="665">
        <f>ROUND(SUM(M175:Q175),0)</f>
        <v>0</v>
      </c>
      <c r="S175" s="1390">
        <f>_xlfn.XLOOKUP($A175,TB.PRO!$A:$A,TB.PRO!L:L,0,0,1)</f>
        <v>0</v>
      </c>
      <c r="T175" s="1390">
        <f>_xlfn.XLOOKUP($A175,TB.PRO!$A:$A,TB.PRO!M:M,0,0,1)</f>
        <v>0</v>
      </c>
      <c r="U175" s="1390">
        <f>SUMIF('[2]Sum - Fiscal'!$P:$P,$A175,'[2]Sum - Fiscal'!$G:$G)</f>
        <v>0</v>
      </c>
      <c r="V175" s="1390"/>
      <c r="W175" s="1390"/>
      <c r="X175" s="665">
        <f>ROUND(SUM(S175:W175),0)</f>
        <v>0</v>
      </c>
      <c r="Y175" s="1390">
        <f>_xlfn.XLOOKUP($A175,TB.PRO!$A:$A,TB.PRO!O:O,0,0,1)</f>
        <v>0</v>
      </c>
      <c r="Z175" s="1390">
        <f>_xlfn.XLOOKUP($A175,TB.PRO!$A:$A,TB.PRO!P:P,0,0,1)</f>
        <v>0</v>
      </c>
      <c r="AA175" s="1390">
        <f>SUMIF('[2]Sum - Fiscal'!$P:$P,$A175,'[2]Sum - Fiscal'!$H:$H)</f>
        <v>0</v>
      </c>
      <c r="AB175" s="1390"/>
      <c r="AC175" s="1390"/>
      <c r="AD175" s="219">
        <f>ROUND(SUM(Y175:AC175),0)</f>
        <v>0</v>
      </c>
      <c r="AE175" s="1390">
        <f>_xlfn.XLOOKUP($A175,TB.PRO!$A:$A,TB.PRO!R:R,0,0,1)</f>
        <v>0</v>
      </c>
      <c r="AF175" s="1390">
        <f>_xlfn.XLOOKUP($A175,TB.PRO!$A:$A,TB.PRO!S:S,0,0,1)</f>
        <v>0</v>
      </c>
      <c r="AG175" s="1390">
        <f>SUMIF('[2]Sum - Fiscal'!$P:$P,$A175,'[2]Sum - Fiscal'!$I:$I)</f>
        <v>0</v>
      </c>
      <c r="AH175" s="1390"/>
      <c r="AI175" s="1390"/>
      <c r="AJ175" s="219">
        <f>ROUND(SUM(AE175:AI175),0)</f>
        <v>0</v>
      </c>
      <c r="AK175" s="178" t="str">
        <f>_xlfn.XLOOKUP($A175,COA!$B:$B,COA!$C:$C,0,0,1)</f>
        <v>General and administration</v>
      </c>
      <c r="AL175" s="178" t="str">
        <f>_xlfn.XLOOKUP($A175,COA!$B:$B,COA!$D:$D,0,0,1)</f>
        <v>Foreign exchange</v>
      </c>
      <c r="AM175" s="178" t="str">
        <f>_xlfn.XLOOKUP($A175,COA!$B:$B,COA!$E:$E,0,0,1)</f>
        <v>Accumulated deficit</v>
      </c>
      <c r="AO175" s="85" t="str">
        <f t="shared" ref="AO175" si="24">AM175</f>
        <v>Accumulated deficit</v>
      </c>
      <c r="AP175" s="87"/>
      <c r="AQ175" s="87"/>
      <c r="AR175" s="87"/>
      <c r="AS175" s="87"/>
      <c r="AT175" s="85"/>
      <c r="AU175" s="85"/>
      <c r="AV175" s="85"/>
      <c r="AW175" s="85"/>
      <c r="AX175" s="85"/>
      <c r="AY175" s="85"/>
      <c r="AZ175" s="85"/>
      <c r="BA175" s="85"/>
      <c r="BB175" s="85"/>
      <c r="BC175" s="85"/>
      <c r="BD175" s="85"/>
      <c r="BE175" s="85"/>
      <c r="BF175" s="85"/>
      <c r="BG175" s="85"/>
    </row>
    <row r="176" spans="1:59" x14ac:dyDescent="0.25">
      <c r="A176" s="1389" t="str">
        <f>COA!B172</f>
        <v>IMP1 - Warranty expense</v>
      </c>
      <c r="B176" s="1390">
        <f>_xlfn.XLOOKUP(A176,'TB.1 - F25'!A:A,'TB.1 - F25'!D:D,0,0,1)</f>
        <v>0</v>
      </c>
      <c r="C176" s="1390">
        <f>_xlfn.XLOOKUP(A176,'TB.1 - F25'!A:A,'TB.1 - F25'!H:H,0,0,1)</f>
        <v>0</v>
      </c>
      <c r="D176" s="1390">
        <f>_xlfn.XLOOKUP(A176,'AJE.1 - F25'!A:A,'AJE.1 - F25'!F:F,0,0,1)</f>
        <v>0</v>
      </c>
      <c r="E176" s="1390"/>
      <c r="F176" s="219">
        <f>ROUND(SUM(B176:E176),0)</f>
        <v>0</v>
      </c>
      <c r="G176" s="1390">
        <f>_xlfn.XLOOKUP($A176,TB.PRO!$A:$A,TB.PRO!F:F,0,0,1)</f>
        <v>0</v>
      </c>
      <c r="H176" s="1390">
        <f>_xlfn.XLOOKUP($A176,TB.PRO!$A:$A,TB.PRO!G:G,0,0,1)</f>
        <v>0</v>
      </c>
      <c r="I176" s="1390">
        <f>SUMIF('[2]Sum - Fiscal'!$P:$P,A176,'[2]Sum - Fiscal'!$E:$E)</f>
        <v>9756</v>
      </c>
      <c r="J176" s="1390"/>
      <c r="K176" s="1390"/>
      <c r="L176" s="665">
        <f>ROUND(SUM(G176:K176),0)</f>
        <v>9756</v>
      </c>
      <c r="M176" s="1390">
        <f>_xlfn.XLOOKUP($A176,TB.PRO!$A:$A,TB.PRO!I:I,0,0,1)</f>
        <v>0</v>
      </c>
      <c r="N176" s="1390">
        <f>_xlfn.XLOOKUP($A176,TB.PRO!$A:$A,TB.PRO!J:J,0,0,1)</f>
        <v>0</v>
      </c>
      <c r="O176" s="1390">
        <f>SUMIF('[2]Sum - Fiscal'!$P:$P,$A176,'[2]Sum - Fiscal'!$F:$F)</f>
        <v>142500</v>
      </c>
      <c r="P176" s="1390"/>
      <c r="Q176" s="1390"/>
      <c r="R176" s="665">
        <f>ROUND(SUM(M176:Q176),0)</f>
        <v>142500</v>
      </c>
      <c r="S176" s="1390">
        <f>_xlfn.XLOOKUP($A176,TB.PRO!$A:$A,TB.PRO!L:L,0,0,1)</f>
        <v>0</v>
      </c>
      <c r="T176" s="1390">
        <f>_xlfn.XLOOKUP($A176,TB.PRO!$A:$A,TB.PRO!M:M,0,0,1)</f>
        <v>0</v>
      </c>
      <c r="U176" s="1390">
        <f>SUMIF('[2]Sum - Fiscal'!$P:$P,$A176,'[2]Sum - Fiscal'!$G:$G)</f>
        <v>637500</v>
      </c>
      <c r="V176" s="1390"/>
      <c r="W176" s="1390"/>
      <c r="X176" s="665">
        <f>ROUND(SUM(S176:W176),0)</f>
        <v>637500</v>
      </c>
      <c r="Y176" s="1390">
        <f>_xlfn.XLOOKUP($A176,TB.PRO!$A:$A,TB.PRO!O:O,0,0,1)</f>
        <v>0</v>
      </c>
      <c r="Z176" s="1390">
        <f>_xlfn.XLOOKUP($A176,TB.PRO!$A:$A,TB.PRO!P:P,0,0,1)</f>
        <v>0</v>
      </c>
      <c r="AA176" s="1390">
        <f>SUMIF('[2]Sum - Fiscal'!$P:$P,$A176,'[2]Sum - Fiscal'!$H:$H)</f>
        <v>1500000</v>
      </c>
      <c r="AB176" s="1390"/>
      <c r="AC176" s="1390"/>
      <c r="AD176" s="219">
        <f>ROUND(SUM(Y176:AC176),0)</f>
        <v>1500000</v>
      </c>
      <c r="AE176" s="1390">
        <f>_xlfn.XLOOKUP($A176,TB.PRO!$A:$A,TB.PRO!R:R,0,0,1)</f>
        <v>0</v>
      </c>
      <c r="AF176" s="1390">
        <f>_xlfn.XLOOKUP($A176,TB.PRO!$A:$A,TB.PRO!S:S,0,0,1)</f>
        <v>0</v>
      </c>
      <c r="AG176" s="1390">
        <f>SUMIF('[2]Sum - Fiscal'!$P:$P,$A176,'[2]Sum - Fiscal'!$I:$I)</f>
        <v>2625000</v>
      </c>
      <c r="AH176" s="1390"/>
      <c r="AI176" s="1390"/>
      <c r="AJ176" s="219">
        <f>ROUND(SUM(AE176:AI176),0)</f>
        <v>2625000</v>
      </c>
      <c r="AK176" s="178" t="str">
        <f>_xlfn.XLOOKUP($A176,COA!$B:$B,COA!$C:$C,0,0,1)</f>
        <v>General and administration</v>
      </c>
      <c r="AL176" s="178" t="str">
        <f>_xlfn.XLOOKUP($A176,COA!$B:$B,COA!$D:$D,0,0,1)</f>
        <v>Warranty expense</v>
      </c>
      <c r="AM176" s="178" t="str">
        <f>_xlfn.XLOOKUP($A176,COA!$B:$B,COA!$E:$E,0,0,1)</f>
        <v>Accumulated deficit</v>
      </c>
      <c r="AO176" s="85" t="str">
        <f>_xlfn.XLOOKUP(AM176,FS.1!A:A,AM:AM,0,0,1)</f>
        <v>Due to related parties</v>
      </c>
      <c r="AP176" s="87"/>
      <c r="AQ176" s="87"/>
      <c r="AR176" s="87"/>
      <c r="AS176" s="87"/>
      <c r="AT176" s="85"/>
      <c r="AU176" s="85"/>
      <c r="AV176" s="85"/>
      <c r="AW176" s="85"/>
      <c r="AX176" s="85"/>
      <c r="AY176" s="85"/>
      <c r="AZ176" s="85"/>
      <c r="BA176" s="85"/>
      <c r="BB176" s="85"/>
      <c r="BC176" s="85"/>
      <c r="BD176" s="85"/>
      <c r="BE176" s="85"/>
      <c r="BF176" s="85"/>
      <c r="BG176" s="85"/>
    </row>
    <row r="177" spans="1:61" hidden="1" x14ac:dyDescent="0.25">
      <c r="A177" s="1389" t="str">
        <f>COA!B173</f>
        <v>IMP2 - Engineering expense</v>
      </c>
      <c r="B177" s="1390">
        <f>_xlfn.XLOOKUP(A177,'TB.1 - F25'!A:A,'TB.1 - F25'!D:D,0,0,1)</f>
        <v>0</v>
      </c>
      <c r="C177" s="1390">
        <f>_xlfn.XLOOKUP(A177,'TB.1 - F25'!A:A,'TB.1 - F25'!H:H,0,0,1)</f>
        <v>0</v>
      </c>
      <c r="D177" s="1390">
        <f>_xlfn.XLOOKUP(A177,'AJE.1 - F25'!A:A,'AJE.1 - F25'!F:F,0,0,1)</f>
        <v>0</v>
      </c>
      <c r="E177" s="1390"/>
      <c r="F177" s="219">
        <f>ROUND(SUM(B177:E177),0)</f>
        <v>0</v>
      </c>
      <c r="G177" s="1390">
        <f>_xlfn.XLOOKUP($A177,TB.PRO!$A:$A,TB.PRO!F:F,0,0,1)</f>
        <v>0</v>
      </c>
      <c r="H177" s="1390">
        <f>_xlfn.XLOOKUP($A177,TB.PRO!$A:$A,TB.PRO!G:G,0,0,1)</f>
        <v>0</v>
      </c>
      <c r="I177" s="1390">
        <f>SUMIF('[2]Sum - Fiscal'!$P:$P,A177,'[2]Sum - Fiscal'!$E:$E)</f>
        <v>0</v>
      </c>
      <c r="J177" s="1390"/>
      <c r="K177" s="1390"/>
      <c r="L177" s="665">
        <f>ROUND(SUM(G177:K177),0)</f>
        <v>0</v>
      </c>
      <c r="M177" s="1390">
        <f>_xlfn.XLOOKUP($A177,TB.PRO!$A:$A,TB.PRO!I:I,0,0,1)</f>
        <v>0</v>
      </c>
      <c r="N177" s="1390">
        <f>_xlfn.XLOOKUP($A177,TB.PRO!$A:$A,TB.PRO!J:J,0,0,1)</f>
        <v>0</v>
      </c>
      <c r="O177" s="1390">
        <f>SUMIF('[2]Sum - Fiscal'!$P:$P,$A177,'[2]Sum - Fiscal'!$F:$F)</f>
        <v>0</v>
      </c>
      <c r="P177" s="1390"/>
      <c r="Q177" s="1390"/>
      <c r="R177" s="665">
        <f>ROUND(SUM(M177:Q177),0)</f>
        <v>0</v>
      </c>
      <c r="S177" s="1390">
        <f>_xlfn.XLOOKUP($A177,TB.PRO!$A:$A,TB.PRO!L:L,0,0,1)</f>
        <v>0</v>
      </c>
      <c r="T177" s="1390">
        <f>_xlfn.XLOOKUP($A177,TB.PRO!$A:$A,TB.PRO!M:M,0,0,1)</f>
        <v>0</v>
      </c>
      <c r="U177" s="1390">
        <f>SUMIF('[2]Sum - Fiscal'!$P:$P,$A177,'[2]Sum - Fiscal'!$G:$G)</f>
        <v>0</v>
      </c>
      <c r="V177" s="1390"/>
      <c r="W177" s="1390"/>
      <c r="X177" s="665">
        <f>ROUND(SUM(S177:W177),0)</f>
        <v>0</v>
      </c>
      <c r="Y177" s="1390">
        <f>_xlfn.XLOOKUP($A177,TB.PRO!$A:$A,TB.PRO!O:O,0,0,1)</f>
        <v>0</v>
      </c>
      <c r="Z177" s="1390">
        <f>_xlfn.XLOOKUP($A177,TB.PRO!$A:$A,TB.PRO!P:P,0,0,1)</f>
        <v>0</v>
      </c>
      <c r="AA177" s="1390">
        <f>SUMIF('[2]Sum - Fiscal'!$P:$P,$A177,'[2]Sum - Fiscal'!$H:$H)</f>
        <v>0</v>
      </c>
      <c r="AB177" s="1390"/>
      <c r="AC177" s="1390"/>
      <c r="AD177" s="219">
        <f>ROUND(SUM(Y177:AC177),0)</f>
        <v>0</v>
      </c>
      <c r="AE177" s="1390">
        <f>_xlfn.XLOOKUP($A177,TB.PRO!$A:$A,TB.PRO!R:R,0,0,1)</f>
        <v>0</v>
      </c>
      <c r="AF177" s="1390">
        <f>_xlfn.XLOOKUP($A177,TB.PRO!$A:$A,TB.PRO!S:S,0,0,1)</f>
        <v>0</v>
      </c>
      <c r="AG177" s="1390">
        <f>SUMIF('[2]Sum - Fiscal'!$P:$P,$A177,'[2]Sum - Fiscal'!$I:$I)</f>
        <v>0</v>
      </c>
      <c r="AH177" s="1390"/>
      <c r="AI177" s="1390"/>
      <c r="AJ177" s="219">
        <f>ROUND(SUM(AE177:AI177),0)</f>
        <v>0</v>
      </c>
      <c r="AK177" s="178" t="str">
        <f>_xlfn.XLOOKUP($A177,COA!$B:$B,COA!$C:$C,0,0,1)</f>
        <v>General and administration</v>
      </c>
      <c r="AL177" s="178" t="str">
        <f>_xlfn.XLOOKUP($A177,COA!$B:$B,COA!$D:$D,0,0,1)</f>
        <v>Engineering expense</v>
      </c>
      <c r="AM177" s="178" t="str">
        <f>_xlfn.XLOOKUP($A177,COA!$B:$B,COA!$E:$E,0,0,1)</f>
        <v>Accumulated deficit</v>
      </c>
      <c r="AO177" s="85" t="str">
        <f>_xlfn.XLOOKUP(AM177,FS.1!A:A,AM:AM,0,0,1)</f>
        <v>Due to related parties</v>
      </c>
      <c r="AP177" s="87"/>
      <c r="AQ177" s="87"/>
      <c r="AR177" s="87"/>
      <c r="AS177" s="87"/>
      <c r="AT177" s="85"/>
      <c r="AU177" s="85"/>
      <c r="AV177" s="85"/>
      <c r="AW177" s="85"/>
      <c r="AX177" s="85"/>
      <c r="AY177" s="85"/>
      <c r="AZ177" s="85"/>
      <c r="BA177" s="85"/>
      <c r="BB177" s="85"/>
      <c r="BC177" s="85"/>
      <c r="BD177" s="85"/>
      <c r="BE177" s="85"/>
      <c r="BF177" s="85"/>
      <c r="BG177" s="85"/>
    </row>
    <row r="178" spans="1:61" x14ac:dyDescent="0.25">
      <c r="A178" s="1389" t="str">
        <f>COA!B174</f>
        <v>IMP3 - Commission expense</v>
      </c>
      <c r="B178" s="1390">
        <f>_xlfn.XLOOKUP(A178,'TB.1 - F25'!A:A,'TB.1 - F25'!D:D,0,0,1)</f>
        <v>0</v>
      </c>
      <c r="C178" s="1390">
        <f>_xlfn.XLOOKUP(A178,'TB.1 - F25'!A:A,'TB.1 - F25'!H:H,0,0,1)</f>
        <v>0</v>
      </c>
      <c r="D178" s="1390">
        <f>_xlfn.XLOOKUP(A178,'AJE.1 - F25'!A:A,'AJE.1 - F25'!F:F,0,0,1)</f>
        <v>0</v>
      </c>
      <c r="E178" s="1390"/>
      <c r="F178" s="219">
        <f>ROUND(SUM(B178:E178),0)</f>
        <v>0</v>
      </c>
      <c r="G178" s="1390">
        <f>_xlfn.XLOOKUP($A178,TB.PRO!$A:$A,TB.PRO!F:F,0,0,1)</f>
        <v>0</v>
      </c>
      <c r="H178" s="1390">
        <f>_xlfn.XLOOKUP($A178,TB.PRO!$A:$A,TB.PRO!G:G,0,0,1)</f>
        <v>0</v>
      </c>
      <c r="I178" s="1390">
        <f>SUMIF('[2]Sum - Fiscal'!$P:$P,A178,'[2]Sum - Fiscal'!$E:$E)</f>
        <v>0</v>
      </c>
      <c r="J178" s="1390"/>
      <c r="K178" s="1390"/>
      <c r="L178" s="665">
        <f>ROUND(SUM(G178:K178),0)</f>
        <v>0</v>
      </c>
      <c r="M178" s="1390">
        <f>_xlfn.XLOOKUP($A178,TB.PRO!$A:$A,TB.PRO!I:I,0,0,1)</f>
        <v>0</v>
      </c>
      <c r="N178" s="1390">
        <f>_xlfn.XLOOKUP($A178,TB.PRO!$A:$A,TB.PRO!J:J,0,0,1)</f>
        <v>0</v>
      </c>
      <c r="O178" s="1390">
        <f>SUMIF('[2]Sum - Fiscal'!$P:$P,$A178,'[2]Sum - Fiscal'!$F:$F)</f>
        <v>60000</v>
      </c>
      <c r="P178" s="1390"/>
      <c r="Q178" s="1390"/>
      <c r="R178" s="665">
        <f>ROUND(SUM(M178:Q178),0)</f>
        <v>60000</v>
      </c>
      <c r="S178" s="1390">
        <f>_xlfn.XLOOKUP($A178,TB.PRO!$A:$A,TB.PRO!L:L,0,0,1)</f>
        <v>0</v>
      </c>
      <c r="T178" s="1390">
        <f>_xlfn.XLOOKUP($A178,TB.PRO!$A:$A,TB.PRO!M:M,0,0,1)</f>
        <v>0</v>
      </c>
      <c r="U178" s="1390">
        <f>SUMIF('[2]Sum - Fiscal'!$P:$P,$A178,'[2]Sum - Fiscal'!$G:$G)</f>
        <v>1275000</v>
      </c>
      <c r="V178" s="1390"/>
      <c r="W178" s="1390"/>
      <c r="X178" s="665">
        <f>ROUND(SUM(S178:W178),0)</f>
        <v>1275000</v>
      </c>
      <c r="Y178" s="1390">
        <f>_xlfn.XLOOKUP($A178,TB.PRO!$A:$A,TB.PRO!O:O,0,0,1)</f>
        <v>0</v>
      </c>
      <c r="Z178" s="1390">
        <f>_xlfn.XLOOKUP($A178,TB.PRO!$A:$A,TB.PRO!P:P,0,0,1)</f>
        <v>0</v>
      </c>
      <c r="AA178" s="1390">
        <f>SUMIF('[2]Sum - Fiscal'!$P:$P,$A178,'[2]Sum - Fiscal'!$H:$H)</f>
        <v>3000000</v>
      </c>
      <c r="AB178" s="1390"/>
      <c r="AC178" s="1390"/>
      <c r="AD178" s="219">
        <f>ROUND(SUM(Y178:AC178),0)</f>
        <v>3000000</v>
      </c>
      <c r="AE178" s="1390">
        <f>_xlfn.XLOOKUP($A178,TB.PRO!$A:$A,TB.PRO!R:R,0,0,1)</f>
        <v>0</v>
      </c>
      <c r="AF178" s="1390">
        <f>_xlfn.XLOOKUP($A178,TB.PRO!$A:$A,TB.PRO!S:S,0,0,1)</f>
        <v>0</v>
      </c>
      <c r="AG178" s="1390">
        <f>SUMIF('[2]Sum - Fiscal'!$P:$P,$A178,'[2]Sum - Fiscal'!$I:$I)</f>
        <v>5250000</v>
      </c>
      <c r="AH178" s="1390"/>
      <c r="AI178" s="1390"/>
      <c r="AJ178" s="219">
        <f>ROUND(SUM(AE178:AI178),0)</f>
        <v>5250000</v>
      </c>
      <c r="AK178" s="667" t="s">
        <v>2291</v>
      </c>
      <c r="AL178" s="667" t="str">
        <f>AK178</f>
        <v>Selling expense</v>
      </c>
      <c r="AM178" s="667" t="str">
        <f>_xlfn.XLOOKUP($A178,COA!$B:$B,COA!$E:$E,0,0,1)</f>
        <v>Accumulated deficit</v>
      </c>
      <c r="AO178" s="85" t="str">
        <f>_xlfn.XLOOKUP(AM178,FS.1!A:A,AM:AM,0,0,1)</f>
        <v>Due to related parties</v>
      </c>
      <c r="AP178" s="87"/>
      <c r="AQ178" s="87"/>
      <c r="AR178" s="87"/>
      <c r="AS178" s="87"/>
      <c r="AT178" s="85"/>
      <c r="AU178" s="85"/>
      <c r="AV178" s="85"/>
      <c r="AW178" s="85"/>
      <c r="AX178" s="85"/>
      <c r="AY178" s="85"/>
      <c r="AZ178" s="85"/>
      <c r="BA178" s="85"/>
      <c r="BB178" s="85"/>
      <c r="BC178" s="85"/>
      <c r="BD178" s="85"/>
      <c r="BE178" s="85"/>
      <c r="BF178" s="85"/>
      <c r="BG178" s="85"/>
    </row>
    <row r="179" spans="1:61" hidden="1" x14ac:dyDescent="0.25">
      <c r="A179" s="1389" t="str">
        <f>COA!B175</f>
        <v>IMP4 - Warranty Liability</v>
      </c>
      <c r="B179" s="1390">
        <f>_xlfn.XLOOKUP(A179,'TB.1 - F25'!A:A,'TB.1 - F25'!D:D,0,0,1)</f>
        <v>0</v>
      </c>
      <c r="C179" s="1390">
        <f>_xlfn.XLOOKUP(A179,'TB.1 - F25'!A:A,'TB.1 - F25'!H:H,0,0,1)</f>
        <v>0</v>
      </c>
      <c r="D179" s="1390">
        <f>_xlfn.XLOOKUP(A179,'AJE.1 - F25'!A:A,'AJE.1 - F25'!F:F,0,0,1)</f>
        <v>0</v>
      </c>
      <c r="E179" s="1390"/>
      <c r="F179" s="219">
        <f>ROUND(SUM(B179:E179),0)</f>
        <v>0</v>
      </c>
      <c r="G179" s="1390">
        <f>_xlfn.XLOOKUP($A179,TB.PRO!$A:$A,TB.PRO!F:F,0,0,1)</f>
        <v>0</v>
      </c>
      <c r="H179" s="1390">
        <f>_xlfn.XLOOKUP($A179,TB.PRO!$A:$A,TB.PRO!G:G,0,0,1)</f>
        <v>0</v>
      </c>
      <c r="I179" s="1390">
        <f>SUMIF('[2]Sum - Fiscal'!$P:$P,A179,'[2]Sum - Fiscal'!$E:$E)</f>
        <v>0</v>
      </c>
      <c r="J179" s="1390"/>
      <c r="K179" s="1390"/>
      <c r="L179" s="665">
        <f>ROUND(SUM(G179:K179),0)</f>
        <v>0</v>
      </c>
      <c r="M179" s="1390">
        <f>_xlfn.XLOOKUP($A179,TB.PRO!$A:$A,TB.PRO!I:I,0,0,1)</f>
        <v>0</v>
      </c>
      <c r="N179" s="1390">
        <f>_xlfn.XLOOKUP($A179,TB.PRO!$A:$A,TB.PRO!J:J,0,0,1)</f>
        <v>0</v>
      </c>
      <c r="O179" s="1390">
        <f>SUMIF('[2]Sum - Fiscal'!$P:$P,$A179,'[2]Sum - Fiscal'!$F:$F)</f>
        <v>0</v>
      </c>
      <c r="P179" s="1390"/>
      <c r="Q179" s="1390"/>
      <c r="R179" s="665">
        <f>ROUND(SUM(M179:Q179),0)</f>
        <v>0</v>
      </c>
      <c r="S179" s="1390">
        <f>_xlfn.XLOOKUP($A179,TB.PRO!$A:$A,TB.PRO!L:L,0,0,1)</f>
        <v>0</v>
      </c>
      <c r="T179" s="1390">
        <f>_xlfn.XLOOKUP($A179,TB.PRO!$A:$A,TB.PRO!M:M,0,0,1)</f>
        <v>0</v>
      </c>
      <c r="U179" s="1390">
        <f>SUMIF('[2]Sum - Fiscal'!$P:$P,$A179,'[2]Sum - Fiscal'!$G:$G)</f>
        <v>0</v>
      </c>
      <c r="V179" s="1390"/>
      <c r="W179" s="1390"/>
      <c r="X179" s="665">
        <f>ROUND(SUM(S179:W179),0)</f>
        <v>0</v>
      </c>
      <c r="Y179" s="1390">
        <f>_xlfn.XLOOKUP($A179,TB.PRO!$A:$A,TB.PRO!O:O,0,0,1)</f>
        <v>0</v>
      </c>
      <c r="Z179" s="1390">
        <f>_xlfn.XLOOKUP($A179,TB.PRO!$A:$A,TB.PRO!P:P,0,0,1)</f>
        <v>0</v>
      </c>
      <c r="AA179" s="1390">
        <f>SUMIF('[2]Sum - Fiscal'!$P:$P,$A179,'[2]Sum - Fiscal'!$H:$H)</f>
        <v>0</v>
      </c>
      <c r="AB179" s="1390"/>
      <c r="AC179" s="1390"/>
      <c r="AD179" s="219">
        <f>ROUND(SUM(Y179:AC179),0)</f>
        <v>0</v>
      </c>
      <c r="AE179" s="1390">
        <f>_xlfn.XLOOKUP($A179,TB.PRO!$A:$A,TB.PRO!R:R,0,0,1)</f>
        <v>0</v>
      </c>
      <c r="AF179" s="1390">
        <f>_xlfn.XLOOKUP($A179,TB.PRO!$A:$A,TB.PRO!S:S,0,0,1)</f>
        <v>0</v>
      </c>
      <c r="AG179" s="1390">
        <f>SUMIF('[2]Sum - Fiscal'!$P:$P,$A179,'[2]Sum - Fiscal'!$I:$I)</f>
        <v>0</v>
      </c>
      <c r="AH179" s="1390"/>
      <c r="AI179" s="1390"/>
      <c r="AJ179" s="219">
        <f>ROUND(SUM(AE179:AI179),0)</f>
        <v>0</v>
      </c>
      <c r="AK179" s="178" t="str">
        <f>_xlfn.XLOOKUP($A179,COA!$B:$B,COA!$C:$C,0,0,1)</f>
        <v>Warranty liability</v>
      </c>
      <c r="AL179" s="178" t="str">
        <f>_xlfn.XLOOKUP($A179,COA!$B:$B,COA!$D:$D,0,0,1)</f>
        <v>Warranty liability</v>
      </c>
      <c r="AM179" s="178" t="str">
        <f>_xlfn.XLOOKUP($A179,COA!$B:$B,COA!$E:$E,0,0,1)</f>
        <v>Warranty liability</v>
      </c>
      <c r="AO179" s="85" t="str">
        <f>_xlfn.XLOOKUP(AM179,FS.1!A:A,AM:AM,0,0,1)</f>
        <v>Equipment</v>
      </c>
      <c r="AP179" s="87"/>
      <c r="AQ179" s="87"/>
      <c r="AR179" s="87"/>
      <c r="AS179" s="87"/>
      <c r="AT179" s="85"/>
      <c r="AU179" s="85"/>
      <c r="AV179" s="85"/>
      <c r="AW179" s="85"/>
      <c r="AX179" s="85"/>
      <c r="AY179" s="85"/>
      <c r="AZ179" s="85"/>
      <c r="BA179" s="85"/>
      <c r="BB179" s="85"/>
      <c r="BC179" s="85"/>
      <c r="BD179" s="85"/>
      <c r="BE179" s="85"/>
      <c r="BF179" s="85"/>
      <c r="BG179" s="85"/>
    </row>
    <row r="180" spans="1:61" x14ac:dyDescent="0.25">
      <c r="A180" s="1389" t="str">
        <f>COA!B176</f>
        <v>IMP5 - R&amp;D</v>
      </c>
      <c r="B180" s="1390">
        <f>_xlfn.XLOOKUP(A180,'TB.1 - F25'!A:A,'TB.1 - F25'!D:D,0,0,1)</f>
        <v>0</v>
      </c>
      <c r="C180" s="1390">
        <f>_xlfn.XLOOKUP(A180,'TB.1 - F25'!A:A,'TB.1 - F25'!H:H,0,0,1)</f>
        <v>0</v>
      </c>
      <c r="D180" s="1390">
        <f>_xlfn.XLOOKUP(A180,'AJE.1 - F25'!A:A,'AJE.1 - F25'!F:F,0,0,1)</f>
        <v>0</v>
      </c>
      <c r="E180" s="1390"/>
      <c r="F180" s="219">
        <f>ROUND(SUM(B180:E180),0)</f>
        <v>0</v>
      </c>
      <c r="G180" s="1390">
        <f>_xlfn.XLOOKUP($A180,TB.PRO!$A:$A,TB.PRO!F:F,0,0,1)</f>
        <v>0</v>
      </c>
      <c r="H180" s="1390">
        <f>_xlfn.XLOOKUP($A180,TB.PRO!$A:$A,TB.PRO!G:G,0,0,1)</f>
        <v>0</v>
      </c>
      <c r="I180" s="1390">
        <f>SUMIF('[2]Sum - Fiscal'!$P:$P,A180,'[2]Sum - Fiscal'!$E:$E)</f>
        <v>0</v>
      </c>
      <c r="J180" s="1390"/>
      <c r="K180" s="1390"/>
      <c r="L180" s="665">
        <f>ROUND(SUM(G180:K180),0)</f>
        <v>0</v>
      </c>
      <c r="M180" s="1390">
        <f>_xlfn.XLOOKUP($A180,TB.PRO!$A:$A,TB.PRO!I:I,0,0,1)</f>
        <v>0</v>
      </c>
      <c r="N180" s="1390">
        <f>_xlfn.XLOOKUP($A180,TB.PRO!$A:$A,TB.PRO!J:J,0,0,1)</f>
        <v>0</v>
      </c>
      <c r="O180" s="1390">
        <f>SUMIF('[2]Sum - Fiscal'!$P:$P,$A180,'[2]Sum - Fiscal'!$F:$F)</f>
        <v>310000</v>
      </c>
      <c r="P180" s="1390"/>
      <c r="Q180" s="1390"/>
      <c r="R180" s="665">
        <f>ROUND(SUM(M180:Q180),0)</f>
        <v>310000</v>
      </c>
      <c r="S180" s="1390">
        <f>_xlfn.XLOOKUP($A180,TB.PRO!$A:$A,TB.PRO!L:L,0,0,1)</f>
        <v>0</v>
      </c>
      <c r="T180" s="1390">
        <f>_xlfn.XLOOKUP($A180,TB.PRO!$A:$A,TB.PRO!M:M,0,0,1)</f>
        <v>0</v>
      </c>
      <c r="U180" s="1390">
        <f>SUMIF('[2]Sum - Fiscal'!$P:$P,$A180,'[2]Sum - Fiscal'!$G:$G)</f>
        <v>310000</v>
      </c>
      <c r="V180" s="1390"/>
      <c r="W180" s="1390"/>
      <c r="X180" s="665">
        <f>ROUND(SUM(S180:W180),0)</f>
        <v>310000</v>
      </c>
      <c r="Y180" s="1390">
        <f>_xlfn.XLOOKUP($A180,TB.PRO!$A:$A,TB.PRO!O:O,0,0,1)</f>
        <v>0</v>
      </c>
      <c r="Z180" s="1390">
        <f>_xlfn.XLOOKUP($A180,TB.PRO!$A:$A,TB.PRO!P:P,0,0,1)</f>
        <v>0</v>
      </c>
      <c r="AA180" s="1390">
        <f>SUMIF('[2]Sum - Fiscal'!$P:$P,$A180,'[2]Sum - Fiscal'!$H:$H)</f>
        <v>310000</v>
      </c>
      <c r="AB180" s="1390"/>
      <c r="AC180" s="1390"/>
      <c r="AD180" s="219">
        <f>ROUND(SUM(Y180:AC180),0)</f>
        <v>310000</v>
      </c>
      <c r="AE180" s="1390">
        <f>_xlfn.XLOOKUP($A180,TB.PRO!$A:$A,TB.PRO!R:R,0,0,1)</f>
        <v>0</v>
      </c>
      <c r="AF180" s="1390">
        <f>_xlfn.XLOOKUP($A180,TB.PRO!$A:$A,TB.PRO!S:S,0,0,1)</f>
        <v>0</v>
      </c>
      <c r="AG180" s="1390">
        <f>SUMIF('[2]Sum - Fiscal'!$P:$P,$A180,'[2]Sum - Fiscal'!$I:$I)</f>
        <v>310000</v>
      </c>
      <c r="AH180" s="1390"/>
      <c r="AI180" s="1390"/>
      <c r="AJ180" s="219">
        <f>ROUND(SUM(AE180:AI180),0)</f>
        <v>310000</v>
      </c>
      <c r="AK180" s="178" t="str">
        <f>_xlfn.XLOOKUP($A180,COA!$B:$B,COA!$C:$C,0,0,1)</f>
        <v>General and administration</v>
      </c>
      <c r="AL180" s="667" t="s">
        <v>2285</v>
      </c>
      <c r="AM180" s="178" t="str">
        <f>_xlfn.XLOOKUP($A180,COA!$B:$B,COA!$E:$E,0,0,1)</f>
        <v>Accumulated deficit</v>
      </c>
      <c r="AO180" s="85" t="str">
        <f>_xlfn.XLOOKUP(AM180,FS.1!A:A,AM:AM,0,0,1)</f>
        <v>Due to related parties</v>
      </c>
      <c r="AP180" s="87"/>
      <c r="AQ180" s="87"/>
      <c r="AR180" s="87"/>
      <c r="AS180" s="87"/>
      <c r="AT180" s="85"/>
      <c r="AU180" s="85"/>
      <c r="AV180" s="85"/>
      <c r="AW180" s="85"/>
      <c r="AX180" s="85"/>
      <c r="AY180" s="85"/>
      <c r="AZ180" s="85"/>
      <c r="BA180" s="85"/>
      <c r="BB180" s="85"/>
      <c r="BC180" s="85"/>
      <c r="BD180" s="85"/>
      <c r="BE180" s="85"/>
      <c r="BF180" s="85"/>
      <c r="BG180" s="85"/>
    </row>
    <row r="181" spans="1:61" hidden="1" x14ac:dyDescent="0.25">
      <c r="A181" s="1389" t="str">
        <f>COA!B177</f>
        <v>IMP6 - Acquisition costs</v>
      </c>
      <c r="B181" s="1390">
        <f>_xlfn.XLOOKUP(A181,'TB.1 - F25'!A:A,'TB.1 - F25'!D:D,0,0,1)</f>
        <v>0</v>
      </c>
      <c r="C181" s="1390">
        <f>_xlfn.XLOOKUP(A181,'TB.1 - F25'!A:A,'TB.1 - F25'!H:H,0,0,1)</f>
        <v>0</v>
      </c>
      <c r="D181" s="1390">
        <f>_xlfn.XLOOKUP(A181,'AJE.1 - F25'!A:A,'AJE.1 - F25'!F:F,0,0,1)</f>
        <v>0</v>
      </c>
      <c r="E181" s="1390"/>
      <c r="F181" s="219">
        <f>ROUND(SUM(B181:E181),0)</f>
        <v>0</v>
      </c>
      <c r="G181" s="1390">
        <f>_xlfn.XLOOKUP($A181,TB.PRO!$A:$A,TB.PRO!F:F,0,0,1)</f>
        <v>0</v>
      </c>
      <c r="H181" s="1390">
        <f>_xlfn.XLOOKUP($A181,TB.PRO!$A:$A,TB.PRO!G:G,0,0,1)</f>
        <v>0</v>
      </c>
      <c r="I181" s="1390">
        <f>SUMIF('[2]Sum - Fiscal'!$P:$P,A181,'[2]Sum - Fiscal'!$E:$E)</f>
        <v>0</v>
      </c>
      <c r="J181" s="1390"/>
      <c r="K181" s="1390"/>
      <c r="L181" s="665">
        <f>ROUND(SUM(G181:K181),0)</f>
        <v>0</v>
      </c>
      <c r="M181" s="1390">
        <f>_xlfn.XLOOKUP($A181,TB.PRO!$A:$A,TB.PRO!I:I,0,0,1)</f>
        <v>0</v>
      </c>
      <c r="N181" s="1390">
        <f>_xlfn.XLOOKUP($A181,TB.PRO!$A:$A,TB.PRO!J:J,0,0,1)</f>
        <v>0</v>
      </c>
      <c r="O181" s="1390">
        <f>SUMIF('[2]Sum - Fiscal'!$P:$P,$A181,'[2]Sum - Fiscal'!$F:$F)</f>
        <v>0</v>
      </c>
      <c r="P181" s="1390"/>
      <c r="Q181" s="1390"/>
      <c r="R181" s="665">
        <f>ROUND(SUM(M181:Q181),0)</f>
        <v>0</v>
      </c>
      <c r="S181" s="1390">
        <f>_xlfn.XLOOKUP($A181,TB.PRO!$A:$A,TB.PRO!L:L,0,0,1)</f>
        <v>0</v>
      </c>
      <c r="T181" s="1390">
        <f>_xlfn.XLOOKUP($A181,TB.PRO!$A:$A,TB.PRO!M:M,0,0,1)</f>
        <v>0</v>
      </c>
      <c r="U181" s="1390">
        <f>SUMIF('[2]Sum - Fiscal'!$P:$P,$A181,'[2]Sum - Fiscal'!$G:$G)</f>
        <v>0</v>
      </c>
      <c r="V181" s="1390"/>
      <c r="W181" s="1390"/>
      <c r="X181" s="665">
        <f>ROUND(SUM(S181:W181),0)</f>
        <v>0</v>
      </c>
      <c r="Y181" s="1390">
        <f>_xlfn.XLOOKUP($A181,TB.PRO!$A:$A,TB.PRO!O:O,0,0,1)</f>
        <v>0</v>
      </c>
      <c r="Z181" s="1390">
        <f>_xlfn.XLOOKUP($A181,TB.PRO!$A:$A,TB.PRO!P:P,0,0,1)</f>
        <v>0</v>
      </c>
      <c r="AA181" s="1390">
        <f>SUMIF('[2]Sum - Fiscal'!$P:$P,$A181,'[2]Sum - Fiscal'!$H:$H)</f>
        <v>0</v>
      </c>
      <c r="AB181" s="1390"/>
      <c r="AC181" s="1390"/>
      <c r="AD181" s="219">
        <f>ROUND(SUM(Y181:AC181),0)</f>
        <v>0</v>
      </c>
      <c r="AE181" s="1390">
        <f>_xlfn.XLOOKUP($A181,TB.PRO!$A:$A,TB.PRO!R:R,0,0,1)</f>
        <v>0</v>
      </c>
      <c r="AF181" s="1390">
        <f>_xlfn.XLOOKUP($A181,TB.PRO!$A:$A,TB.PRO!S:S,0,0,1)</f>
        <v>0</v>
      </c>
      <c r="AG181" s="1390">
        <f>SUMIF('[2]Sum - Fiscal'!$P:$P,$A181,'[2]Sum - Fiscal'!$I:$I)</f>
        <v>0</v>
      </c>
      <c r="AH181" s="1390"/>
      <c r="AI181" s="1390"/>
      <c r="AJ181" s="219">
        <f>ROUND(SUM(AE181:AI181),0)</f>
        <v>0</v>
      </c>
      <c r="AK181" s="178" t="str">
        <f>_xlfn.XLOOKUP($A181,COA!$B:$B,COA!$C:$C,0,0,1)</f>
        <v>General and administration</v>
      </c>
      <c r="AL181" s="178" t="str">
        <f>_xlfn.XLOOKUP($A181,COA!$B:$B,COA!$D:$D,0,0,1)</f>
        <v>Acquisition expense</v>
      </c>
      <c r="AM181" s="178" t="str">
        <f>_xlfn.XLOOKUP($A181,COA!$B:$B,COA!$E:$E,0,0,1)</f>
        <v>Accumulated deficit</v>
      </c>
      <c r="AO181" s="85" t="str">
        <f>_xlfn.XLOOKUP(AM181,FS.1!A:A,AM:AM,0,0,1)</f>
        <v>Due to related parties</v>
      </c>
      <c r="AP181" s="87"/>
      <c r="AQ181" s="87"/>
      <c r="AR181" s="87"/>
      <c r="AS181" s="87"/>
      <c r="AT181" s="85"/>
      <c r="AU181" s="85"/>
      <c r="AV181" s="85"/>
      <c r="AW181" s="85"/>
      <c r="AX181" s="85"/>
      <c r="AY181" s="85"/>
      <c r="AZ181" s="85"/>
      <c r="BA181" s="85"/>
      <c r="BB181" s="85"/>
      <c r="BC181" s="85"/>
      <c r="BD181" s="85"/>
      <c r="BE181" s="85"/>
      <c r="BF181" s="85"/>
      <c r="BG181" s="85"/>
    </row>
    <row r="182" spans="1:61" hidden="1" x14ac:dyDescent="0.25">
      <c r="A182" s="1389" t="str">
        <f>COA!B178</f>
        <v>IMP9 - Share-based compensation</v>
      </c>
      <c r="B182" s="1390">
        <f>_xlfn.XLOOKUP(A182,'TB.1 - F25'!A:A,'TB.1 - F25'!D:D,0,0,1)</f>
        <v>0</v>
      </c>
      <c r="C182" s="1390">
        <f>_xlfn.XLOOKUP(A182,'TB.1 - F25'!A:A,'TB.1 - F25'!H:H,0,0,1)</f>
        <v>0</v>
      </c>
      <c r="D182" s="1390">
        <f>_xlfn.XLOOKUP(A182,'AJE.1 - F25'!A:A,'AJE.1 - F25'!F:F,0,0,1)</f>
        <v>0</v>
      </c>
      <c r="E182" s="1390"/>
      <c r="F182" s="219">
        <f>ROUND(SUM(B182:E182),0)</f>
        <v>0</v>
      </c>
      <c r="G182" s="1390">
        <f>_xlfn.XLOOKUP($A182,TB.PRO!$A:$A,TB.PRO!F:F,0,0,1)</f>
        <v>0</v>
      </c>
      <c r="H182" s="1390">
        <f>_xlfn.XLOOKUP($A182,TB.PRO!$A:$A,TB.PRO!G:G,0,0,1)</f>
        <v>0</v>
      </c>
      <c r="I182" s="1390">
        <f>SUMIF('[2]Sum - Fiscal'!$P:$P,A182,'[2]Sum - Fiscal'!$E:$E)</f>
        <v>0</v>
      </c>
      <c r="J182" s="1390"/>
      <c r="K182" s="1390"/>
      <c r="L182" s="665">
        <f>ROUND(SUM(G182:K182),0)</f>
        <v>0</v>
      </c>
      <c r="M182" s="1390">
        <f>_xlfn.XLOOKUP($A182,TB.PRO!$A:$A,TB.PRO!I:I,0,0,1)</f>
        <v>0</v>
      </c>
      <c r="N182" s="1390">
        <f>_xlfn.XLOOKUP($A182,TB.PRO!$A:$A,TB.PRO!J:J,0,0,1)</f>
        <v>0</v>
      </c>
      <c r="O182" s="1390">
        <f>SUMIF('[2]Sum - Fiscal'!$P:$P,$A182,'[2]Sum - Fiscal'!$F:$F)</f>
        <v>0</v>
      </c>
      <c r="P182" s="1390"/>
      <c r="Q182" s="1390"/>
      <c r="R182" s="665">
        <f>ROUND(SUM(M182:Q182),0)</f>
        <v>0</v>
      </c>
      <c r="S182" s="1390">
        <f>_xlfn.XLOOKUP($A182,TB.PRO!$A:$A,TB.PRO!L:L,0,0,1)</f>
        <v>0</v>
      </c>
      <c r="T182" s="1390">
        <f>_xlfn.XLOOKUP($A182,TB.PRO!$A:$A,TB.PRO!M:M,0,0,1)</f>
        <v>0</v>
      </c>
      <c r="U182" s="1390">
        <f>SUMIF('[2]Sum - Fiscal'!$P:$P,$A182,'[2]Sum - Fiscal'!$G:$G)</f>
        <v>0</v>
      </c>
      <c r="V182" s="1390"/>
      <c r="W182" s="1390"/>
      <c r="X182" s="665">
        <f>ROUND(SUM(S182:W182),0)</f>
        <v>0</v>
      </c>
      <c r="Y182" s="1390">
        <f>_xlfn.XLOOKUP($A182,TB.PRO!$A:$A,TB.PRO!O:O,0,0,1)</f>
        <v>0</v>
      </c>
      <c r="Z182" s="1390">
        <f>_xlfn.XLOOKUP($A182,TB.PRO!$A:$A,TB.PRO!P:P,0,0,1)</f>
        <v>0</v>
      </c>
      <c r="AA182" s="1390">
        <f>SUMIF('[2]Sum - Fiscal'!$P:$P,$A182,'[2]Sum - Fiscal'!$H:$H)</f>
        <v>0</v>
      </c>
      <c r="AB182" s="1390"/>
      <c r="AC182" s="1390"/>
      <c r="AD182" s="219">
        <f>ROUND(SUM(Y182:AC182),0)</f>
        <v>0</v>
      </c>
      <c r="AE182" s="1390">
        <f>_xlfn.XLOOKUP($A182,TB.PRO!$A:$A,TB.PRO!R:R,0,0,1)</f>
        <v>0</v>
      </c>
      <c r="AF182" s="1390">
        <f>_xlfn.XLOOKUP($A182,TB.PRO!$A:$A,TB.PRO!S:S,0,0,1)</f>
        <v>0</v>
      </c>
      <c r="AG182" s="1390">
        <f>SUMIF('[2]Sum - Fiscal'!$P:$P,$A182,'[2]Sum - Fiscal'!$I:$I)</f>
        <v>0</v>
      </c>
      <c r="AH182" s="1390"/>
      <c r="AI182" s="1390"/>
      <c r="AJ182" s="219">
        <f>ROUND(SUM(AE182:AI182),0)</f>
        <v>0</v>
      </c>
      <c r="AK182" s="178" t="str">
        <f>_xlfn.XLOOKUP($A182,COA!$B:$B,COA!$C:$C,0,0,1)</f>
        <v>General and administration</v>
      </c>
      <c r="AL182" s="178" t="str">
        <f>_xlfn.XLOOKUP($A182,COA!$B:$B,COA!$D:$D,0,0,1)</f>
        <v>Share based compensation</v>
      </c>
      <c r="AM182" s="178" t="str">
        <f>_xlfn.XLOOKUP($A182,COA!$B:$B,COA!$E:$E,0,0,1)</f>
        <v>Accumulated deficit</v>
      </c>
      <c r="AO182" s="85" t="str">
        <f>_xlfn.XLOOKUP(AM182,FS.1!A:A,AM:AM,0,0,1)</f>
        <v>Due to related parties</v>
      </c>
      <c r="AP182" s="87"/>
      <c r="AQ182" s="87"/>
      <c r="AR182" s="87"/>
      <c r="AS182" s="87"/>
      <c r="AT182" s="85"/>
      <c r="AU182" s="85"/>
      <c r="AV182" s="85"/>
      <c r="AW182" s="85"/>
      <c r="AX182" s="85"/>
      <c r="AY182" s="85"/>
      <c r="AZ182" s="85"/>
      <c r="BA182" s="85"/>
      <c r="BB182" s="85"/>
      <c r="BC182" s="85"/>
      <c r="BD182" s="85"/>
      <c r="BE182" s="85"/>
      <c r="BF182" s="85"/>
      <c r="BG182" s="85"/>
    </row>
    <row r="183" spans="1:61" hidden="1" x14ac:dyDescent="0.25">
      <c r="A183" s="1389" t="str">
        <f>COA!B179</f>
        <v>6200 Accretion expense</v>
      </c>
      <c r="B183" s="1390">
        <f>_xlfn.XLOOKUP(A183,'TB.1 - F25'!A:A,'TB.1 - F25'!D:D,0,0,1)</f>
        <v>31956.79</v>
      </c>
      <c r="C183" s="1390">
        <f>_xlfn.XLOOKUP(A183,'TB.1 - F25'!A:A,'TB.1 - F25'!H:H,0,0,1)</f>
        <v>0</v>
      </c>
      <c r="D183" s="1390">
        <f>_xlfn.XLOOKUP(A183,'AJE.1 - F25'!A:A,'AJE.1 - F25'!F:F,0,0,1)</f>
        <v>0</v>
      </c>
      <c r="E183" s="1390"/>
      <c r="F183" s="219">
        <f>ROUND(SUM(B183:E183),0)</f>
        <v>31957</v>
      </c>
      <c r="G183" s="1390">
        <f>_xlfn.XLOOKUP($A183,TB.PRO!$A:$A,TB.PRO!F:F,0,0,1)</f>
        <v>18105.07</v>
      </c>
      <c r="H183" s="1390">
        <f>_xlfn.XLOOKUP($A183,TB.PRO!$A:$A,TB.PRO!G:G,0,0,1)</f>
        <v>0</v>
      </c>
      <c r="I183" s="1390">
        <f>-SUMIF('[2]Sum - Fiscal'!$P:$P,A183,'[2]Sum - Fiscal'!$E:$E)</f>
        <v>18105</v>
      </c>
      <c r="J183" s="1390"/>
      <c r="K183" s="1390"/>
      <c r="L183" s="665">
        <f>ROUND(SUM(G183:K183),0)</f>
        <v>36210</v>
      </c>
      <c r="M183" s="1390">
        <f>_xlfn.XLOOKUP($A183,TB.PRO!$A:$A,TB.PRO!I:I,0,0,1)</f>
        <v>0</v>
      </c>
      <c r="N183" s="1390">
        <f>_xlfn.XLOOKUP($A183,TB.PRO!$A:$A,TB.PRO!J:J,0,0,1)</f>
        <v>0</v>
      </c>
      <c r="O183" s="1390">
        <f>SUMIF('[2]Sum - Fiscal'!$P:$P,$A183,'[2]Sum - Fiscal'!$F:$F)</f>
        <v>0</v>
      </c>
      <c r="P183" s="1390"/>
      <c r="Q183" s="1390"/>
      <c r="R183" s="665">
        <f>ROUND(SUM(M183:Q183),0)</f>
        <v>0</v>
      </c>
      <c r="S183" s="1390">
        <f>_xlfn.XLOOKUP($A183,TB.PRO!$A:$A,TB.PRO!L:L,0,0,1)</f>
        <v>0</v>
      </c>
      <c r="T183" s="1390">
        <f>_xlfn.XLOOKUP($A183,TB.PRO!$A:$A,TB.PRO!M:M,0,0,1)</f>
        <v>0</v>
      </c>
      <c r="U183" s="1390">
        <f>SUMIF('[2]Sum - Fiscal'!$P:$P,$A183,'[2]Sum - Fiscal'!$G:$G)</f>
        <v>0</v>
      </c>
      <c r="V183" s="1390"/>
      <c r="W183" s="1390"/>
      <c r="X183" s="665">
        <f>ROUND(SUM(S183:W183),0)</f>
        <v>0</v>
      </c>
      <c r="Y183" s="1390">
        <f>_xlfn.XLOOKUP($A183,TB.PRO!$A:$A,TB.PRO!O:O,0,0,1)</f>
        <v>0</v>
      </c>
      <c r="Z183" s="1390">
        <f>_xlfn.XLOOKUP($A183,TB.PRO!$A:$A,TB.PRO!P:P,0,0,1)</f>
        <v>0</v>
      </c>
      <c r="AA183" s="1390">
        <f>SUMIF('[2]Sum - Fiscal'!$P:$P,$A183,'[2]Sum - Fiscal'!$H:$H)</f>
        <v>0</v>
      </c>
      <c r="AB183" s="1390"/>
      <c r="AC183" s="1390"/>
      <c r="AD183" s="219">
        <f>ROUND(SUM(Y183:AC183),0)</f>
        <v>0</v>
      </c>
      <c r="AE183" s="1390">
        <f>_xlfn.XLOOKUP($A183,TB.PRO!$A:$A,TB.PRO!R:R,0,0,1)</f>
        <v>0</v>
      </c>
      <c r="AF183" s="1390">
        <f>_xlfn.XLOOKUP($A183,TB.PRO!$A:$A,TB.PRO!S:S,0,0,1)</f>
        <v>0</v>
      </c>
      <c r="AG183" s="1390">
        <f>SUMIF('[2]Sum - Fiscal'!$P:$P,$A183,'[2]Sum - Fiscal'!$I:$I)</f>
        <v>0</v>
      </c>
      <c r="AH183" s="1390"/>
      <c r="AI183" s="1390"/>
      <c r="AJ183" s="219">
        <f>ROUND(SUM(AE183:AI183),0)</f>
        <v>0</v>
      </c>
      <c r="AK183" s="178" t="str">
        <f>_xlfn.XLOOKUP($A183,COA!$B:$B,COA!$C:$C,0,0,1)</f>
        <v>Net financial expenses</v>
      </c>
      <c r="AL183" s="178" t="str">
        <f>_xlfn.XLOOKUP($A183,COA!$B:$B,COA!$D:$D,0,0,1)</f>
        <v>Net financial expenses</v>
      </c>
      <c r="AM183" s="178" t="str">
        <f>_xlfn.XLOOKUP($A183,COA!$B:$B,COA!$E:$E,0,0,1)</f>
        <v>Accumulated deficit</v>
      </c>
      <c r="AO183" s="85" t="str">
        <f t="shared" ref="AO183" si="25">AM183</f>
        <v>Accumulated deficit</v>
      </c>
      <c r="AP183" s="87"/>
      <c r="AQ183" s="87"/>
      <c r="AR183" s="87"/>
      <c r="AS183" s="87"/>
      <c r="AT183" s="85"/>
      <c r="AU183" s="85"/>
      <c r="AV183" s="85"/>
      <c r="AW183" s="85"/>
      <c r="AX183" s="85"/>
      <c r="AY183" s="85"/>
      <c r="AZ183" s="85"/>
      <c r="BA183" s="85"/>
      <c r="BB183" s="85"/>
      <c r="BC183" s="85"/>
      <c r="BD183" s="85"/>
      <c r="BE183" s="85"/>
      <c r="BF183" s="85"/>
      <c r="BG183" s="85"/>
    </row>
    <row r="184" spans="1:61" hidden="1" x14ac:dyDescent="0.25">
      <c r="A184" s="1389" t="str">
        <f>COA!B180</f>
        <v>6250 Finance expense</v>
      </c>
      <c r="B184" s="1390">
        <f>_xlfn.XLOOKUP(A184,'TB.1 - F25'!A:A,'TB.1 - F25'!D:D,0,0,1)</f>
        <v>0</v>
      </c>
      <c r="C184" s="1390">
        <f>_xlfn.XLOOKUP(A184,'TB.1 - F25'!A:A,'TB.1 - F25'!H:H,0,0,1)</f>
        <v>0</v>
      </c>
      <c r="D184" s="1390">
        <f>_xlfn.XLOOKUP(A184,'AJE.1 - F25'!A:A,'AJE.1 - F25'!F:F,0,0,1)</f>
        <v>0</v>
      </c>
      <c r="E184" s="1390"/>
      <c r="F184" s="219">
        <f>ROUND(SUM(B184:E184),0)</f>
        <v>0</v>
      </c>
      <c r="G184" s="1390">
        <f>_xlfn.XLOOKUP($A184,TB.PRO!$A:$A,TB.PRO!F:F,0,0,1)</f>
        <v>0</v>
      </c>
      <c r="H184" s="1390">
        <f>_xlfn.XLOOKUP($A184,TB.PRO!$A:$A,TB.PRO!G:G,0,0,1)</f>
        <v>0</v>
      </c>
      <c r="I184" s="1390">
        <f>SUMIF('[2]Sum - Fiscal'!$P:$P,A184,'[2]Sum - Fiscal'!$E:$E)</f>
        <v>0</v>
      </c>
      <c r="J184" s="1390"/>
      <c r="K184" s="1390"/>
      <c r="L184" s="665">
        <f>ROUND(SUM(G184:K184),0)</f>
        <v>0</v>
      </c>
      <c r="M184" s="1390">
        <f>_xlfn.XLOOKUP($A184,TB.PRO!$A:$A,TB.PRO!I:I,0,0,1)</f>
        <v>0</v>
      </c>
      <c r="N184" s="1390">
        <f>_xlfn.XLOOKUP($A184,TB.PRO!$A:$A,TB.PRO!J:J,0,0,1)</f>
        <v>0</v>
      </c>
      <c r="O184" s="1390">
        <f>SUMIF('[2]Sum - Fiscal'!$P:$P,$A184,'[2]Sum - Fiscal'!$F:$F)</f>
        <v>0</v>
      </c>
      <c r="P184" s="1390"/>
      <c r="Q184" s="1390"/>
      <c r="R184" s="665">
        <f>ROUND(SUM(M184:Q184),0)</f>
        <v>0</v>
      </c>
      <c r="S184" s="1390">
        <f>_xlfn.XLOOKUP($A184,TB.PRO!$A:$A,TB.PRO!L:L,0,0,1)</f>
        <v>0</v>
      </c>
      <c r="T184" s="1390">
        <f>_xlfn.XLOOKUP($A184,TB.PRO!$A:$A,TB.PRO!M:M,0,0,1)</f>
        <v>0</v>
      </c>
      <c r="U184" s="1390">
        <f>SUMIF('[2]Sum - Fiscal'!$P:$P,$A184,'[2]Sum - Fiscal'!$G:$G)</f>
        <v>0</v>
      </c>
      <c r="V184" s="1390"/>
      <c r="W184" s="1390"/>
      <c r="X184" s="665">
        <f>ROUND(SUM(S184:W184),0)</f>
        <v>0</v>
      </c>
      <c r="Y184" s="1390">
        <f>_xlfn.XLOOKUP($A184,TB.PRO!$A:$A,TB.PRO!O:O,0,0,1)</f>
        <v>0</v>
      </c>
      <c r="Z184" s="1390">
        <f>_xlfn.XLOOKUP($A184,TB.PRO!$A:$A,TB.PRO!P:P,0,0,1)</f>
        <v>0</v>
      </c>
      <c r="AA184" s="1390">
        <f>SUMIF('[2]Sum - Fiscal'!$P:$P,$A184,'[2]Sum - Fiscal'!$H:$H)</f>
        <v>0</v>
      </c>
      <c r="AB184" s="1390"/>
      <c r="AC184" s="1390"/>
      <c r="AD184" s="219">
        <f>ROUND(SUM(Y184:AC184),0)</f>
        <v>0</v>
      </c>
      <c r="AE184" s="1390">
        <f>_xlfn.XLOOKUP($A184,TB.PRO!$A:$A,TB.PRO!R:R,0,0,1)</f>
        <v>0</v>
      </c>
      <c r="AF184" s="1390">
        <f>_xlfn.XLOOKUP($A184,TB.PRO!$A:$A,TB.PRO!S:S,0,0,1)</f>
        <v>0</v>
      </c>
      <c r="AG184" s="1390">
        <f>SUMIF('[2]Sum - Fiscal'!$P:$P,$A184,'[2]Sum - Fiscal'!$I:$I)</f>
        <v>0</v>
      </c>
      <c r="AH184" s="1390"/>
      <c r="AI184" s="1390"/>
      <c r="AJ184" s="219">
        <f>ROUND(SUM(AE184:AI184),0)</f>
        <v>0</v>
      </c>
      <c r="AK184" s="178" t="str">
        <f>_xlfn.XLOOKUP($A184,COA!$B:$B,COA!$C:$C,0,0,1)</f>
        <v>Net financial expenses</v>
      </c>
      <c r="AL184" s="178" t="str">
        <f>_xlfn.XLOOKUP($A184,COA!$B:$B,COA!$D:$D,0,0,1)</f>
        <v>Net financial expenses</v>
      </c>
      <c r="AM184" s="178" t="str">
        <f>_xlfn.XLOOKUP($A184,COA!$B:$B,COA!$E:$E,0,0,1)</f>
        <v>Accumulated deficit</v>
      </c>
      <c r="AO184" s="85" t="str">
        <f>_xlfn.XLOOKUP(AM184,FS.1!A:A,AM:AM,0,0,1)</f>
        <v>Due to related parties</v>
      </c>
      <c r="AP184" s="87"/>
      <c r="AQ184" s="87"/>
      <c r="AR184" s="87"/>
      <c r="AS184" s="87"/>
      <c r="AT184" s="85"/>
      <c r="AU184" s="85"/>
      <c r="AV184" s="85"/>
      <c r="AW184" s="85"/>
      <c r="AX184" s="85"/>
      <c r="AY184" s="85"/>
      <c r="AZ184" s="85"/>
      <c r="BA184" s="85"/>
      <c r="BB184" s="85"/>
      <c r="BC184" s="85"/>
      <c r="BD184" s="85"/>
      <c r="BE184" s="85"/>
      <c r="BF184" s="85"/>
      <c r="BG184" s="85"/>
    </row>
    <row r="185" spans="1:61" hidden="1" x14ac:dyDescent="0.25">
      <c r="A185" s="1389" t="str">
        <f>COA!B181</f>
        <v>6086 Amortization</v>
      </c>
      <c r="B185" s="1390">
        <f>_xlfn.XLOOKUP(A185,'TB.1 - F25'!A:A,'TB.1 - F25'!D:D,0,0,1)</f>
        <v>0</v>
      </c>
      <c r="C185" s="1390">
        <f>_xlfn.XLOOKUP(A185,'TB.1 - F25'!A:A,'TB.1 - F25'!H:H,0,0,1)</f>
        <v>0</v>
      </c>
      <c r="D185" s="1390">
        <f>_xlfn.XLOOKUP(A185,'AJE.1 - F25'!A:A,'AJE.1 - F25'!F:F,0,0,1)</f>
        <v>0</v>
      </c>
      <c r="E185" s="1390"/>
      <c r="F185" s="219">
        <f>ROUND(SUM(B185:E185),0)</f>
        <v>0</v>
      </c>
      <c r="G185" s="1390">
        <f>_xlfn.XLOOKUP($A185,TB.PRO!$A:$A,TB.PRO!F:F,0,0,1)</f>
        <v>0</v>
      </c>
      <c r="H185" s="1390">
        <f>_xlfn.XLOOKUP($A185,TB.PRO!$A:$A,TB.PRO!G:G,0,0,1)</f>
        <v>314091</v>
      </c>
      <c r="I185" s="1390">
        <f>SUMIF('[2]Sum - Fiscal'!$P:$P,A185,'[2]Sum - Fiscal'!$E:$E)-H185</f>
        <v>942273</v>
      </c>
      <c r="J185" s="1390"/>
      <c r="K185" s="1390"/>
      <c r="L185" s="665">
        <f>ROUND(SUM(G185:K185),0)</f>
        <v>1256364</v>
      </c>
      <c r="M185" s="1390">
        <f>_xlfn.XLOOKUP($A185,TB.PRO!$A:$A,TB.PRO!I:I,0,0,1)</f>
        <v>0</v>
      </c>
      <c r="N185" s="1390">
        <f>_xlfn.XLOOKUP($A185,TB.PRO!$A:$A,TB.PRO!J:J,0,0,1)</f>
        <v>0</v>
      </c>
      <c r="O185" s="1390">
        <f>SUMIF('[2]Sum - Fiscal'!$P:$P,$A185,'[2]Sum - Fiscal'!$F:$F)</f>
        <v>1256364</v>
      </c>
      <c r="P185" s="1390"/>
      <c r="Q185" s="1390"/>
      <c r="R185" s="665">
        <f>ROUND(SUM(M185:Q185),0)</f>
        <v>1256364</v>
      </c>
      <c r="S185" s="1390">
        <f>_xlfn.XLOOKUP($A185,TB.PRO!$A:$A,TB.PRO!L:L,0,0,1)</f>
        <v>0</v>
      </c>
      <c r="T185" s="1390">
        <f>_xlfn.XLOOKUP($A185,TB.PRO!$A:$A,TB.PRO!M:M,0,0,1)</f>
        <v>0</v>
      </c>
      <c r="U185" s="1390">
        <f>SUMIF('[2]Sum - Fiscal'!$P:$P,$A185,'[2]Sum - Fiscal'!$G:$G)</f>
        <v>1256364</v>
      </c>
      <c r="V185" s="1390"/>
      <c r="W185" s="1390"/>
      <c r="X185" s="665">
        <f>ROUND(SUM(S185:W185),0)</f>
        <v>1256364</v>
      </c>
      <c r="Y185" s="1390">
        <f>_xlfn.XLOOKUP($A185,TB.PRO!$A:$A,TB.PRO!O:O,0,0,1)</f>
        <v>0</v>
      </c>
      <c r="Z185" s="1390">
        <f>_xlfn.XLOOKUP($A185,TB.PRO!$A:$A,TB.PRO!P:P,0,0,1)</f>
        <v>0</v>
      </c>
      <c r="AA185" s="1390">
        <f>SUMIF('[2]Sum - Fiscal'!$P:$P,$A185,'[2]Sum - Fiscal'!$H:$H)</f>
        <v>188259</v>
      </c>
      <c r="AB185" s="1390"/>
      <c r="AC185" s="1390"/>
      <c r="AD185" s="219">
        <f>ROUND(SUM(Y185:AC185),0)</f>
        <v>188259</v>
      </c>
      <c r="AE185" s="1390">
        <f>_xlfn.XLOOKUP($A185,TB.PRO!$A:$A,TB.PRO!R:R,0,0,1)</f>
        <v>0</v>
      </c>
      <c r="AF185" s="1390">
        <f>_xlfn.XLOOKUP($A185,TB.PRO!$A:$A,TB.PRO!S:S,0,0,1)</f>
        <v>0</v>
      </c>
      <c r="AG185" s="1390">
        <f>SUMIF('[2]Sum - Fiscal'!$P:$P,$A185,'[2]Sum - Fiscal'!$I:$I)</f>
        <v>0</v>
      </c>
      <c r="AH185" s="1390"/>
      <c r="AI185" s="1390"/>
      <c r="AJ185" s="219">
        <f>ROUND(SUM(AE185:AI185),0)</f>
        <v>0</v>
      </c>
      <c r="AK185" s="178" t="str">
        <f>_xlfn.XLOOKUP($A185,COA!$B:$B,COA!$C:$C,0,0,1)</f>
        <v>Amortization expense</v>
      </c>
      <c r="AL185" s="178" t="str">
        <f>_xlfn.XLOOKUP($A185,COA!$B:$B,COA!$D:$D,0,0,1)</f>
        <v>Amortization expense</v>
      </c>
      <c r="AM185" s="178" t="str">
        <f>_xlfn.XLOOKUP($A185,COA!$B:$B,COA!$E:$E,0,0,1)</f>
        <v>Accumulated deficit</v>
      </c>
      <c r="AO185" s="85"/>
      <c r="AP185" s="87"/>
      <c r="AQ185" s="87"/>
      <c r="AR185" s="87"/>
      <c r="AS185" s="87"/>
      <c r="AT185" s="85"/>
      <c r="AU185" s="85"/>
      <c r="AV185" s="85"/>
      <c r="AW185" s="85"/>
      <c r="AX185" s="85"/>
      <c r="AY185" s="85"/>
      <c r="AZ185" s="85"/>
      <c r="BA185" s="85"/>
      <c r="BB185" s="85"/>
      <c r="BC185" s="85"/>
      <c r="BD185" s="85"/>
      <c r="BE185" s="85"/>
      <c r="BF185" s="85"/>
      <c r="BG185" s="85"/>
    </row>
    <row r="186" spans="1:61" x14ac:dyDescent="0.25">
      <c r="A186" s="1389"/>
      <c r="B186" s="1390"/>
      <c r="C186" s="1390"/>
      <c r="D186" s="1390"/>
      <c r="E186" s="1390"/>
      <c r="F186" s="219"/>
      <c r="G186" s="1390"/>
      <c r="H186" s="1390"/>
      <c r="I186" s="1390"/>
      <c r="J186" s="1390"/>
      <c r="K186" s="1390"/>
      <c r="L186" s="665"/>
      <c r="M186" s="1390"/>
      <c r="N186" s="1390"/>
      <c r="O186" s="1390">
        <f>SUMIF('[2]Sum - Fiscal'!$P:$P,$A186,'[2]Sum - Fiscal'!$F:$F)</f>
        <v>0</v>
      </c>
      <c r="P186" s="1390"/>
      <c r="Q186" s="1390"/>
      <c r="R186" s="665"/>
      <c r="S186" s="1390"/>
      <c r="T186" s="1390"/>
      <c r="U186" s="1390"/>
      <c r="V186" s="1390"/>
      <c r="W186" s="1390"/>
      <c r="X186" s="665"/>
      <c r="Y186" s="1390"/>
      <c r="Z186" s="1390"/>
      <c r="AA186" s="1390">
        <f>SUMIF('[2]Sum - Fiscal'!$P:$P,$A186,'[2]Sum - Fiscal'!$H:$H)</f>
        <v>0</v>
      </c>
      <c r="AB186" s="1390"/>
      <c r="AC186" s="1390"/>
      <c r="AD186" s="57"/>
      <c r="AE186" s="1390"/>
      <c r="AF186" s="1390"/>
      <c r="AG186" s="1390"/>
      <c r="AH186" s="1390"/>
      <c r="AI186" s="1390"/>
      <c r="AJ186" s="57"/>
      <c r="AK186" s="178"/>
      <c r="AL186" s="178"/>
      <c r="AM186" s="178"/>
      <c r="AO186" s="85"/>
      <c r="AP186" s="87"/>
      <c r="AQ186" s="87"/>
      <c r="AR186" s="87"/>
      <c r="AS186" s="87"/>
      <c r="AT186" s="85"/>
      <c r="AU186" s="85"/>
      <c r="AV186" s="85"/>
      <c r="AW186" s="85"/>
      <c r="AX186" s="85"/>
      <c r="AY186" s="85"/>
      <c r="AZ186" s="85"/>
      <c r="BA186" s="85"/>
      <c r="BB186" s="85"/>
      <c r="BC186" s="85"/>
      <c r="BD186" s="85"/>
      <c r="BE186" s="85"/>
      <c r="BF186" s="85"/>
      <c r="BG186" s="85"/>
    </row>
    <row r="187" spans="1:61" ht="12.6" hidden="1" thickBot="1" x14ac:dyDescent="0.35">
      <c r="A187" s="48" t="s">
        <v>0</v>
      </c>
      <c r="B187" s="49">
        <f>SUM(B8:B186)</f>
        <v>-5.6024873629212379E-10</v>
      </c>
      <c r="C187" s="49">
        <f>SUM(C8:C186)</f>
        <v>1.4350121091410983E-10</v>
      </c>
      <c r="D187" s="49">
        <f>SUM(D8:D186)</f>
        <v>0</v>
      </c>
      <c r="E187" s="49">
        <f>SUM(E8:E186)</f>
        <v>0</v>
      </c>
      <c r="F187" s="49">
        <f>SUM(F8:F186)</f>
        <v>0</v>
      </c>
      <c r="G187" s="49">
        <f>SUM(G8:G186)</f>
        <v>1.0113581083714962E-9</v>
      </c>
      <c r="H187" s="49">
        <f>SUM(H8:H186)</f>
        <v>0</v>
      </c>
      <c r="I187" s="49">
        <f>SUM(I8:I186)</f>
        <v>0</v>
      </c>
      <c r="J187" s="49">
        <f>SUM(J8:J186)</f>
        <v>0</v>
      </c>
      <c r="K187" s="49">
        <f>SUM(K8:K186)</f>
        <v>0</v>
      </c>
      <c r="L187" s="49">
        <f>SUM(L8:L186)</f>
        <v>0</v>
      </c>
      <c r="M187" s="49">
        <f>SUM(M8:M186)</f>
        <v>9.3132257461547852E-10</v>
      </c>
      <c r="N187" s="49">
        <f>SUM(N8:N186)</f>
        <v>0</v>
      </c>
      <c r="O187" s="49">
        <f>SUM(O8:O186)</f>
        <v>2.3283064365386963E-10</v>
      </c>
      <c r="P187" s="49">
        <f>SUM(P8:P186)</f>
        <v>0</v>
      </c>
      <c r="Q187" s="49">
        <f>SUM(Q8:Q186)</f>
        <v>-1</v>
      </c>
      <c r="R187" s="49">
        <f>SUM(R8:R186)</f>
        <v>0</v>
      </c>
      <c r="S187" s="49">
        <f>SUM(S8:S186)</f>
        <v>0</v>
      </c>
      <c r="T187" s="49">
        <f>SUM(T8:T186)</f>
        <v>-9.3132257461547852E-10</v>
      </c>
      <c r="U187" s="49">
        <f>SUM(U8:U186)</f>
        <v>0</v>
      </c>
      <c r="V187" s="49">
        <f>SUM(V8:V186)</f>
        <v>0</v>
      </c>
      <c r="W187" s="49">
        <f>SUM(W8:W186)</f>
        <v>-2</v>
      </c>
      <c r="X187" s="49">
        <f>SUM(X8:X186)</f>
        <v>0</v>
      </c>
      <c r="Y187" s="49">
        <f>SUM(Y8:Y186)</f>
        <v>4.6566128730773926E-10</v>
      </c>
      <c r="Z187" s="49">
        <f>SUM(Z8:Z186)</f>
        <v>0</v>
      </c>
      <c r="AA187" s="49">
        <f>SUM(AA8:AA186)</f>
        <v>-2.7939677238464355E-9</v>
      </c>
      <c r="AB187" s="49">
        <f>SUM(AB8:AB186)</f>
        <v>0</v>
      </c>
      <c r="AC187" s="49">
        <f>SUM(AC8:AC186)</f>
        <v>-1</v>
      </c>
      <c r="AD187" s="49">
        <f>SUM(AD8:AD186)</f>
        <v>0</v>
      </c>
      <c r="AE187" s="49">
        <f>SUM(AE8:AE186)</f>
        <v>1.862645149230957E-9</v>
      </c>
      <c r="AF187" s="49">
        <f>SUM(AF8:AF186)</f>
        <v>9.3132257461547852E-10</v>
      </c>
      <c r="AG187" s="49">
        <f>SUM(AG8:AG186)</f>
        <v>7.4505805969238281E-9</v>
      </c>
      <c r="AH187" s="49">
        <f>SUM(AH8:AH186)</f>
        <v>0</v>
      </c>
      <c r="AI187" s="49">
        <f>SUM(AI8:AI186)</f>
        <v>-1.0000000018626451</v>
      </c>
      <c r="AJ187" s="49">
        <f>SUM(AJ8:AJ186)</f>
        <v>0</v>
      </c>
      <c r="AK187" s="180"/>
      <c r="AL187" s="48"/>
      <c r="AM187" s="48"/>
      <c r="AN187" s="19"/>
      <c r="AO187" s="87"/>
      <c r="AP187" s="87"/>
      <c r="AQ187" s="87"/>
      <c r="AR187" s="87"/>
      <c r="AS187" s="87"/>
      <c r="AT187" s="85"/>
      <c r="AU187" s="85"/>
      <c r="AV187" s="85"/>
      <c r="AW187" s="85"/>
      <c r="AX187" s="85"/>
      <c r="AY187" s="85"/>
      <c r="AZ187" s="85"/>
      <c r="BA187" s="85"/>
      <c r="BB187" s="85"/>
      <c r="BC187" s="85"/>
      <c r="BD187" s="85"/>
      <c r="BE187" s="85"/>
      <c r="BF187" s="85"/>
      <c r="BG187" s="85"/>
    </row>
    <row r="188" spans="1:61" x14ac:dyDescent="0.3">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81"/>
      <c r="AL188" s="19"/>
      <c r="AM188" s="19"/>
      <c r="AN188" s="19"/>
      <c r="AO188" s="87"/>
      <c r="AP188" s="87"/>
      <c r="AQ188" s="87"/>
      <c r="AR188" s="87"/>
      <c r="AS188" s="87"/>
      <c r="AT188" s="85"/>
      <c r="AU188" s="85"/>
      <c r="AV188" s="85"/>
      <c r="AW188" s="85"/>
      <c r="AX188" s="85"/>
      <c r="AY188" s="85"/>
      <c r="AZ188" s="85"/>
      <c r="BA188" s="85"/>
      <c r="BB188" s="85"/>
      <c r="BC188" s="85"/>
      <c r="BD188" s="85"/>
      <c r="BE188" s="85"/>
      <c r="BF188" s="85"/>
      <c r="BG188" s="85"/>
    </row>
    <row r="189" spans="1:61" s="974" customFormat="1" x14ac:dyDescent="0.3">
      <c r="A189" s="1570" t="s">
        <v>2287</v>
      </c>
      <c r="I189" s="1571">
        <f>'[2]Sum - Fiscal'!$E$48+I4+J101+J110</f>
        <v>-471288.52500000014</v>
      </c>
      <c r="O189" s="1571">
        <f>'[2]Sum - Fiscal'!$F$48+O4</f>
        <v>0</v>
      </c>
      <c r="U189" s="1571">
        <f>'[2]Sum - Fiscal'!$G$48+U4</f>
        <v>0</v>
      </c>
      <c r="AA189" s="88">
        <f>'[2]Sum - Fiscal'!$H$48+AA4</f>
        <v>0</v>
      </c>
      <c r="AG189" s="88">
        <f>'[2]Sum - Fiscal'!$I$48+AG4</f>
        <v>0</v>
      </c>
      <c r="AK189" s="1578"/>
      <c r="AO189" s="1579"/>
      <c r="AP189" s="1579"/>
      <c r="AQ189" s="1579"/>
      <c r="AR189" s="1579"/>
      <c r="AS189" s="1579"/>
      <c r="AT189" s="1579"/>
      <c r="AU189" s="1579"/>
      <c r="AV189" s="1579"/>
      <c r="AW189" s="1579"/>
      <c r="AX189" s="1579"/>
      <c r="AY189" s="1579"/>
      <c r="AZ189" s="1579"/>
      <c r="BA189" s="1579"/>
      <c r="BB189" s="1579"/>
      <c r="BC189" s="1579"/>
      <c r="BD189" s="1579"/>
      <c r="BE189" s="1579"/>
      <c r="BF189" s="1579"/>
      <c r="BG189" s="1579"/>
      <c r="BI189" s="89" t="s">
        <v>19</v>
      </c>
    </row>
    <row r="190" spans="1:61" x14ac:dyDescent="0.3">
      <c r="AK190" s="182"/>
      <c r="AO190" s="64">
        <f>comp_period_1</f>
        <v>45473</v>
      </c>
      <c r="AP190" s="45">
        <f>_xlfn.XLOOKUP(AP5,FS.1!$U:$U,FS.1!$E:$E,0,0,1)</f>
        <v>5604</v>
      </c>
      <c r="AQ190" s="45">
        <f>_xlfn.XLOOKUP(AQ5,FS.1!$U:$U,FS.1!$E:$E,0,0,1)</f>
        <v>0</v>
      </c>
      <c r="AR190" s="45">
        <f>_xlfn.XLOOKUP(AR5,FS.1!$U:$U,FS.1!$E:$E,0,0,1)</f>
        <v>0</v>
      </c>
      <c r="AS190" s="45">
        <f>_xlfn.XLOOKUP(AS5,FS.1!$U:$U,FS.1!$E:$E,0,0,1)</f>
        <v>30450</v>
      </c>
      <c r="AT190" s="45">
        <f>_xlfn.XLOOKUP(AT5,FS.1!$U:$U,FS.1!$E:$E,0,0,1)</f>
        <v>452364</v>
      </c>
      <c r="AU190" s="45">
        <f>_xlfn.XLOOKUP(AU5,FS.1!$U:$U,FS.1!$E:$E,0,0,1)</f>
        <v>0</v>
      </c>
      <c r="AV190" s="45">
        <f>_xlfn.XLOOKUP(AV5,FS.1!$U:$U,FS.1!$E:$E,0,0,1)</f>
        <v>0</v>
      </c>
      <c r="AW190" s="45">
        <f>_xlfn.XLOOKUP(AW5,FS.1!$U:$U,FS.1!$E:$E,0,0,1)</f>
        <v>5341</v>
      </c>
      <c r="AX190" s="45">
        <f>_xlfn.XLOOKUP(AX5,FS.1!$U:$U,FS.1!$E:$E,0,0,1)</f>
        <v>5527806</v>
      </c>
      <c r="AY190" s="45">
        <f>-_xlfn.XLOOKUP(AY5,FS.1!$U:$U,FS.1!$E:$E,0,0,1)</f>
        <v>-349791</v>
      </c>
      <c r="AZ190" s="45">
        <f>-_xlfn.XLOOKUP(AZ5,FS.1!$U:$U,FS.1!$E:$E,0,0,1)</f>
        <v>0</v>
      </c>
      <c r="BA190" s="45">
        <f>-_xlfn.XLOOKUP(BA5,FS.1!$U:$U,FS.1!$E:$E,0,0,1)</f>
        <v>-204577</v>
      </c>
      <c r="BB190" s="45">
        <f>-_xlfn.XLOOKUP(BB5,FS.1!$U:$U,FS.1!$E:$E,0,0,1)</f>
        <v>0</v>
      </c>
      <c r="BC190" s="45">
        <f>-_xlfn.XLOOKUP(BC5,FS.1!$U:$U,FS.1!$E:$E,0,0,1)</f>
        <v>0</v>
      </c>
      <c r="BD190" s="45">
        <f>-_xlfn.XLOOKUP(BD5,FS.1!$U:$U,FS.1!$E:$E,0,0,1)</f>
        <v>-1838</v>
      </c>
      <c r="BE190" s="45">
        <f>-_xlfn.XLOOKUP(BE5,FS.1!$U:$U,FS.1!$E:$E,0,0,1)</f>
        <v>-8224099</v>
      </c>
      <c r="BF190" s="45">
        <f>-_xlfn.XLOOKUP(BF5,FS.1!$U:$U,FS.1!$E:$E,0,0,1)</f>
        <v>-308750</v>
      </c>
      <c r="BG190" s="45">
        <f>-_xlfn.XLOOKUP(BG5,FS.1!$U:$U,FS.1!$E:$E,0,0,1)</f>
        <v>0</v>
      </c>
      <c r="BI190" s="88">
        <f>SUM(AP190:BG190)</f>
        <v>-3067490</v>
      </c>
    </row>
    <row r="191" spans="1:61" x14ac:dyDescent="0.3">
      <c r="A191" s="77" t="s">
        <v>2293</v>
      </c>
      <c r="AO191" s="64">
        <f>A2</f>
        <v>45838</v>
      </c>
      <c r="AP191" s="45">
        <f>_xlfn.XLOOKUP(AP6,FS.1!$T:$T,FS.1!$C:$C,0,0,1)</f>
        <v>392</v>
      </c>
      <c r="AQ191" s="45">
        <f>_xlfn.XLOOKUP(AQ6,FS.1!$T:$T,FS.1!$C:$C,0,0,1)</f>
        <v>0</v>
      </c>
      <c r="AR191" s="45">
        <f>_xlfn.XLOOKUP(AR6,FS.1!$T:$T,FS.1!$C:$C,0,0,1)</f>
        <v>0</v>
      </c>
      <c r="AS191" s="45">
        <f>_xlfn.XLOOKUP(AS6,FS.1!$T:$T,FS.1!$C:$C,0,0,1)</f>
        <v>37905</v>
      </c>
      <c r="AT191" s="45">
        <f>_xlfn.XLOOKUP(AT6,FS.1!$T:$T,FS.1!$C:$C,0,0,1)</f>
        <v>161256</v>
      </c>
      <c r="AU191" s="45">
        <f>_xlfn.XLOOKUP(AU6,FS.1!$T:$T,FS.1!$C:$C,0,0,1)</f>
        <v>0</v>
      </c>
      <c r="AV191" s="45">
        <f>_xlfn.XLOOKUP(AV6,FS.1!$T:$T,FS.1!$C:$C,0,0,1)</f>
        <v>0</v>
      </c>
      <c r="AW191" s="45">
        <f>_xlfn.XLOOKUP(AW6,FS.1!$T:$T,FS.1!$C:$C,0,0,1)</f>
        <v>5341</v>
      </c>
      <c r="AX191" s="45">
        <f>_xlfn.XLOOKUP(AX6,FS.1!$T:$T,FS.1!$C:$C,0,0,1)</f>
        <v>4271442</v>
      </c>
      <c r="AY191" s="45">
        <f>-_xlfn.XLOOKUP(AY6,FS.1!$T:$T,FS.1!$C:$C,0,0,1)</f>
        <v>-603276</v>
      </c>
      <c r="AZ191" s="45">
        <f>-_xlfn.XLOOKUP(AZ6,FS.1!$T:$T,FS.1!$C:$C,0,0,1)</f>
        <v>0</v>
      </c>
      <c r="BA191" s="45">
        <f>-_xlfn.XLOOKUP(BA6,FS.1!$T:$T,FS.1!$C:$C,0,0,1)</f>
        <v>-274099</v>
      </c>
      <c r="BB191" s="45">
        <f>-_xlfn.XLOOKUP(BB6,FS.1!$T:$T,FS.1!$C:$C,0,0,1)</f>
        <v>0</v>
      </c>
      <c r="BC191" s="45">
        <f>-_xlfn.XLOOKUP(BC6,FS.1!$T:$T,FS.1!$C:$C,0,0,1)</f>
        <v>0</v>
      </c>
      <c r="BD191" s="45">
        <f>-_xlfn.XLOOKUP(BD6,FS.1!$T:$T,FS.1!$C:$C,0,0,1)</f>
        <v>-5338</v>
      </c>
      <c r="BE191" s="45">
        <f>-_xlfn.XLOOKUP(BE6,FS.1!$T:$T,FS.1!$C:$C,0,0,1)</f>
        <v>-8224099</v>
      </c>
      <c r="BF191" s="45">
        <f>-_xlfn.XLOOKUP(BF6,FS.1!$T:$T,FS.1!$C:$C,0,0,1)</f>
        <v>-308750</v>
      </c>
      <c r="BG191" s="45">
        <f>-_xlfn.XLOOKUP(BG6,FS.1!$T:$T,FS.1!$C:$C,0,0,1)</f>
        <v>4939226</v>
      </c>
      <c r="BI191" s="88">
        <f>SUM(AP191:BG191)</f>
        <v>0</v>
      </c>
    </row>
    <row r="192" spans="1:61" ht="12.6" thickBot="1" x14ac:dyDescent="0.35">
      <c r="A192" s="77" t="s">
        <v>2294</v>
      </c>
      <c r="B192" s="1622">
        <v>0</v>
      </c>
      <c r="AO192" s="56" t="s">
        <v>18</v>
      </c>
      <c r="AP192" s="59">
        <f t="shared" ref="AP192:BG192" si="26">AP191-AP190</f>
        <v>-5212</v>
      </c>
      <c r="AQ192" s="59">
        <f t="shared" si="26"/>
        <v>0</v>
      </c>
      <c r="AR192" s="59">
        <f t="shared" si="26"/>
        <v>0</v>
      </c>
      <c r="AS192" s="59">
        <f t="shared" si="26"/>
        <v>7455</v>
      </c>
      <c r="AT192" s="59">
        <f t="shared" si="26"/>
        <v>-291108</v>
      </c>
      <c r="AU192" s="59">
        <f t="shared" si="26"/>
        <v>0</v>
      </c>
      <c r="AV192" s="59">
        <f t="shared" si="26"/>
        <v>0</v>
      </c>
      <c r="AW192" s="59">
        <f t="shared" si="26"/>
        <v>0</v>
      </c>
      <c r="AX192" s="59">
        <f t="shared" si="26"/>
        <v>-1256364</v>
      </c>
      <c r="AY192" s="59">
        <f t="shared" si="26"/>
        <v>-253485</v>
      </c>
      <c r="AZ192" s="59">
        <f t="shared" si="26"/>
        <v>0</v>
      </c>
      <c r="BA192" s="59">
        <f t="shared" si="26"/>
        <v>-69522</v>
      </c>
      <c r="BB192" s="59">
        <f t="shared" si="26"/>
        <v>0</v>
      </c>
      <c r="BC192" s="59">
        <f t="shared" si="26"/>
        <v>0</v>
      </c>
      <c r="BD192" s="59">
        <f t="shared" si="26"/>
        <v>-3500</v>
      </c>
      <c r="BE192" s="59">
        <f t="shared" si="26"/>
        <v>0</v>
      </c>
      <c r="BF192" s="59">
        <f t="shared" si="26"/>
        <v>0</v>
      </c>
      <c r="BG192" s="59">
        <f t="shared" si="26"/>
        <v>4939226</v>
      </c>
    </row>
    <row r="193" spans="1:59" x14ac:dyDescent="0.3">
      <c r="AO193" s="1398"/>
      <c r="AP193" s="57"/>
      <c r="AQ193" s="1392"/>
      <c r="AR193" s="1392"/>
      <c r="AS193" s="1392"/>
      <c r="AT193" s="1392"/>
      <c r="AU193" s="1392"/>
      <c r="AV193" s="1392"/>
      <c r="AW193" s="1392"/>
      <c r="AX193" s="1392"/>
      <c r="AY193" s="1392"/>
      <c r="AZ193" s="1392"/>
      <c r="BA193" s="1392"/>
      <c r="BB193" s="1392"/>
      <c r="BC193" s="1392"/>
      <c r="BD193" s="1392"/>
      <c r="BE193" s="1392"/>
      <c r="BF193" s="1392"/>
      <c r="BG193" s="1392"/>
    </row>
    <row r="194" spans="1:59" x14ac:dyDescent="0.3">
      <c r="AO194" s="1474" t="s">
        <v>9</v>
      </c>
      <c r="AP194" s="55"/>
      <c r="AQ194" s="1397"/>
      <c r="AR194" s="1397"/>
      <c r="AS194" s="1397"/>
      <c r="AT194" s="1397"/>
      <c r="AU194" s="1397"/>
      <c r="AV194" s="1397"/>
      <c r="AW194" s="1397"/>
      <c r="AX194" s="1397"/>
      <c r="AY194" s="1397"/>
      <c r="AZ194" s="1397"/>
      <c r="BA194" s="1397"/>
      <c r="BB194" s="1397"/>
      <c r="BC194" s="1397"/>
      <c r="BD194" s="1397"/>
      <c r="BE194" s="1397"/>
      <c r="BF194" s="1397"/>
      <c r="BG194" s="1397"/>
    </row>
    <row r="195" spans="1:59" x14ac:dyDescent="0.3">
      <c r="A195" s="77" t="s">
        <v>2312</v>
      </c>
      <c r="B195" s="1623">
        <v>3000000</v>
      </c>
      <c r="C195" s="1624">
        <v>0.12</v>
      </c>
      <c r="AO195" s="1470" t="s">
        <v>274</v>
      </c>
      <c r="AP195" s="55">
        <f>ROUND(SUM(AQ195:BG195),0)</f>
        <v>-1871736</v>
      </c>
      <c r="AQ195" s="1397"/>
      <c r="AR195" s="1397"/>
      <c r="AS195" s="1397"/>
      <c r="AT195" s="1397"/>
      <c r="AU195" s="1397"/>
      <c r="AV195" s="1397"/>
      <c r="AW195" s="1397"/>
      <c r="AX195" s="1397"/>
      <c r="AY195" s="1397"/>
      <c r="AZ195" s="1397"/>
      <c r="BA195" s="1397"/>
      <c r="BB195" s="1397"/>
      <c r="BC195" s="1397"/>
      <c r="BD195" s="1397"/>
      <c r="BE195" s="1397"/>
      <c r="BF195" s="1397"/>
      <c r="BG195" s="1397">
        <f>FS.1!G72</f>
        <v>-1871736</v>
      </c>
    </row>
    <row r="196" spans="1:59" x14ac:dyDescent="0.3">
      <c r="AO196" s="1470"/>
      <c r="AP196" s="55"/>
      <c r="AQ196" s="1397"/>
      <c r="AR196" s="1397"/>
      <c r="AS196" s="1397"/>
      <c r="AT196" s="1397"/>
      <c r="AU196" s="1397"/>
      <c r="AV196" s="1397"/>
      <c r="AW196" s="1397"/>
      <c r="AX196" s="1397"/>
      <c r="AY196" s="1397"/>
      <c r="AZ196" s="1397"/>
      <c r="BA196" s="1397"/>
      <c r="BB196" s="1397"/>
      <c r="BC196" s="1397"/>
      <c r="BD196" s="1397"/>
      <c r="BE196" s="1397"/>
      <c r="BF196" s="1397"/>
      <c r="BG196" s="1397"/>
    </row>
    <row r="197" spans="1:59" x14ac:dyDescent="0.3">
      <c r="B197" s="1618" t="s">
        <v>2295</v>
      </c>
      <c r="C197" s="1618" t="s">
        <v>1597</v>
      </c>
      <c r="L197" s="926"/>
      <c r="R197" s="926"/>
      <c r="X197" s="926"/>
      <c r="AD197" s="926"/>
      <c r="AJ197" s="926"/>
      <c r="AO197" s="1474" t="s">
        <v>46</v>
      </c>
      <c r="AP197" s="55"/>
      <c r="AQ197" s="1397"/>
      <c r="AR197" s="1397"/>
      <c r="AS197" s="1397"/>
      <c r="AT197" s="1397"/>
      <c r="AU197" s="1397"/>
      <c r="AV197" s="1397"/>
      <c r="AW197" s="1397"/>
      <c r="AX197" s="1397"/>
      <c r="AY197" s="1397"/>
      <c r="AZ197" s="1397"/>
      <c r="BA197" s="1397"/>
      <c r="BB197" s="1397"/>
      <c r="BC197" s="1397"/>
      <c r="BD197" s="1397"/>
      <c r="BE197" s="1397"/>
      <c r="BF197" s="1397"/>
      <c r="BG197" s="1397"/>
    </row>
    <row r="198" spans="1:59" x14ac:dyDescent="0.3">
      <c r="A198" s="1616">
        <v>46203</v>
      </c>
      <c r="B198" s="1620">
        <f>B195</f>
        <v>3000000</v>
      </c>
      <c r="C198" s="1617">
        <f>($C$195*$B$195)*(4/12)</f>
        <v>120000</v>
      </c>
      <c r="L198" s="78"/>
      <c r="R198" s="78"/>
      <c r="X198" s="78"/>
      <c r="AD198" s="78"/>
      <c r="AJ198" s="78"/>
      <c r="AO198" s="1470" t="s">
        <v>1281</v>
      </c>
      <c r="AP198" s="55">
        <f>ROUND(SUM(AQ198:BG198),0)</f>
        <v>0</v>
      </c>
      <c r="AQ198" s="1397"/>
      <c r="AR198" s="1397"/>
      <c r="AS198" s="1397"/>
      <c r="AT198" s="1397"/>
      <c r="AU198" s="1397"/>
      <c r="AV198" s="1397"/>
      <c r="AW198" s="1397"/>
      <c r="AX198" s="1397"/>
      <c r="AY198" s="1397"/>
      <c r="AZ198" s="1397"/>
      <c r="BA198" s="1397"/>
      <c r="BB198" s="1397"/>
      <c r="BC198" s="1397"/>
      <c r="BD198" s="1397"/>
      <c r="BE198" s="1397"/>
      <c r="BF198" s="1397"/>
      <c r="BG198" s="1397"/>
    </row>
    <row r="199" spans="1:59" x14ac:dyDescent="0.3">
      <c r="A199" s="1616">
        <f>EOMONTH(A198,12)</f>
        <v>46568</v>
      </c>
      <c r="B199" s="1617">
        <f>B198</f>
        <v>3000000</v>
      </c>
      <c r="C199" s="1617">
        <f>($C$195*$B$195)*(12/12)</f>
        <v>360000</v>
      </c>
      <c r="L199" s="78"/>
      <c r="R199" s="78"/>
      <c r="X199" s="78"/>
      <c r="AD199" s="78"/>
      <c r="AJ199" s="78"/>
      <c r="AO199" s="1470" t="s">
        <v>1282</v>
      </c>
      <c r="AP199" s="55">
        <f t="shared" ref="AP199:AP204" si="27">ROUND(SUM(AQ199:BG199),0)</f>
        <v>0</v>
      </c>
      <c r="AQ199" s="1397"/>
      <c r="AR199" s="1397"/>
      <c r="AS199" s="1397"/>
      <c r="AT199" s="1397"/>
      <c r="AU199" s="1397"/>
      <c r="AV199" s="1397"/>
      <c r="AW199" s="1397"/>
      <c r="AX199" s="1397"/>
      <c r="AY199" s="1397"/>
      <c r="AZ199" s="1397"/>
      <c r="BA199" s="1397"/>
      <c r="BB199" s="1397"/>
      <c r="BC199" s="1397"/>
      <c r="BD199" s="1397"/>
      <c r="BE199" s="1397"/>
      <c r="BF199" s="1397"/>
      <c r="BG199" s="1397"/>
    </row>
    <row r="200" spans="1:59" x14ac:dyDescent="0.3">
      <c r="A200" s="1616">
        <f t="shared" ref="A200:A202" si="28">EOMONTH(A199,12)</f>
        <v>46934</v>
      </c>
      <c r="B200" s="1617">
        <f>-B199</f>
        <v>-3000000</v>
      </c>
      <c r="C200" s="1617">
        <f>($C$195*$B$195)*(12/12)</f>
        <v>360000</v>
      </c>
      <c r="L200" s="78"/>
      <c r="R200" s="78"/>
      <c r="X200" s="78"/>
      <c r="AD200" s="78"/>
      <c r="AJ200" s="78"/>
      <c r="AO200" s="1470" t="s">
        <v>1369</v>
      </c>
      <c r="AP200" s="55">
        <f t="shared" si="27"/>
        <v>31957</v>
      </c>
      <c r="AQ200" s="1397"/>
      <c r="AR200" s="1397"/>
      <c r="AS200" s="1397"/>
      <c r="AT200" s="1397"/>
      <c r="AU200" s="1397"/>
      <c r="AV200" s="1397"/>
      <c r="AW200" s="1397"/>
      <c r="AX200" s="1397"/>
      <c r="AY200" s="1397"/>
      <c r="AZ200" s="1397"/>
      <c r="BA200" s="1397">
        <f>F183</f>
        <v>31957</v>
      </c>
      <c r="BB200" s="1397"/>
      <c r="BC200" s="1397"/>
      <c r="BD200" s="1397"/>
      <c r="BE200" s="1397"/>
      <c r="BF200" s="1397"/>
      <c r="BG200" s="1397"/>
    </row>
    <row r="201" spans="1:59" x14ac:dyDescent="0.3">
      <c r="A201" s="1616">
        <f t="shared" si="28"/>
        <v>47299</v>
      </c>
      <c r="B201" s="1617">
        <v>0</v>
      </c>
      <c r="L201" s="78"/>
      <c r="R201" s="78"/>
      <c r="X201" s="78"/>
      <c r="AD201" s="78"/>
      <c r="AJ201" s="78"/>
      <c r="AO201" s="1470" t="s">
        <v>26</v>
      </c>
      <c r="AP201" s="55">
        <f t="shared" si="27"/>
        <v>37565</v>
      </c>
      <c r="AQ201" s="1397"/>
      <c r="AR201" s="1397"/>
      <c r="AS201" s="1397"/>
      <c r="AT201" s="1397"/>
      <c r="AU201" s="1397"/>
      <c r="AV201" s="1397"/>
      <c r="AW201" s="1397"/>
      <c r="AX201" s="1397"/>
      <c r="AY201" s="1397"/>
      <c r="AZ201" s="1397"/>
      <c r="BA201" s="1397">
        <f>B133</f>
        <v>37565</v>
      </c>
      <c r="BB201" s="1397"/>
      <c r="BC201" s="1397"/>
      <c r="BD201" s="1397"/>
      <c r="BE201" s="1397"/>
      <c r="BF201" s="1397"/>
      <c r="BG201" s="1397"/>
    </row>
    <row r="202" spans="1:59" x14ac:dyDescent="0.3">
      <c r="A202" s="1616">
        <f t="shared" si="28"/>
        <v>47664</v>
      </c>
      <c r="B202" s="1617">
        <v>0</v>
      </c>
      <c r="L202" s="78"/>
      <c r="R202" s="78"/>
      <c r="X202" s="78"/>
      <c r="AD202" s="78"/>
      <c r="AJ202" s="78"/>
      <c r="AK202" s="178" t="s">
        <v>240</v>
      </c>
      <c r="AL202" s="19">
        <f t="shared" ref="AL202:AL215" si="29">SUMIF($AL$8:$AL$188,AK202,$F$8:$F$188)</f>
        <v>2281</v>
      </c>
      <c r="AO202" s="1470" t="s">
        <v>7</v>
      </c>
      <c r="AP202" s="55">
        <f t="shared" si="27"/>
        <v>0</v>
      </c>
      <c r="AQ202" s="1397"/>
      <c r="AR202" s="1397"/>
      <c r="AS202" s="1397"/>
      <c r="AT202" s="1397"/>
      <c r="AU202" s="1397"/>
      <c r="AV202" s="1397"/>
      <c r="AW202" s="1397"/>
      <c r="AX202" s="1397"/>
      <c r="AY202" s="1397"/>
      <c r="AZ202" s="1397"/>
      <c r="BA202" s="1397"/>
      <c r="BB202" s="1397"/>
      <c r="BC202" s="1397"/>
      <c r="BD202" s="1397"/>
      <c r="BE202" s="1397"/>
      <c r="BF202" s="1397"/>
      <c r="BG202" s="1397"/>
    </row>
    <row r="203" spans="1:59" x14ac:dyDescent="0.3">
      <c r="A203" s="1616"/>
      <c r="F203" s="78"/>
      <c r="L203" s="78"/>
      <c r="R203" s="78"/>
      <c r="X203" s="78"/>
      <c r="AD203" s="78"/>
      <c r="AJ203" s="78"/>
      <c r="AK203" s="178" t="s">
        <v>236</v>
      </c>
      <c r="AL203" s="19">
        <f t="shared" si="29"/>
        <v>133726</v>
      </c>
      <c r="AO203" s="1470" t="s">
        <v>47</v>
      </c>
      <c r="AP203" s="55">
        <f t="shared" si="27"/>
        <v>0</v>
      </c>
      <c r="AQ203" s="1397"/>
      <c r="AR203" s="1397"/>
      <c r="AS203" s="1397"/>
      <c r="AT203" s="1397"/>
      <c r="AU203" s="1397"/>
      <c r="AV203" s="1397"/>
      <c r="AW203" s="1397"/>
      <c r="AX203" s="1397"/>
      <c r="AY203" s="1397"/>
      <c r="AZ203" s="1397"/>
      <c r="BA203" s="1397"/>
      <c r="BB203" s="1397"/>
      <c r="BC203" s="1397"/>
      <c r="BD203" s="1397"/>
      <c r="BE203" s="1397"/>
      <c r="BF203" s="1397"/>
      <c r="BG203" s="1397"/>
    </row>
    <row r="204" spans="1:59" x14ac:dyDescent="0.2">
      <c r="A204" s="256"/>
      <c r="F204" s="78"/>
      <c r="L204" s="78"/>
      <c r="R204" s="78"/>
      <c r="X204" s="78"/>
      <c r="AD204" s="78"/>
      <c r="AJ204" s="78"/>
      <c r="AK204" s="178" t="s">
        <v>514</v>
      </c>
      <c r="AL204" s="19">
        <f t="shared" si="29"/>
        <v>318291</v>
      </c>
      <c r="AO204" s="1470" t="s">
        <v>43</v>
      </c>
      <c r="AP204" s="55">
        <f t="shared" si="27"/>
        <v>1256364</v>
      </c>
      <c r="AQ204" s="1397"/>
      <c r="AR204" s="1397"/>
      <c r="AS204" s="1397"/>
      <c r="AT204" s="1397"/>
      <c r="AU204" s="1397"/>
      <c r="AV204" s="1397"/>
      <c r="AW204" s="1397"/>
      <c r="AX204" s="1397">
        <f>F163</f>
        <v>1256364</v>
      </c>
      <c r="AY204" s="1397"/>
      <c r="AZ204" s="1397"/>
      <c r="BA204" s="1397"/>
      <c r="BB204" s="1397"/>
      <c r="BC204" s="1397"/>
      <c r="BD204" s="1397"/>
      <c r="BE204" s="1397"/>
      <c r="BF204" s="1397"/>
      <c r="BG204" s="1397"/>
    </row>
    <row r="205" spans="1:59" x14ac:dyDescent="0.2">
      <c r="A205" s="256"/>
      <c r="F205" s="78"/>
      <c r="L205" s="78"/>
      <c r="R205" s="78"/>
      <c r="X205" s="78"/>
      <c r="AD205" s="78"/>
      <c r="AJ205" s="78"/>
      <c r="AK205" s="178" t="s">
        <v>243</v>
      </c>
      <c r="AL205" s="19">
        <f t="shared" si="29"/>
        <v>1742</v>
      </c>
      <c r="AO205" s="1470"/>
      <c r="AP205" s="55"/>
      <c r="AQ205" s="1397"/>
      <c r="AR205" s="1397"/>
      <c r="AS205" s="1397"/>
      <c r="AT205" s="1397"/>
      <c r="AU205" s="1397"/>
      <c r="AV205" s="1397"/>
      <c r="AW205" s="1397"/>
      <c r="AX205" s="1397"/>
      <c r="AY205" s="1397"/>
      <c r="AZ205" s="1397"/>
      <c r="BA205" s="1397"/>
      <c r="BB205" s="1397"/>
      <c r="BC205" s="1397"/>
      <c r="BD205" s="1397"/>
      <c r="BE205" s="1397"/>
      <c r="BF205" s="1397"/>
      <c r="BG205" s="1397"/>
    </row>
    <row r="206" spans="1:59" x14ac:dyDescent="0.2">
      <c r="A206" s="256"/>
      <c r="F206" s="78"/>
      <c r="L206" s="78"/>
      <c r="R206" s="78"/>
      <c r="X206" s="78"/>
      <c r="AD206" s="78"/>
      <c r="AJ206" s="78"/>
      <c r="AK206" s="178" t="s">
        <v>247</v>
      </c>
      <c r="AL206" s="19">
        <f t="shared" si="29"/>
        <v>8370</v>
      </c>
      <c r="AO206" s="1480" t="s">
        <v>52</v>
      </c>
      <c r="AP206" s="55"/>
      <c r="AQ206" s="1397"/>
      <c r="AR206" s="1397"/>
      <c r="AS206" s="1397"/>
      <c r="AT206" s="1397"/>
      <c r="AU206" s="1397"/>
      <c r="AV206" s="1397"/>
      <c r="AW206" s="1397"/>
      <c r="AX206" s="1397"/>
      <c r="AY206" s="1397"/>
      <c r="AZ206" s="1397"/>
      <c r="BA206" s="1397"/>
      <c r="BB206" s="1397"/>
      <c r="BC206" s="1397"/>
      <c r="BD206" s="1397"/>
      <c r="BE206" s="1397"/>
      <c r="BF206" s="1397"/>
      <c r="BG206" s="1397"/>
    </row>
    <row r="207" spans="1:59" x14ac:dyDescent="0.2">
      <c r="A207" s="256"/>
      <c r="F207" s="78"/>
      <c r="L207" s="78"/>
      <c r="R207" s="78"/>
      <c r="X207" s="78"/>
      <c r="AD207" s="78"/>
      <c r="AJ207" s="78"/>
      <c r="AK207" s="178" t="s">
        <v>200</v>
      </c>
      <c r="AL207" s="19">
        <f t="shared" si="29"/>
        <v>2747</v>
      </c>
      <c r="AO207" s="1470" t="s">
        <v>15</v>
      </c>
      <c r="AP207" s="55">
        <f t="shared" ref="AP207:AP221" si="30">ROUND(SUM(AQ207:BG207),0)</f>
        <v>0</v>
      </c>
      <c r="AQ207" s="1397"/>
      <c r="AR207" s="1397"/>
      <c r="AS207" s="1397"/>
      <c r="AT207" s="1397"/>
      <c r="AU207" s="1397"/>
      <c r="AV207" s="1397"/>
      <c r="AW207" s="1397"/>
      <c r="AX207" s="1397"/>
      <c r="AY207" s="1397"/>
      <c r="AZ207" s="1397"/>
      <c r="BA207" s="1397"/>
      <c r="BB207" s="1397"/>
      <c r="BC207" s="1397"/>
      <c r="BD207" s="1397"/>
      <c r="BE207" s="1397"/>
      <c r="BF207" s="1397"/>
      <c r="BG207" s="1397"/>
    </row>
    <row r="208" spans="1:59" x14ac:dyDescent="0.2">
      <c r="A208" s="256"/>
      <c r="F208" s="78"/>
      <c r="L208" s="78"/>
      <c r="R208" s="78"/>
      <c r="X208" s="78"/>
      <c r="AD208" s="78"/>
      <c r="AJ208" s="78"/>
      <c r="AK208" s="178" t="s">
        <v>27</v>
      </c>
      <c r="AL208" s="19">
        <f t="shared" si="29"/>
        <v>934</v>
      </c>
      <c r="AO208" s="1470" t="s">
        <v>22</v>
      </c>
      <c r="AP208" s="55">
        <f t="shared" si="30"/>
        <v>0</v>
      </c>
      <c r="AQ208" s="1397"/>
      <c r="AR208" s="1397"/>
      <c r="AS208" s="1397"/>
      <c r="AT208" s="1397"/>
      <c r="AU208" s="1397"/>
      <c r="AV208" s="1397"/>
      <c r="AW208" s="1397"/>
      <c r="AX208" s="1397"/>
      <c r="AY208" s="1397"/>
      <c r="AZ208" s="1397"/>
      <c r="BA208" s="1397"/>
      <c r="BB208" s="1397"/>
      <c r="BC208" s="1397"/>
      <c r="BD208" s="1397"/>
      <c r="BE208" s="1397"/>
      <c r="BF208" s="1397"/>
      <c r="BG208" s="1397"/>
    </row>
    <row r="209" spans="1:59" x14ac:dyDescent="0.2">
      <c r="A209" s="256"/>
      <c r="AK209" s="178" t="s">
        <v>242</v>
      </c>
      <c r="AL209" s="19">
        <f t="shared" si="29"/>
        <v>4524</v>
      </c>
      <c r="AO209" s="1470" t="str">
        <f>AR7</f>
        <v>Prepaid expenses</v>
      </c>
      <c r="AP209" s="55">
        <f t="shared" si="30"/>
        <v>0</v>
      </c>
      <c r="AQ209" s="1397"/>
      <c r="AR209" s="1397"/>
      <c r="AS209" s="1397"/>
      <c r="AT209" s="1397"/>
      <c r="AU209" s="1397"/>
      <c r="AV209" s="1397"/>
      <c r="AW209" s="1397"/>
      <c r="AX209" s="1397"/>
      <c r="AY209" s="1397"/>
      <c r="AZ209" s="1397"/>
      <c r="BA209" s="1397"/>
      <c r="BB209" s="1397"/>
      <c r="BC209" s="1397"/>
      <c r="BD209" s="1397"/>
      <c r="BE209" s="1397"/>
      <c r="BF209" s="1397"/>
      <c r="BG209" s="1397"/>
    </row>
    <row r="210" spans="1:59" x14ac:dyDescent="0.2">
      <c r="A210" s="256"/>
      <c r="AK210" s="178" t="s">
        <v>813</v>
      </c>
      <c r="AL210" s="19">
        <f t="shared" si="29"/>
        <v>0</v>
      </c>
      <c r="AO210" s="1470" t="str">
        <f>AS7</f>
        <v>Sales tax receivable</v>
      </c>
      <c r="AP210" s="55">
        <f t="shared" si="30"/>
        <v>-7455</v>
      </c>
      <c r="AQ210" s="1397"/>
      <c r="AR210" s="1397"/>
      <c r="AS210" s="1397">
        <f>-AS192</f>
        <v>-7455</v>
      </c>
      <c r="AT210" s="1397"/>
      <c r="AU210" s="1397"/>
      <c r="AV210" s="1397"/>
      <c r="AW210" s="1397"/>
      <c r="AX210" s="1397"/>
      <c r="AY210" s="1397"/>
      <c r="AZ210" s="1397"/>
      <c r="BA210" s="1397"/>
      <c r="BB210" s="1397"/>
      <c r="BC210" s="1397"/>
      <c r="BD210" s="1397"/>
      <c r="BE210" s="1397"/>
      <c r="BF210" s="1397"/>
      <c r="BG210" s="1397"/>
    </row>
    <row r="211" spans="1:59" x14ac:dyDescent="0.2">
      <c r="A211" s="256"/>
      <c r="AK211" s="178" t="s">
        <v>494</v>
      </c>
      <c r="AL211" s="19">
        <f t="shared" si="29"/>
        <v>26182</v>
      </c>
      <c r="AO211" s="1470" t="str">
        <f>AT7</f>
        <v>Inventory</v>
      </c>
      <c r="AP211" s="55">
        <f t="shared" si="30"/>
        <v>291108</v>
      </c>
      <c r="AQ211" s="1397"/>
      <c r="AR211" s="1397"/>
      <c r="AS211" s="1397"/>
      <c r="AT211" s="1397">
        <f>-AT192</f>
        <v>291108</v>
      </c>
      <c r="AU211" s="1397"/>
      <c r="AV211" s="1397"/>
      <c r="AW211" s="1397"/>
      <c r="AX211" s="1397"/>
      <c r="AY211" s="1397"/>
      <c r="AZ211" s="1397"/>
      <c r="BA211" s="1397"/>
      <c r="BB211" s="1397"/>
      <c r="BC211" s="1397"/>
      <c r="BD211" s="1397"/>
      <c r="BE211" s="1397"/>
      <c r="BF211" s="1397"/>
      <c r="BG211" s="1397"/>
    </row>
    <row r="212" spans="1:59" x14ac:dyDescent="0.2">
      <c r="A212" s="256"/>
      <c r="AK212" s="178" t="s">
        <v>627</v>
      </c>
      <c r="AL212" s="19">
        <f t="shared" si="29"/>
        <v>0</v>
      </c>
      <c r="AO212" s="1470" t="str">
        <f>AU7</f>
        <v>Due from related parties</v>
      </c>
      <c r="AP212" s="55">
        <f t="shared" si="30"/>
        <v>0</v>
      </c>
      <c r="AQ212" s="1397"/>
      <c r="AR212" s="1397"/>
      <c r="AS212" s="1397"/>
      <c r="AT212" s="1397"/>
      <c r="AU212" s="1397"/>
      <c r="AV212" s="1397"/>
      <c r="AW212" s="1397"/>
      <c r="AX212" s="1397"/>
      <c r="AY212" s="1397"/>
      <c r="AZ212" s="1397"/>
      <c r="BA212" s="1397"/>
      <c r="BB212" s="1397"/>
      <c r="BC212" s="1397"/>
      <c r="BD212" s="1397"/>
      <c r="BE212" s="1397"/>
      <c r="BF212" s="1397"/>
      <c r="BG212" s="1397"/>
    </row>
    <row r="213" spans="1:59" x14ac:dyDescent="0.2">
      <c r="A213" s="256"/>
      <c r="AK213" s="178" t="s">
        <v>628</v>
      </c>
      <c r="AL213" s="19">
        <f t="shared" si="29"/>
        <v>241</v>
      </c>
      <c r="AO213" s="1470" t="str">
        <f>AV7</f>
        <v>Current portion of loan receivable</v>
      </c>
      <c r="AP213" s="55">
        <f t="shared" si="30"/>
        <v>0</v>
      </c>
      <c r="AQ213" s="1397"/>
      <c r="AR213" s="1397"/>
      <c r="AS213" s="1397"/>
      <c r="AT213" s="1397"/>
      <c r="AU213" s="1397"/>
      <c r="AV213" s="1397"/>
      <c r="AW213" s="1397"/>
      <c r="AX213" s="1397"/>
      <c r="AY213" s="1397"/>
      <c r="AZ213" s="1397"/>
      <c r="BA213" s="1397"/>
      <c r="BB213" s="1397"/>
      <c r="BC213" s="1397"/>
      <c r="BD213" s="1397"/>
      <c r="BE213" s="1397"/>
      <c r="BF213" s="1397"/>
      <c r="BG213" s="1397"/>
    </row>
    <row r="214" spans="1:59" x14ac:dyDescent="0.2">
      <c r="A214" s="256"/>
      <c r="AK214" s="178" t="s">
        <v>43</v>
      </c>
      <c r="AL214" s="19">
        <f t="shared" si="29"/>
        <v>1256364</v>
      </c>
      <c r="AO214" s="1471" t="str">
        <f>AW7</f>
        <v>Equipment</v>
      </c>
      <c r="AP214" s="55">
        <f t="shared" si="30"/>
        <v>0</v>
      </c>
      <c r="AQ214" s="1397"/>
      <c r="AR214" s="1397"/>
      <c r="AS214" s="1397"/>
      <c r="AT214" s="1397"/>
      <c r="AU214" s="1397"/>
      <c r="AV214" s="1397"/>
      <c r="AW214" s="1397"/>
      <c r="AX214" s="1397"/>
      <c r="AY214" s="1397"/>
      <c r="AZ214" s="1397"/>
      <c r="BA214" s="1397"/>
      <c r="BB214" s="1397"/>
      <c r="BC214" s="1397"/>
      <c r="BD214" s="1397"/>
      <c r="BE214" s="1397"/>
      <c r="BF214" s="1397"/>
      <c r="BG214" s="1397"/>
    </row>
    <row r="215" spans="1:59" x14ac:dyDescent="0.2">
      <c r="A215" s="256"/>
      <c r="AK215" s="178" t="s">
        <v>629</v>
      </c>
      <c r="AL215" s="19">
        <f t="shared" si="29"/>
        <v>17</v>
      </c>
      <c r="AO215" s="1471" t="str">
        <f>AX7</f>
        <v>Intangible assets</v>
      </c>
      <c r="AP215" s="55">
        <f t="shared" si="30"/>
        <v>0</v>
      </c>
      <c r="AQ215" s="1397"/>
      <c r="AR215" s="1397"/>
      <c r="AS215" s="1397"/>
      <c r="AT215" s="1397"/>
      <c r="AU215" s="1397"/>
      <c r="AV215" s="1397"/>
      <c r="AW215" s="1397"/>
      <c r="AX215" s="1397"/>
      <c r="AY215" s="1397"/>
      <c r="AZ215" s="1397"/>
      <c r="BA215" s="1397"/>
      <c r="BB215" s="1397"/>
      <c r="BC215" s="1397"/>
      <c r="BD215" s="1397"/>
      <c r="BE215" s="1397"/>
      <c r="BF215" s="1397"/>
      <c r="BG215" s="1397"/>
    </row>
    <row r="216" spans="1:59" ht="14.4" x14ac:dyDescent="0.3">
      <c r="A216" s="256"/>
      <c r="AK216"/>
      <c r="AL216" s="19"/>
      <c r="AO216" s="1471" t="str">
        <f>AY7</f>
        <v>Accounts payables and accrued liabilities</v>
      </c>
      <c r="AP216" s="55">
        <f t="shared" si="30"/>
        <v>253485</v>
      </c>
      <c r="AQ216" s="1397"/>
      <c r="AR216" s="1397"/>
      <c r="AS216" s="1397"/>
      <c r="AT216" s="1397"/>
      <c r="AU216" s="1397"/>
      <c r="AV216" s="1397"/>
      <c r="AW216" s="1397"/>
      <c r="AX216" s="1397"/>
      <c r="AY216" s="1397">
        <f>-AY192</f>
        <v>253485</v>
      </c>
      <c r="AZ216" s="1397"/>
      <c r="BA216" s="1397"/>
      <c r="BB216" s="1397"/>
      <c r="BC216" s="1397"/>
      <c r="BD216" s="1397"/>
      <c r="BE216" s="1397"/>
      <c r="BF216" s="1397"/>
      <c r="BG216" s="1397"/>
    </row>
    <row r="217" spans="1:59" ht="14.4" x14ac:dyDescent="0.3">
      <c r="A217" s="256"/>
      <c r="AK217"/>
      <c r="AL217" s="19"/>
      <c r="AO217" s="1471" t="str">
        <f>AZ7</f>
        <v>Warranty liability</v>
      </c>
      <c r="AP217" s="55">
        <f t="shared" si="30"/>
        <v>0</v>
      </c>
      <c r="AQ217" s="1397"/>
      <c r="AR217" s="1397"/>
      <c r="AS217" s="1397"/>
      <c r="AT217" s="1397"/>
      <c r="AU217" s="1397"/>
      <c r="AV217" s="1397"/>
      <c r="AW217" s="1397"/>
      <c r="AX217" s="1397"/>
      <c r="AY217" s="1397"/>
      <c r="AZ217" s="1397"/>
      <c r="BA217" s="1397"/>
      <c r="BB217" s="1397"/>
      <c r="BC217" s="1397"/>
      <c r="BD217" s="1397"/>
      <c r="BE217" s="1397"/>
      <c r="BF217" s="1397"/>
      <c r="BG217" s="1397"/>
    </row>
    <row r="218" spans="1:59" ht="14.4" x14ac:dyDescent="0.3">
      <c r="A218" s="256"/>
      <c r="AK218"/>
      <c r="AL218" s="19"/>
      <c r="AO218" s="1471" t="str">
        <f>BA7</f>
        <v>Convertible debt</v>
      </c>
      <c r="AP218" s="55">
        <f t="shared" si="30"/>
        <v>0</v>
      </c>
      <c r="AQ218" s="1397"/>
      <c r="AR218" s="1397"/>
      <c r="AS218" s="1397"/>
      <c r="AT218" s="1397"/>
      <c r="AU218" s="1397"/>
      <c r="AV218" s="1397"/>
      <c r="AW218" s="1397"/>
      <c r="AX218" s="1397"/>
      <c r="AY218" s="1397"/>
      <c r="AZ218" s="1397"/>
      <c r="BA218" s="1397"/>
      <c r="BB218" s="1397"/>
      <c r="BC218" s="1397"/>
      <c r="BD218" s="1397"/>
      <c r="BE218" s="1397"/>
      <c r="BF218" s="1397"/>
      <c r="BG218" s="1397"/>
    </row>
    <row r="219" spans="1:59" ht="14.4" x14ac:dyDescent="0.3">
      <c r="A219" s="256"/>
      <c r="AK219"/>
      <c r="AL219" s="19"/>
      <c r="AO219" s="1471" t="str">
        <f>BB7</f>
        <v>Derivative liability</v>
      </c>
      <c r="AP219" s="55">
        <f t="shared" si="30"/>
        <v>0</v>
      </c>
      <c r="AQ219" s="1397"/>
      <c r="AR219" s="1397"/>
      <c r="AS219" s="1397"/>
      <c r="AT219" s="1397"/>
      <c r="AU219" s="1397"/>
      <c r="AV219" s="1397"/>
      <c r="AW219" s="1397"/>
      <c r="AX219" s="1397"/>
      <c r="AY219" s="1397"/>
      <c r="AZ219" s="1397"/>
      <c r="BA219" s="1397"/>
      <c r="BB219" s="1397"/>
      <c r="BC219" s="1397"/>
      <c r="BD219" s="1397"/>
      <c r="BE219" s="1397"/>
      <c r="BF219" s="1397"/>
      <c r="BG219" s="1397"/>
    </row>
    <row r="220" spans="1:59" ht="14.4" x14ac:dyDescent="0.3">
      <c r="A220" s="256"/>
      <c r="AK220"/>
      <c r="AL220" s="19"/>
      <c r="AO220" s="1471" t="str">
        <f>BC7</f>
        <v>Income tax payable</v>
      </c>
      <c r="AP220" s="55">
        <f t="shared" si="30"/>
        <v>0</v>
      </c>
      <c r="AQ220" s="1397"/>
      <c r="AR220" s="1397"/>
      <c r="AS220" s="1397"/>
      <c r="AT220" s="1397"/>
      <c r="AU220" s="1397"/>
      <c r="AV220" s="1397"/>
      <c r="AW220" s="1397"/>
      <c r="AX220" s="1397"/>
      <c r="AY220" s="1397"/>
      <c r="AZ220" s="1397"/>
      <c r="BA220" s="1397"/>
      <c r="BB220" s="1397"/>
      <c r="BC220" s="1397"/>
      <c r="BD220" s="1397"/>
      <c r="BE220" s="1397"/>
      <c r="BF220" s="1397"/>
      <c r="BG220" s="1397"/>
    </row>
    <row r="221" spans="1:59" ht="14.4" x14ac:dyDescent="0.3">
      <c r="A221" s="256"/>
      <c r="AK221"/>
      <c r="AL221" s="19"/>
      <c r="AO221" s="1471" t="str">
        <f>BD7</f>
        <v>Due to related parties</v>
      </c>
      <c r="AP221" s="55">
        <f t="shared" si="30"/>
        <v>3500</v>
      </c>
      <c r="AQ221" s="1397"/>
      <c r="AR221" s="1397"/>
      <c r="AS221" s="1397"/>
      <c r="AT221" s="1397"/>
      <c r="AU221" s="1397"/>
      <c r="AV221" s="1397"/>
      <c r="AW221" s="1397"/>
      <c r="AX221" s="1397"/>
      <c r="AY221" s="1397"/>
      <c r="AZ221" s="1397"/>
      <c r="BA221" s="1397"/>
      <c r="BB221" s="1397"/>
      <c r="BC221" s="1397"/>
      <c r="BD221" s="1397">
        <f>-BD192</f>
        <v>3500</v>
      </c>
      <c r="BE221" s="1397"/>
      <c r="BF221" s="1397"/>
      <c r="BG221" s="1397"/>
    </row>
    <row r="222" spans="1:59" ht="14.4" x14ac:dyDescent="0.3">
      <c r="A222" s="256"/>
      <c r="AK222"/>
      <c r="AL222" s="19"/>
      <c r="AO222" s="1471"/>
      <c r="AP222" s="214"/>
      <c r="AQ222" s="1397"/>
      <c r="AR222" s="1397"/>
      <c r="AS222" s="1397"/>
      <c r="AT222" s="1397"/>
      <c r="AU222" s="1397"/>
      <c r="AV222" s="1397"/>
      <c r="AW222" s="1397"/>
      <c r="AX222" s="1397"/>
      <c r="AY222" s="1397"/>
      <c r="AZ222" s="1397"/>
      <c r="BA222" s="1397"/>
      <c r="BB222" s="1397"/>
      <c r="BC222" s="1397"/>
      <c r="BD222" s="1397"/>
      <c r="BE222" s="1397"/>
      <c r="BF222" s="1397"/>
      <c r="BG222" s="1397"/>
    </row>
    <row r="223" spans="1:59" ht="15" thickBot="1" x14ac:dyDescent="0.35">
      <c r="A223" s="256"/>
      <c r="AK223"/>
      <c r="AL223" s="19"/>
      <c r="AO223" s="1473" t="s">
        <v>51</v>
      </c>
      <c r="AP223" s="281">
        <f>SUM(AP195:AP222)</f>
        <v>-5212</v>
      </c>
      <c r="AQ223" s="1397"/>
      <c r="AR223" s="1397"/>
      <c r="AS223" s="1397"/>
      <c r="AT223" s="1397"/>
      <c r="AU223" s="1397"/>
      <c r="AV223" s="1397"/>
      <c r="AW223" s="1397"/>
      <c r="AX223" s="1397"/>
      <c r="AY223" s="1397"/>
      <c r="AZ223" s="1397"/>
      <c r="BA223" s="1397"/>
      <c r="BB223" s="1397"/>
      <c r="BC223" s="1397"/>
      <c r="BD223" s="1397"/>
      <c r="BE223" s="1397"/>
      <c r="BF223" s="1397"/>
      <c r="BG223" s="1397"/>
    </row>
    <row r="224" spans="1:59" ht="14.4" x14ac:dyDescent="0.3">
      <c r="A224" s="256"/>
      <c r="AK224"/>
      <c r="AL224" s="19"/>
      <c r="AO224" s="1472"/>
      <c r="AP224" s="61"/>
      <c r="AQ224" s="1397"/>
      <c r="AR224" s="1397"/>
      <c r="AS224" s="1397"/>
      <c r="AT224" s="1397"/>
      <c r="AU224" s="1397"/>
      <c r="AV224" s="1397"/>
      <c r="AW224" s="1397"/>
      <c r="AX224" s="1397"/>
      <c r="AY224" s="1397"/>
      <c r="AZ224" s="1397"/>
      <c r="BA224" s="1397"/>
      <c r="BB224" s="1397"/>
      <c r="BC224" s="1397"/>
      <c r="BD224" s="1397"/>
      <c r="BE224" s="1397"/>
      <c r="BF224" s="1397"/>
      <c r="BG224" s="1397"/>
    </row>
    <row r="225" spans="1:61" ht="14.4" x14ac:dyDescent="0.3">
      <c r="A225" s="256"/>
      <c r="AK225"/>
      <c r="AL225" s="19"/>
      <c r="AO225" s="1474" t="s">
        <v>12</v>
      </c>
      <c r="AP225" s="55"/>
      <c r="AQ225" s="1397"/>
      <c r="AR225" s="1397"/>
      <c r="AS225" s="1397"/>
      <c r="AT225" s="1397"/>
      <c r="AU225" s="1397"/>
      <c r="AV225" s="1397"/>
      <c r="AW225" s="1397"/>
      <c r="AX225" s="1397"/>
      <c r="AY225" s="1397"/>
      <c r="AZ225" s="1397"/>
      <c r="BA225" s="1397"/>
      <c r="BB225" s="1397"/>
      <c r="BC225" s="1397"/>
      <c r="BD225" s="1397"/>
      <c r="BE225" s="1397"/>
      <c r="BF225" s="1397"/>
      <c r="BG225" s="1397"/>
    </row>
    <row r="226" spans="1:61" ht="14.4" x14ac:dyDescent="0.3">
      <c r="A226" s="256"/>
      <c r="AK226"/>
      <c r="AL226" s="19"/>
      <c r="AO226" s="1470" t="s">
        <v>1832</v>
      </c>
      <c r="AP226" s="55">
        <f t="shared" ref="AP226:AP227" si="31">ROUND(SUM(AQ226:BG226),0)</f>
        <v>0</v>
      </c>
      <c r="AQ226" s="1397"/>
      <c r="AR226" s="1397"/>
      <c r="AS226" s="1397"/>
      <c r="AT226" s="1397"/>
      <c r="AU226" s="1397"/>
      <c r="AV226" s="1397"/>
      <c r="AW226" s="1397"/>
      <c r="AX226" s="1397"/>
      <c r="AY226" s="1397"/>
      <c r="AZ226" s="1397"/>
      <c r="BA226" s="1397"/>
      <c r="BB226" s="1397"/>
      <c r="BC226" s="1397"/>
      <c r="BD226" s="1397"/>
      <c r="BE226" s="1397"/>
      <c r="BF226" s="1397"/>
      <c r="BG226" s="1397"/>
    </row>
    <row r="227" spans="1:61" ht="14.4" x14ac:dyDescent="0.3">
      <c r="A227" s="256"/>
      <c r="AK227"/>
      <c r="AO227" s="1470" t="s">
        <v>1280</v>
      </c>
      <c r="AP227" s="55">
        <f t="shared" si="31"/>
        <v>0</v>
      </c>
      <c r="AQ227" s="1397"/>
      <c r="AR227" s="1397"/>
      <c r="AS227" s="1397"/>
      <c r="AT227" s="1397"/>
      <c r="AU227" s="1397"/>
      <c r="AV227" s="1397"/>
      <c r="AW227" s="1397"/>
      <c r="AX227" s="1397"/>
      <c r="AY227" s="1397"/>
      <c r="AZ227" s="1397"/>
      <c r="BA227" s="1397"/>
      <c r="BB227" s="1397"/>
      <c r="BC227" s="1397"/>
      <c r="BD227" s="1397"/>
      <c r="BE227" s="1397"/>
      <c r="BF227" s="1397"/>
      <c r="BG227" s="1397"/>
    </row>
    <row r="228" spans="1:61" ht="14.4" x14ac:dyDescent="0.3">
      <c r="A228" s="256"/>
      <c r="AK228"/>
      <c r="AO228" s="1470"/>
      <c r="AP228" s="55"/>
      <c r="AQ228" s="1397"/>
      <c r="AR228" s="1397"/>
      <c r="AS228" s="1397"/>
      <c r="AT228" s="1397"/>
      <c r="AU228" s="1397"/>
      <c r="AV228" s="1397"/>
      <c r="AW228" s="1397"/>
      <c r="AX228" s="1397"/>
      <c r="AY228" s="1397"/>
      <c r="AZ228" s="1397"/>
      <c r="BA228" s="1397"/>
      <c r="BB228" s="1397"/>
      <c r="BC228" s="1397"/>
      <c r="BD228" s="1397"/>
      <c r="BE228" s="1397"/>
      <c r="BF228" s="1397"/>
      <c r="BG228" s="1397"/>
    </row>
    <row r="229" spans="1:61" ht="15" thickBot="1" x14ac:dyDescent="0.35">
      <c r="A229" s="256"/>
      <c r="AK229"/>
      <c r="AO229" s="1473" t="s">
        <v>122</v>
      </c>
      <c r="AP229" s="68">
        <f>SUM(AP226:AP228)</f>
        <v>0</v>
      </c>
      <c r="AQ229" s="1397"/>
      <c r="AR229" s="1397"/>
      <c r="AS229" s="1397"/>
      <c r="AT229" s="1397"/>
      <c r="AU229" s="1397"/>
      <c r="AV229" s="1397"/>
      <c r="AW229" s="1397"/>
      <c r="AX229" s="1397"/>
      <c r="AY229" s="1397"/>
      <c r="AZ229" s="1397"/>
      <c r="BA229" s="1397"/>
      <c r="BB229" s="1397"/>
      <c r="BC229" s="1397"/>
      <c r="BD229" s="1397"/>
      <c r="BE229" s="1397"/>
      <c r="BF229" s="1397"/>
      <c r="BG229" s="1397"/>
    </row>
    <row r="230" spans="1:61" ht="14.4" x14ac:dyDescent="0.3">
      <c r="A230" s="256"/>
      <c r="AK230"/>
      <c r="AO230" s="1472"/>
      <c r="AP230" s="61"/>
      <c r="AQ230" s="1397"/>
      <c r="AR230" s="1397"/>
      <c r="AS230" s="1397"/>
      <c r="AT230" s="1397"/>
      <c r="AU230" s="1397"/>
      <c r="AV230" s="1397"/>
      <c r="AW230" s="1397"/>
      <c r="AX230" s="1397"/>
      <c r="AY230" s="1397"/>
      <c r="AZ230" s="1397"/>
      <c r="BA230" s="1397"/>
      <c r="BB230" s="1397"/>
      <c r="BC230" s="1397"/>
      <c r="BD230" s="1397"/>
      <c r="BE230" s="1397"/>
      <c r="BF230" s="1397"/>
      <c r="BG230" s="1397"/>
    </row>
    <row r="231" spans="1:61" ht="14.4" x14ac:dyDescent="0.3">
      <c r="A231" s="256"/>
      <c r="AK231"/>
      <c r="AO231" s="1474" t="s">
        <v>14</v>
      </c>
      <c r="AP231" s="55"/>
      <c r="AQ231" s="1397"/>
      <c r="AR231" s="1397"/>
      <c r="AS231" s="1397"/>
      <c r="AT231" s="1397"/>
      <c r="AU231" s="1397"/>
      <c r="AV231" s="1397"/>
      <c r="AW231" s="1397"/>
      <c r="AX231" s="1397"/>
      <c r="AY231" s="1397"/>
      <c r="AZ231" s="1397"/>
      <c r="BA231" s="1397"/>
      <c r="BB231" s="1397"/>
      <c r="BC231" s="1397"/>
      <c r="BD231" s="1397"/>
      <c r="BE231" s="1397"/>
      <c r="BF231" s="1397"/>
      <c r="BG231" s="1397"/>
    </row>
    <row r="232" spans="1:61" ht="14.4" x14ac:dyDescent="0.3">
      <c r="A232" s="256"/>
      <c r="AK232"/>
      <c r="AO232" s="1470" t="s">
        <v>329</v>
      </c>
      <c r="AP232" s="55">
        <f t="shared" ref="AP232:AP243" si="32">ROUND(SUM(AQ232:BG232),0)</f>
        <v>0</v>
      </c>
      <c r="AQ232" s="1397"/>
      <c r="AR232" s="1397"/>
      <c r="AS232" s="1397"/>
      <c r="AT232" s="1397"/>
      <c r="AU232" s="1397"/>
      <c r="AV232" s="1397"/>
      <c r="AW232" s="1397"/>
      <c r="AX232" s="1397"/>
      <c r="AY232" s="1397"/>
      <c r="AZ232" s="1397"/>
      <c r="BA232" s="1397"/>
      <c r="BB232" s="1397"/>
      <c r="BC232" s="1397"/>
      <c r="BD232" s="1397"/>
      <c r="BE232" s="1397"/>
      <c r="BF232" s="1397"/>
      <c r="BG232" s="1397"/>
    </row>
    <row r="233" spans="1:61" ht="14.4" x14ac:dyDescent="0.3">
      <c r="A233" s="256"/>
      <c r="AK233"/>
      <c r="AO233" s="1470" t="s">
        <v>508</v>
      </c>
      <c r="AP233" s="55">
        <f t="shared" si="32"/>
        <v>0</v>
      </c>
      <c r="AQ233" s="1397"/>
      <c r="AR233" s="1397"/>
      <c r="AS233" s="1397"/>
      <c r="AT233" s="1397"/>
      <c r="AU233" s="1397"/>
      <c r="AV233" s="1397"/>
      <c r="AW233" s="1397"/>
      <c r="AX233" s="1397"/>
      <c r="AY233" s="1397"/>
      <c r="AZ233" s="1397"/>
      <c r="BA233" s="1397"/>
      <c r="BB233" s="1397"/>
      <c r="BC233" s="1397"/>
      <c r="BD233" s="1397"/>
      <c r="BE233" s="1397"/>
      <c r="BF233" s="1397"/>
      <c r="BG233" s="1397"/>
    </row>
    <row r="234" spans="1:61" ht="14.4" x14ac:dyDescent="0.3">
      <c r="A234" s="256"/>
      <c r="AK234"/>
      <c r="AO234" s="1470" t="s">
        <v>1280</v>
      </c>
      <c r="AP234" s="55">
        <f t="shared" si="32"/>
        <v>0</v>
      </c>
      <c r="AQ234" s="1397"/>
      <c r="AR234" s="1397"/>
      <c r="AS234" s="1397"/>
      <c r="AT234" s="1397"/>
      <c r="AU234" s="1397"/>
      <c r="AV234" s="1397"/>
      <c r="AW234" s="1397"/>
      <c r="AX234" s="1397"/>
      <c r="AY234" s="1397"/>
      <c r="AZ234" s="1397"/>
      <c r="BA234" s="1397"/>
      <c r="BB234" s="1397"/>
      <c r="BC234" s="1397"/>
      <c r="BD234" s="1397"/>
      <c r="BE234" s="1397"/>
      <c r="BF234" s="1397"/>
      <c r="BG234" s="1397"/>
    </row>
    <row r="235" spans="1:61" ht="14.4" x14ac:dyDescent="0.3">
      <c r="A235" s="256"/>
      <c r="AK235"/>
      <c r="AO235" s="1470" t="s">
        <v>1292</v>
      </c>
      <c r="AP235" s="55">
        <f t="shared" si="32"/>
        <v>0</v>
      </c>
      <c r="AQ235" s="1397"/>
      <c r="AR235" s="1397"/>
      <c r="AS235" s="1397"/>
      <c r="AT235" s="1397"/>
      <c r="AU235" s="1397"/>
      <c r="AV235" s="1397"/>
      <c r="AW235" s="1397"/>
      <c r="AX235" s="1397"/>
      <c r="AY235" s="1397"/>
      <c r="AZ235" s="1397"/>
      <c r="BA235" s="1397"/>
      <c r="BB235" s="1397"/>
      <c r="BC235" s="1397"/>
      <c r="BD235" s="1397"/>
      <c r="BE235" s="1397"/>
      <c r="BF235" s="1397"/>
      <c r="BG235" s="1397"/>
    </row>
    <row r="236" spans="1:61" ht="14.4" x14ac:dyDescent="0.3">
      <c r="A236" s="256"/>
      <c r="AK236"/>
      <c r="AO236" s="1470" t="s">
        <v>55</v>
      </c>
      <c r="AP236" s="55">
        <f t="shared" si="32"/>
        <v>0</v>
      </c>
      <c r="AQ236" s="1397"/>
      <c r="AR236" s="1397"/>
      <c r="AS236" s="1397"/>
      <c r="AT236" s="1397"/>
      <c r="AU236" s="1397"/>
      <c r="AV236" s="1397"/>
      <c r="AW236" s="1397"/>
      <c r="AX236" s="1397"/>
      <c r="AY236" s="1397"/>
      <c r="AZ236" s="1397"/>
      <c r="BA236" s="1397"/>
      <c r="BB236" s="1397"/>
      <c r="BC236" s="1397"/>
      <c r="BD236" s="1397"/>
      <c r="BE236" s="1397"/>
      <c r="BF236" s="1397"/>
      <c r="BG236" s="1397"/>
      <c r="BI236" s="73"/>
    </row>
    <row r="237" spans="1:61" ht="14.4" x14ac:dyDescent="0.3">
      <c r="A237" s="256"/>
      <c r="AK237"/>
      <c r="AO237" s="1470" t="s">
        <v>84</v>
      </c>
      <c r="AP237" s="55">
        <f t="shared" si="32"/>
        <v>0</v>
      </c>
      <c r="AQ237" s="1397"/>
      <c r="AR237" s="1397"/>
      <c r="AS237" s="1397"/>
      <c r="AT237" s="1397"/>
      <c r="AU237" s="1397"/>
      <c r="AV237" s="1397"/>
      <c r="AW237" s="1397"/>
      <c r="AX237" s="1397"/>
      <c r="AY237" s="1397"/>
      <c r="AZ237" s="1397"/>
      <c r="BA237" s="1397"/>
      <c r="BB237" s="1397"/>
      <c r="BC237" s="1397"/>
      <c r="BD237" s="1397"/>
      <c r="BE237" s="1397"/>
      <c r="BF237" s="1397"/>
      <c r="BG237" s="1397"/>
      <c r="BI237" s="73"/>
    </row>
    <row r="238" spans="1:61" ht="14.4" x14ac:dyDescent="0.3">
      <c r="A238" s="256"/>
      <c r="AK238"/>
      <c r="AO238" s="1470" t="s">
        <v>1848</v>
      </c>
      <c r="AP238" s="55">
        <f t="shared" si="32"/>
        <v>0</v>
      </c>
      <c r="AQ238" s="1397"/>
      <c r="AR238" s="1397"/>
      <c r="AS238" s="1397"/>
      <c r="AT238" s="1397"/>
      <c r="AU238" s="1397"/>
      <c r="AV238" s="1397"/>
      <c r="AW238" s="1397"/>
      <c r="AX238" s="1397"/>
      <c r="AY238" s="1397"/>
      <c r="AZ238" s="1397"/>
      <c r="BA238" s="1397"/>
      <c r="BB238" s="1397"/>
      <c r="BC238" s="1397"/>
      <c r="BD238" s="1397"/>
      <c r="BE238" s="1397"/>
      <c r="BF238" s="1397"/>
      <c r="BG238" s="1397"/>
    </row>
    <row r="239" spans="1:61" ht="14.4" x14ac:dyDescent="0.3">
      <c r="A239" s="256"/>
      <c r="AK239"/>
      <c r="AO239" s="1470" t="s">
        <v>60</v>
      </c>
      <c r="AP239" s="55">
        <f t="shared" si="32"/>
        <v>0</v>
      </c>
      <c r="AQ239" s="1397"/>
      <c r="AR239" s="1397"/>
      <c r="AS239" s="1397"/>
      <c r="AT239" s="1397"/>
      <c r="AU239" s="1397"/>
      <c r="AV239" s="1397"/>
      <c r="AW239" s="1397"/>
      <c r="AX239" s="1397"/>
      <c r="AY239" s="1397"/>
      <c r="AZ239" s="1397"/>
      <c r="BA239" s="1397"/>
      <c r="BB239" s="1397"/>
      <c r="BC239" s="1397"/>
      <c r="BD239" s="1397"/>
      <c r="BE239" s="1397"/>
      <c r="BF239" s="1397"/>
      <c r="BG239" s="1397"/>
    </row>
    <row r="240" spans="1:61" ht="14.4" x14ac:dyDescent="0.3">
      <c r="A240" s="256"/>
      <c r="AK240"/>
      <c r="AO240" s="1470" t="s">
        <v>59</v>
      </c>
      <c r="AP240" s="55">
        <f t="shared" si="32"/>
        <v>0</v>
      </c>
      <c r="AQ240" s="1397"/>
      <c r="AR240" s="1397"/>
      <c r="AS240" s="1397"/>
      <c r="AT240" s="1397"/>
      <c r="AU240" s="1397"/>
      <c r="AV240" s="1397"/>
      <c r="AW240" s="1397"/>
      <c r="AX240" s="1397"/>
      <c r="AY240" s="1397"/>
      <c r="AZ240" s="1397"/>
      <c r="BA240" s="1397"/>
      <c r="BB240" s="1397"/>
      <c r="BC240" s="1397"/>
      <c r="BD240" s="1397"/>
      <c r="BE240" s="1397"/>
      <c r="BF240" s="1397"/>
      <c r="BG240" s="1397"/>
    </row>
    <row r="241" spans="1:59" ht="14.4" x14ac:dyDescent="0.3">
      <c r="A241" s="256"/>
      <c r="AK241"/>
      <c r="AO241" s="1470" t="s">
        <v>48</v>
      </c>
      <c r="AP241" s="55">
        <f t="shared" si="32"/>
        <v>0</v>
      </c>
      <c r="AQ241" s="1397"/>
      <c r="AR241" s="1397"/>
      <c r="AS241" s="1397"/>
      <c r="AT241" s="1397"/>
      <c r="AU241" s="1397"/>
      <c r="AV241" s="1397"/>
      <c r="AW241" s="1397"/>
      <c r="AX241" s="1397"/>
      <c r="AY241" s="1397"/>
      <c r="AZ241" s="1397"/>
      <c r="BA241" s="1397"/>
      <c r="BB241" s="1397"/>
      <c r="BC241" s="1397"/>
      <c r="BD241" s="1397"/>
      <c r="BE241" s="1397"/>
      <c r="BF241" s="1397"/>
      <c r="BG241" s="1397"/>
    </row>
    <row r="242" spans="1:59" ht="14.4" x14ac:dyDescent="0.3">
      <c r="A242" s="256"/>
      <c r="AK242"/>
      <c r="AO242" s="1470" t="s">
        <v>61</v>
      </c>
      <c r="AP242" s="55">
        <f t="shared" si="32"/>
        <v>0</v>
      </c>
      <c r="AQ242" s="1397"/>
      <c r="AR242" s="1397"/>
      <c r="AS242" s="1397"/>
      <c r="AT242" s="1397"/>
      <c r="AU242" s="1397"/>
      <c r="AV242" s="1397"/>
      <c r="AW242" s="1397"/>
      <c r="AX242" s="1397"/>
      <c r="AY242" s="1397"/>
      <c r="AZ242" s="1397"/>
      <c r="BA242" s="1397"/>
      <c r="BB242" s="1397"/>
      <c r="BC242" s="1397"/>
      <c r="BD242" s="1397"/>
      <c r="BE242" s="1397"/>
      <c r="BF242" s="1397"/>
      <c r="BG242" s="1397"/>
    </row>
    <row r="243" spans="1:59" x14ac:dyDescent="0.2">
      <c r="A243" s="256"/>
      <c r="AO243" s="1471" t="s">
        <v>271</v>
      </c>
      <c r="AP243" s="55">
        <f t="shared" si="32"/>
        <v>0</v>
      </c>
      <c r="AQ243" s="1397"/>
      <c r="AR243" s="1397"/>
      <c r="AS243" s="1397"/>
      <c r="AT243" s="1397"/>
      <c r="AU243" s="1397"/>
      <c r="AV243" s="1397"/>
      <c r="AW243" s="1397"/>
      <c r="AX243" s="1397"/>
      <c r="AY243" s="1397"/>
      <c r="AZ243" s="1397"/>
      <c r="BA243" s="1397"/>
      <c r="BB243" s="1397"/>
      <c r="BC243" s="1397"/>
      <c r="BD243" s="1397"/>
      <c r="BE243" s="1397"/>
      <c r="BF243" s="1397"/>
      <c r="BG243" s="1397"/>
    </row>
    <row r="244" spans="1:59" ht="12.6" thickBot="1" x14ac:dyDescent="0.25">
      <c r="A244" s="256"/>
      <c r="AO244" s="1473" t="s">
        <v>121</v>
      </c>
      <c r="AP244" s="281">
        <f>SUM(AP232:AP242)</f>
        <v>0</v>
      </c>
      <c r="AQ244" s="1397"/>
      <c r="AR244" s="1397"/>
      <c r="AS244" s="1397"/>
      <c r="AT244" s="1397"/>
      <c r="AU244" s="1397"/>
      <c r="AV244" s="1397"/>
      <c r="AW244" s="1397"/>
      <c r="AX244" s="1397"/>
      <c r="AY244" s="1397"/>
      <c r="AZ244" s="1397"/>
      <c r="BA244" s="1397"/>
      <c r="BB244" s="1397"/>
      <c r="BC244" s="1397"/>
      <c r="BD244" s="1397"/>
      <c r="BE244" s="1397"/>
      <c r="BF244" s="1397"/>
      <c r="BG244" s="1397"/>
    </row>
    <row r="245" spans="1:59" x14ac:dyDescent="0.2">
      <c r="A245" s="256"/>
      <c r="AO245" s="1472"/>
      <c r="AP245" s="57"/>
      <c r="AQ245" s="1397"/>
      <c r="AR245" s="1397"/>
      <c r="AS245" s="1397"/>
      <c r="AT245" s="1397"/>
      <c r="AU245" s="1397"/>
      <c r="AV245" s="1397"/>
      <c r="AW245" s="1397"/>
      <c r="AX245" s="1397"/>
      <c r="AY245" s="1397"/>
      <c r="AZ245" s="1397"/>
      <c r="BA245" s="1397"/>
      <c r="BB245" s="1397"/>
      <c r="BC245" s="1397"/>
      <c r="BD245" s="1397"/>
      <c r="BE245" s="1397"/>
      <c r="BF245" s="1397"/>
      <c r="BG245" s="1397"/>
    </row>
    <row r="246" spans="1:59" x14ac:dyDescent="0.2">
      <c r="A246" s="256"/>
      <c r="AO246" s="1474" t="s">
        <v>63</v>
      </c>
      <c r="AP246" s="55"/>
      <c r="AQ246" s="1397"/>
      <c r="AR246" s="1397"/>
      <c r="AS246" s="1397"/>
      <c r="AT246" s="1397"/>
      <c r="AU246" s="1397"/>
      <c r="AV246" s="1397"/>
      <c r="AW246" s="1397"/>
      <c r="AX246" s="1397"/>
      <c r="AY246" s="1397"/>
      <c r="AZ246" s="1397"/>
      <c r="BA246" s="1397"/>
      <c r="BB246" s="1397"/>
      <c r="BC246" s="1397"/>
      <c r="BD246" s="1397"/>
      <c r="BE246" s="1397"/>
      <c r="BF246" s="1397"/>
      <c r="BG246" s="1397"/>
    </row>
    <row r="247" spans="1:59" x14ac:dyDescent="0.2">
      <c r="A247" s="256"/>
      <c r="AO247" s="1470" t="s">
        <v>1279</v>
      </c>
      <c r="AP247" s="55">
        <f t="shared" ref="AP247:AP248" si="33">ROUND(SUM(AQ247:BG247),0)</f>
        <v>0</v>
      </c>
      <c r="AQ247" s="1397"/>
      <c r="AR247" s="1397"/>
      <c r="AS247" s="1397"/>
      <c r="AT247" s="1397"/>
      <c r="AU247" s="1397"/>
      <c r="AV247" s="1397"/>
      <c r="AW247" s="1397"/>
      <c r="AX247" s="1397"/>
      <c r="AY247" s="1397"/>
      <c r="AZ247" s="1397"/>
      <c r="BA247" s="1397"/>
      <c r="BB247" s="1397"/>
      <c r="BC247" s="1397"/>
      <c r="BD247" s="1397"/>
      <c r="BE247" s="1397"/>
      <c r="BF247" s="1397"/>
      <c r="BG247" s="1397"/>
    </row>
    <row r="248" spans="1:59" x14ac:dyDescent="0.2">
      <c r="A248" s="256"/>
      <c r="AO248" s="1470" t="s">
        <v>1292</v>
      </c>
      <c r="AP248" s="55">
        <f t="shared" si="33"/>
        <v>0</v>
      </c>
      <c r="AQ248" s="1397"/>
      <c r="AR248" s="1397"/>
      <c r="AS248" s="1397"/>
      <c r="AT248" s="1397"/>
      <c r="AU248" s="1397"/>
      <c r="AV248" s="1397"/>
      <c r="AW248" s="1397"/>
      <c r="AX248" s="1397"/>
      <c r="AY248" s="1397"/>
      <c r="AZ248" s="1397"/>
      <c r="BA248" s="1397"/>
      <c r="BB248" s="1397"/>
      <c r="BC248" s="1397"/>
      <c r="BD248" s="1397"/>
      <c r="BE248" s="1397"/>
      <c r="BF248" s="1397"/>
      <c r="BG248" s="1397"/>
    </row>
    <row r="249" spans="1:59" x14ac:dyDescent="0.2">
      <c r="A249" s="256"/>
      <c r="AO249" s="1470"/>
      <c r="AP249" s="55"/>
      <c r="AQ249" s="1397"/>
      <c r="AR249" s="1397"/>
      <c r="AS249" s="1397"/>
      <c r="AT249" s="1397"/>
      <c r="AU249" s="1397"/>
      <c r="AV249" s="1397"/>
      <c r="AW249" s="1397"/>
      <c r="AX249" s="1397"/>
      <c r="AY249" s="1397"/>
      <c r="AZ249" s="1397"/>
      <c r="BA249" s="1397"/>
      <c r="BB249" s="1397"/>
      <c r="BC249" s="1397"/>
      <c r="BD249" s="1397"/>
      <c r="BE249" s="1397"/>
      <c r="BF249" s="1397"/>
      <c r="BG249" s="1397"/>
    </row>
    <row r="250" spans="1:59" ht="12.6" thickBot="1" x14ac:dyDescent="0.25">
      <c r="A250" s="256"/>
      <c r="AO250" s="1473" t="s">
        <v>20</v>
      </c>
      <c r="AP250" s="281">
        <f>SUM(AP223,AP229,AP244)</f>
        <v>-5212</v>
      </c>
      <c r="AQ250" s="1397"/>
      <c r="AR250" s="1397"/>
      <c r="AS250" s="1397"/>
      <c r="AT250" s="1397"/>
      <c r="AU250" s="1397"/>
      <c r="AV250" s="1397"/>
      <c r="AW250" s="1397"/>
      <c r="AX250" s="1397"/>
      <c r="AY250" s="1397"/>
      <c r="AZ250" s="1397"/>
      <c r="BA250" s="1397"/>
      <c r="BB250" s="1397"/>
      <c r="BC250" s="1397"/>
      <c r="BD250" s="1397"/>
      <c r="BE250" s="1397"/>
      <c r="BF250" s="1397"/>
      <c r="BG250" s="1397"/>
    </row>
    <row r="251" spans="1:59" x14ac:dyDescent="0.2">
      <c r="A251" s="256"/>
      <c r="AO251" s="1472" t="s">
        <v>118</v>
      </c>
      <c r="AP251" s="55">
        <f>ROUND(SUM(AQ251:BA251),0)</f>
        <v>0</v>
      </c>
      <c r="AQ251" s="1397"/>
      <c r="AR251" s="1397"/>
      <c r="AS251" s="1397"/>
      <c r="AT251" s="1397"/>
      <c r="AU251" s="1397"/>
      <c r="AV251" s="1397"/>
      <c r="AW251" s="1397"/>
      <c r="AX251" s="1397"/>
      <c r="AY251" s="1397"/>
      <c r="AZ251" s="1397"/>
      <c r="BA251" s="1397"/>
      <c r="BB251" s="1397"/>
      <c r="BC251" s="1397"/>
      <c r="BD251" s="1397"/>
      <c r="BE251" s="1397"/>
      <c r="BF251" s="1397"/>
      <c r="BG251" s="1397"/>
    </row>
    <row r="252" spans="1:59" x14ac:dyDescent="0.2">
      <c r="A252" s="256"/>
      <c r="AO252" s="1474" t="s">
        <v>67</v>
      </c>
      <c r="AP252" s="55">
        <f>FS.1!E13</f>
        <v>5604</v>
      </c>
      <c r="AQ252" s="1397"/>
      <c r="AR252" s="1397"/>
      <c r="AS252" s="1397"/>
      <c r="AT252" s="1397"/>
      <c r="AU252" s="1397"/>
      <c r="AV252" s="1397"/>
      <c r="AW252" s="1397"/>
      <c r="AX252" s="1397"/>
      <c r="AY252" s="1397"/>
      <c r="AZ252" s="1397"/>
      <c r="BA252" s="1397"/>
      <c r="BB252" s="1397"/>
      <c r="BC252" s="1397"/>
      <c r="BD252" s="1397"/>
      <c r="BE252" s="1397"/>
      <c r="BF252" s="1397"/>
      <c r="BG252" s="1397"/>
    </row>
    <row r="253" spans="1:59" ht="12.6" thickBot="1" x14ac:dyDescent="0.25">
      <c r="A253" s="256"/>
      <c r="AO253" s="48" t="s">
        <v>66</v>
      </c>
      <c r="AP253" s="49">
        <f>AP252+AP250+AP251</f>
        <v>392</v>
      </c>
      <c r="AQ253" s="49">
        <f t="shared" ref="AQ253:BG253" si="34">ROUND(SUM(AQ192:AQ252),0)</f>
        <v>0</v>
      </c>
      <c r="AR253" s="49">
        <f t="shared" si="34"/>
        <v>0</v>
      </c>
      <c r="AS253" s="49">
        <f t="shared" si="34"/>
        <v>0</v>
      </c>
      <c r="AT253" s="49">
        <f t="shared" si="34"/>
        <v>0</v>
      </c>
      <c r="AU253" s="49">
        <f t="shared" si="34"/>
        <v>0</v>
      </c>
      <c r="AV253" s="49">
        <f t="shared" si="34"/>
        <v>0</v>
      </c>
      <c r="AW253" s="49">
        <f t="shared" si="34"/>
        <v>0</v>
      </c>
      <c r="AX253" s="49">
        <f t="shared" si="34"/>
        <v>0</v>
      </c>
      <c r="AY253" s="49">
        <f t="shared" si="34"/>
        <v>0</v>
      </c>
      <c r="AZ253" s="49">
        <f t="shared" si="34"/>
        <v>0</v>
      </c>
      <c r="BA253" s="49">
        <f t="shared" si="34"/>
        <v>0</v>
      </c>
      <c r="BB253" s="49">
        <f t="shared" si="34"/>
        <v>0</v>
      </c>
      <c r="BC253" s="49">
        <f t="shared" si="34"/>
        <v>0</v>
      </c>
      <c r="BD253" s="49">
        <f t="shared" si="34"/>
        <v>0</v>
      </c>
      <c r="BE253" s="49">
        <f t="shared" si="34"/>
        <v>0</v>
      </c>
      <c r="BF253" s="49">
        <f t="shared" si="34"/>
        <v>0</v>
      </c>
      <c r="BG253" s="49">
        <f t="shared" si="34"/>
        <v>3067490</v>
      </c>
    </row>
    <row r="254" spans="1:59" ht="12.6" thickTop="1" x14ac:dyDescent="0.2">
      <c r="A254" s="256"/>
    </row>
    <row r="255" spans="1:59" ht="12.6" thickBot="1" x14ac:dyDescent="0.25">
      <c r="A255" s="256"/>
      <c r="AO255" s="65" t="s">
        <v>19</v>
      </c>
      <c r="AP255" s="66">
        <f>AP253-AP191</f>
        <v>0</v>
      </c>
    </row>
    <row r="256" spans="1:59" ht="12.6" thickTop="1" x14ac:dyDescent="0.3"/>
  </sheetData>
  <autoFilter ref="A7:AM187" xr:uid="{EEA232E2-A753-4D8D-9CCF-50C88CDEB55D}">
    <filterColumn colId="35">
      <filters blank="1">
        <filter val="(124,500,000)"/>
        <filter val="(13,593,750)"/>
        <filter val="(2,132,372)"/>
        <filter val="(2,847)"/>
        <filter val="(3,956,104)"/>
        <filter val="(308,750)"/>
        <filter val="(4)"/>
        <filter val="(556,400)"/>
        <filter val="(6,417,731)"/>
        <filter val="(6,450,000)"/>
        <filter val="(88,904)"/>
        <filter val="(900)"/>
        <filter val="1,589,583"/>
        <filter val="1,923"/>
        <filter val="10,309,517"/>
        <filter val="10,940"/>
        <filter val="129,600"/>
        <filter val="18"/>
        <filter val="198"/>
        <filter val="2,080,857"/>
        <filter val="2,625,000"/>
        <filter val="2,910"/>
        <filter val="228,000"/>
        <filter val="24,932,815"/>
        <filter val="243"/>
        <filter val="27,152"/>
        <filter val="276,000"/>
        <filter val="310,000"/>
        <filter val="35,138"/>
        <filter val="36,465"/>
        <filter val="4,392"/>
        <filter val="41,159"/>
        <filter val="436,368"/>
        <filter val="5,250,000"/>
        <filter val="556,400"/>
        <filter val="6"/>
        <filter val="6,289"/>
        <filter val="6,640,500"/>
        <filter val="6,731,822"/>
        <filter val="61,000"/>
        <filter val="778"/>
        <filter val="8,785"/>
        <filter val="88,904"/>
        <filter val="92,960,000"/>
      </filters>
    </filterColumn>
  </autoFilter>
  <conditionalFormatting sqref="A204:A1048576 A1:A3 A5:A188">
    <cfRule type="duplicateValues" dxfId="11" priority="1"/>
  </conditionalFormatting>
  <hyperlinks>
    <hyperlink ref="B5" location="'TB.1 - F25'!A1" display="TB.1" xr:uid="{DB385A28-87D3-4D60-9FD2-BE89167D5F6E}"/>
    <hyperlink ref="D5" location="'AJE.1 - F25'!A1" display="AJE.1" xr:uid="{1C290139-9F8A-4600-8BFC-89D8FE2FD6EF}"/>
    <hyperlink ref="C5" location="'TB.1 - F25'!A1" display="TB.1" xr:uid="{AB25FF9E-78CF-42CC-92AA-B6889C9BC308}"/>
  </hyperlink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C590-15A9-4615-8AEF-C6783E103DA9}">
  <sheetPr filterMode="1">
    <tabColor rgb="FF00FF99"/>
  </sheetPr>
  <dimension ref="A1:AE251"/>
  <sheetViews>
    <sheetView workbookViewId="0"/>
  </sheetViews>
  <sheetFormatPr defaultColWidth="8.88671875" defaultRowHeight="12" outlineLevelCol="1" x14ac:dyDescent="0.3"/>
  <cols>
    <col min="1" max="1" width="57" style="16" bestFit="1" customWidth="1"/>
    <col min="2" max="3" width="13.5546875" style="16" customWidth="1"/>
    <col min="4" max="4" width="14.6640625" style="16" customWidth="1"/>
    <col min="5" max="5" width="14.109375" style="16" hidden="1" customWidth="1" outlineLevel="1"/>
    <col min="6" max="6" width="15.88671875" style="16" customWidth="1" collapsed="1"/>
    <col min="7" max="7" width="33.88671875" style="183" bestFit="1" customWidth="1"/>
    <col min="8" max="8" width="33.88671875" style="16" customWidth="1"/>
    <col min="9" max="9" width="33.88671875" style="16" bestFit="1" customWidth="1"/>
    <col min="10" max="10" width="3" style="16" customWidth="1"/>
    <col min="11" max="11" width="64" style="16" customWidth="1"/>
    <col min="12" max="12" width="14.109375" style="16" bestFit="1" customWidth="1"/>
    <col min="13" max="14" width="12.88671875" style="16" hidden="1" customWidth="1" outlineLevel="1"/>
    <col min="15" max="15" width="12.88671875" style="16" customWidth="1" collapsed="1"/>
    <col min="16" max="16" width="12.88671875" style="16" customWidth="1"/>
    <col min="17" max="17" width="14.33203125" style="16" hidden="1" customWidth="1" outlineLevel="1"/>
    <col min="18" max="18" width="13.109375" style="16" hidden="1" customWidth="1" outlineLevel="1"/>
    <col min="19" max="19" width="16.109375" style="16" customWidth="1" collapsed="1"/>
    <col min="20" max="20" width="16.109375" style="16" customWidth="1"/>
    <col min="21" max="21" width="13.77734375" style="16" customWidth="1"/>
    <col min="22" max="22" width="14.33203125" style="16" hidden="1" customWidth="1" outlineLevel="1"/>
    <col min="23" max="23" width="16.88671875" style="16" customWidth="1" collapsed="1"/>
    <col min="24" max="24" width="13.5546875" style="16" hidden="1" customWidth="1" outlineLevel="1"/>
    <col min="25" max="25" width="12.5546875" style="16" customWidth="1" collapsed="1"/>
    <col min="26" max="26" width="14.6640625" style="16" customWidth="1"/>
    <col min="27" max="27" width="14" style="16" customWidth="1"/>
    <col min="28" max="28" width="14.44140625" style="16" customWidth="1"/>
    <col min="29" max="29" width="14.88671875" style="16" customWidth="1"/>
    <col min="30" max="30" width="3.88671875" style="16" customWidth="1"/>
    <col min="31" max="31" width="15" style="16" customWidth="1"/>
    <col min="32" max="16384" width="8.88671875" style="16"/>
  </cols>
  <sheetData>
    <row r="1" spans="1:30" ht="25.2" x14ac:dyDescent="0.3">
      <c r="A1" s="44" t="str">
        <f>company_name</f>
        <v>Consolidated Hallor Group Inc.</v>
      </c>
      <c r="F1" s="71"/>
      <c r="G1" s="176"/>
      <c r="H1" s="19"/>
      <c r="I1" s="19"/>
    </row>
    <row r="2" spans="1:30" ht="21" x14ac:dyDescent="0.2">
      <c r="A2" s="511">
        <f>currentperiod_end_date</f>
        <v>45838</v>
      </c>
      <c r="B2" s="131"/>
      <c r="C2" s="131"/>
      <c r="F2" s="71"/>
      <c r="G2" s="664" t="s">
        <v>501</v>
      </c>
      <c r="H2" s="19"/>
      <c r="I2" s="19"/>
      <c r="K2" s="212"/>
    </row>
    <row r="3" spans="1:30" ht="21" x14ac:dyDescent="0.25">
      <c r="A3" s="153"/>
      <c r="F3" s="71"/>
      <c r="G3" s="718"/>
      <c r="H3" s="531"/>
      <c r="I3" s="531"/>
      <c r="K3" s="212"/>
      <c r="L3" s="211"/>
      <c r="M3" s="211"/>
      <c r="N3" s="211"/>
      <c r="O3" s="211"/>
      <c r="P3" s="211"/>
      <c r="Q3" s="211"/>
      <c r="R3" s="211"/>
      <c r="S3" s="211"/>
      <c r="T3" s="211"/>
      <c r="U3" s="211"/>
      <c r="V3" s="211"/>
    </row>
    <row r="4" spans="1:30" x14ac:dyDescent="0.25">
      <c r="A4" s="186" t="s">
        <v>266</v>
      </c>
      <c r="B4" s="76">
        <f>SUM(B96:B181)</f>
        <v>325418.59999999998</v>
      </c>
      <c r="C4" s="76">
        <f>SUM(C96:C181)</f>
        <v>289954.57</v>
      </c>
      <c r="D4" s="76">
        <f>SUM(D96:D181)</f>
        <v>1256364</v>
      </c>
      <c r="F4" s="926">
        <f>SUM(F96:F181)</f>
        <v>1871736</v>
      </c>
      <c r="G4" s="718"/>
      <c r="H4" s="531"/>
      <c r="I4" s="531"/>
      <c r="K4" s="212"/>
      <c r="L4" s="211"/>
      <c r="M4" s="211"/>
      <c r="N4" s="211"/>
      <c r="O4" s="211"/>
      <c r="P4" s="211"/>
      <c r="Q4" s="211"/>
      <c r="R4" s="211"/>
      <c r="S4" s="211"/>
      <c r="T4" s="211"/>
      <c r="U4" s="211"/>
      <c r="V4" s="211"/>
    </row>
    <row r="5" spans="1:30" ht="21" x14ac:dyDescent="0.3">
      <c r="A5" s="153"/>
      <c r="B5" s="1454" t="s">
        <v>810</v>
      </c>
      <c r="C5" s="1454" t="s">
        <v>810</v>
      </c>
      <c r="D5" s="1454" t="s">
        <v>815</v>
      </c>
      <c r="F5" s="71"/>
      <c r="G5" s="718"/>
      <c r="H5" s="531"/>
      <c r="I5" s="531"/>
      <c r="K5" s="212"/>
      <c r="L5" s="211">
        <v>101</v>
      </c>
      <c r="M5" s="211">
        <f>L5+1</f>
        <v>102</v>
      </c>
      <c r="N5" s="211">
        <f t="shared" ref="N5:W5" si="0">M5+1</f>
        <v>103</v>
      </c>
      <c r="O5" s="211">
        <f t="shared" si="0"/>
        <v>104</v>
      </c>
      <c r="P5" s="211">
        <f t="shared" si="0"/>
        <v>105</v>
      </c>
      <c r="Q5" s="211">
        <f t="shared" si="0"/>
        <v>106</v>
      </c>
      <c r="R5" s="211">
        <f t="shared" si="0"/>
        <v>107</v>
      </c>
      <c r="S5" s="211">
        <f t="shared" si="0"/>
        <v>108</v>
      </c>
      <c r="T5" s="211">
        <f t="shared" si="0"/>
        <v>109</v>
      </c>
      <c r="U5" s="211">
        <f t="shared" si="0"/>
        <v>110</v>
      </c>
      <c r="V5" s="211">
        <f t="shared" si="0"/>
        <v>111</v>
      </c>
      <c r="W5" s="211">
        <f t="shared" si="0"/>
        <v>112</v>
      </c>
      <c r="X5" s="211">
        <f t="shared" ref="X5:Y5" si="1">W5+1</f>
        <v>113</v>
      </c>
      <c r="Y5" s="211">
        <f t="shared" si="1"/>
        <v>114</v>
      </c>
      <c r="Z5" s="211">
        <f t="shared" ref="Z5:AA5" si="2">Y5+1</f>
        <v>115</v>
      </c>
      <c r="AA5" s="211">
        <f t="shared" si="2"/>
        <v>116</v>
      </c>
      <c r="AB5" s="211">
        <f t="shared" ref="AB5:AC5" si="3">AA5+1</f>
        <v>117</v>
      </c>
      <c r="AC5" s="211">
        <f t="shared" si="3"/>
        <v>118</v>
      </c>
    </row>
    <row r="6" spans="1:30" s="143" customFormat="1" ht="35.700000000000003" customHeight="1" x14ac:dyDescent="0.25">
      <c r="B6" s="916" t="s">
        <v>638</v>
      </c>
      <c r="C6" s="916" t="s">
        <v>639</v>
      </c>
      <c r="D6" s="916" t="s">
        <v>646</v>
      </c>
      <c r="E6" s="916" t="s">
        <v>646</v>
      </c>
      <c r="G6" s="177"/>
      <c r="K6" s="212"/>
      <c r="L6" s="211">
        <v>201</v>
      </c>
      <c r="M6" s="211">
        <f>L6+1</f>
        <v>202</v>
      </c>
      <c r="N6" s="211">
        <f t="shared" ref="N6:W6" si="4">M6+1</f>
        <v>203</v>
      </c>
      <c r="O6" s="211">
        <f t="shared" si="4"/>
        <v>204</v>
      </c>
      <c r="P6" s="211">
        <f t="shared" si="4"/>
        <v>205</v>
      </c>
      <c r="Q6" s="211">
        <f t="shared" si="4"/>
        <v>206</v>
      </c>
      <c r="R6" s="211">
        <f t="shared" si="4"/>
        <v>207</v>
      </c>
      <c r="S6" s="211">
        <f t="shared" si="4"/>
        <v>208</v>
      </c>
      <c r="T6" s="211">
        <f t="shared" si="4"/>
        <v>209</v>
      </c>
      <c r="U6" s="211">
        <f t="shared" si="4"/>
        <v>210</v>
      </c>
      <c r="V6" s="211">
        <f t="shared" si="4"/>
        <v>211</v>
      </c>
      <c r="W6" s="211">
        <f t="shared" si="4"/>
        <v>212</v>
      </c>
      <c r="X6" s="211">
        <f t="shared" ref="X6:Y6" si="5">W6+1</f>
        <v>213</v>
      </c>
      <c r="Y6" s="211">
        <f t="shared" si="5"/>
        <v>214</v>
      </c>
      <c r="Z6" s="211">
        <f t="shared" ref="Z6:AA6" si="6">Y6+1</f>
        <v>215</v>
      </c>
      <c r="AA6" s="211">
        <f t="shared" si="6"/>
        <v>216</v>
      </c>
      <c r="AB6" s="211">
        <f t="shared" ref="AB6:AC6" si="7">AA6+1</f>
        <v>217</v>
      </c>
      <c r="AC6" s="211">
        <f t="shared" si="7"/>
        <v>218</v>
      </c>
      <c r="AD6" s="145"/>
    </row>
    <row r="7" spans="1:30" ht="48.6" thickBot="1" x14ac:dyDescent="0.3">
      <c r="A7" s="719" t="s">
        <v>2204</v>
      </c>
      <c r="B7" s="914" t="str">
        <f>TEXT(A2,"MMMM DD, YYYY")</f>
        <v>June 30, 2025</v>
      </c>
      <c r="C7" s="914" t="str">
        <f>B7</f>
        <v>June 30, 2025</v>
      </c>
      <c r="D7" s="720" t="s">
        <v>376</v>
      </c>
      <c r="E7" s="720" t="s">
        <v>265</v>
      </c>
      <c r="F7" s="730" t="str">
        <f>"Adjusted Bal - "&amp;TEXT($A$2,"MMMM DD, YYYY")</f>
        <v>Adjusted Bal - June 30, 2025</v>
      </c>
      <c r="G7" s="666" t="s">
        <v>1</v>
      </c>
      <c r="H7" s="666" t="s">
        <v>40</v>
      </c>
      <c r="I7" s="666" t="s">
        <v>45</v>
      </c>
      <c r="K7" s="46"/>
      <c r="L7" s="126" t="str">
        <f>_xlfn.XLOOKUP(L6,FS.1!$T:$T,FS.1!$A:$A,0,0,1)</f>
        <v>Cash</v>
      </c>
      <c r="M7" s="126" t="str">
        <f>_xlfn.XLOOKUP(M6,FS.1!$T:$T,FS.1!$A:$A,0,0,1)</f>
        <v>Receivables</v>
      </c>
      <c r="N7" s="126" t="str">
        <f>_xlfn.XLOOKUP(N6,FS.1!$T:$T,FS.1!$A:$A,0,0,1)</f>
        <v>Prepaid expenses</v>
      </c>
      <c r="O7" s="126" t="str">
        <f>_xlfn.XLOOKUP(O6,FS.1!$T:$T,FS.1!$A:$A,0,0,1)</f>
        <v>Sales tax receivable</v>
      </c>
      <c r="P7" s="126" t="str">
        <f>_xlfn.XLOOKUP(P6,FS.1!$T:$T,FS.1!$A:$A,0,0,1)</f>
        <v>Inventory</v>
      </c>
      <c r="Q7" s="126" t="str">
        <f>_xlfn.XLOOKUP(Q6,FS.1!$T:$T,FS.1!$A:$A,0,0,1)</f>
        <v>Due from related parties</v>
      </c>
      <c r="R7" s="126" t="str">
        <f>_xlfn.XLOOKUP(R6,FS.1!$T:$T,FS.1!$A:$A,0,0,1)</f>
        <v>Current portion of loan receivable</v>
      </c>
      <c r="S7" s="126" t="str">
        <f>_xlfn.XLOOKUP(S6,FS.1!$T:$T,FS.1!$A:$A,0,0,1)</f>
        <v>Equipment</v>
      </c>
      <c r="T7" s="126" t="str">
        <f>_xlfn.XLOOKUP(T6,FS.1!$T:$T,FS.1!$A:$A,0,0,1)</f>
        <v>Intangible assets</v>
      </c>
      <c r="U7" s="126" t="str">
        <f>_xlfn.XLOOKUP(U6,FS.1!$T:$T,FS.1!$A:$A,0,0,1)</f>
        <v>Accounts payables and accrued liabilities</v>
      </c>
      <c r="V7" s="126" t="str">
        <f>_xlfn.XLOOKUP(V6,FS.1!$T:$T,FS.1!$A:$A,0,0,1)</f>
        <v>Warranty liability</v>
      </c>
      <c r="W7" s="126" t="str">
        <f>_xlfn.XLOOKUP(W6,FS.1!$T:$T,FS.1!$A:$A,0,0,1)</f>
        <v>Convertible debt</v>
      </c>
      <c r="X7" s="126" t="str">
        <f>_xlfn.XLOOKUP(X6,FS.1!$T:$T,FS.1!$A:$A,0,0,1)</f>
        <v>Derivative liability</v>
      </c>
      <c r="Y7" s="126" t="str">
        <f>_xlfn.XLOOKUP(Y6,FS.1!$T:$T,FS.1!$A:$A,0,0,1)</f>
        <v>Income tax payable</v>
      </c>
      <c r="Z7" s="126" t="str">
        <f>_xlfn.XLOOKUP(Z6,FS.1!$T:$T,FS.1!$A:$A,0,0,1)</f>
        <v>Due to related parties</v>
      </c>
      <c r="AA7" s="126" t="str">
        <f>_xlfn.XLOOKUP(AA6,FS.1!$T:$T,FS.1!$A:$A,0,0,1)</f>
        <v>Share capital</v>
      </c>
      <c r="AB7" s="126" t="str">
        <f>_xlfn.XLOOKUP(AB6,FS.1!$T:$T,FS.1!$A:$A,0,0,1)</f>
        <v>Contributed surplus</v>
      </c>
      <c r="AC7" s="126" t="str">
        <f>_xlfn.XLOOKUP(AC6,FS.1!$T:$T,FS.1!$A:$A,0,0,1)</f>
        <v>Accumulated deficit</v>
      </c>
    </row>
    <row r="8" spans="1:30" x14ac:dyDescent="0.25">
      <c r="A8" s="1389" t="str">
        <f>COA!B5</f>
        <v>1000 Chequing - 5002829</v>
      </c>
      <c r="B8" s="1390">
        <f>_xlfn.XLOOKUP(A8,'TB.1 - F25'!A:A,'TB.1 - F25'!D:D,0,0,1)</f>
        <v>-101.64</v>
      </c>
      <c r="C8" s="1390">
        <f>_xlfn.XLOOKUP(A8,'TB.1 - F25'!A:A,'TB.1 - F25'!H:H,0,0,1)</f>
        <v>0</v>
      </c>
      <c r="D8" s="1390">
        <f>_xlfn.XLOOKUP(A8,'AJE.1 - F25'!A:A,'AJE.1 - F25'!F:F,0,0,1)</f>
        <v>0</v>
      </c>
      <c r="E8" s="1390"/>
      <c r="F8" s="665">
        <f t="shared" ref="F8:F40" si="8">ROUND(SUM(B8:E8),0)</f>
        <v>-102</v>
      </c>
      <c r="G8" s="185" t="str">
        <f>_xlfn.XLOOKUP($A8,COA!$B:$B,COA!$C:$C,0,0,1)</f>
        <v>Cash</v>
      </c>
      <c r="H8" s="178" t="str">
        <f>_xlfn.XLOOKUP($A8,COA!$B:$B,COA!$D:$D,0,0,1)</f>
        <v>Cash</v>
      </c>
      <c r="I8" s="178" t="str">
        <f>_xlfn.XLOOKUP($A8,COA!$B:$B,COA!$E:$E,0,0,1)</f>
        <v>Cash</v>
      </c>
      <c r="K8" s="85" t="str">
        <f>I8</f>
        <v>Cash</v>
      </c>
      <c r="L8" s="85"/>
      <c r="M8" s="85"/>
      <c r="N8" s="85"/>
      <c r="O8" s="85"/>
      <c r="P8" s="85"/>
      <c r="Q8" s="85"/>
      <c r="R8" s="85"/>
      <c r="S8" s="85"/>
      <c r="T8" s="85"/>
      <c r="U8" s="85"/>
      <c r="V8" s="85"/>
      <c r="W8" s="85"/>
      <c r="X8" s="85"/>
      <c r="Y8" s="85"/>
      <c r="Z8" s="85"/>
      <c r="AA8" s="85"/>
      <c r="AB8" s="85"/>
      <c r="AC8" s="85"/>
    </row>
    <row r="9" spans="1:30" hidden="1" x14ac:dyDescent="0.25">
      <c r="A9" s="1389" t="str">
        <f>COA!B6</f>
        <v>1000 Undeposited Funds</v>
      </c>
      <c r="B9" s="1390">
        <f>_xlfn.XLOOKUP(A9,'TB.1 - F25'!A:A,'TB.1 - F25'!D:D,0,0,1)</f>
        <v>0</v>
      </c>
      <c r="C9" s="1390">
        <f>_xlfn.XLOOKUP(A9,'TB.1 - F25'!A:A,'TB.1 - F25'!H:H,0,0,1)</f>
        <v>0</v>
      </c>
      <c r="D9" s="1390">
        <f>_xlfn.XLOOKUP(A9,'AJE.1 - F25'!A:A,'AJE.1 - F25'!F:F,0,0,1)</f>
        <v>0</v>
      </c>
      <c r="E9" s="1390"/>
      <c r="F9" s="665">
        <f t="shared" si="8"/>
        <v>0</v>
      </c>
      <c r="G9" s="185" t="str">
        <f>_xlfn.XLOOKUP($A9,COA!$B:$B,COA!$C:$C,0,0,1)</f>
        <v>Cash</v>
      </c>
      <c r="H9" s="178" t="str">
        <f>_xlfn.XLOOKUP($A9,COA!$B:$B,COA!$D:$D,0,0,1)</f>
        <v>Cash</v>
      </c>
      <c r="I9" s="178" t="str">
        <f>_xlfn.XLOOKUP($A9,COA!$B:$B,COA!$E:$E,0,0,1)</f>
        <v>Cash</v>
      </c>
      <c r="K9" s="85" t="str">
        <f>_xlfn.XLOOKUP(I9,FS.1!A:A,I:I,0,0,1)</f>
        <v>Accounts payables and accrued liabilities</v>
      </c>
      <c r="L9" s="85"/>
      <c r="M9" s="85"/>
      <c r="N9" s="85"/>
      <c r="O9" s="85"/>
      <c r="P9" s="85"/>
      <c r="Q9" s="85"/>
      <c r="R9" s="85"/>
      <c r="S9" s="85"/>
      <c r="T9" s="85"/>
      <c r="U9" s="85"/>
      <c r="V9" s="85"/>
      <c r="W9" s="85"/>
      <c r="X9" s="85"/>
      <c r="Y9" s="85"/>
      <c r="Z9" s="85"/>
      <c r="AA9" s="85"/>
      <c r="AB9" s="85"/>
      <c r="AC9" s="85"/>
    </row>
    <row r="10" spans="1:30" x14ac:dyDescent="0.25">
      <c r="A10" s="1389" t="str">
        <f>COA!B7</f>
        <v>1001 Petty Cash</v>
      </c>
      <c r="B10" s="1390">
        <f>_xlfn.XLOOKUP(A10,'TB.1 - F25'!A:A,'TB.1 - F25'!D:D,0,0,1)</f>
        <v>0</v>
      </c>
      <c r="C10" s="1390">
        <f>_xlfn.XLOOKUP(A10,'TB.1 - F25'!A:A,'TB.1 - F25'!H:H,0,0,1)</f>
        <v>198</v>
      </c>
      <c r="D10" s="1390">
        <f>_xlfn.XLOOKUP(A10,'AJE.1 - F25'!A:A,'AJE.1 - F25'!F:F,0,0,1)</f>
        <v>0</v>
      </c>
      <c r="E10" s="1390"/>
      <c r="F10" s="665">
        <f t="shared" si="8"/>
        <v>198</v>
      </c>
      <c r="G10" s="185" t="str">
        <f>_xlfn.XLOOKUP($A10,COA!$B:$B,COA!$C:$C,0,0,1)</f>
        <v>Cash</v>
      </c>
      <c r="H10" s="178" t="str">
        <f>_xlfn.XLOOKUP($A10,COA!$B:$B,COA!$D:$D,0,0,1)</f>
        <v>Cash</v>
      </c>
      <c r="I10" s="178" t="str">
        <f>_xlfn.XLOOKUP($A10,COA!$B:$B,COA!$E:$E,0,0,1)</f>
        <v>Cash</v>
      </c>
      <c r="K10" s="85" t="str">
        <f t="shared" ref="K10:K11" si="9">I10</f>
        <v>Cash</v>
      </c>
      <c r="L10" s="85"/>
      <c r="M10" s="85"/>
      <c r="N10" s="85"/>
      <c r="O10" s="85"/>
      <c r="P10" s="85"/>
      <c r="Q10" s="85"/>
      <c r="R10" s="85"/>
      <c r="S10" s="85"/>
      <c r="T10" s="85"/>
      <c r="U10" s="85"/>
      <c r="V10" s="85"/>
      <c r="W10" s="85"/>
      <c r="X10" s="85"/>
      <c r="Y10" s="85"/>
      <c r="Z10" s="85"/>
      <c r="AA10" s="85"/>
      <c r="AB10" s="85"/>
      <c r="AC10" s="85"/>
    </row>
    <row r="11" spans="1:30" x14ac:dyDescent="0.25">
      <c r="A11" s="1389" t="str">
        <f>COA!B8</f>
        <v>1002 TD - Chequing 1869</v>
      </c>
      <c r="B11" s="1390">
        <f>_xlfn.XLOOKUP(A11,'TB.1 - F25'!A:A,'TB.1 - F25'!D:D,0,0,1)</f>
        <v>0</v>
      </c>
      <c r="C11" s="1390">
        <f>_xlfn.XLOOKUP(A11,'TB.1 - F25'!A:A,'TB.1 - F25'!H:H,0,0,1)</f>
        <v>52.7</v>
      </c>
      <c r="D11" s="1390">
        <f>_xlfn.XLOOKUP(A11,'AJE.1 - F25'!A:A,'AJE.1 - F25'!F:F,0,0,1)</f>
        <v>0</v>
      </c>
      <c r="E11" s="1390"/>
      <c r="F11" s="665">
        <f t="shared" si="8"/>
        <v>53</v>
      </c>
      <c r="G11" s="185" t="str">
        <f>_xlfn.XLOOKUP($A11,COA!$B:$B,COA!$C:$C,0,0,1)</f>
        <v>Cash</v>
      </c>
      <c r="H11" s="178" t="str">
        <f>_xlfn.XLOOKUP($A11,COA!$B:$B,COA!$D:$D,0,0,1)</f>
        <v>Cash</v>
      </c>
      <c r="I11" s="178" t="str">
        <f>_xlfn.XLOOKUP($A11,COA!$B:$B,COA!$E:$E,0,0,1)</f>
        <v>Cash</v>
      </c>
      <c r="K11" s="85" t="str">
        <f t="shared" si="9"/>
        <v>Cash</v>
      </c>
      <c r="L11" s="85"/>
      <c r="M11" s="85"/>
      <c r="N11" s="85"/>
      <c r="O11" s="85"/>
      <c r="P11" s="85"/>
      <c r="Q11" s="85"/>
      <c r="R11" s="85"/>
      <c r="S11" s="85"/>
      <c r="T11" s="85"/>
      <c r="U11" s="85"/>
      <c r="V11" s="85"/>
      <c r="W11" s="85"/>
      <c r="X11" s="85"/>
      <c r="Y11" s="85"/>
      <c r="Z11" s="85"/>
      <c r="AA11" s="85"/>
      <c r="AB11" s="85"/>
      <c r="AC11" s="85"/>
    </row>
    <row r="12" spans="1:30" hidden="1" x14ac:dyDescent="0.25">
      <c r="A12" s="1389" t="str">
        <f>COA!B9</f>
        <v>1003 TD - Savings 2407</v>
      </c>
      <c r="B12" s="1390">
        <f>_xlfn.XLOOKUP(A12,'TB.1 - F25'!A:A,'TB.1 - F25'!D:D,0,0,1)</f>
        <v>0</v>
      </c>
      <c r="C12" s="1390">
        <f>_xlfn.XLOOKUP(A12,'TB.1 - F25'!A:A,'TB.1 - F25'!H:H,0,0,1)</f>
        <v>0.03</v>
      </c>
      <c r="D12" s="1390">
        <f>_xlfn.XLOOKUP(A12,'AJE.1 - F25'!A:A,'AJE.1 - F25'!F:F,0,0,1)</f>
        <v>0</v>
      </c>
      <c r="E12" s="1390"/>
      <c r="F12" s="665">
        <f t="shared" si="8"/>
        <v>0</v>
      </c>
      <c r="G12" s="185" t="str">
        <f>_xlfn.XLOOKUP($A12,COA!$B:$B,COA!$C:$C,0,0,1)</f>
        <v>Cash</v>
      </c>
      <c r="H12" s="178" t="str">
        <f>_xlfn.XLOOKUP($A12,COA!$B:$B,COA!$D:$D,0,0,1)</f>
        <v>Cash</v>
      </c>
      <c r="I12" s="178" t="str">
        <f>_xlfn.XLOOKUP($A12,COA!$B:$B,COA!$E:$E,0,0,1)</f>
        <v>Cash</v>
      </c>
      <c r="K12" s="85" t="str">
        <f>_xlfn.XLOOKUP(I12,FS.1!A:A,I:I,0,0,1)</f>
        <v>Accounts payables and accrued liabilities</v>
      </c>
      <c r="L12" s="85"/>
      <c r="M12" s="85"/>
      <c r="N12" s="85"/>
      <c r="O12" s="85"/>
      <c r="P12" s="85"/>
      <c r="Q12" s="85"/>
      <c r="R12" s="85"/>
      <c r="S12" s="85"/>
      <c r="T12" s="85"/>
      <c r="U12" s="85"/>
      <c r="V12" s="85"/>
      <c r="W12" s="85"/>
      <c r="X12" s="85"/>
      <c r="Y12" s="85"/>
      <c r="Z12" s="85"/>
      <c r="AA12" s="85"/>
      <c r="AB12" s="85"/>
      <c r="AC12" s="85"/>
    </row>
    <row r="13" spans="1:30" x14ac:dyDescent="0.25">
      <c r="A13" s="1389" t="str">
        <f>COA!B10</f>
        <v>1004 TD - Visa 7692</v>
      </c>
      <c r="B13" s="1390">
        <f>_xlfn.XLOOKUP(A13,'TB.1 - F25'!A:A,'TB.1 - F25'!D:D,0,0,1)</f>
        <v>0</v>
      </c>
      <c r="C13" s="1390">
        <f>_xlfn.XLOOKUP(A13,'TB.1 - F25'!A:A,'TB.1 - F25'!H:H,0,0,1)</f>
        <v>-7199.51</v>
      </c>
      <c r="D13" s="1390">
        <f>_xlfn.XLOOKUP(A13,'AJE.1 - F25'!A:A,'AJE.1 - F25'!F:F,0,0,1)</f>
        <v>0</v>
      </c>
      <c r="E13" s="1390"/>
      <c r="F13" s="219">
        <f t="shared" si="8"/>
        <v>-7200</v>
      </c>
      <c r="G13" s="667" t="s">
        <v>308</v>
      </c>
      <c r="H13" s="667" t="str">
        <f>G13</f>
        <v>Accounts payables and accrued liabilities</v>
      </c>
      <c r="I13" s="667" t="str">
        <f>H13</f>
        <v>Accounts payables and accrued liabilities</v>
      </c>
      <c r="K13" s="85" t="str">
        <f>I13</f>
        <v>Accounts payables and accrued liabilities</v>
      </c>
      <c r="L13" s="85"/>
      <c r="M13" s="85"/>
      <c r="N13" s="85"/>
      <c r="O13" s="85"/>
      <c r="P13" s="85"/>
      <c r="Q13" s="85"/>
      <c r="R13" s="85"/>
      <c r="S13" s="85"/>
      <c r="T13" s="85"/>
      <c r="U13" s="85"/>
      <c r="V13" s="85"/>
      <c r="W13" s="85"/>
      <c r="X13" s="85"/>
      <c r="Y13" s="85"/>
      <c r="Z13" s="85"/>
      <c r="AA13" s="85"/>
      <c r="AB13" s="85"/>
      <c r="AC13" s="85"/>
    </row>
    <row r="14" spans="1:30" hidden="1" x14ac:dyDescent="0.25">
      <c r="A14" s="1389" t="str">
        <f>COA!B11</f>
        <v>1005 Undeposited Funds</v>
      </c>
      <c r="B14" s="1390">
        <f>_xlfn.XLOOKUP(A14,'TB.1 - F25'!A:A,'TB.1 - F25'!D:D,0,0,1)</f>
        <v>0</v>
      </c>
      <c r="C14" s="1390">
        <f>_xlfn.XLOOKUP(A14,'TB.1 - F25'!A:A,'TB.1 - F25'!H:H,0,0,1)</f>
        <v>0</v>
      </c>
      <c r="D14" s="1390">
        <f>_xlfn.XLOOKUP(A14,'AJE.1 - F25'!A:A,'AJE.1 - F25'!F:F,0,0,1)</f>
        <v>0</v>
      </c>
      <c r="E14" s="1390"/>
      <c r="F14" s="219">
        <f t="shared" si="8"/>
        <v>0</v>
      </c>
      <c r="G14" s="178" t="str">
        <f>_xlfn.XLOOKUP($A14,COA!$B:$B,COA!$C:$C,0,0,1)</f>
        <v>Cash</v>
      </c>
      <c r="H14" s="178" t="str">
        <f>_xlfn.XLOOKUP($A14,COA!$B:$B,COA!$D:$D,0,0,1)</f>
        <v>Cash</v>
      </c>
      <c r="I14" s="178" t="str">
        <f>_xlfn.XLOOKUP($A14,COA!$B:$B,COA!$E:$E,0,0,1)</f>
        <v>Cash</v>
      </c>
      <c r="K14" s="85" t="str">
        <f>_xlfn.XLOOKUP(I14,FS.1!A:A,I:I,0,0,1)</f>
        <v>Accounts payables and accrued liabilities</v>
      </c>
      <c r="L14" s="85"/>
      <c r="M14" s="85"/>
      <c r="N14" s="85"/>
      <c r="O14" s="85"/>
      <c r="P14" s="85"/>
      <c r="Q14" s="85"/>
      <c r="R14" s="85"/>
      <c r="S14" s="85"/>
      <c r="T14" s="85"/>
      <c r="U14" s="85"/>
      <c r="V14" s="85"/>
      <c r="W14" s="85"/>
      <c r="X14" s="85"/>
      <c r="Y14" s="85"/>
      <c r="Z14" s="85"/>
      <c r="AA14" s="85"/>
      <c r="AB14" s="85"/>
      <c r="AC14" s="85"/>
    </row>
    <row r="15" spans="1:30" x14ac:dyDescent="0.25">
      <c r="A15" s="1389" t="str">
        <f>COA!B12</f>
        <v>1005 Interior Savings - 5224</v>
      </c>
      <c r="B15" s="1390">
        <f>_xlfn.XLOOKUP(A15,'TB.1 - F25'!A:A,'TB.1 - F25'!D:D,0,0,1)</f>
        <v>0</v>
      </c>
      <c r="C15" s="1390">
        <f>_xlfn.XLOOKUP(A15,'TB.1 - F25'!A:A,'TB.1 - F25'!H:H,0,0,1)</f>
        <v>242.6</v>
      </c>
      <c r="D15" s="1390">
        <f>_xlfn.XLOOKUP(A15,'AJE.1 - F25'!A:A,'AJE.1 - F25'!F:F,0,0,1)</f>
        <v>0</v>
      </c>
      <c r="E15" s="1390"/>
      <c r="F15" s="219">
        <f t="shared" si="8"/>
        <v>243</v>
      </c>
      <c r="G15" s="178" t="str">
        <f>_xlfn.XLOOKUP($A15,COA!$B:$B,COA!$C:$C,0,0,1)</f>
        <v>Cash</v>
      </c>
      <c r="H15" s="178" t="str">
        <f>_xlfn.XLOOKUP($A15,COA!$B:$B,COA!$D:$D,0,0,1)</f>
        <v>Cash</v>
      </c>
      <c r="I15" s="178" t="str">
        <f>_xlfn.XLOOKUP($A15,COA!$B:$B,COA!$E:$E,0,0,1)</f>
        <v>Cash</v>
      </c>
      <c r="K15" s="85" t="str">
        <f t="shared" ref="K15:K17" si="10">I15</f>
        <v>Cash</v>
      </c>
      <c r="L15" s="85"/>
      <c r="M15" s="85"/>
      <c r="N15" s="85"/>
      <c r="O15" s="85"/>
      <c r="P15" s="85"/>
      <c r="Q15" s="85"/>
      <c r="R15" s="85"/>
      <c r="S15" s="85"/>
      <c r="T15" s="85"/>
      <c r="U15" s="85"/>
      <c r="V15" s="85"/>
      <c r="W15" s="85"/>
      <c r="X15" s="85"/>
      <c r="Y15" s="85"/>
      <c r="Z15" s="85"/>
      <c r="AA15" s="85"/>
      <c r="AB15" s="85"/>
      <c r="AC15" s="85"/>
    </row>
    <row r="16" spans="1:30" x14ac:dyDescent="0.25">
      <c r="A16" s="1389" t="str">
        <f>COA!B13</f>
        <v>1006 Interior Savings - Member Shares 5182</v>
      </c>
      <c r="B16" s="1390">
        <f>_xlfn.XLOOKUP(A16,'TB.1 - F25'!A:A,'TB.1 - F25'!D:D,0,0,1)</f>
        <v>0</v>
      </c>
      <c r="C16" s="1390">
        <f>_xlfn.XLOOKUP(A16,'TB.1 - F25'!A:A,'TB.1 - F25'!H:H,0,0,1)</f>
        <v>6.04</v>
      </c>
      <c r="D16" s="1390">
        <f>_xlfn.XLOOKUP(A16,'AJE.1 - F25'!A:A,'AJE.1 - F25'!F:F,0,0,1)</f>
        <v>0</v>
      </c>
      <c r="E16" s="1390"/>
      <c r="F16" s="219">
        <f t="shared" si="8"/>
        <v>6</v>
      </c>
      <c r="G16" s="178" t="str">
        <f>_xlfn.XLOOKUP($A16,COA!$B:$B,COA!$C:$C,0,0,1)</f>
        <v>Cash</v>
      </c>
      <c r="H16" s="178" t="str">
        <f>_xlfn.XLOOKUP($A16,COA!$B:$B,COA!$D:$D,0,0,1)</f>
        <v>Cash</v>
      </c>
      <c r="I16" s="178" t="str">
        <f>_xlfn.XLOOKUP($A16,COA!$B:$B,COA!$E:$E,0,0,1)</f>
        <v>Cash</v>
      </c>
      <c r="K16" s="85" t="str">
        <f t="shared" si="10"/>
        <v>Cash</v>
      </c>
      <c r="L16" s="85"/>
      <c r="M16" s="85"/>
      <c r="N16" s="85"/>
      <c r="O16" s="85"/>
      <c r="P16" s="85"/>
      <c r="Q16" s="85"/>
      <c r="R16" s="85"/>
      <c r="S16" s="85"/>
      <c r="T16" s="85"/>
      <c r="U16" s="85"/>
      <c r="V16" s="85"/>
      <c r="W16" s="85"/>
      <c r="X16" s="85"/>
      <c r="Y16" s="85"/>
      <c r="Z16" s="85"/>
      <c r="AA16" s="85"/>
      <c r="AB16" s="85"/>
      <c r="AC16" s="85"/>
    </row>
    <row r="17" spans="1:29" x14ac:dyDescent="0.25">
      <c r="A17" s="1389" t="str">
        <f>COA!B14</f>
        <v>1010 Bank - suspense</v>
      </c>
      <c r="B17" s="1390">
        <f>_xlfn.XLOOKUP(A17,'TB.1 - F25'!A:A,'TB.1 - F25'!D:D,0,0,1)</f>
        <v>0</v>
      </c>
      <c r="C17" s="1390">
        <f>_xlfn.XLOOKUP(A17,'TB.1 - F25'!A:A,'TB.1 - F25'!H:H,0,0,1)</f>
        <v>-5.5</v>
      </c>
      <c r="D17" s="1390">
        <f>_xlfn.XLOOKUP(A17,'AJE.1 - F25'!A:A,'AJE.1 - F25'!F:F,0,0,1)</f>
        <v>0</v>
      </c>
      <c r="E17" s="1390"/>
      <c r="F17" s="219">
        <f t="shared" si="8"/>
        <v>-6</v>
      </c>
      <c r="G17" s="178" t="str">
        <f>_xlfn.XLOOKUP($A17,COA!$B:$B,COA!$C:$C,0,0,1)</f>
        <v>Cash</v>
      </c>
      <c r="H17" s="178" t="str">
        <f>_xlfn.XLOOKUP($A17,COA!$B:$B,COA!$D:$D,0,0,1)</f>
        <v>Cash</v>
      </c>
      <c r="I17" s="178" t="str">
        <f>_xlfn.XLOOKUP($A17,COA!$B:$B,COA!$E:$E,0,0,1)</f>
        <v>Cash</v>
      </c>
      <c r="K17" s="85" t="str">
        <f t="shared" si="10"/>
        <v>Cash</v>
      </c>
      <c r="L17" s="85"/>
      <c r="M17" s="85"/>
      <c r="N17" s="85"/>
      <c r="O17" s="85"/>
      <c r="P17" s="85"/>
      <c r="Q17" s="85"/>
      <c r="R17" s="85"/>
      <c r="S17" s="85"/>
      <c r="T17" s="85"/>
      <c r="U17" s="85"/>
      <c r="V17" s="85"/>
      <c r="W17" s="85"/>
      <c r="X17" s="85"/>
      <c r="Y17" s="85"/>
      <c r="Z17" s="85"/>
      <c r="AA17" s="85"/>
      <c r="AB17" s="85"/>
      <c r="AC17" s="85"/>
    </row>
    <row r="18" spans="1:29" hidden="1" x14ac:dyDescent="0.25">
      <c r="A18" s="1389" t="str">
        <f>COA!B15</f>
        <v>1100 Accounts Receivable (A/R)</v>
      </c>
      <c r="B18" s="1390">
        <f>_xlfn.XLOOKUP(A18,'TB.1 - F25'!A:A,'TB.1 - F25'!D:D,0,0,1)</f>
        <v>0</v>
      </c>
      <c r="C18" s="1390">
        <f>_xlfn.XLOOKUP(A18,'TB.1 - F25'!A:A,'TB.1 - F25'!H:H,0,0,1)</f>
        <v>0</v>
      </c>
      <c r="D18" s="1390">
        <f>_xlfn.XLOOKUP(A18,'AJE.1 - F25'!A:A,'AJE.1 - F25'!F:F,0,0,1)</f>
        <v>0</v>
      </c>
      <c r="E18" s="1390"/>
      <c r="F18" s="219">
        <f t="shared" si="8"/>
        <v>0</v>
      </c>
      <c r="G18" s="178" t="str">
        <f>_xlfn.XLOOKUP($A18,COA!$B:$B,COA!$C:$C,0,0,1)</f>
        <v>Receivables</v>
      </c>
      <c r="H18" s="178" t="str">
        <f>_xlfn.XLOOKUP($A18,COA!$B:$B,COA!$D:$D,0,0,1)</f>
        <v>Receivables</v>
      </c>
      <c r="I18" s="178" t="str">
        <f>_xlfn.XLOOKUP($A18,COA!$B:$B,COA!$E:$E,0,0,1)</f>
        <v>Receivables</v>
      </c>
      <c r="K18" s="85" t="str">
        <f>_xlfn.XLOOKUP(I18,FS.1!A:A,I:I,0,0,1)</f>
        <v>Cash</v>
      </c>
      <c r="L18" s="85"/>
      <c r="M18" s="85"/>
      <c r="N18" s="85"/>
      <c r="O18" s="85"/>
      <c r="P18" s="85"/>
      <c r="Q18" s="85"/>
      <c r="R18" s="85"/>
      <c r="S18" s="85"/>
      <c r="T18" s="85"/>
      <c r="U18" s="85"/>
      <c r="V18" s="85"/>
      <c r="W18" s="85"/>
      <c r="X18" s="85"/>
      <c r="Y18" s="85"/>
      <c r="Z18" s="85"/>
      <c r="AA18" s="85"/>
      <c r="AB18" s="85"/>
      <c r="AC18" s="85"/>
    </row>
    <row r="19" spans="1:29" hidden="1" x14ac:dyDescent="0.25">
      <c r="A19" s="1389" t="str">
        <f>COA!B16</f>
        <v>1100 Accounts Receivable</v>
      </c>
      <c r="B19" s="1390">
        <f>_xlfn.XLOOKUP(A19,'TB.1 - F25'!A:A,'TB.1 - F25'!D:D,0,0,1)</f>
        <v>0</v>
      </c>
      <c r="C19" s="1390">
        <f>_xlfn.XLOOKUP(A19,'TB.1 - F25'!A:A,'TB.1 - F25'!H:H,0,0,1)</f>
        <v>0</v>
      </c>
      <c r="D19" s="1390">
        <f>_xlfn.XLOOKUP(A19,'AJE.1 - F25'!A:A,'AJE.1 - F25'!F:F,0,0,1)</f>
        <v>0</v>
      </c>
      <c r="E19" s="1390"/>
      <c r="F19" s="219">
        <f t="shared" si="8"/>
        <v>0</v>
      </c>
      <c r="G19" s="178" t="str">
        <f>_xlfn.XLOOKUP($A19,COA!$B:$B,COA!$C:$C,0,0,1)</f>
        <v>Receivables</v>
      </c>
      <c r="H19" s="178" t="str">
        <f>_xlfn.XLOOKUP($A19,COA!$B:$B,COA!$D:$D,0,0,1)</f>
        <v>Receivables</v>
      </c>
      <c r="I19" s="178" t="str">
        <f>_xlfn.XLOOKUP($A19,COA!$B:$B,COA!$E:$E,0,0,1)</f>
        <v>Receivables</v>
      </c>
      <c r="K19" s="85" t="str">
        <f>_xlfn.XLOOKUP(I19,FS.1!A:A,I:I,0,0,1)</f>
        <v>Cash</v>
      </c>
      <c r="L19" s="85"/>
      <c r="M19" s="85"/>
      <c r="N19" s="85"/>
      <c r="O19" s="85"/>
      <c r="P19" s="85"/>
      <c r="Q19" s="85"/>
      <c r="R19" s="85"/>
      <c r="S19" s="85"/>
      <c r="T19" s="85"/>
      <c r="U19" s="85"/>
      <c r="V19" s="85"/>
      <c r="W19" s="85"/>
      <c r="X19" s="85"/>
      <c r="Y19" s="85"/>
      <c r="Z19" s="85"/>
      <c r="AA19" s="85"/>
      <c r="AB19" s="85"/>
      <c r="AC19" s="85"/>
    </row>
    <row r="20" spans="1:29" x14ac:dyDescent="0.25">
      <c r="A20" s="1389" t="str">
        <f>COA!B17</f>
        <v>1120 Work in progress inventory</v>
      </c>
      <c r="B20" s="1390">
        <f>_xlfn.XLOOKUP(A20,'TB.1 - F25'!A:A,'TB.1 - F25'!D:D,0,0,1)</f>
        <v>0</v>
      </c>
      <c r="C20" s="1390">
        <f>_xlfn.XLOOKUP(A20,'TB.1 - F25'!A:A,'TB.1 - F25'!H:H,0,0,1)</f>
        <v>161256.15</v>
      </c>
      <c r="D20" s="1390">
        <f>_xlfn.XLOOKUP(A20,'AJE.1 - F25'!A:A,'AJE.1 - F25'!F:F,0,0,1)</f>
        <v>0</v>
      </c>
      <c r="E20" s="1390"/>
      <c r="F20" s="219">
        <f t="shared" si="8"/>
        <v>161256</v>
      </c>
      <c r="G20" s="178" t="str">
        <f>_xlfn.XLOOKUP($A20,COA!$B:$B,COA!$C:$C,0,0,1)</f>
        <v>Inventory</v>
      </c>
      <c r="H20" s="178" t="str">
        <f>_xlfn.XLOOKUP($A20,COA!$B:$B,COA!$D:$D,0,0,1)</f>
        <v>Inventory</v>
      </c>
      <c r="I20" s="178" t="str">
        <f>_xlfn.XLOOKUP($A20,COA!$B:$B,COA!$E:$E,0,0,1)</f>
        <v>Inventory</v>
      </c>
      <c r="K20" s="85" t="str">
        <f>I20</f>
        <v>Inventory</v>
      </c>
      <c r="L20" s="85"/>
      <c r="M20" s="85"/>
      <c r="N20" s="85"/>
      <c r="O20" s="85"/>
      <c r="P20" s="85"/>
      <c r="Q20" s="85"/>
      <c r="R20" s="85"/>
      <c r="S20" s="85"/>
      <c r="T20" s="85"/>
      <c r="U20" s="85"/>
      <c r="V20" s="85"/>
      <c r="W20" s="85"/>
      <c r="X20" s="85"/>
      <c r="Y20" s="85"/>
      <c r="Z20" s="85"/>
      <c r="AA20" s="85"/>
      <c r="AB20" s="85"/>
      <c r="AC20" s="85"/>
    </row>
    <row r="21" spans="1:29" hidden="1" x14ac:dyDescent="0.25">
      <c r="A21" s="1389" t="str">
        <f>COA!B18</f>
        <v>1020 Prepaid expenses</v>
      </c>
      <c r="B21" s="1390">
        <f>_xlfn.XLOOKUP(A21,'TB.1 - F25'!A:A,'TB.1 - F25'!D:D,0,0,1)</f>
        <v>0</v>
      </c>
      <c r="C21" s="1390">
        <f>_xlfn.XLOOKUP(A21,'TB.1 - F25'!A:A,'TB.1 - F25'!H:H,0,0,1)</f>
        <v>0</v>
      </c>
      <c r="D21" s="1390">
        <f>_xlfn.XLOOKUP(A21,'AJE.1 - F25'!A:A,'AJE.1 - F25'!F:F,0,0,1)</f>
        <v>0</v>
      </c>
      <c r="E21" s="1390"/>
      <c r="F21" s="219">
        <f t="shared" si="8"/>
        <v>0</v>
      </c>
      <c r="G21" s="178" t="str">
        <f>_xlfn.XLOOKUP($A21,COA!$B:$B,COA!$C:$C,0,0,1)</f>
        <v>Prepaid expenses</v>
      </c>
      <c r="H21" s="178" t="str">
        <f>_xlfn.XLOOKUP($A21,COA!$B:$B,COA!$D:$D,0,0,1)</f>
        <v>Prepaid expenses</v>
      </c>
      <c r="I21" s="178" t="str">
        <f>_xlfn.XLOOKUP($A21,COA!$B:$B,COA!$E:$E,0,0,1)</f>
        <v>Prepaid expenses</v>
      </c>
      <c r="K21" s="85" t="str">
        <f>_xlfn.XLOOKUP(I21,FS.1!A:A,I:I,0,0,1)</f>
        <v>Cash</v>
      </c>
      <c r="L21" s="85"/>
      <c r="M21" s="85"/>
      <c r="N21" s="85"/>
      <c r="O21" s="85"/>
      <c r="P21" s="85"/>
      <c r="Q21" s="85"/>
      <c r="R21" s="85"/>
      <c r="S21" s="85"/>
      <c r="T21" s="85"/>
      <c r="U21" s="85"/>
      <c r="V21" s="85"/>
      <c r="W21" s="85"/>
      <c r="X21" s="85"/>
      <c r="Y21" s="85"/>
      <c r="Z21" s="85"/>
      <c r="AA21" s="85"/>
      <c r="AB21" s="85"/>
      <c r="AC21" s="85"/>
    </row>
    <row r="22" spans="1:29" hidden="1" x14ac:dyDescent="0.25">
      <c r="A22" s="1389" t="str">
        <f>COA!B19</f>
        <v>1200 Prepaid expenses</v>
      </c>
      <c r="B22" s="1390">
        <f>_xlfn.XLOOKUP(A22,'TB.1 - F25'!A:A,'TB.1 - F25'!D:D,0,0,1)</f>
        <v>0</v>
      </c>
      <c r="C22" s="1390">
        <f>_xlfn.XLOOKUP(A22,'TB.1 - F25'!A:A,'TB.1 - F25'!H:H,0,0,1)</f>
        <v>0</v>
      </c>
      <c r="D22" s="1390">
        <f>_xlfn.XLOOKUP(A22,'AJE.1 - F25'!A:A,'AJE.1 - F25'!F:F,0,0,1)</f>
        <v>0</v>
      </c>
      <c r="E22" s="1390"/>
      <c r="F22" s="219">
        <f t="shared" si="8"/>
        <v>0</v>
      </c>
      <c r="G22" s="178" t="str">
        <f>_xlfn.XLOOKUP($A22,COA!$B:$B,COA!$C:$C,0,0,1)</f>
        <v>Prepaid expenses</v>
      </c>
      <c r="H22" s="178" t="str">
        <f>_xlfn.XLOOKUP($A22,COA!$B:$B,COA!$D:$D,0,0,1)</f>
        <v>Prepaid expenses</v>
      </c>
      <c r="I22" s="178" t="str">
        <f>_xlfn.XLOOKUP($A22,COA!$B:$B,COA!$E:$E,0,0,1)</f>
        <v>Prepaid expenses</v>
      </c>
      <c r="K22" s="85" t="str">
        <f>_xlfn.XLOOKUP(I22,FS.1!A:A,I:I,0,0,1)</f>
        <v>Cash</v>
      </c>
      <c r="L22" s="85"/>
      <c r="M22" s="85"/>
      <c r="N22" s="85"/>
      <c r="O22" s="85"/>
      <c r="P22" s="85"/>
      <c r="Q22" s="85"/>
      <c r="R22" s="85"/>
      <c r="S22" s="85"/>
      <c r="T22" s="85"/>
      <c r="U22" s="85"/>
      <c r="V22" s="85"/>
      <c r="W22" s="85"/>
      <c r="X22" s="85"/>
      <c r="Y22" s="85"/>
      <c r="Z22" s="85"/>
      <c r="AA22" s="85"/>
      <c r="AB22" s="85"/>
      <c r="AC22" s="85"/>
    </row>
    <row r="23" spans="1:29" x14ac:dyDescent="0.25">
      <c r="A23" s="1389" t="str">
        <f>COA!B20</f>
        <v>1300 Current portion of loan receivable</v>
      </c>
      <c r="B23" s="1390">
        <f>_xlfn.XLOOKUP(A23,'TB.1 - F25'!A:A,'TB.1 - F25'!D:D,0,0,1)</f>
        <v>556400</v>
      </c>
      <c r="C23" s="1390">
        <f>_xlfn.XLOOKUP(A23,'TB.1 - F25'!A:A,'TB.1 - F25'!H:H,0,0,1)</f>
        <v>0</v>
      </c>
      <c r="D23" s="1390">
        <f>_xlfn.XLOOKUP(A23,'AJE.1 - F25'!A:A,'AJE.1 - F25'!F:F,0,0,1)</f>
        <v>0</v>
      </c>
      <c r="E23" s="1390"/>
      <c r="F23" s="219">
        <f t="shared" si="8"/>
        <v>556400</v>
      </c>
      <c r="G23" s="667" t="s">
        <v>644</v>
      </c>
      <c r="H23" s="667" t="str">
        <f>G23</f>
        <v>Intercompany</v>
      </c>
      <c r="I23" s="667" t="str">
        <f>H23</f>
        <v>Intercompany</v>
      </c>
      <c r="K23" s="85" t="str">
        <f>I23</f>
        <v>Intercompany</v>
      </c>
      <c r="L23" s="85"/>
      <c r="M23" s="85"/>
      <c r="N23" s="85"/>
      <c r="O23" s="85"/>
      <c r="P23" s="85"/>
      <c r="Q23" s="85"/>
      <c r="R23" s="85"/>
      <c r="S23" s="85"/>
      <c r="T23" s="85"/>
      <c r="U23" s="85"/>
      <c r="V23" s="85"/>
      <c r="W23" s="85"/>
      <c r="X23" s="85"/>
      <c r="Y23" s="85"/>
      <c r="Z23" s="85"/>
      <c r="AA23" s="85"/>
      <c r="AB23" s="85"/>
      <c r="AC23" s="85"/>
    </row>
    <row r="24" spans="1:29" hidden="1" x14ac:dyDescent="0.25">
      <c r="A24" s="1389" t="str">
        <f>COA!B21</f>
        <v>1400 Other current assets</v>
      </c>
      <c r="B24" s="1390">
        <f>_xlfn.XLOOKUP(A24,'TB.1 - F25'!A:A,'TB.1 - F25'!D:D,0,0,1)</f>
        <v>0</v>
      </c>
      <c r="C24" s="1390">
        <f>_xlfn.XLOOKUP(A24,'TB.1 - F25'!A:A,'TB.1 - F25'!H:H,0,0,1)</f>
        <v>0</v>
      </c>
      <c r="D24" s="1390">
        <f>_xlfn.XLOOKUP(A24,'AJE.1 - F25'!A:A,'AJE.1 - F25'!F:F,0,0,1)</f>
        <v>0</v>
      </c>
      <c r="E24" s="1390"/>
      <c r="F24" s="219">
        <f t="shared" si="8"/>
        <v>0</v>
      </c>
      <c r="G24" s="178" t="str">
        <f>_xlfn.XLOOKUP($A24,COA!$B:$B,COA!$C:$C,0,0,1)</f>
        <v>Other current assets</v>
      </c>
      <c r="H24" s="178" t="str">
        <f>_xlfn.XLOOKUP($A24,COA!$B:$B,COA!$D:$D,0,0,1)</f>
        <v>Other current assets</v>
      </c>
      <c r="I24" s="178" t="str">
        <f>_xlfn.XLOOKUP($A24,COA!$B:$B,COA!$E:$E,0,0,1)</f>
        <v>Other current assets</v>
      </c>
      <c r="K24" s="85">
        <f>_xlfn.XLOOKUP(I24,FS.1!A:A,I:I,0,0,1)</f>
        <v>0</v>
      </c>
      <c r="L24" s="85"/>
      <c r="M24" s="85"/>
      <c r="N24" s="85"/>
      <c r="O24" s="85"/>
      <c r="P24" s="85"/>
      <c r="Q24" s="85"/>
      <c r="R24" s="85"/>
      <c r="S24" s="85"/>
      <c r="T24" s="85"/>
      <c r="U24" s="85"/>
      <c r="V24" s="85"/>
      <c r="W24" s="85"/>
      <c r="X24" s="85"/>
      <c r="Y24" s="85"/>
      <c r="Z24" s="85"/>
      <c r="AA24" s="85"/>
      <c r="AB24" s="85"/>
      <c r="AC24" s="85"/>
    </row>
    <row r="25" spans="1:29" x14ac:dyDescent="0.25">
      <c r="A25" s="1389" t="str">
        <f>COA!B22</f>
        <v>1420 Intangible assets</v>
      </c>
      <c r="B25" s="1390">
        <f>_xlfn.XLOOKUP(A25,'TB.1 - F25'!A:A,'TB.1 - F25'!D:D,0,0,1)</f>
        <v>450000</v>
      </c>
      <c r="C25" s="1390">
        <f>_xlfn.XLOOKUP(A25,'TB.1 - F25'!A:A,'TB.1 - F25'!H:H,0,0,1)</f>
        <v>0</v>
      </c>
      <c r="D25" s="1390">
        <f>_xlfn.XLOOKUP(A25,'AJE.1 - F25'!A:A,'AJE.1 - F25'!F:F,0,0,1)</f>
        <v>6281822</v>
      </c>
      <c r="E25" s="1390"/>
      <c r="F25" s="219">
        <f t="shared" si="8"/>
        <v>6731822</v>
      </c>
      <c r="G25" s="178" t="str">
        <f>_xlfn.XLOOKUP($A25,COA!$B:$B,COA!$C:$C,0,0,1)</f>
        <v>Intangible assets</v>
      </c>
      <c r="H25" s="178" t="str">
        <f>_xlfn.XLOOKUP($A25,COA!$B:$B,COA!$D:$D,0,0,1)</f>
        <v>Intangible assets</v>
      </c>
      <c r="I25" s="178" t="str">
        <f>_xlfn.XLOOKUP($A25,COA!$B:$B,COA!$E:$E,0,0,1)</f>
        <v>Intangible assets</v>
      </c>
      <c r="K25" s="85" t="str">
        <f t="shared" ref="K25:K26" si="11">I25</f>
        <v>Intangible assets</v>
      </c>
      <c r="L25" s="85"/>
      <c r="M25" s="85"/>
      <c r="N25" s="85"/>
      <c r="O25" s="85"/>
      <c r="P25" s="85"/>
      <c r="Q25" s="85"/>
      <c r="R25" s="85"/>
      <c r="S25" s="85"/>
      <c r="T25" s="85"/>
      <c r="U25" s="85"/>
      <c r="V25" s="85"/>
      <c r="W25" s="85"/>
      <c r="X25" s="85"/>
      <c r="Y25" s="85"/>
      <c r="Z25" s="85"/>
      <c r="AA25" s="85"/>
      <c r="AB25" s="85"/>
      <c r="AC25" s="85"/>
    </row>
    <row r="26" spans="1:29" x14ac:dyDescent="0.25">
      <c r="A26" s="1389" t="str">
        <f>COA!B23</f>
        <v>1421 Accumulated amortization</v>
      </c>
      <c r="B26" s="1390">
        <f>_xlfn.XLOOKUP(A26,'TB.1 - F25'!A:A,'TB.1 - F25'!D:D,0,0,1)</f>
        <v>0</v>
      </c>
      <c r="C26" s="1390">
        <f>_xlfn.XLOOKUP(A26,'TB.1 - F25'!A:A,'TB.1 - F25'!H:H,0,0,1)</f>
        <v>0</v>
      </c>
      <c r="D26" s="1390">
        <f>_xlfn.XLOOKUP(A26,'AJE.1 - F25'!A:A,'AJE.1 - F25'!F:F,0,0,1)</f>
        <v>-2460380</v>
      </c>
      <c r="E26" s="1390"/>
      <c r="F26" s="219">
        <f t="shared" si="8"/>
        <v>-2460380</v>
      </c>
      <c r="G26" s="178" t="str">
        <f>_xlfn.XLOOKUP($A26,COA!$B:$B,COA!$C:$C,0,0,1)</f>
        <v>Intangible assets</v>
      </c>
      <c r="H26" s="178" t="str">
        <f>_xlfn.XLOOKUP($A26,COA!$B:$B,COA!$D:$D,0,0,1)</f>
        <v>Intangible assets</v>
      </c>
      <c r="I26" s="178" t="str">
        <f>_xlfn.XLOOKUP($A26,COA!$B:$B,COA!$E:$E,0,0,1)</f>
        <v>Intangible assets</v>
      </c>
      <c r="K26" s="85" t="str">
        <f t="shared" si="11"/>
        <v>Intangible assets</v>
      </c>
      <c r="L26" s="85"/>
      <c r="M26" s="85"/>
      <c r="N26" s="85"/>
      <c r="O26" s="85"/>
      <c r="P26" s="85"/>
      <c r="Q26" s="85"/>
      <c r="R26" s="85"/>
      <c r="S26" s="85"/>
      <c r="T26" s="85"/>
      <c r="U26" s="85"/>
      <c r="V26" s="85"/>
      <c r="W26" s="85"/>
      <c r="X26" s="85"/>
      <c r="Y26" s="85"/>
      <c r="Z26" s="85"/>
      <c r="AA26" s="85"/>
      <c r="AB26" s="85"/>
      <c r="AC26" s="85"/>
    </row>
    <row r="27" spans="1:29" hidden="1" x14ac:dyDescent="0.25">
      <c r="A27" s="1389" t="str">
        <f>COA!B24</f>
        <v>1500 Payroll Advances Receivable</v>
      </c>
      <c r="B27" s="1390">
        <f>_xlfn.XLOOKUP(A27,'TB.1 - F25'!A:A,'TB.1 - F25'!D:D,0,0,1)</f>
        <v>0</v>
      </c>
      <c r="C27" s="1390">
        <f>_xlfn.XLOOKUP(A27,'TB.1 - F25'!A:A,'TB.1 - F25'!H:H,0,0,1)</f>
        <v>0</v>
      </c>
      <c r="D27" s="1390">
        <f>_xlfn.XLOOKUP(A27,'AJE.1 - F25'!A:A,'AJE.1 - F25'!F:F,0,0,1)</f>
        <v>0</v>
      </c>
      <c r="E27" s="1390"/>
      <c r="F27" s="219">
        <f t="shared" ref="F27" si="12">ROUND(SUM(B27:E27),0)</f>
        <v>0</v>
      </c>
      <c r="G27" s="178" t="str">
        <f>_xlfn.XLOOKUP($A27,COA!$B:$B,COA!$C:$C,0,0,1)</f>
        <v>Receivables</v>
      </c>
      <c r="H27" s="178" t="str">
        <f>_xlfn.XLOOKUP($A27,COA!$B:$B,COA!$D:$D,0,0,1)</f>
        <v>Receivables</v>
      </c>
      <c r="I27" s="178" t="str">
        <f>_xlfn.XLOOKUP($A27,COA!$B:$B,COA!$E:$E,0,0,1)</f>
        <v>Receivables</v>
      </c>
      <c r="K27" s="85" t="str">
        <f>_xlfn.XLOOKUP(I27,FS.1!A:A,I:I,0,0,1)</f>
        <v>Cash</v>
      </c>
      <c r="L27" s="85"/>
      <c r="M27" s="85"/>
      <c r="N27" s="85"/>
      <c r="O27" s="85"/>
      <c r="P27" s="85"/>
      <c r="Q27" s="85"/>
      <c r="R27" s="85"/>
      <c r="S27" s="85"/>
      <c r="T27" s="85"/>
      <c r="U27" s="85"/>
      <c r="V27" s="85"/>
      <c r="W27" s="85"/>
      <c r="X27" s="85"/>
      <c r="Y27" s="85"/>
      <c r="Z27" s="85"/>
      <c r="AA27" s="85"/>
      <c r="AB27" s="85"/>
      <c r="AC27" s="85"/>
    </row>
    <row r="28" spans="1:29" x14ac:dyDescent="0.25">
      <c r="A28" s="1389" t="str">
        <f>COA!B25</f>
        <v>1500 Intercompany - Due from Hallor Industries Inc.</v>
      </c>
      <c r="B28" s="1390">
        <f>_xlfn.XLOOKUP(A28,'TB.1 - F25'!A:A,'TB.1 - F25'!D:D,0,0,1)</f>
        <v>109064.08</v>
      </c>
      <c r="C28" s="1390">
        <f>_xlfn.XLOOKUP(A28,'TB.1 - F25'!A:A,'TB.1 - F25'!H:H,0,0,1)</f>
        <v>0</v>
      </c>
      <c r="D28" s="1390">
        <f>_xlfn.XLOOKUP(A28,'AJE.1 - F25'!A:A,'AJE.1 - F25'!F:F,0,0,1)</f>
        <v>0</v>
      </c>
      <c r="E28" s="1390">
        <v>26</v>
      </c>
      <c r="F28" s="219">
        <f t="shared" si="8"/>
        <v>109090</v>
      </c>
      <c r="G28" s="178" t="str">
        <f>_xlfn.XLOOKUP($A28,COA!$B:$B,COA!$C:$C,0,0,1)</f>
        <v>Intercompany</v>
      </c>
      <c r="H28" s="178" t="str">
        <f>_xlfn.XLOOKUP($A28,COA!$B:$B,COA!$D:$D,0,0,1)</f>
        <v>Intercompany</v>
      </c>
      <c r="I28" s="178" t="str">
        <f>_xlfn.XLOOKUP($A28,COA!$B:$B,COA!$E:$E,0,0,1)</f>
        <v>Intercompany</v>
      </c>
      <c r="K28" s="85" t="str">
        <f>I28</f>
        <v>Intercompany</v>
      </c>
      <c r="L28" s="85"/>
      <c r="M28" s="85"/>
      <c r="N28" s="85"/>
      <c r="O28" s="85"/>
      <c r="P28" s="85"/>
      <c r="Q28" s="85"/>
      <c r="R28" s="85"/>
      <c r="S28" s="85"/>
      <c r="T28" s="85"/>
      <c r="U28" s="85"/>
      <c r="V28" s="85"/>
      <c r="W28" s="85"/>
      <c r="X28" s="85"/>
      <c r="Y28" s="85"/>
      <c r="Z28" s="85"/>
      <c r="AA28" s="85"/>
      <c r="AB28" s="85"/>
      <c r="AC28" s="85"/>
    </row>
    <row r="29" spans="1:29" hidden="1" x14ac:dyDescent="0.25">
      <c r="A29" s="1389" t="str">
        <f>COA!B26</f>
        <v>1600 Investment in Hallor Industries</v>
      </c>
      <c r="B29" s="1390">
        <f>_xlfn.XLOOKUP(A29,'TB.1 - F25'!A:A,'TB.1 - F25'!D:D,0,0,1)</f>
        <v>6000000</v>
      </c>
      <c r="C29" s="1390">
        <f>_xlfn.XLOOKUP(A29,'TB.1 - F25'!A:A,'TB.1 - F25'!H:H,0,0,1)</f>
        <v>0</v>
      </c>
      <c r="D29" s="1390">
        <f>_xlfn.XLOOKUP(A29,'AJE.1 - F25'!A:A,'AJE.1 - F25'!F:F,0,0,1)</f>
        <v>-6000000</v>
      </c>
      <c r="E29" s="1390"/>
      <c r="F29" s="219">
        <f t="shared" si="8"/>
        <v>0</v>
      </c>
      <c r="G29" s="178" t="str">
        <f>_xlfn.XLOOKUP($A29,COA!$B:$B,COA!$C:$C,0,0,1)</f>
        <v>Investment in subsidiary</v>
      </c>
      <c r="H29" s="178" t="str">
        <f>_xlfn.XLOOKUP($A29,COA!$B:$B,COA!$D:$D,0,0,1)</f>
        <v>Investment in subsidiary</v>
      </c>
      <c r="I29" s="178" t="str">
        <f>_xlfn.XLOOKUP($A29,COA!$B:$B,COA!$E:$E,0,0,1)</f>
        <v>Investment in subsidiary</v>
      </c>
      <c r="K29" s="85">
        <f>_xlfn.XLOOKUP(I29,FS.1!A:A,I:I,0,0,1)</f>
        <v>0</v>
      </c>
      <c r="L29" s="85"/>
      <c r="M29" s="85"/>
      <c r="N29" s="85"/>
      <c r="O29" s="85"/>
      <c r="P29" s="85"/>
      <c r="Q29" s="85"/>
      <c r="R29" s="85"/>
      <c r="S29" s="85"/>
      <c r="T29" s="85"/>
      <c r="U29" s="85"/>
      <c r="V29" s="85"/>
      <c r="W29" s="85"/>
      <c r="X29" s="85"/>
      <c r="Y29" s="85"/>
      <c r="Z29" s="85"/>
      <c r="AA29" s="85"/>
      <c r="AB29" s="85"/>
      <c r="AC29" s="85"/>
    </row>
    <row r="30" spans="1:29" hidden="1" x14ac:dyDescent="0.25">
      <c r="A30" s="1389" t="str">
        <f>COA!B27</f>
        <v>1800 Computer Equipment</v>
      </c>
      <c r="B30" s="1390">
        <f>_xlfn.XLOOKUP(A30,'TB.1 - F25'!A:A,'TB.1 - F25'!D:D,0,0,1)</f>
        <v>0</v>
      </c>
      <c r="C30" s="1390">
        <f>_xlfn.XLOOKUP(A30,'TB.1 - F25'!A:A,'TB.1 - F25'!H:H,0,0,1)</f>
        <v>0</v>
      </c>
      <c r="D30" s="1390">
        <f>_xlfn.XLOOKUP(A30,'AJE.1 - F25'!A:A,'AJE.1 - F25'!F:F,0,0,1)</f>
        <v>0</v>
      </c>
      <c r="E30" s="1390"/>
      <c r="F30" s="219">
        <f t="shared" si="8"/>
        <v>0</v>
      </c>
      <c r="G30" s="178" t="str">
        <f>_xlfn.XLOOKUP($A30,COA!$B:$B,COA!$C:$C,0,0,1)</f>
        <v>Equipment</v>
      </c>
      <c r="H30" s="178" t="str">
        <f>_xlfn.XLOOKUP($A30,COA!$B:$B,COA!$D:$D,0,0,1)</f>
        <v>Equipment</v>
      </c>
      <c r="I30" s="178" t="str">
        <f>_xlfn.XLOOKUP($A30,COA!$B:$B,COA!$E:$E,0,0,1)</f>
        <v>Equipment</v>
      </c>
      <c r="K30" s="85" t="str">
        <f>_xlfn.XLOOKUP(I30,FS.1!A:A,I:I,0,0,1)</f>
        <v>Intercompany</v>
      </c>
      <c r="L30" s="85"/>
      <c r="M30" s="85"/>
      <c r="N30" s="85"/>
      <c r="O30" s="85"/>
      <c r="P30" s="85"/>
      <c r="Q30" s="85"/>
      <c r="R30" s="85"/>
      <c r="S30" s="85"/>
      <c r="T30" s="85"/>
      <c r="U30" s="85"/>
      <c r="V30" s="85"/>
      <c r="W30" s="85"/>
      <c r="X30" s="85"/>
      <c r="Y30" s="85"/>
      <c r="Z30" s="85"/>
      <c r="AA30" s="85"/>
      <c r="AB30" s="85"/>
      <c r="AC30" s="85"/>
    </row>
    <row r="31" spans="1:29" hidden="1" x14ac:dyDescent="0.25">
      <c r="A31" s="1389" t="str">
        <f>COA!B28</f>
        <v>1801 Computer Equipment:Accumulated Depreciation</v>
      </c>
      <c r="B31" s="1390">
        <f>_xlfn.XLOOKUP(A31,'TB.1 - F25'!A:A,'TB.1 - F25'!D:D,0,0,1)</f>
        <v>0</v>
      </c>
      <c r="C31" s="1390">
        <f>_xlfn.XLOOKUP(A31,'TB.1 - F25'!A:A,'TB.1 - F25'!H:H,0,0,1)</f>
        <v>0</v>
      </c>
      <c r="D31" s="1390">
        <f>_xlfn.XLOOKUP(A31,'AJE.1 - F25'!A:A,'AJE.1 - F25'!F:F,0,0,1)</f>
        <v>0</v>
      </c>
      <c r="E31" s="1390"/>
      <c r="F31" s="219">
        <f t="shared" si="8"/>
        <v>0</v>
      </c>
      <c r="G31" s="178" t="str">
        <f>_xlfn.XLOOKUP($A31,COA!$B:$B,COA!$C:$C,0,0,1)</f>
        <v>Equipment</v>
      </c>
      <c r="H31" s="178" t="str">
        <f>_xlfn.XLOOKUP($A31,COA!$B:$B,COA!$D:$D,0,0,1)</f>
        <v>Equipment</v>
      </c>
      <c r="I31" s="178" t="str">
        <f>_xlfn.XLOOKUP($A31,COA!$B:$B,COA!$E:$E,0,0,1)</f>
        <v>Equipment</v>
      </c>
      <c r="K31" s="85" t="str">
        <f>_xlfn.XLOOKUP(I31,FS.1!A:A,I:I,0,0,1)</f>
        <v>Intercompany</v>
      </c>
      <c r="L31" s="85"/>
      <c r="M31" s="85"/>
      <c r="N31" s="85"/>
      <c r="O31" s="85"/>
      <c r="P31" s="85"/>
      <c r="Q31" s="85"/>
      <c r="R31" s="85"/>
      <c r="S31" s="85"/>
      <c r="T31" s="85"/>
      <c r="U31" s="85"/>
      <c r="V31" s="85"/>
      <c r="W31" s="85"/>
      <c r="X31" s="85"/>
      <c r="Y31" s="85"/>
      <c r="Z31" s="85"/>
      <c r="AA31" s="85"/>
      <c r="AB31" s="85"/>
      <c r="AC31" s="85"/>
    </row>
    <row r="32" spans="1:29" hidden="1" x14ac:dyDescent="0.25">
      <c r="A32" s="1389" t="str">
        <f>COA!B29</f>
        <v>1810 Office Furniture</v>
      </c>
      <c r="B32" s="1390">
        <f>_xlfn.XLOOKUP(A32,'TB.1 - F25'!A:A,'TB.1 - F25'!D:D,0,0,1)</f>
        <v>0</v>
      </c>
      <c r="C32" s="1390">
        <f>_xlfn.XLOOKUP(A32,'TB.1 - F25'!A:A,'TB.1 - F25'!H:H,0,0,1)</f>
        <v>0</v>
      </c>
      <c r="D32" s="1390">
        <f>_xlfn.XLOOKUP(A32,'AJE.1 - F25'!A:A,'AJE.1 - F25'!F:F,0,0,1)</f>
        <v>0</v>
      </c>
      <c r="E32" s="1390"/>
      <c r="F32" s="219">
        <f t="shared" si="8"/>
        <v>0</v>
      </c>
      <c r="G32" s="178" t="str">
        <f>_xlfn.XLOOKUP($A32,COA!$B:$B,COA!$C:$C,0,0,1)</f>
        <v>Equipment</v>
      </c>
      <c r="H32" s="178" t="str">
        <f>_xlfn.XLOOKUP($A32,COA!$B:$B,COA!$D:$D,0,0,1)</f>
        <v>Equipment</v>
      </c>
      <c r="I32" s="178" t="str">
        <f>_xlfn.XLOOKUP($A32,COA!$B:$B,COA!$E:$E,0,0,1)</f>
        <v>Equipment</v>
      </c>
      <c r="K32" s="85" t="str">
        <f>_xlfn.XLOOKUP(I32,FS.1!A:A,I:I,0,0,1)</f>
        <v>Intercompany</v>
      </c>
      <c r="L32" s="85"/>
      <c r="M32" s="85"/>
      <c r="N32" s="85"/>
      <c r="O32" s="85"/>
      <c r="P32" s="85"/>
      <c r="Q32" s="85"/>
      <c r="R32" s="85"/>
      <c r="S32" s="85"/>
      <c r="T32" s="85"/>
      <c r="U32" s="85"/>
      <c r="V32" s="85"/>
      <c r="W32" s="85"/>
      <c r="X32" s="85"/>
      <c r="Y32" s="85"/>
      <c r="Z32" s="85"/>
      <c r="AA32" s="85"/>
      <c r="AB32" s="85"/>
      <c r="AC32" s="85"/>
    </row>
    <row r="33" spans="1:29" hidden="1" x14ac:dyDescent="0.25">
      <c r="A33" s="1389" t="str">
        <f>COA!B30</f>
        <v>1811 Office Furniture:Accumulated Depreciation</v>
      </c>
      <c r="B33" s="1390">
        <f>_xlfn.XLOOKUP(A33,'TB.1 - F25'!A:A,'TB.1 - F25'!D:D,0,0,1)</f>
        <v>0</v>
      </c>
      <c r="C33" s="1390">
        <f>_xlfn.XLOOKUP(A33,'TB.1 - F25'!A:A,'TB.1 - F25'!H:H,0,0,1)</f>
        <v>0</v>
      </c>
      <c r="D33" s="1390">
        <f>_xlfn.XLOOKUP(A33,'AJE.1 - F25'!A:A,'AJE.1 - F25'!F:F,0,0,1)</f>
        <v>0</v>
      </c>
      <c r="E33" s="1390"/>
      <c r="F33" s="219">
        <f t="shared" si="8"/>
        <v>0</v>
      </c>
      <c r="G33" s="178" t="str">
        <f>_xlfn.XLOOKUP($A33,COA!$B:$B,COA!$C:$C,0,0,1)</f>
        <v>Equipment</v>
      </c>
      <c r="H33" s="178" t="str">
        <f>_xlfn.XLOOKUP($A33,COA!$B:$B,COA!$D:$D,0,0,1)</f>
        <v>Equipment</v>
      </c>
      <c r="I33" s="178" t="str">
        <f>_xlfn.XLOOKUP($A33,COA!$B:$B,COA!$E:$E,0,0,1)</f>
        <v>Equipment</v>
      </c>
      <c r="K33" s="85" t="str">
        <f>_xlfn.XLOOKUP(I33,FS.1!A:A,I:I,0,0,1)</f>
        <v>Intercompany</v>
      </c>
      <c r="L33" s="85"/>
      <c r="M33" s="85"/>
      <c r="N33" s="85"/>
      <c r="O33" s="85"/>
      <c r="P33" s="85"/>
      <c r="Q33" s="85"/>
      <c r="R33" s="85"/>
      <c r="S33" s="85"/>
      <c r="T33" s="85"/>
      <c r="U33" s="85"/>
      <c r="V33" s="85"/>
      <c r="W33" s="85"/>
      <c r="X33" s="85"/>
      <c r="Y33" s="85"/>
      <c r="Z33" s="85"/>
      <c r="AA33" s="85"/>
      <c r="AB33" s="85"/>
      <c r="AC33" s="85"/>
    </row>
    <row r="34" spans="1:29" x14ac:dyDescent="0.25">
      <c r="A34" s="1389" t="str">
        <f>COA!B31</f>
        <v>1900 Shop Equipment</v>
      </c>
      <c r="B34" s="1390">
        <f>_xlfn.XLOOKUP(A34,'TB.1 - F25'!A:A,'TB.1 - F25'!D:D,0,0,1)</f>
        <v>0</v>
      </c>
      <c r="C34" s="1390">
        <f>_xlfn.XLOOKUP(A34,'TB.1 - F25'!A:A,'TB.1 - F25'!H:H,0,0,1)</f>
        <v>6288.98</v>
      </c>
      <c r="D34" s="1390">
        <f>_xlfn.XLOOKUP(A34,'AJE.1 - F25'!A:A,'AJE.1 - F25'!F:F,0,0,1)</f>
        <v>0</v>
      </c>
      <c r="E34" s="1390"/>
      <c r="F34" s="219">
        <f t="shared" si="8"/>
        <v>6289</v>
      </c>
      <c r="G34" s="178" t="str">
        <f>_xlfn.XLOOKUP($A34,COA!$B:$B,COA!$C:$C,0,0,1)</f>
        <v>Equipment</v>
      </c>
      <c r="H34" s="178" t="str">
        <f>_xlfn.XLOOKUP($A34,COA!$B:$B,COA!$D:$D,0,0,1)</f>
        <v>Equipment</v>
      </c>
      <c r="I34" s="178" t="str">
        <f>_xlfn.XLOOKUP($A34,COA!$B:$B,COA!$E:$E,0,0,1)</f>
        <v>Equipment</v>
      </c>
      <c r="K34" s="85" t="str">
        <f t="shared" ref="K34:K35" si="13">I34</f>
        <v>Equipment</v>
      </c>
      <c r="L34" s="85"/>
      <c r="M34" s="85"/>
      <c r="N34" s="85"/>
      <c r="O34" s="85"/>
      <c r="P34" s="85"/>
      <c r="Q34" s="85"/>
      <c r="R34" s="85"/>
      <c r="S34" s="85"/>
      <c r="T34" s="85"/>
      <c r="U34" s="85"/>
      <c r="V34" s="85"/>
      <c r="W34" s="85"/>
      <c r="X34" s="85"/>
      <c r="Y34" s="85"/>
      <c r="Z34" s="85"/>
      <c r="AA34" s="85"/>
      <c r="AB34" s="85"/>
      <c r="AC34" s="85"/>
    </row>
    <row r="35" spans="1:29" x14ac:dyDescent="0.25">
      <c r="A35" s="1389" t="str">
        <f>COA!B32</f>
        <v>1901 Shop Equipment:Accum deprec - shop equipment</v>
      </c>
      <c r="B35" s="1390">
        <f>_xlfn.XLOOKUP(A35,'TB.1 - F25'!A:A,'TB.1 - F25'!D:D,0,0,1)</f>
        <v>0</v>
      </c>
      <c r="C35" s="1390">
        <f>_xlfn.XLOOKUP(A35,'TB.1 - F25'!A:A,'TB.1 - F25'!H:H,0,0,1)</f>
        <v>-948.31</v>
      </c>
      <c r="D35" s="1390">
        <f>_xlfn.XLOOKUP(A35,'AJE.1 - F25'!A:A,'AJE.1 - F25'!F:F,0,0,1)</f>
        <v>0</v>
      </c>
      <c r="E35" s="1390"/>
      <c r="F35" s="219">
        <f t="shared" si="8"/>
        <v>-948</v>
      </c>
      <c r="G35" s="178" t="str">
        <f>_xlfn.XLOOKUP($A35,COA!$B:$B,COA!$C:$C,0,0,1)</f>
        <v>Equipment</v>
      </c>
      <c r="H35" s="178" t="str">
        <f>_xlfn.XLOOKUP($A35,COA!$B:$B,COA!$D:$D,0,0,1)</f>
        <v>Equipment</v>
      </c>
      <c r="I35" s="178" t="str">
        <f>_xlfn.XLOOKUP($A35,COA!$B:$B,COA!$E:$E,0,0,1)</f>
        <v>Equipment</v>
      </c>
      <c r="K35" s="85" t="str">
        <f t="shared" si="13"/>
        <v>Equipment</v>
      </c>
      <c r="L35" s="85"/>
      <c r="M35" s="85"/>
      <c r="N35" s="85"/>
      <c r="O35" s="85"/>
      <c r="P35" s="85"/>
      <c r="Q35" s="85"/>
      <c r="R35" s="85"/>
      <c r="S35" s="85"/>
      <c r="T35" s="85"/>
      <c r="U35" s="85"/>
      <c r="V35" s="85"/>
      <c r="W35" s="85"/>
      <c r="X35" s="85"/>
      <c r="Y35" s="85"/>
      <c r="Z35" s="85"/>
      <c r="AA35" s="85"/>
      <c r="AB35" s="85"/>
      <c r="AC35" s="85"/>
    </row>
    <row r="36" spans="1:29" hidden="1" x14ac:dyDescent="0.25">
      <c r="A36" s="1389" t="str">
        <f>COA!B33</f>
        <v>1999 Uncategorized Asset</v>
      </c>
      <c r="B36" s="1390">
        <f>_xlfn.XLOOKUP(A36,'TB.1 - F25'!A:A,'TB.1 - F25'!D:D,0,0,1)</f>
        <v>0</v>
      </c>
      <c r="C36" s="1390">
        <f>_xlfn.XLOOKUP(A36,'TB.1 - F25'!A:A,'TB.1 - F25'!H:H,0,0,1)</f>
        <v>0</v>
      </c>
      <c r="D36" s="1390">
        <f>_xlfn.XLOOKUP(A36,'AJE.1 - F25'!A:A,'AJE.1 - F25'!F:F,0,0,1)</f>
        <v>0</v>
      </c>
      <c r="E36" s="1390"/>
      <c r="F36" s="219">
        <f t="shared" si="8"/>
        <v>0</v>
      </c>
      <c r="G36" s="178" t="str">
        <f>_xlfn.XLOOKUP($A36,COA!$B:$B,COA!$C:$C,0,0,1)</f>
        <v>Other current assets</v>
      </c>
      <c r="H36" s="178" t="str">
        <f>_xlfn.XLOOKUP($A36,COA!$B:$B,COA!$D:$D,0,0,1)</f>
        <v>Other current assets</v>
      </c>
      <c r="I36" s="178" t="str">
        <f>_xlfn.XLOOKUP($A36,COA!$B:$B,COA!$E:$E,0,0,1)</f>
        <v>Other current assets</v>
      </c>
      <c r="K36" s="85">
        <f>_xlfn.XLOOKUP(I36,FS.1!A:A,I:I,0,0,1)</f>
        <v>0</v>
      </c>
      <c r="L36" s="85"/>
      <c r="M36" s="85"/>
      <c r="N36" s="85"/>
      <c r="O36" s="85"/>
      <c r="P36" s="85"/>
      <c r="Q36" s="85"/>
      <c r="R36" s="85"/>
      <c r="S36" s="85"/>
      <c r="T36" s="85"/>
      <c r="U36" s="85"/>
      <c r="V36" s="85"/>
      <c r="W36" s="85"/>
      <c r="X36" s="85"/>
      <c r="Y36" s="85"/>
      <c r="Z36" s="85"/>
      <c r="AA36" s="85"/>
      <c r="AB36" s="85"/>
      <c r="AC36" s="85"/>
    </row>
    <row r="37" spans="1:29" x14ac:dyDescent="0.25">
      <c r="A37" s="1389" t="str">
        <f>COA!B34</f>
        <v>2000 Accounts Payable (A/P)</v>
      </c>
      <c r="B37" s="1390">
        <f>_xlfn.XLOOKUP(A37,'TB.1 - F25'!A:A,'TB.1 - F25'!D:D,0,0,1)</f>
        <v>-307036.95</v>
      </c>
      <c r="C37" s="1390">
        <f>_xlfn.XLOOKUP(A37,'TB.1 - F25'!A:A,'TB.1 - F25'!H:H,0,0,1)</f>
        <v>0</v>
      </c>
      <c r="D37" s="1390">
        <f>_xlfn.XLOOKUP(A37,'AJE.1 - F25'!A:A,'AJE.1 - F25'!F:F,0,0,1)</f>
        <v>0</v>
      </c>
      <c r="E37" s="1390"/>
      <c r="F37" s="219">
        <f t="shared" si="8"/>
        <v>-307037</v>
      </c>
      <c r="G37" s="178" t="str">
        <f>_xlfn.XLOOKUP($A37,COA!$B:$B,COA!$C:$C,0,0,1)</f>
        <v>Accounts payables and accrued liabilities</v>
      </c>
      <c r="H37" s="178" t="str">
        <f>_xlfn.XLOOKUP($A37,COA!$B:$B,COA!$D:$D,0,0,1)</f>
        <v>Accounts payables and accrued liabilities</v>
      </c>
      <c r="I37" s="178" t="str">
        <f>_xlfn.XLOOKUP($A37,COA!$B:$B,COA!$E:$E,0,0,1)</f>
        <v>Accounts payables and accrued liabilities</v>
      </c>
      <c r="K37" s="85" t="str">
        <f t="shared" ref="K37:K40" si="14">I37</f>
        <v>Accounts payables and accrued liabilities</v>
      </c>
      <c r="L37" s="85"/>
      <c r="M37" s="85"/>
      <c r="N37" s="85"/>
      <c r="O37" s="85"/>
      <c r="P37" s="85"/>
      <c r="Q37" s="85"/>
      <c r="R37" s="85"/>
      <c r="S37" s="85"/>
      <c r="T37" s="85"/>
      <c r="U37" s="85"/>
      <c r="V37" s="85"/>
      <c r="W37" s="85"/>
      <c r="X37" s="85"/>
      <c r="Y37" s="85"/>
      <c r="Z37" s="85"/>
      <c r="AA37" s="85"/>
      <c r="AB37" s="85"/>
      <c r="AC37" s="85"/>
    </row>
    <row r="38" spans="1:29" x14ac:dyDescent="0.25">
      <c r="A38" s="1389" t="str">
        <f>COA!B35</f>
        <v>2000 Accounts Payable</v>
      </c>
      <c r="B38" s="1390">
        <f>_xlfn.XLOOKUP(A38,'TB.1 - F25'!A:A,'TB.1 - F25'!D:D,0,0,1)</f>
        <v>0</v>
      </c>
      <c r="C38" s="1390">
        <f>_xlfn.XLOOKUP(A38,'TB.1 - F25'!A:A,'TB.1 - F25'!H:H,0,0,1)</f>
        <v>-175040.55</v>
      </c>
      <c r="D38" s="1390">
        <f>_xlfn.XLOOKUP(A38,'AJE.1 - F25'!A:A,'AJE.1 - F25'!F:F,0,0,1)</f>
        <v>0</v>
      </c>
      <c r="E38" s="1390"/>
      <c r="F38" s="219">
        <f t="shared" si="8"/>
        <v>-175041</v>
      </c>
      <c r="G38" s="178" t="str">
        <f>_xlfn.XLOOKUP($A38,COA!$B:$B,COA!$C:$C,0,0,1)</f>
        <v>Accounts payables and accrued liabilities</v>
      </c>
      <c r="H38" s="178" t="str">
        <f>_xlfn.XLOOKUP($A38,COA!$B:$B,COA!$D:$D,0,0,1)</f>
        <v>Accounts payables and accrued liabilities</v>
      </c>
      <c r="I38" s="178" t="str">
        <f>_xlfn.XLOOKUP($A38,COA!$B:$B,COA!$E:$E,0,0,1)</f>
        <v>Accounts payables and accrued liabilities</v>
      </c>
      <c r="K38" s="85" t="str">
        <f t="shared" si="14"/>
        <v>Accounts payables and accrued liabilities</v>
      </c>
      <c r="L38" s="85"/>
      <c r="M38" s="85"/>
      <c r="N38" s="85"/>
      <c r="O38" s="85"/>
      <c r="P38" s="85"/>
      <c r="Q38" s="85"/>
      <c r="R38" s="85"/>
      <c r="S38" s="85"/>
      <c r="T38" s="85"/>
      <c r="U38" s="85"/>
      <c r="V38" s="85"/>
      <c r="W38" s="85"/>
      <c r="X38" s="85"/>
      <c r="Y38" s="85"/>
      <c r="Z38" s="85"/>
      <c r="AA38" s="85"/>
      <c r="AB38" s="85"/>
      <c r="AC38" s="85"/>
    </row>
    <row r="39" spans="1:29" x14ac:dyDescent="0.25">
      <c r="A39" s="1389" t="str">
        <f>COA!B36</f>
        <v>2001 Accounts Payable (A/P) - USD</v>
      </c>
      <c r="B39" s="1390">
        <f>_xlfn.XLOOKUP(A39,'TB.1 - F25'!A:A,'TB.1 - F25'!D:D,0,0,1)</f>
        <v>0</v>
      </c>
      <c r="C39" s="1390">
        <f>_xlfn.XLOOKUP(A39,'TB.1 - F25'!A:A,'TB.1 - F25'!H:H,0,0,1)</f>
        <v>-373.45</v>
      </c>
      <c r="D39" s="1390">
        <f>_xlfn.XLOOKUP(A39,'AJE.1 - F25'!A:A,'AJE.1 - F25'!F:F,0,0,1)</f>
        <v>0</v>
      </c>
      <c r="E39" s="1390"/>
      <c r="F39" s="219">
        <f t="shared" si="8"/>
        <v>-373</v>
      </c>
      <c r="G39" s="178" t="str">
        <f>_xlfn.XLOOKUP($A39,COA!$B:$B,COA!$C:$C,0,0,1)</f>
        <v>Accounts payables and accrued liabilities</v>
      </c>
      <c r="H39" s="178" t="str">
        <f>_xlfn.XLOOKUP($A39,COA!$B:$B,COA!$D:$D,0,0,1)</f>
        <v>Accounts payables and accrued liabilities</v>
      </c>
      <c r="I39" s="178" t="str">
        <f>_xlfn.XLOOKUP($A39,COA!$B:$B,COA!$E:$E,0,0,1)</f>
        <v>Accounts payables and accrued liabilities</v>
      </c>
      <c r="K39" s="85" t="str">
        <f t="shared" si="14"/>
        <v>Accounts payables and accrued liabilities</v>
      </c>
      <c r="L39" s="85"/>
      <c r="M39" s="85"/>
      <c r="N39" s="85"/>
      <c r="O39" s="85"/>
      <c r="P39" s="85"/>
      <c r="Q39" s="85"/>
      <c r="R39" s="85"/>
      <c r="S39" s="85"/>
      <c r="T39" s="85"/>
      <c r="U39" s="85"/>
      <c r="V39" s="85"/>
      <c r="W39" s="85"/>
      <c r="X39" s="85"/>
      <c r="Y39" s="85"/>
      <c r="Z39" s="85"/>
      <c r="AA39" s="85"/>
      <c r="AB39" s="85"/>
      <c r="AC39" s="85"/>
    </row>
    <row r="40" spans="1:29" x14ac:dyDescent="0.25">
      <c r="A40" s="1389" t="str">
        <f>COA!B37</f>
        <v>2010 Accrued Liabilities</v>
      </c>
      <c r="B40" s="1390">
        <f>_xlfn.XLOOKUP(A40,'TB.1 - F25'!A:A,'TB.1 - F25'!D:D,0,0,1)</f>
        <v>0</v>
      </c>
      <c r="C40" s="1390">
        <f>_xlfn.XLOOKUP(A40,'TB.1 - F25'!A:A,'TB.1 - F25'!H:H,0,0,1)</f>
        <v>-60000</v>
      </c>
      <c r="D40" s="1390">
        <f>_xlfn.XLOOKUP(A40,'AJE.1 - F25'!A:A,'AJE.1 - F25'!F:F,0,0,1)</f>
        <v>0</v>
      </c>
      <c r="E40" s="1390"/>
      <c r="F40" s="219">
        <f t="shared" si="8"/>
        <v>-60000</v>
      </c>
      <c r="G40" s="178" t="str">
        <f>_xlfn.XLOOKUP($A40,COA!$B:$B,COA!$C:$C,0,0,1)</f>
        <v>Accounts payables and accrued liabilities</v>
      </c>
      <c r="H40" s="178" t="str">
        <f>_xlfn.XLOOKUP($A40,COA!$B:$B,COA!$D:$D,0,0,1)</f>
        <v>Accounts payables and accrued liabilities</v>
      </c>
      <c r="I40" s="178" t="str">
        <f>_xlfn.XLOOKUP($A40,COA!$B:$B,COA!$E:$E,0,0,1)</f>
        <v>Accounts payables and accrued liabilities</v>
      </c>
      <c r="K40" s="85" t="str">
        <f t="shared" si="14"/>
        <v>Accounts payables and accrued liabilities</v>
      </c>
      <c r="L40" s="85"/>
      <c r="M40" s="85"/>
      <c r="N40" s="85"/>
      <c r="O40" s="85"/>
      <c r="P40" s="85"/>
      <c r="Q40" s="85"/>
      <c r="R40" s="85"/>
      <c r="S40" s="85"/>
      <c r="T40" s="85"/>
      <c r="U40" s="85"/>
      <c r="V40" s="85"/>
      <c r="W40" s="85"/>
      <c r="X40" s="85"/>
      <c r="Y40" s="85"/>
      <c r="Z40" s="85"/>
      <c r="AA40" s="85"/>
      <c r="AB40" s="85"/>
      <c r="AC40" s="85"/>
    </row>
    <row r="41" spans="1:29" hidden="1" x14ac:dyDescent="0.25">
      <c r="A41" s="1389" t="str">
        <f>COA!B38</f>
        <v>2030 Cutomer prepayments</v>
      </c>
      <c r="B41" s="1390">
        <f>_xlfn.XLOOKUP(A41,'TB.1 - F25'!A:A,'TB.1 - F25'!D:D,0,0,1)</f>
        <v>0</v>
      </c>
      <c r="C41" s="1390">
        <f>_xlfn.XLOOKUP(A41,'TB.1 - F25'!A:A,'TB.1 - F25'!H:H,0,0,1)</f>
        <v>0</v>
      </c>
      <c r="D41" s="1390">
        <f>_xlfn.XLOOKUP(A41,'AJE.1 - F25'!A:A,'AJE.1 - F25'!F:F,0,0,1)</f>
        <v>0</v>
      </c>
      <c r="E41" s="1390"/>
      <c r="F41" s="219">
        <f t="shared" ref="F41:F72" si="15">ROUND(SUM(B41:E41),0)</f>
        <v>0</v>
      </c>
      <c r="G41" s="178" t="str">
        <f>_xlfn.XLOOKUP($A41,COA!$B:$B,COA!$C:$C,0,0,1)</f>
        <v>Deferred revenue</v>
      </c>
      <c r="H41" s="178" t="str">
        <f>_xlfn.XLOOKUP($A41,COA!$B:$B,COA!$D:$D,0,0,1)</f>
        <v>Deferred revenue</v>
      </c>
      <c r="I41" s="178" t="str">
        <f>_xlfn.XLOOKUP($A41,COA!$B:$B,COA!$E:$E,0,0,1)</f>
        <v>Deferred revenue</v>
      </c>
      <c r="K41" s="85">
        <f>_xlfn.XLOOKUP(I41,FS.1!A:A,I:I,0,0,1)</f>
        <v>0</v>
      </c>
      <c r="L41" s="85"/>
      <c r="M41" s="85"/>
      <c r="N41" s="85"/>
      <c r="O41" s="85"/>
      <c r="P41" s="85"/>
      <c r="Q41" s="85"/>
      <c r="R41" s="85"/>
      <c r="S41" s="85"/>
      <c r="T41" s="85"/>
      <c r="U41" s="85"/>
      <c r="V41" s="85"/>
      <c r="W41" s="85"/>
      <c r="X41" s="85"/>
      <c r="Y41" s="85"/>
      <c r="Z41" s="85"/>
      <c r="AA41" s="85"/>
      <c r="AB41" s="85"/>
      <c r="AC41" s="85"/>
    </row>
    <row r="42" spans="1:29" x14ac:dyDescent="0.25">
      <c r="A42" s="1389" t="str">
        <f>COA!B41</f>
        <v>2100 Accrued Liabilities</v>
      </c>
      <c r="B42" s="1390">
        <f>_xlfn.XLOOKUP(A42,'TB.1 - F25'!A:A,'TB.1 - F25'!D:D,0,0,1)</f>
        <v>-53625</v>
      </c>
      <c r="C42" s="1390">
        <f>_xlfn.XLOOKUP(A42,'TB.1 - F25'!A:A,'TB.1 - F25'!H:H,0,0,1)</f>
        <v>0</v>
      </c>
      <c r="D42" s="1390">
        <f>_xlfn.XLOOKUP(A42,'AJE.1 - F25'!A:A,'AJE.1 - F25'!F:F,0,0,1)</f>
        <v>0</v>
      </c>
      <c r="E42" s="1390"/>
      <c r="F42" s="219">
        <f t="shared" si="15"/>
        <v>-53625</v>
      </c>
      <c r="G42" s="178" t="str">
        <f>_xlfn.XLOOKUP($A42,COA!$B:$B,COA!$C:$C,0,0,1)</f>
        <v>Accounts payables and accrued liabilities</v>
      </c>
      <c r="H42" s="178" t="str">
        <f>_xlfn.XLOOKUP($A42,COA!$B:$B,COA!$D:$D,0,0,1)</f>
        <v>Accounts payables and accrued liabilities</v>
      </c>
      <c r="I42" s="178" t="str">
        <f>_xlfn.XLOOKUP($A42,COA!$B:$B,COA!$E:$E,0,0,1)</f>
        <v>Accounts payables and accrued liabilities</v>
      </c>
      <c r="K42" s="85" t="str">
        <f>I42</f>
        <v>Accounts payables and accrued liabilities</v>
      </c>
      <c r="L42" s="85"/>
      <c r="M42" s="85"/>
      <c r="N42" s="85"/>
      <c r="O42" s="85"/>
      <c r="P42" s="85"/>
      <c r="Q42" s="85"/>
      <c r="R42" s="85"/>
      <c r="S42" s="85"/>
      <c r="T42" s="85"/>
      <c r="U42" s="85"/>
      <c r="V42" s="85"/>
      <c r="W42" s="85"/>
      <c r="X42" s="85"/>
      <c r="Y42" s="85"/>
      <c r="Z42" s="85"/>
      <c r="AA42" s="85"/>
      <c r="AB42" s="85"/>
      <c r="AC42" s="85"/>
    </row>
    <row r="43" spans="1:29" hidden="1" x14ac:dyDescent="0.25">
      <c r="A43" s="1389" t="str">
        <f>COA!B42</f>
        <v>2100 Payroll Liabilities</v>
      </c>
      <c r="B43" s="1390">
        <f>_xlfn.XLOOKUP(A43,'TB.1 - F25'!A:A,'TB.1 - F25'!D:D,0,0,1)</f>
        <v>0</v>
      </c>
      <c r="C43" s="1390">
        <f>_xlfn.XLOOKUP(A43,'TB.1 - F25'!A:A,'TB.1 - F25'!H:H,0,0,1)</f>
        <v>0</v>
      </c>
      <c r="D43" s="1390">
        <f>_xlfn.XLOOKUP(A43,'AJE.1 - F25'!A:A,'AJE.1 - F25'!F:F,0,0,1)</f>
        <v>0</v>
      </c>
      <c r="E43" s="1390"/>
      <c r="F43" s="219">
        <f t="shared" si="15"/>
        <v>0</v>
      </c>
      <c r="G43" s="178" t="str">
        <f>_xlfn.XLOOKUP($A43,COA!$B:$B,COA!$C:$C,0,0,1)</f>
        <v>Payroll liabilities</v>
      </c>
      <c r="H43" s="178" t="str">
        <f>_xlfn.XLOOKUP($A43,COA!$B:$B,COA!$D:$D,0,0,1)</f>
        <v>Payroll liabilities</v>
      </c>
      <c r="I43" s="178" t="str">
        <f>_xlfn.XLOOKUP($A43,COA!$B:$B,COA!$E:$E,0,0,1)</f>
        <v>Payroll liabilities</v>
      </c>
      <c r="K43" s="85">
        <f>_xlfn.XLOOKUP(I43,FS.1!A:A,I:I,0,0,1)</f>
        <v>0</v>
      </c>
      <c r="L43" s="85"/>
      <c r="M43" s="85"/>
      <c r="N43" s="85"/>
      <c r="O43" s="85"/>
      <c r="P43" s="85"/>
      <c r="Q43" s="85"/>
      <c r="R43" s="85"/>
      <c r="S43" s="85"/>
      <c r="T43" s="85"/>
      <c r="U43" s="85"/>
      <c r="V43" s="85"/>
      <c r="W43" s="85"/>
      <c r="X43" s="85"/>
      <c r="Y43" s="85"/>
      <c r="Z43" s="85"/>
      <c r="AA43" s="85"/>
      <c r="AB43" s="85"/>
      <c r="AC43" s="85"/>
    </row>
    <row r="44" spans="1:29" hidden="1" x14ac:dyDescent="0.25">
      <c r="A44" s="1389" t="str">
        <f>COA!B43</f>
        <v>2110 Payroll Liabilities:Payroll Taxes</v>
      </c>
      <c r="B44" s="1390">
        <f>_xlfn.XLOOKUP(A44,'TB.1 - F25'!A:A,'TB.1 - F25'!D:D,0,0,1)</f>
        <v>0</v>
      </c>
      <c r="C44" s="1390">
        <f>_xlfn.XLOOKUP(A44,'TB.1 - F25'!A:A,'TB.1 - F25'!H:H,0,0,1)</f>
        <v>0</v>
      </c>
      <c r="D44" s="1390">
        <f>_xlfn.XLOOKUP(A44,'AJE.1 - F25'!A:A,'AJE.1 - F25'!F:F,0,0,1)</f>
        <v>0</v>
      </c>
      <c r="E44" s="1390"/>
      <c r="F44" s="219">
        <f t="shared" si="15"/>
        <v>0</v>
      </c>
      <c r="G44" s="178" t="str">
        <f>_xlfn.XLOOKUP($A44,COA!$B:$B,COA!$C:$C,0,0,1)</f>
        <v>Payroll liabilities</v>
      </c>
      <c r="H44" s="178" t="str">
        <f>_xlfn.XLOOKUP($A44,COA!$B:$B,COA!$D:$D,0,0,1)</f>
        <v>Payroll liabilities</v>
      </c>
      <c r="I44" s="178" t="str">
        <f>_xlfn.XLOOKUP($A44,COA!$B:$B,COA!$E:$E,0,0,1)</f>
        <v>Payroll liabilities</v>
      </c>
      <c r="K44" s="85">
        <f>_xlfn.XLOOKUP(I44,FS.1!A:A,I:I,0,0,1)</f>
        <v>0</v>
      </c>
      <c r="L44" s="85"/>
      <c r="M44" s="85"/>
      <c r="N44" s="85"/>
      <c r="O44" s="85"/>
      <c r="P44" s="85"/>
      <c r="Q44" s="85"/>
      <c r="R44" s="85"/>
      <c r="S44" s="85"/>
      <c r="T44" s="85"/>
      <c r="U44" s="85"/>
      <c r="V44" s="85"/>
      <c r="W44" s="85"/>
      <c r="X44" s="85"/>
      <c r="Y44" s="85"/>
      <c r="Z44" s="85"/>
      <c r="AA44" s="85"/>
      <c r="AB44" s="85"/>
      <c r="AC44" s="85"/>
    </row>
    <row r="45" spans="1:29" hidden="1" x14ac:dyDescent="0.25">
      <c r="A45" s="1389" t="str">
        <f>COA!B44</f>
        <v>2120 Payroll Liabilities:Vacation Pay Due</v>
      </c>
      <c r="B45" s="1390">
        <f>_xlfn.XLOOKUP(A45,'TB.1 - F25'!A:A,'TB.1 - F25'!D:D,0,0,1)</f>
        <v>0</v>
      </c>
      <c r="C45" s="1390">
        <f>_xlfn.XLOOKUP(A45,'TB.1 - F25'!A:A,'TB.1 - F25'!H:H,0,0,1)</f>
        <v>0</v>
      </c>
      <c r="D45" s="1390">
        <f>_xlfn.XLOOKUP(A45,'AJE.1 - F25'!A:A,'AJE.1 - F25'!F:F,0,0,1)</f>
        <v>0</v>
      </c>
      <c r="E45" s="1390"/>
      <c r="F45" s="219">
        <f t="shared" si="15"/>
        <v>0</v>
      </c>
      <c r="G45" s="178" t="str">
        <f>_xlfn.XLOOKUP($A45,COA!$B:$B,COA!$C:$C,0,0,1)</f>
        <v>Payroll liabilities</v>
      </c>
      <c r="H45" s="178" t="str">
        <f>_xlfn.XLOOKUP($A45,COA!$B:$B,COA!$D:$D,0,0,1)</f>
        <v>Payroll liabilities</v>
      </c>
      <c r="I45" s="178" t="str">
        <f>_xlfn.XLOOKUP($A45,COA!$B:$B,COA!$E:$E,0,0,1)</f>
        <v>Payroll liabilities</v>
      </c>
      <c r="K45" s="85">
        <f>_xlfn.XLOOKUP(I45,FS.1!A:A,I:I,0,0,1)</f>
        <v>0</v>
      </c>
      <c r="L45" s="85"/>
      <c r="M45" s="85"/>
      <c r="N45" s="85"/>
      <c r="O45" s="85"/>
      <c r="P45" s="85"/>
      <c r="Q45" s="85"/>
      <c r="R45" s="85"/>
      <c r="S45" s="85"/>
      <c r="T45" s="85"/>
      <c r="U45" s="85"/>
      <c r="V45" s="85"/>
      <c r="W45" s="85"/>
      <c r="X45" s="85"/>
      <c r="Y45" s="85"/>
      <c r="Z45" s="85"/>
      <c r="AA45" s="85"/>
      <c r="AB45" s="85"/>
      <c r="AC45" s="85"/>
    </row>
    <row r="46" spans="1:29" hidden="1" x14ac:dyDescent="0.25">
      <c r="A46" s="1389" t="str">
        <f>COA!B45</f>
        <v>2130 Payroll Liabilities:WCB to be paid/(refunded)</v>
      </c>
      <c r="B46" s="1390">
        <f>_xlfn.XLOOKUP(A46,'TB.1 - F25'!A:A,'TB.1 - F25'!D:D,0,0,1)</f>
        <v>0</v>
      </c>
      <c r="C46" s="1390">
        <f>_xlfn.XLOOKUP(A46,'TB.1 - F25'!A:A,'TB.1 - F25'!H:H,0,0,1)</f>
        <v>0</v>
      </c>
      <c r="D46" s="1390">
        <f>_xlfn.XLOOKUP(A46,'AJE.1 - F25'!A:A,'AJE.1 - F25'!F:F,0,0,1)</f>
        <v>0</v>
      </c>
      <c r="E46" s="1390"/>
      <c r="F46" s="219">
        <f t="shared" si="15"/>
        <v>0</v>
      </c>
      <c r="G46" s="178" t="str">
        <f>_xlfn.XLOOKUP($A46,COA!$B:$B,COA!$C:$C,0,0,1)</f>
        <v>Payroll liabilities</v>
      </c>
      <c r="H46" s="178" t="str">
        <f>_xlfn.XLOOKUP($A46,COA!$B:$B,COA!$D:$D,0,0,1)</f>
        <v>Sales tax receivable</v>
      </c>
      <c r="I46" s="178" t="str">
        <f>_xlfn.XLOOKUP($A46,COA!$B:$B,COA!$E:$E,0,0,1)</f>
        <v>Payroll liabilities</v>
      </c>
      <c r="K46" s="85">
        <f>_xlfn.XLOOKUP(I46,FS.1!A:A,I:I,0,0,1)</f>
        <v>0</v>
      </c>
      <c r="L46" s="85"/>
      <c r="M46" s="85"/>
      <c r="N46" s="85"/>
      <c r="O46" s="85"/>
      <c r="P46" s="85"/>
      <c r="Q46" s="85"/>
      <c r="R46" s="85"/>
      <c r="S46" s="85"/>
      <c r="T46" s="85"/>
      <c r="U46" s="85"/>
      <c r="V46" s="85"/>
      <c r="W46" s="85"/>
      <c r="X46" s="85"/>
      <c r="Y46" s="85"/>
      <c r="Z46" s="85"/>
      <c r="AA46" s="85"/>
      <c r="AB46" s="85"/>
      <c r="AC46" s="85"/>
    </row>
    <row r="47" spans="1:29" hidden="1" x14ac:dyDescent="0.25">
      <c r="A47" s="1389" t="str">
        <f>COA!B46</f>
        <v>2140 Payroll Liabilities:Vacation Pay Payable</v>
      </c>
      <c r="B47" s="1390">
        <f>_xlfn.XLOOKUP(A47,'TB.1 - F25'!A:A,'TB.1 - F25'!D:D,0,0,1)</f>
        <v>0</v>
      </c>
      <c r="C47" s="1390">
        <f>_xlfn.XLOOKUP(A47,'TB.1 - F25'!A:A,'TB.1 - F25'!H:H,0,0,1)</f>
        <v>0</v>
      </c>
      <c r="D47" s="1390">
        <f>_xlfn.XLOOKUP(A47,'AJE.1 - F25'!A:A,'AJE.1 - F25'!F:F,0,0,1)</f>
        <v>0</v>
      </c>
      <c r="E47" s="1390"/>
      <c r="F47" s="219">
        <f t="shared" si="15"/>
        <v>0</v>
      </c>
      <c r="G47" s="178" t="str">
        <f>_xlfn.XLOOKUP($A47,COA!$B:$B,COA!$C:$C,0,0,1)</f>
        <v>Payroll liabilities</v>
      </c>
      <c r="H47" s="178" t="str">
        <f>_xlfn.XLOOKUP($A47,COA!$B:$B,COA!$D:$D,0,0,1)</f>
        <v>Sales tax receivable</v>
      </c>
      <c r="I47" s="178" t="str">
        <f>_xlfn.XLOOKUP($A47,COA!$B:$B,COA!$E:$E,0,0,1)</f>
        <v>Payroll liabilities</v>
      </c>
      <c r="K47" s="85">
        <f>_xlfn.XLOOKUP(I47,FS.1!A:A,I:I,0,0,1)</f>
        <v>0</v>
      </c>
      <c r="L47" s="85"/>
      <c r="M47" s="85"/>
      <c r="N47" s="85"/>
      <c r="O47" s="85"/>
      <c r="P47" s="85"/>
      <c r="Q47" s="85"/>
      <c r="R47" s="85"/>
      <c r="S47" s="85"/>
      <c r="T47" s="85"/>
      <c r="U47" s="85"/>
      <c r="V47" s="85"/>
      <c r="W47" s="85"/>
      <c r="X47" s="85"/>
      <c r="Y47" s="85"/>
      <c r="Z47" s="85"/>
      <c r="AA47" s="85"/>
      <c r="AB47" s="85"/>
      <c r="AC47" s="85"/>
    </row>
    <row r="48" spans="1:29" x14ac:dyDescent="0.25">
      <c r="A48" s="1389" t="str">
        <f>COA!B47</f>
        <v>2200 PST Payable (BC)</v>
      </c>
      <c r="B48" s="1390">
        <f>_xlfn.XLOOKUP(A48,'TB.1 - F25'!A:A,'TB.1 - F25'!D:D,0,0,1)</f>
        <v>3.78</v>
      </c>
      <c r="C48" s="1390">
        <f>_xlfn.XLOOKUP(A48,'TB.1 - F25'!A:A,'TB.1 - F25'!H:H,0,0,1)</f>
        <v>0</v>
      </c>
      <c r="D48" s="1390">
        <f>_xlfn.XLOOKUP(A48,'AJE.1 - F25'!A:A,'AJE.1 - F25'!F:F,0,0,1)</f>
        <v>0</v>
      </c>
      <c r="E48" s="1390"/>
      <c r="F48" s="219">
        <f t="shared" si="15"/>
        <v>4</v>
      </c>
      <c r="G48" s="667" t="s">
        <v>618</v>
      </c>
      <c r="H48" s="667" t="str">
        <f>G48</f>
        <v>Sales tax receivable</v>
      </c>
      <c r="I48" s="667" t="str">
        <f>H48</f>
        <v>Sales tax receivable</v>
      </c>
      <c r="K48" s="85" t="str">
        <f>I48</f>
        <v>Sales tax receivable</v>
      </c>
      <c r="L48" s="85"/>
      <c r="M48" s="85"/>
      <c r="N48" s="85"/>
      <c r="O48" s="85"/>
      <c r="P48" s="85"/>
      <c r="Q48" s="85"/>
      <c r="R48" s="85"/>
      <c r="S48" s="85"/>
      <c r="T48" s="85"/>
      <c r="U48" s="85"/>
      <c r="V48" s="85"/>
      <c r="W48" s="85"/>
      <c r="X48" s="85"/>
      <c r="Y48" s="85"/>
      <c r="Z48" s="85"/>
      <c r="AA48" s="85"/>
      <c r="AB48" s="85"/>
      <c r="AC48" s="85"/>
    </row>
    <row r="49" spans="1:29" hidden="1" x14ac:dyDescent="0.25">
      <c r="A49" s="1389" t="str">
        <f>COA!B48</f>
        <v>2200 GST Payable/(Refund)</v>
      </c>
      <c r="B49" s="1390">
        <f>_xlfn.XLOOKUP(A49,'TB.1 - F25'!A:A,'TB.1 - F25'!D:D,0,0,1)</f>
        <v>0</v>
      </c>
      <c r="C49" s="1390">
        <f>_xlfn.XLOOKUP(A49,'TB.1 - F25'!A:A,'TB.1 - F25'!H:H,0,0,1)</f>
        <v>0</v>
      </c>
      <c r="D49" s="1390">
        <f>_xlfn.XLOOKUP(A49,'AJE.1 - F25'!A:A,'AJE.1 - F25'!F:F,0,0,1)</f>
        <v>0</v>
      </c>
      <c r="E49" s="1390"/>
      <c r="F49" s="219">
        <f t="shared" si="15"/>
        <v>0</v>
      </c>
      <c r="G49" s="178" t="str">
        <f>_xlfn.XLOOKUP($A49,COA!$B:$B,COA!$C:$C,0,0,1)</f>
        <v>Sales tax receivable</v>
      </c>
      <c r="H49" s="178" t="str">
        <f>_xlfn.XLOOKUP($A49,COA!$B:$B,COA!$D:$D,0,0,1)</f>
        <v>Sales tax receivable</v>
      </c>
      <c r="I49" s="178" t="str">
        <f>_xlfn.XLOOKUP($A49,COA!$B:$B,COA!$E:$E,0,0,1)</f>
        <v>Sales tax receivable</v>
      </c>
      <c r="K49" s="85" t="str">
        <f>_xlfn.XLOOKUP(I49,FS.1!A:A,I:I,0,0,1)</f>
        <v>Cash</v>
      </c>
      <c r="L49" s="85"/>
      <c r="M49" s="85"/>
      <c r="N49" s="85"/>
      <c r="O49" s="85"/>
      <c r="P49" s="85"/>
      <c r="Q49" s="85"/>
      <c r="R49" s="85"/>
      <c r="S49" s="85"/>
      <c r="T49" s="85"/>
      <c r="U49" s="85"/>
      <c r="V49" s="85"/>
      <c r="W49" s="85"/>
      <c r="X49" s="85"/>
      <c r="Y49" s="85"/>
      <c r="Z49" s="85"/>
      <c r="AA49" s="85"/>
      <c r="AB49" s="85"/>
      <c r="AC49" s="85"/>
    </row>
    <row r="50" spans="1:29" hidden="1" x14ac:dyDescent="0.25">
      <c r="A50" s="1389" t="str">
        <f>COA!B49</f>
        <v>2201 PST Suspense (BC)</v>
      </c>
      <c r="B50" s="1390">
        <f>_xlfn.XLOOKUP(A50,'TB.1 - F25'!A:A,'TB.1 - F25'!D:D,0,0,1)</f>
        <v>0</v>
      </c>
      <c r="C50" s="1390">
        <f>_xlfn.XLOOKUP(A50,'TB.1 - F25'!A:A,'TB.1 - F25'!H:H,0,0,1)</f>
        <v>0</v>
      </c>
      <c r="D50" s="1390">
        <f>_xlfn.XLOOKUP(A50,'AJE.1 - F25'!A:A,'AJE.1 - F25'!F:F,0,0,1)</f>
        <v>0</v>
      </c>
      <c r="E50" s="1390"/>
      <c r="F50" s="219">
        <f t="shared" si="15"/>
        <v>0</v>
      </c>
      <c r="G50" s="178" t="str">
        <f>_xlfn.XLOOKUP($A50,COA!$B:$B,COA!$C:$C,0,0,1)</f>
        <v>Sales tax payable</v>
      </c>
      <c r="H50" s="178" t="str">
        <f>_xlfn.XLOOKUP($A50,COA!$B:$B,COA!$D:$D,0,0,1)</f>
        <v>Sales tax payable</v>
      </c>
      <c r="I50" s="178" t="str">
        <f>_xlfn.XLOOKUP($A50,COA!$B:$B,COA!$E:$E,0,0,1)</f>
        <v>Sales tax payable</v>
      </c>
      <c r="K50" s="85">
        <f>_xlfn.XLOOKUP(I50,FS.1!A:A,I:I,0,0,1)</f>
        <v>0</v>
      </c>
      <c r="L50" s="85"/>
      <c r="M50" s="85"/>
      <c r="N50" s="85"/>
      <c r="O50" s="85"/>
      <c r="P50" s="85"/>
      <c r="Q50" s="85"/>
      <c r="R50" s="85"/>
      <c r="S50" s="85"/>
      <c r="T50" s="85"/>
      <c r="U50" s="85"/>
      <c r="V50" s="85"/>
      <c r="W50" s="85"/>
      <c r="X50" s="85"/>
      <c r="Y50" s="85"/>
      <c r="Z50" s="85"/>
      <c r="AA50" s="85"/>
      <c r="AB50" s="85"/>
      <c r="AC50" s="85"/>
    </row>
    <row r="51" spans="1:29" x14ac:dyDescent="0.25">
      <c r="A51" s="1389" t="str">
        <f>COA!B50</f>
        <v>2210 GST Payable/(Refund):GST Paid on Purchases</v>
      </c>
      <c r="B51" s="1390">
        <f>_xlfn.XLOOKUP(A51,'TB.1 - F25'!A:A,'TB.1 - F25'!D:D,0,0,1)</f>
        <v>0</v>
      </c>
      <c r="C51" s="1390">
        <f>_xlfn.XLOOKUP(A51,'TB.1 - F25'!A:A,'TB.1 - F25'!H:H,0,0,1)</f>
        <v>1288.7</v>
      </c>
      <c r="D51" s="1390">
        <f>_xlfn.XLOOKUP(A51,'AJE.1 - F25'!A:A,'AJE.1 - F25'!F:F,0,0,1)</f>
        <v>0</v>
      </c>
      <c r="E51" s="1390"/>
      <c r="F51" s="219">
        <f t="shared" si="15"/>
        <v>1289</v>
      </c>
      <c r="G51" s="178" t="str">
        <f>_xlfn.XLOOKUP($A51,COA!$B:$B,COA!$C:$C,0,0,1)</f>
        <v>Sales tax receivable</v>
      </c>
      <c r="H51" s="178" t="str">
        <f>_xlfn.XLOOKUP($A51,COA!$B:$B,COA!$D:$D,0,0,1)</f>
        <v>Sales tax receivable</v>
      </c>
      <c r="I51" s="178" t="str">
        <f>_xlfn.XLOOKUP($A51,COA!$B:$B,COA!$E:$E,0,0,1)</f>
        <v>Sales tax receivable</v>
      </c>
      <c r="K51" s="85" t="str">
        <f t="shared" ref="K51:K54" si="16">I51</f>
        <v>Sales tax receivable</v>
      </c>
      <c r="L51" s="85"/>
      <c r="M51" s="85"/>
      <c r="N51" s="85"/>
      <c r="O51" s="85"/>
      <c r="P51" s="85"/>
      <c r="Q51" s="85"/>
      <c r="R51" s="85"/>
      <c r="S51" s="85"/>
      <c r="T51" s="85"/>
      <c r="U51" s="85"/>
      <c r="V51" s="85"/>
      <c r="W51" s="85"/>
      <c r="X51" s="85"/>
      <c r="Y51" s="85"/>
      <c r="Z51" s="85"/>
      <c r="AA51" s="85"/>
      <c r="AB51" s="85"/>
      <c r="AC51" s="85"/>
    </row>
    <row r="52" spans="1:29" x14ac:dyDescent="0.25">
      <c r="A52" s="1389" t="str">
        <f>COA!B51</f>
        <v>2220 GST Payable/(Refund):GST Collected on Sales</v>
      </c>
      <c r="B52" s="1390">
        <f>_xlfn.XLOOKUP(A52,'TB.1 - F25'!A:A,'TB.1 - F25'!D:D,0,0,1)</f>
        <v>0</v>
      </c>
      <c r="C52" s="1390">
        <f>_xlfn.XLOOKUP(A52,'TB.1 - F25'!A:A,'TB.1 - F25'!H:H,0,0,1)</f>
        <v>4540.67</v>
      </c>
      <c r="D52" s="1390">
        <f>_xlfn.XLOOKUP(A52,'AJE.1 - F25'!A:A,'AJE.1 - F25'!F:F,0,0,1)</f>
        <v>0</v>
      </c>
      <c r="E52" s="1390"/>
      <c r="F52" s="219">
        <f t="shared" si="15"/>
        <v>4541</v>
      </c>
      <c r="G52" s="178" t="str">
        <f>_xlfn.XLOOKUP($A52,COA!$B:$B,COA!$C:$C,0,0,1)</f>
        <v>Sales tax receivable</v>
      </c>
      <c r="H52" s="178" t="str">
        <f>_xlfn.XLOOKUP($A52,COA!$B:$B,COA!$D:$D,0,0,1)</f>
        <v>Sales tax receivable</v>
      </c>
      <c r="I52" s="178" t="str">
        <f>_xlfn.XLOOKUP($A52,COA!$B:$B,COA!$E:$E,0,0,1)</f>
        <v>Sales tax receivable</v>
      </c>
      <c r="K52" s="85" t="str">
        <f t="shared" si="16"/>
        <v>Sales tax receivable</v>
      </c>
      <c r="L52" s="85"/>
      <c r="M52" s="85"/>
      <c r="N52" s="85"/>
      <c r="O52" s="85"/>
      <c r="P52" s="85"/>
      <c r="Q52" s="85"/>
      <c r="R52" s="85"/>
      <c r="S52" s="85"/>
      <c r="T52" s="85"/>
      <c r="U52" s="85"/>
      <c r="V52" s="85"/>
      <c r="W52" s="85"/>
      <c r="X52" s="85"/>
      <c r="Y52" s="85"/>
      <c r="Z52" s="85"/>
      <c r="AA52" s="85"/>
      <c r="AB52" s="85"/>
      <c r="AC52" s="85"/>
    </row>
    <row r="53" spans="1:29" x14ac:dyDescent="0.25">
      <c r="A53" s="1389" t="str">
        <f>COA!B52</f>
        <v>2210 GST/HST Payable</v>
      </c>
      <c r="B53" s="1390">
        <f>_xlfn.XLOOKUP(A53,'TB.1 - F25'!A:A,'TB.1 - F25'!D:D,0,0,1)</f>
        <v>31778.63</v>
      </c>
      <c r="C53" s="1390">
        <f>_xlfn.XLOOKUP(A53,'TB.1 - F25'!A:A,'TB.1 - F25'!H:H,0,0,1)</f>
        <v>0</v>
      </c>
      <c r="D53" s="1390">
        <f>_xlfn.XLOOKUP(A53,'AJE.1 - F25'!A:A,'AJE.1 - F25'!F:F,0,0,1)</f>
        <v>0</v>
      </c>
      <c r="E53" s="1390"/>
      <c r="F53" s="219">
        <f t="shared" si="15"/>
        <v>31779</v>
      </c>
      <c r="G53" s="667" t="s">
        <v>618</v>
      </c>
      <c r="H53" s="667" t="str">
        <f>G53</f>
        <v>Sales tax receivable</v>
      </c>
      <c r="I53" s="667" t="str">
        <f>H53</f>
        <v>Sales tax receivable</v>
      </c>
      <c r="K53" s="85" t="str">
        <f t="shared" si="16"/>
        <v>Sales tax receivable</v>
      </c>
      <c r="L53" s="85"/>
      <c r="M53" s="85"/>
      <c r="N53" s="85"/>
      <c r="O53" s="85"/>
      <c r="P53" s="85"/>
      <c r="Q53" s="85"/>
      <c r="R53" s="85"/>
      <c r="S53" s="85"/>
      <c r="T53" s="85"/>
      <c r="U53" s="85"/>
      <c r="V53" s="85"/>
      <c r="W53" s="85"/>
      <c r="X53" s="85"/>
      <c r="Y53" s="85"/>
      <c r="Z53" s="85"/>
      <c r="AA53" s="85"/>
      <c r="AB53" s="85"/>
      <c r="AC53" s="85"/>
    </row>
    <row r="54" spans="1:29" x14ac:dyDescent="0.25">
      <c r="A54" s="1389" t="str">
        <f>COA!B53</f>
        <v>2230 GST Payable/(Refund):GST to Paid/(refunded)</v>
      </c>
      <c r="B54" s="1390">
        <f>_xlfn.XLOOKUP(A54,'TB.1 - F25'!A:A,'TB.1 - F25'!D:D,0,0,1)</f>
        <v>0</v>
      </c>
      <c r="C54" s="1390">
        <f>_xlfn.XLOOKUP(A54,'TB.1 - F25'!A:A,'TB.1 - F25'!H:H,0,0,1)</f>
        <v>389.61</v>
      </c>
      <c r="D54" s="1390">
        <f>_xlfn.XLOOKUP(A54,'AJE.1 - F25'!A:A,'AJE.1 - F25'!F:F,0,0,1)</f>
        <v>0</v>
      </c>
      <c r="E54" s="1390"/>
      <c r="F54" s="219">
        <f t="shared" si="15"/>
        <v>390</v>
      </c>
      <c r="G54" s="178" t="str">
        <f>_xlfn.XLOOKUP($A54,COA!$B:$B,COA!$C:$C,0,0,1)</f>
        <v>Sales tax receivable</v>
      </c>
      <c r="H54" s="178" t="str">
        <f>_xlfn.XLOOKUP($A54,COA!$B:$B,COA!$D:$D,0,0,1)</f>
        <v>Sales tax receivable</v>
      </c>
      <c r="I54" s="178" t="str">
        <f>_xlfn.XLOOKUP($A54,COA!$B:$B,COA!$E:$E,0,0,1)</f>
        <v>Sales tax receivable</v>
      </c>
      <c r="K54" s="85" t="str">
        <f t="shared" si="16"/>
        <v>Sales tax receivable</v>
      </c>
      <c r="L54" s="85"/>
      <c r="M54" s="85"/>
      <c r="N54" s="85"/>
      <c r="O54" s="85"/>
      <c r="P54" s="85"/>
      <c r="Q54" s="85"/>
      <c r="R54" s="85"/>
      <c r="S54" s="85"/>
      <c r="T54" s="85"/>
      <c r="U54" s="85"/>
      <c r="V54" s="85"/>
      <c r="W54" s="85"/>
      <c r="X54" s="85"/>
      <c r="Y54" s="85"/>
      <c r="Z54" s="85"/>
      <c r="AA54" s="85"/>
      <c r="AB54" s="85"/>
      <c r="AC54" s="85"/>
    </row>
    <row r="55" spans="1:29" hidden="1" x14ac:dyDescent="0.25">
      <c r="A55" s="1389" t="str">
        <f>COA!B54</f>
        <v>2211 GST/HST Suspense</v>
      </c>
      <c r="B55" s="1390">
        <f>_xlfn.XLOOKUP(A55,'TB.1 - F25'!A:A,'TB.1 - F25'!D:D,0,0,1)</f>
        <v>0</v>
      </c>
      <c r="C55" s="1390">
        <f>_xlfn.XLOOKUP(A55,'TB.1 - F25'!A:A,'TB.1 - F25'!H:H,0,0,1)</f>
        <v>0</v>
      </c>
      <c r="D55" s="1390">
        <f>_xlfn.XLOOKUP(A55,'AJE.1 - F25'!A:A,'AJE.1 - F25'!F:F,0,0,1)</f>
        <v>0</v>
      </c>
      <c r="E55" s="1390"/>
      <c r="F55" s="219">
        <f t="shared" si="15"/>
        <v>0</v>
      </c>
      <c r="G55" s="178" t="str">
        <f>_xlfn.XLOOKUP($A55,COA!$B:$B,COA!$C:$C,0,0,1)</f>
        <v>Sales tax payable</v>
      </c>
      <c r="H55" s="178" t="str">
        <f>_xlfn.XLOOKUP($A55,COA!$B:$B,COA!$D:$D,0,0,1)</f>
        <v>Sales tax payable</v>
      </c>
      <c r="I55" s="178" t="str">
        <f>_xlfn.XLOOKUP($A55,COA!$B:$B,COA!$E:$E,0,0,1)</f>
        <v>Sales tax payable</v>
      </c>
      <c r="K55" s="85">
        <f>_xlfn.XLOOKUP(I55,FS.1!A:A,I:I,0,0,1)</f>
        <v>0</v>
      </c>
      <c r="L55" s="85"/>
      <c r="M55" s="85"/>
      <c r="N55" s="85"/>
      <c r="O55" s="85"/>
      <c r="P55" s="85"/>
      <c r="Q55" s="85"/>
      <c r="R55" s="85"/>
      <c r="S55" s="85"/>
      <c r="T55" s="85"/>
      <c r="U55" s="85"/>
      <c r="V55" s="85"/>
      <c r="W55" s="85"/>
      <c r="X55" s="85"/>
      <c r="Y55" s="85"/>
      <c r="Z55" s="85"/>
      <c r="AA55" s="85"/>
      <c r="AB55" s="85"/>
      <c r="AC55" s="85"/>
    </row>
    <row r="56" spans="1:29" hidden="1" x14ac:dyDescent="0.25">
      <c r="A56" s="1389" t="str">
        <f>COA!B55</f>
        <v>2201 GST and HST Suspense</v>
      </c>
      <c r="B56" s="1390">
        <f>_xlfn.XLOOKUP(A56,'TB.1 - F25'!A:A,'TB.1 - F25'!D:D,0,0,1)</f>
        <v>0</v>
      </c>
      <c r="C56" s="1390">
        <f>_xlfn.XLOOKUP(A56,'TB.1 - F25'!A:A,'TB.1 - F25'!H:H,0,0,1)</f>
        <v>0</v>
      </c>
      <c r="D56" s="1390">
        <f>_xlfn.XLOOKUP(A56,'AJE.1 - F25'!A:A,'AJE.1 - F25'!F:F,0,0,1)</f>
        <v>0</v>
      </c>
      <c r="E56" s="1390"/>
      <c r="F56" s="219">
        <f t="shared" si="15"/>
        <v>0</v>
      </c>
      <c r="G56" s="178" t="str">
        <f>_xlfn.XLOOKUP($A56,COA!$B:$B,COA!$C:$C,0,0,1)</f>
        <v>Sales tax receivable</v>
      </c>
      <c r="H56" s="178" t="str">
        <f>_xlfn.XLOOKUP($A56,COA!$B:$B,COA!$D:$D,0,0,1)</f>
        <v>Sales tax receivable</v>
      </c>
      <c r="I56" s="178" t="str">
        <f>_xlfn.XLOOKUP($A56,COA!$B:$B,COA!$E:$E,0,0,1)</f>
        <v>Sales tax receivable</v>
      </c>
      <c r="K56" s="85" t="str">
        <f>_xlfn.XLOOKUP(I56,FS.1!A:A,I:I,0,0,1)</f>
        <v>Cash</v>
      </c>
      <c r="L56" s="85"/>
      <c r="M56" s="85"/>
      <c r="N56" s="85"/>
      <c r="O56" s="85"/>
      <c r="P56" s="85"/>
      <c r="Q56" s="85"/>
      <c r="R56" s="85"/>
      <c r="S56" s="85"/>
      <c r="T56" s="85"/>
      <c r="U56" s="85"/>
      <c r="V56" s="85"/>
      <c r="W56" s="85"/>
      <c r="X56" s="85"/>
      <c r="Y56" s="85"/>
      <c r="Z56" s="85"/>
      <c r="AA56" s="85"/>
      <c r="AB56" s="85"/>
      <c r="AC56" s="85"/>
    </row>
    <row r="57" spans="1:29" x14ac:dyDescent="0.25">
      <c r="A57" s="1389" t="str">
        <f>COA!B56</f>
        <v>2202 Receiver General Suspense</v>
      </c>
      <c r="B57" s="1390">
        <f>_xlfn.XLOOKUP(A57,'TB.1 - F25'!A:A,'TB.1 - F25'!D:D,0,0,1)</f>
        <v>0</v>
      </c>
      <c r="C57" s="1390">
        <f>_xlfn.XLOOKUP(A57,'TB.1 - F25'!A:A,'TB.1 - F25'!H:H,0,0,1)</f>
        <v>395.6</v>
      </c>
      <c r="D57" s="1390">
        <f>_xlfn.XLOOKUP(A57,'AJE.1 - F25'!A:A,'AJE.1 - F25'!F:F,0,0,1)</f>
        <v>0</v>
      </c>
      <c r="E57" s="1390"/>
      <c r="F57" s="219">
        <f t="shared" si="15"/>
        <v>396</v>
      </c>
      <c r="G57" s="178" t="str">
        <f>_xlfn.XLOOKUP($A57,COA!$B:$B,COA!$C:$C,0,0,1)</f>
        <v>Sales tax receivable</v>
      </c>
      <c r="H57" s="178" t="str">
        <f>_xlfn.XLOOKUP($A57,COA!$B:$B,COA!$D:$D,0,0,1)</f>
        <v>Sales tax receivable</v>
      </c>
      <c r="I57" s="178" t="str">
        <f>_xlfn.XLOOKUP($A57,COA!$B:$B,COA!$E:$E,0,0,1)</f>
        <v>Sales tax receivable</v>
      </c>
      <c r="K57" s="85" t="str">
        <f>I57</f>
        <v>Sales tax receivable</v>
      </c>
      <c r="L57" s="85"/>
      <c r="M57" s="85"/>
      <c r="N57" s="85"/>
      <c r="O57" s="85"/>
      <c r="P57" s="85"/>
      <c r="Q57" s="85"/>
      <c r="R57" s="85"/>
      <c r="S57" s="85"/>
      <c r="T57" s="85"/>
      <c r="U57" s="85"/>
      <c r="V57" s="85"/>
      <c r="W57" s="85"/>
      <c r="X57" s="85"/>
      <c r="Y57" s="85"/>
      <c r="Z57" s="85"/>
      <c r="AA57" s="85"/>
      <c r="AB57" s="85"/>
      <c r="AC57" s="85"/>
    </row>
    <row r="58" spans="1:29" hidden="1" x14ac:dyDescent="0.25">
      <c r="A58" s="1389" t="str">
        <f>COA!B57</f>
        <v>2280 PST Payable</v>
      </c>
      <c r="B58" s="1390">
        <f>_xlfn.XLOOKUP(A58,'TB.1 - F25'!A:A,'TB.1 - F25'!D:D,0,0,1)</f>
        <v>0</v>
      </c>
      <c r="C58" s="1390">
        <f>_xlfn.XLOOKUP(A58,'TB.1 - F25'!A:A,'TB.1 - F25'!H:H,0,0,1)</f>
        <v>0</v>
      </c>
      <c r="D58" s="1390">
        <f>_xlfn.XLOOKUP(A58,'AJE.1 - F25'!A:A,'AJE.1 - F25'!F:F,0,0,1)</f>
        <v>0</v>
      </c>
      <c r="E58" s="1390"/>
      <c r="F58" s="219">
        <f t="shared" si="15"/>
        <v>0</v>
      </c>
      <c r="G58" s="178" t="str">
        <f>_xlfn.XLOOKUP($A58,COA!$B:$B,COA!$C:$C,0,0,1)</f>
        <v>Sales tax payable</v>
      </c>
      <c r="H58" s="178" t="str">
        <f>_xlfn.XLOOKUP($A58,COA!$B:$B,COA!$D:$D,0,0,1)</f>
        <v>Sales tax payable</v>
      </c>
      <c r="I58" s="178" t="str">
        <f>_xlfn.XLOOKUP($A58,COA!$B:$B,COA!$E:$E,0,0,1)</f>
        <v>Sales tax payable</v>
      </c>
      <c r="K58" s="85">
        <f>_xlfn.XLOOKUP(I58,FS.1!A:A,I:I,0,0,1)</f>
        <v>0</v>
      </c>
      <c r="L58" s="85"/>
      <c r="M58" s="85"/>
      <c r="N58" s="85"/>
      <c r="O58" s="85"/>
      <c r="P58" s="85"/>
      <c r="Q58" s="85"/>
      <c r="R58" s="85"/>
      <c r="S58" s="85"/>
      <c r="T58" s="85"/>
      <c r="U58" s="85"/>
      <c r="V58" s="85"/>
      <c r="W58" s="85"/>
      <c r="X58" s="85"/>
      <c r="Y58" s="85"/>
      <c r="Z58" s="85"/>
      <c r="AA58" s="85"/>
      <c r="AB58" s="85"/>
      <c r="AC58" s="85"/>
    </row>
    <row r="59" spans="1:29" x14ac:dyDescent="0.25">
      <c r="A59" s="1389" t="str">
        <f>COA!B58</f>
        <v>2240 PST Payable:PST Collected on Sales</v>
      </c>
      <c r="B59" s="1390">
        <f>_xlfn.XLOOKUP(A59,'TB.1 - F25'!A:A,'TB.1 - F25'!D:D,0,0,1)</f>
        <v>0</v>
      </c>
      <c r="C59" s="1390">
        <f>_xlfn.XLOOKUP(A59,'TB.1 - F25'!A:A,'TB.1 - F25'!H:H,0,0,1)</f>
        <v>-396</v>
      </c>
      <c r="D59" s="1390">
        <f>_xlfn.XLOOKUP(A59,'AJE.1 - F25'!A:A,'AJE.1 - F25'!F:F,0,0,1)</f>
        <v>0</v>
      </c>
      <c r="E59" s="1390"/>
      <c r="F59" s="219">
        <f t="shared" si="15"/>
        <v>-396</v>
      </c>
      <c r="G59" s="667" t="s">
        <v>618</v>
      </c>
      <c r="H59" s="667" t="str">
        <f>G59</f>
        <v>Sales tax receivable</v>
      </c>
      <c r="I59" s="667" t="str">
        <f>H59</f>
        <v>Sales tax receivable</v>
      </c>
      <c r="K59" s="85" t="str">
        <f>I59</f>
        <v>Sales tax receivable</v>
      </c>
      <c r="L59" s="85"/>
      <c r="M59" s="85"/>
      <c r="N59" s="85"/>
      <c r="O59" s="85"/>
      <c r="P59" s="85"/>
      <c r="Q59" s="85"/>
      <c r="R59" s="85"/>
      <c r="S59" s="85"/>
      <c r="T59" s="85"/>
      <c r="U59" s="85"/>
      <c r="V59" s="85"/>
      <c r="W59" s="85"/>
      <c r="X59" s="85"/>
      <c r="Y59" s="85"/>
      <c r="Z59" s="85"/>
      <c r="AA59" s="85"/>
      <c r="AB59" s="85"/>
      <c r="AC59" s="85"/>
    </row>
    <row r="60" spans="1:29" hidden="1" x14ac:dyDescent="0.25">
      <c r="A60" s="1389" t="str">
        <f>COA!B59</f>
        <v>2245 PST Payable:PST Payable</v>
      </c>
      <c r="B60" s="1390">
        <f>_xlfn.XLOOKUP(A60,'TB.1 - F25'!A:A,'TB.1 - F25'!D:D,0,0,1)</f>
        <v>0</v>
      </c>
      <c r="C60" s="1390">
        <f>_xlfn.XLOOKUP(A60,'TB.1 - F25'!A:A,'TB.1 - F25'!H:H,0,0,1)</f>
        <v>0</v>
      </c>
      <c r="D60" s="1390">
        <f>_xlfn.XLOOKUP(A60,'AJE.1 - F25'!A:A,'AJE.1 - F25'!F:F,0,0,1)</f>
        <v>0</v>
      </c>
      <c r="E60" s="1390"/>
      <c r="F60" s="219">
        <f t="shared" si="15"/>
        <v>0</v>
      </c>
      <c r="G60" s="178" t="str">
        <f>_xlfn.XLOOKUP($A60,COA!$B:$B,COA!$C:$C,0,0,1)</f>
        <v>Sales tax payable</v>
      </c>
      <c r="H60" s="178" t="str">
        <f>_xlfn.XLOOKUP($A60,COA!$B:$B,COA!$D:$D,0,0,1)</f>
        <v>Sales tax payable</v>
      </c>
      <c r="I60" s="178" t="str">
        <f>_xlfn.XLOOKUP($A60,COA!$B:$B,COA!$E:$E,0,0,1)</f>
        <v>Sales tax payable</v>
      </c>
      <c r="K60" s="85">
        <f>_xlfn.XLOOKUP(I60,FS.1!A:A,I:I,0,0,1)</f>
        <v>0</v>
      </c>
      <c r="L60" s="85"/>
      <c r="M60" s="85"/>
      <c r="N60" s="85"/>
      <c r="O60" s="85"/>
      <c r="P60" s="85"/>
      <c r="Q60" s="85"/>
      <c r="R60" s="85"/>
      <c r="S60" s="85"/>
      <c r="T60" s="85"/>
      <c r="U60" s="85"/>
      <c r="V60" s="85"/>
      <c r="W60" s="85"/>
      <c r="X60" s="85"/>
      <c r="Y60" s="85"/>
      <c r="Z60" s="85"/>
      <c r="AA60" s="85"/>
      <c r="AB60" s="85"/>
      <c r="AC60" s="85"/>
    </row>
    <row r="61" spans="1:29" x14ac:dyDescent="0.25">
      <c r="A61" s="1389" t="str">
        <f>COA!B60</f>
        <v>2300 Corporate Tax Payable</v>
      </c>
      <c r="B61" s="1390">
        <f>_xlfn.XLOOKUP(A61,'TB.1 - F25'!A:A,'TB.1 - F25'!D:D,0,0,1)</f>
        <v>0</v>
      </c>
      <c r="C61" s="1390">
        <f>_xlfn.XLOOKUP(A61,'TB.1 - F25'!A:A,'TB.1 - F25'!H:H,0,0,1)</f>
        <v>-98.09</v>
      </c>
      <c r="D61" s="1390">
        <f>_xlfn.XLOOKUP(A61,'AJE.1 - F25'!A:A,'AJE.1 - F25'!F:F,0,0,1)</f>
        <v>0</v>
      </c>
      <c r="E61" s="1390"/>
      <c r="F61" s="219">
        <f t="shared" si="15"/>
        <v>-98</v>
      </c>
      <c r="G61" s="667" t="s">
        <v>618</v>
      </c>
      <c r="H61" s="667" t="str">
        <f>G61</f>
        <v>Sales tax receivable</v>
      </c>
      <c r="I61" s="667" t="str">
        <f>H61</f>
        <v>Sales tax receivable</v>
      </c>
      <c r="K61" s="85" t="str">
        <f t="shared" ref="K61:K62" si="17">I61</f>
        <v>Sales tax receivable</v>
      </c>
      <c r="L61" s="87"/>
      <c r="M61" s="87"/>
      <c r="N61" s="87"/>
      <c r="O61" s="87"/>
      <c r="P61" s="85"/>
      <c r="Q61" s="85"/>
      <c r="R61" s="85"/>
      <c r="S61" s="85"/>
      <c r="T61" s="85"/>
      <c r="U61" s="85"/>
      <c r="V61" s="85"/>
      <c r="W61" s="85"/>
      <c r="X61" s="85"/>
      <c r="Y61" s="85"/>
      <c r="Z61" s="85"/>
      <c r="AA61" s="85"/>
      <c r="AB61" s="85"/>
      <c r="AC61" s="85"/>
    </row>
    <row r="62" spans="1:29" x14ac:dyDescent="0.25">
      <c r="A62" s="1389" t="str">
        <f>COA!B61</f>
        <v>2500 Due to/(from) related parties</v>
      </c>
      <c r="B62" s="1390">
        <f>_xlfn.XLOOKUP(A62,'TB.1 - F25'!A:A,'TB.1 - F25'!D:D,0,0,1)</f>
        <v>-937.65</v>
      </c>
      <c r="C62" s="1390">
        <f>_xlfn.XLOOKUP(A62,'TB.1 - F25'!A:A,'TB.1 - F25'!H:H,0,0,1)</f>
        <v>0</v>
      </c>
      <c r="D62" s="1390">
        <f>_xlfn.XLOOKUP(A62,'AJE.1 - F25'!A:A,'AJE.1 - F25'!F:F,0,0,1)</f>
        <v>0</v>
      </c>
      <c r="E62" s="1390"/>
      <c r="F62" s="219">
        <f t="shared" si="15"/>
        <v>-938</v>
      </c>
      <c r="G62" s="667" t="s">
        <v>100</v>
      </c>
      <c r="H62" s="667" t="str">
        <f>G62</f>
        <v>Due to related parties</v>
      </c>
      <c r="I62" s="667" t="str">
        <f>H62</f>
        <v>Due to related parties</v>
      </c>
      <c r="K62" s="85" t="str">
        <f t="shared" si="17"/>
        <v>Due to related parties</v>
      </c>
      <c r="L62" s="87"/>
      <c r="M62" s="87"/>
      <c r="N62" s="87"/>
      <c r="O62" s="87"/>
      <c r="P62" s="85"/>
      <c r="Q62" s="85"/>
      <c r="R62" s="85"/>
      <c r="S62" s="85"/>
      <c r="T62" s="85"/>
      <c r="U62" s="85"/>
      <c r="V62" s="85"/>
      <c r="W62" s="85"/>
      <c r="X62" s="85"/>
      <c r="Y62" s="85"/>
      <c r="Z62" s="85"/>
      <c r="AA62" s="85"/>
      <c r="AB62" s="85"/>
      <c r="AC62" s="85"/>
    </row>
    <row r="63" spans="1:29" hidden="1" x14ac:dyDescent="0.25">
      <c r="A63" s="1389" t="str">
        <f>COA!B62</f>
        <v>2501 Due to/(from) related parties:Due To/From SAK2</v>
      </c>
      <c r="B63" s="1390">
        <f>_xlfn.XLOOKUP(A63,'TB.1 - F25'!A:A,'TB.1 - F25'!D:D,0,0,1)</f>
        <v>0</v>
      </c>
      <c r="C63" s="1390">
        <f>_xlfn.XLOOKUP(A63,'TB.1 - F25'!A:A,'TB.1 - F25'!H:H,0,0,1)</f>
        <v>0</v>
      </c>
      <c r="D63" s="1390">
        <f>_xlfn.XLOOKUP(A63,'AJE.1 - F25'!A:A,'AJE.1 - F25'!F:F,0,0,1)</f>
        <v>0</v>
      </c>
      <c r="E63" s="1390"/>
      <c r="F63" s="219">
        <f t="shared" si="15"/>
        <v>0</v>
      </c>
      <c r="G63" s="178" t="str">
        <f>_xlfn.XLOOKUP($A63,COA!$B:$B,COA!$C:$C,0,0,1)</f>
        <v>Due from related parties</v>
      </c>
      <c r="H63" s="178" t="str">
        <f>_xlfn.XLOOKUP($A63,COA!$B:$B,COA!$D:$D,0,0,1)</f>
        <v>Due from related parties</v>
      </c>
      <c r="I63" s="178" t="str">
        <f>_xlfn.XLOOKUP($A63,COA!$B:$B,COA!$E:$E,0,0,1)</f>
        <v>Due from related parties</v>
      </c>
      <c r="K63" s="85" t="str">
        <f>_xlfn.XLOOKUP(I63,FS.1!A:A,I:I,0,0,1)</f>
        <v>Receivables</v>
      </c>
      <c r="L63" s="87"/>
      <c r="M63" s="87"/>
      <c r="N63" s="87"/>
      <c r="O63" s="87"/>
      <c r="P63" s="85"/>
      <c r="Q63" s="85"/>
      <c r="R63" s="85"/>
      <c r="S63" s="85"/>
      <c r="T63" s="85"/>
      <c r="U63" s="85"/>
      <c r="V63" s="85"/>
      <c r="W63" s="85"/>
      <c r="X63" s="85"/>
      <c r="Y63" s="85"/>
      <c r="Z63" s="85"/>
      <c r="AA63" s="85"/>
      <c r="AB63" s="85"/>
      <c r="AC63" s="85"/>
    </row>
    <row r="64" spans="1:29" x14ac:dyDescent="0.25">
      <c r="A64" s="1389" t="str">
        <f>COA!B63</f>
        <v>2502 Due to/(from) related parties:Due To/From SAK6</v>
      </c>
      <c r="B64" s="1390">
        <f>_xlfn.XLOOKUP(A64,'TB.1 - F25'!A:A,'TB.1 - F25'!D:D,0,0,1)</f>
        <v>-900</v>
      </c>
      <c r="C64" s="1390">
        <f>_xlfn.XLOOKUP(A64,'TB.1 - F25'!A:A,'TB.1 - F25'!H:H,0,0,1)</f>
        <v>0</v>
      </c>
      <c r="D64" s="1390">
        <f>_xlfn.XLOOKUP(A64,'AJE.1 - F25'!A:A,'AJE.1 - F25'!F:F,0,0,1)</f>
        <v>0</v>
      </c>
      <c r="E64" s="1390"/>
      <c r="F64" s="219">
        <f t="shared" si="15"/>
        <v>-900</v>
      </c>
      <c r="G64" s="667" t="s">
        <v>100</v>
      </c>
      <c r="H64" s="667" t="str">
        <f>G64</f>
        <v>Due to related parties</v>
      </c>
      <c r="I64" s="667" t="str">
        <f>H64</f>
        <v>Due to related parties</v>
      </c>
      <c r="K64" s="85" t="str">
        <f>I64</f>
        <v>Due to related parties</v>
      </c>
      <c r="L64" s="87"/>
      <c r="M64" s="87"/>
      <c r="N64" s="87"/>
      <c r="O64" s="87"/>
      <c r="P64" s="85"/>
      <c r="Q64" s="85"/>
      <c r="R64" s="85"/>
      <c r="S64" s="85"/>
      <c r="T64" s="85"/>
      <c r="U64" s="85"/>
      <c r="V64" s="85"/>
      <c r="W64" s="85"/>
      <c r="X64" s="85"/>
      <c r="Y64" s="85"/>
      <c r="Z64" s="85"/>
      <c r="AA64" s="85"/>
      <c r="AB64" s="85"/>
      <c r="AC64" s="85"/>
    </row>
    <row r="65" spans="1:29" hidden="1" x14ac:dyDescent="0.25">
      <c r="A65" s="1389" t="str">
        <f>COA!B64</f>
        <v>2503 Due to/(from) related parties:Due To/From UpCapital</v>
      </c>
      <c r="B65" s="1390">
        <f>_xlfn.XLOOKUP(A65,'TB.1 - F25'!A:A,'TB.1 - F25'!D:D,0,0,1)</f>
        <v>0</v>
      </c>
      <c r="C65" s="1390">
        <f>_xlfn.XLOOKUP(A65,'TB.1 - F25'!A:A,'TB.1 - F25'!H:H,0,0,1)</f>
        <v>0</v>
      </c>
      <c r="D65" s="1390">
        <f>_xlfn.XLOOKUP(A65,'AJE.1 - F25'!A:A,'AJE.1 - F25'!F:F,0,0,1)</f>
        <v>0</v>
      </c>
      <c r="E65" s="1390"/>
      <c r="F65" s="219">
        <f t="shared" si="15"/>
        <v>0</v>
      </c>
      <c r="G65" s="178" t="str">
        <f>_xlfn.XLOOKUP($A65,COA!$B:$B,COA!$C:$C,0,0,1)</f>
        <v>Due from related parties</v>
      </c>
      <c r="H65" s="178" t="str">
        <f>_xlfn.XLOOKUP($A65,COA!$B:$B,COA!$D:$D,0,0,1)</f>
        <v>Due from related parties</v>
      </c>
      <c r="I65" s="178" t="str">
        <f>_xlfn.XLOOKUP($A65,COA!$B:$B,COA!$E:$E,0,0,1)</f>
        <v>Due from related parties</v>
      </c>
      <c r="K65" s="85" t="str">
        <f>_xlfn.XLOOKUP(I65,FS.1!A:A,I:I,0,0,1)</f>
        <v>Receivables</v>
      </c>
      <c r="L65" s="87"/>
      <c r="M65" s="87"/>
      <c r="N65" s="87"/>
      <c r="O65" s="87"/>
      <c r="P65" s="85"/>
      <c r="Q65" s="85"/>
      <c r="R65" s="85"/>
      <c r="S65" s="85"/>
      <c r="T65" s="85"/>
      <c r="U65" s="85"/>
      <c r="V65" s="85"/>
      <c r="W65" s="85"/>
      <c r="X65" s="85"/>
      <c r="Y65" s="85"/>
      <c r="Z65" s="85"/>
      <c r="AA65" s="85"/>
      <c r="AB65" s="85"/>
      <c r="AC65" s="85"/>
    </row>
    <row r="66" spans="1:29" x14ac:dyDescent="0.25">
      <c r="A66" s="1389" t="str">
        <f>COA!B65</f>
        <v>2504 Due to/(from) related parties:Shareholder's Loan</v>
      </c>
      <c r="B66" s="1390">
        <f>_xlfn.XLOOKUP(A66,'TB.1 - F25'!A:A,'TB.1 - F25'!D:D,0,0,1)</f>
        <v>-3500</v>
      </c>
      <c r="C66" s="1390">
        <f>_xlfn.XLOOKUP(A66,'TB.1 - F25'!A:A,'TB.1 - F25'!H:H,0,0,1)</f>
        <v>0</v>
      </c>
      <c r="D66" s="1390">
        <f>_xlfn.XLOOKUP(A66,'AJE.1 - F25'!A:A,'AJE.1 - F25'!F:F,0,0,1)</f>
        <v>0</v>
      </c>
      <c r="E66" s="1390"/>
      <c r="F66" s="219">
        <f t="shared" si="15"/>
        <v>-3500</v>
      </c>
      <c r="G66" s="667" t="s">
        <v>100</v>
      </c>
      <c r="H66" s="667" t="str">
        <f>G66</f>
        <v>Due to related parties</v>
      </c>
      <c r="I66" s="667" t="str">
        <f>H66</f>
        <v>Due to related parties</v>
      </c>
      <c r="K66" s="85" t="str">
        <f>I66</f>
        <v>Due to related parties</v>
      </c>
      <c r="L66" s="87"/>
      <c r="M66" s="87"/>
      <c r="N66" s="87"/>
      <c r="O66" s="87"/>
      <c r="P66" s="85"/>
      <c r="Q66" s="85"/>
      <c r="R66" s="85"/>
      <c r="S66" s="85"/>
      <c r="T66" s="85"/>
      <c r="U66" s="85"/>
      <c r="V66" s="85"/>
      <c r="W66" s="85"/>
      <c r="X66" s="85"/>
      <c r="Y66" s="85"/>
      <c r="Z66" s="85"/>
      <c r="AA66" s="85"/>
      <c r="AB66" s="85"/>
      <c r="AC66" s="85"/>
    </row>
    <row r="67" spans="1:29" hidden="1" x14ac:dyDescent="0.25">
      <c r="A67" s="1389" t="str">
        <f>COA!B66</f>
        <v>2600 Current portion of loans and borrowings</v>
      </c>
      <c r="B67" s="1390">
        <f>_xlfn.XLOOKUP(A67,'TB.1 - F25'!A:A,'TB.1 - F25'!D:D,0,0,1)</f>
        <v>0</v>
      </c>
      <c r="C67" s="1390">
        <f>_xlfn.XLOOKUP(A67,'TB.1 - F25'!A:A,'TB.1 - F25'!H:H,0,0,1)</f>
        <v>0</v>
      </c>
      <c r="D67" s="1390">
        <f>_xlfn.XLOOKUP(A67,'AJE.1 - F25'!A:A,'AJE.1 - F25'!F:F,0,0,1)</f>
        <v>0</v>
      </c>
      <c r="E67" s="1390"/>
      <c r="F67" s="219">
        <f t="shared" si="15"/>
        <v>0</v>
      </c>
      <c r="G67" s="178" t="str">
        <f>_xlfn.XLOOKUP($A67,COA!$B:$B,COA!$C:$C,0,0,1)</f>
        <v xml:space="preserve">Current portion of loans and borrowings </v>
      </c>
      <c r="H67" s="178" t="str">
        <f>_xlfn.XLOOKUP($A67,COA!$B:$B,COA!$D:$D,0,0,1)</f>
        <v xml:space="preserve">Current portion of loans and borrowings </v>
      </c>
      <c r="I67" s="178" t="str">
        <f>_xlfn.XLOOKUP($A67,COA!$B:$B,COA!$E:$E,0,0,1)</f>
        <v xml:space="preserve">Current portion of loans and borrowings </v>
      </c>
      <c r="K67" s="85">
        <f>_xlfn.XLOOKUP(I67,FS.1!A:A,I:I,0,0,1)</f>
        <v>0</v>
      </c>
      <c r="L67" s="87"/>
      <c r="M67" s="87"/>
      <c r="N67" s="87"/>
      <c r="O67" s="87"/>
      <c r="P67" s="85"/>
      <c r="Q67" s="85"/>
      <c r="R67" s="85"/>
      <c r="S67" s="85"/>
      <c r="T67" s="85"/>
      <c r="U67" s="85"/>
      <c r="V67" s="85"/>
      <c r="W67" s="85"/>
      <c r="X67" s="85"/>
      <c r="Y67" s="85"/>
      <c r="Z67" s="85"/>
      <c r="AA67" s="85"/>
      <c r="AB67" s="85"/>
      <c r="AC67" s="85"/>
    </row>
    <row r="68" spans="1:29" hidden="1" x14ac:dyDescent="0.25">
      <c r="A68" s="1389" t="str">
        <f>COA!B67</f>
        <v>2600 Due to RPT - Diane Halston</v>
      </c>
      <c r="B68" s="1390">
        <f>_xlfn.XLOOKUP(A68,'TB.1 - F25'!A:A,'TB.1 - F25'!D:D,0,0,1)</f>
        <v>0</v>
      </c>
      <c r="C68" s="1390">
        <f>_xlfn.XLOOKUP(A68,'TB.1 - F25'!A:A,'TB.1 - F25'!H:H,0,0,1)</f>
        <v>0</v>
      </c>
      <c r="D68" s="1390">
        <f>_xlfn.XLOOKUP(A68,'AJE.1 - F25'!A:A,'AJE.1 - F25'!F:F,0,0,1)</f>
        <v>0</v>
      </c>
      <c r="E68" s="1390"/>
      <c r="F68" s="219">
        <f t="shared" si="15"/>
        <v>0</v>
      </c>
      <c r="G68" s="178" t="str">
        <f>_xlfn.XLOOKUP($A68,COA!$B:$B,COA!$C:$C,0,0,1)</f>
        <v>Due to related parties</v>
      </c>
      <c r="H68" s="178" t="str">
        <f>_xlfn.XLOOKUP($A68,COA!$B:$B,COA!$D:$D,0,0,1)</f>
        <v>Due to related parties</v>
      </c>
      <c r="I68" s="178" t="str">
        <f>_xlfn.XLOOKUP($A68,COA!$B:$B,COA!$E:$E,0,0,1)</f>
        <v>Due to related parties</v>
      </c>
      <c r="K68" s="85" t="str">
        <f>_xlfn.XLOOKUP(I68,FS.1!A:A,I:I,0,0,1)</f>
        <v>Equipment</v>
      </c>
      <c r="L68" s="87"/>
      <c r="M68" s="87"/>
      <c r="N68" s="87"/>
      <c r="O68" s="87"/>
      <c r="P68" s="85"/>
      <c r="Q68" s="85"/>
      <c r="R68" s="85"/>
      <c r="S68" s="85"/>
      <c r="T68" s="85"/>
      <c r="U68" s="85"/>
      <c r="V68" s="85"/>
      <c r="W68" s="85"/>
      <c r="X68" s="85"/>
      <c r="Y68" s="85"/>
      <c r="Z68" s="85"/>
      <c r="AA68" s="85"/>
      <c r="AB68" s="85"/>
      <c r="AC68" s="85"/>
    </row>
    <row r="69" spans="1:29" hidden="1" x14ac:dyDescent="0.25">
      <c r="A69" s="1389" t="str">
        <f>COA!B68</f>
        <v>2601 Due to RPT - Brett Halston</v>
      </c>
      <c r="B69" s="1390">
        <f>_xlfn.XLOOKUP(A69,'TB.1 - F25'!A:A,'TB.1 - F25'!D:D,0,0,1)</f>
        <v>0</v>
      </c>
      <c r="C69" s="1390">
        <f>_xlfn.XLOOKUP(A69,'TB.1 - F25'!A:A,'TB.1 - F25'!H:H,0,0,1)</f>
        <v>0</v>
      </c>
      <c r="D69" s="1390">
        <f>_xlfn.XLOOKUP(A69,'AJE.1 - F25'!A:A,'AJE.1 - F25'!F:F,0,0,1)</f>
        <v>0</v>
      </c>
      <c r="E69" s="1390"/>
      <c r="F69" s="219">
        <f t="shared" si="15"/>
        <v>0</v>
      </c>
      <c r="G69" s="178" t="str">
        <f>_xlfn.XLOOKUP($A69,COA!$B:$B,COA!$C:$C,0,0,1)</f>
        <v>Due to related parties</v>
      </c>
      <c r="H69" s="178" t="str">
        <f>_xlfn.XLOOKUP($A69,COA!$B:$B,COA!$D:$D,0,0,1)</f>
        <v>Due to related parties</v>
      </c>
      <c r="I69" s="178" t="str">
        <f>_xlfn.XLOOKUP($A69,COA!$B:$B,COA!$E:$E,0,0,1)</f>
        <v>Due to related parties</v>
      </c>
      <c r="K69" s="85" t="str">
        <f>_xlfn.XLOOKUP(I69,FS.1!A:A,I:I,0,0,1)</f>
        <v>Equipment</v>
      </c>
      <c r="L69" s="87"/>
      <c r="M69" s="87"/>
      <c r="N69" s="87"/>
      <c r="O69" s="87"/>
      <c r="P69" s="85"/>
      <c r="Q69" s="85"/>
      <c r="R69" s="85"/>
      <c r="S69" s="85"/>
      <c r="T69" s="85"/>
      <c r="U69" s="85"/>
      <c r="V69" s="85"/>
      <c r="W69" s="85"/>
      <c r="X69" s="85"/>
      <c r="Y69" s="85"/>
      <c r="Z69" s="85"/>
      <c r="AA69" s="85"/>
      <c r="AB69" s="85"/>
      <c r="AC69" s="85"/>
    </row>
    <row r="70" spans="1:29" hidden="1" x14ac:dyDescent="0.25">
      <c r="A70" s="1389" t="str">
        <f>COA!B69</f>
        <v>2602 Due to RPT - Keith Halston</v>
      </c>
      <c r="B70" s="1390">
        <f>_xlfn.XLOOKUP(A70,'TB.1 - F25'!A:A,'TB.1 - F25'!D:D,0,0,1)</f>
        <v>0</v>
      </c>
      <c r="C70" s="1390">
        <f>_xlfn.XLOOKUP(A70,'TB.1 - F25'!A:A,'TB.1 - F25'!H:H,0,0,1)</f>
        <v>0</v>
      </c>
      <c r="D70" s="1390">
        <f>_xlfn.XLOOKUP(A70,'AJE.1 - F25'!A:A,'AJE.1 - F25'!F:F,0,0,1)</f>
        <v>0</v>
      </c>
      <c r="E70" s="1390"/>
      <c r="F70" s="219">
        <f t="shared" si="15"/>
        <v>0</v>
      </c>
      <c r="G70" s="178" t="str">
        <f>_xlfn.XLOOKUP($A70,COA!$B:$B,COA!$C:$C,0,0,1)</f>
        <v>Due to related parties</v>
      </c>
      <c r="H70" s="178" t="str">
        <f>_xlfn.XLOOKUP($A70,COA!$B:$B,COA!$D:$D,0,0,1)</f>
        <v>Due to related parties</v>
      </c>
      <c r="I70" s="178" t="str">
        <f>_xlfn.XLOOKUP($A70,COA!$B:$B,COA!$E:$E,0,0,1)</f>
        <v>Due to related parties</v>
      </c>
      <c r="K70" s="85" t="str">
        <f>_xlfn.XLOOKUP(I70,FS.1!A:A,I:I,0,0,1)</f>
        <v>Equipment</v>
      </c>
      <c r="L70" s="87"/>
      <c r="M70" s="87"/>
      <c r="N70" s="87"/>
      <c r="O70" s="87"/>
      <c r="P70" s="85"/>
      <c r="Q70" s="85"/>
      <c r="R70" s="85"/>
      <c r="S70" s="85"/>
      <c r="T70" s="85"/>
      <c r="U70" s="85"/>
      <c r="V70" s="85"/>
      <c r="W70" s="85"/>
      <c r="X70" s="85"/>
      <c r="Y70" s="85"/>
      <c r="Z70" s="85"/>
      <c r="AA70" s="85"/>
      <c r="AB70" s="85"/>
      <c r="AC70" s="85"/>
    </row>
    <row r="71" spans="1:29" hidden="1" x14ac:dyDescent="0.25">
      <c r="A71" s="1389" t="str">
        <f>COA!B70</f>
        <v>2650 Loans and borrowings</v>
      </c>
      <c r="B71" s="1390">
        <f>_xlfn.XLOOKUP(A71,'TB.1 - F25'!A:A,'TB.1 - F25'!D:D,0,0,1)</f>
        <v>0</v>
      </c>
      <c r="C71" s="1390">
        <f>_xlfn.XLOOKUP(A71,'TB.1 - F25'!A:A,'TB.1 - F25'!H:H,0,0,1)</f>
        <v>0</v>
      </c>
      <c r="D71" s="1390">
        <f>_xlfn.XLOOKUP(A71,'AJE.1 - F25'!A:A,'AJE.1 - F25'!F:F,0,0,1)</f>
        <v>0</v>
      </c>
      <c r="E71" s="1390"/>
      <c r="F71" s="219">
        <f t="shared" si="15"/>
        <v>0</v>
      </c>
      <c r="G71" s="178" t="str">
        <f>_xlfn.XLOOKUP($A71,COA!$B:$B,COA!$C:$C,0,0,1)</f>
        <v>Loans and borrowings</v>
      </c>
      <c r="H71" s="178" t="str">
        <f>_xlfn.XLOOKUP($A71,COA!$B:$B,COA!$D:$D,0,0,1)</f>
        <v>Loans and borrowings</v>
      </c>
      <c r="I71" s="178" t="str">
        <f>_xlfn.XLOOKUP($A71,COA!$B:$B,COA!$E:$E,0,0,1)</f>
        <v>Loans and borrowings</v>
      </c>
      <c r="K71" s="85" t="str">
        <f>_xlfn.XLOOKUP(I71,FS.1!A:A,I:I,0,0,1)</f>
        <v>Accounts payables and accrued liabilities</v>
      </c>
      <c r="L71" s="87"/>
      <c r="M71" s="87"/>
      <c r="N71" s="87"/>
      <c r="O71" s="87"/>
      <c r="P71" s="85"/>
      <c r="Q71" s="85"/>
      <c r="R71" s="85"/>
      <c r="S71" s="85"/>
      <c r="T71" s="85"/>
      <c r="U71" s="85"/>
      <c r="V71" s="85"/>
      <c r="W71" s="85"/>
      <c r="X71" s="85"/>
      <c r="Y71" s="85"/>
      <c r="Z71" s="85"/>
      <c r="AA71" s="85"/>
      <c r="AB71" s="85"/>
      <c r="AC71" s="85"/>
    </row>
    <row r="72" spans="1:29" x14ac:dyDescent="0.25">
      <c r="A72" s="1389" t="str">
        <f>COA!B71</f>
        <v>2650 Loan Payable - current</v>
      </c>
      <c r="B72" s="1390">
        <f>_xlfn.XLOOKUP(A72,'TB.1 - F25'!A:A,'TB.1 - F25'!D:D,0,0,1)</f>
        <v>0</v>
      </c>
      <c r="C72" s="1390">
        <f>_xlfn.XLOOKUP(A72,'TB.1 - F25'!A:A,'TB.1 - F25'!H:H,0,0,1)</f>
        <v>-556400</v>
      </c>
      <c r="D72" s="1390">
        <f>_xlfn.XLOOKUP(A72,'AJE.1 - F25'!A:A,'AJE.1 - F25'!F:F,0,0,1)</f>
        <v>0</v>
      </c>
      <c r="E72" s="1390"/>
      <c r="F72" s="219">
        <f t="shared" si="15"/>
        <v>-556400</v>
      </c>
      <c r="G72" s="667" t="s">
        <v>644</v>
      </c>
      <c r="H72" s="667" t="str">
        <f>G72</f>
        <v>Intercompany</v>
      </c>
      <c r="I72" s="667" t="str">
        <f>H72</f>
        <v>Intercompany</v>
      </c>
      <c r="K72" s="85" t="str">
        <f>I72</f>
        <v>Intercompany</v>
      </c>
      <c r="L72" s="87"/>
      <c r="M72" s="87"/>
      <c r="N72" s="87"/>
      <c r="O72" s="87"/>
      <c r="P72" s="85"/>
      <c r="Q72" s="85"/>
      <c r="R72" s="85"/>
      <c r="S72" s="85"/>
      <c r="T72" s="85"/>
      <c r="U72" s="85"/>
      <c r="V72" s="85"/>
      <c r="W72" s="85"/>
      <c r="X72" s="85"/>
      <c r="Y72" s="85"/>
      <c r="Z72" s="85"/>
      <c r="AA72" s="85"/>
      <c r="AB72" s="85"/>
      <c r="AC72" s="85"/>
    </row>
    <row r="73" spans="1:29" hidden="1" x14ac:dyDescent="0.25">
      <c r="A73" s="1389" t="str">
        <f>COA!B72</f>
        <v>2651 Loan Payable - non-current</v>
      </c>
      <c r="B73" s="1390">
        <f>_xlfn.XLOOKUP(A73,'TB.1 - F25'!A:A,'TB.1 - F25'!D:D,0,0,1)</f>
        <v>0</v>
      </c>
      <c r="C73" s="1390">
        <f>_xlfn.XLOOKUP(A73,'TB.1 - F25'!A:A,'TB.1 - F25'!H:H,0,0,1)</f>
        <v>0</v>
      </c>
      <c r="D73" s="1390">
        <f>_xlfn.XLOOKUP(A73,'AJE.1 - F25'!A:A,'AJE.1 - F25'!F:F,0,0,1)</f>
        <v>0</v>
      </c>
      <c r="E73" s="1390"/>
      <c r="F73" s="219">
        <f t="shared" ref="F73:F104" si="18">ROUND(SUM(B73:E73),0)</f>
        <v>0</v>
      </c>
      <c r="G73" s="178" t="str">
        <f>_xlfn.XLOOKUP($A73,COA!$B:$B,COA!$C:$C,0,0,1)</f>
        <v>Loans and borrowings</v>
      </c>
      <c r="H73" s="178" t="str">
        <f>_xlfn.XLOOKUP($A73,COA!$B:$B,COA!$D:$D,0,0,1)</f>
        <v>Loans and borrowings</v>
      </c>
      <c r="I73" s="178" t="str">
        <f>_xlfn.XLOOKUP($A73,COA!$B:$B,COA!$E:$E,0,0,1)</f>
        <v>Loans and borrowings</v>
      </c>
      <c r="K73" s="85" t="str">
        <f>_xlfn.XLOOKUP(I73,FS.1!A:A,I:I,0,0,1)</f>
        <v>Accounts payables and accrued liabilities</v>
      </c>
      <c r="L73" s="87"/>
      <c r="M73" s="87"/>
      <c r="N73" s="87"/>
      <c r="O73" s="87"/>
      <c r="P73" s="85"/>
      <c r="Q73" s="85"/>
      <c r="R73" s="85"/>
      <c r="S73" s="85"/>
      <c r="T73" s="85"/>
      <c r="U73" s="85"/>
      <c r="V73" s="85"/>
      <c r="W73" s="85"/>
      <c r="X73" s="85"/>
      <c r="Y73" s="85"/>
      <c r="Z73" s="85"/>
      <c r="AA73" s="85"/>
      <c r="AB73" s="85"/>
      <c r="AC73" s="85"/>
    </row>
    <row r="74" spans="1:29" hidden="1" x14ac:dyDescent="0.25">
      <c r="A74" s="1389" t="str">
        <f>COA!B73</f>
        <v>2700 Share subscription payable</v>
      </c>
      <c r="B74" s="1390">
        <f>_xlfn.XLOOKUP(A74,'TB.1 - F25'!A:A,'TB.1 - F25'!D:D,0,0,1)</f>
        <v>0</v>
      </c>
      <c r="C74" s="1390">
        <f>_xlfn.XLOOKUP(A74,'TB.1 - F25'!A:A,'TB.1 - F25'!H:H,0,0,1)</f>
        <v>0</v>
      </c>
      <c r="D74" s="1390">
        <f>_xlfn.XLOOKUP(A74,'AJE.1 - F25'!A:A,'AJE.1 - F25'!F:F,0,0,1)</f>
        <v>0</v>
      </c>
      <c r="E74" s="1390"/>
      <c r="F74" s="219">
        <f t="shared" si="18"/>
        <v>0</v>
      </c>
      <c r="G74" s="178" t="str">
        <f>_xlfn.XLOOKUP($A74,COA!$B:$B,COA!$C:$C,0,0,1)</f>
        <v>Share subscription payable</v>
      </c>
      <c r="H74" s="178" t="str">
        <f>_xlfn.XLOOKUP($A74,COA!$B:$B,COA!$D:$D,0,0,1)</f>
        <v>Share subscription payable</v>
      </c>
      <c r="I74" s="178" t="str">
        <f>_xlfn.XLOOKUP($A74,COA!$B:$B,COA!$E:$E,0,0,1)</f>
        <v>Share subscription payable</v>
      </c>
      <c r="K74" s="85">
        <f>_xlfn.XLOOKUP(I74,FS.1!A:A,I:I,0,0,1)</f>
        <v>0</v>
      </c>
      <c r="L74" s="87"/>
      <c r="M74" s="87"/>
      <c r="N74" s="87"/>
      <c r="O74" s="87"/>
      <c r="P74" s="85"/>
      <c r="Q74" s="85"/>
      <c r="R74" s="85"/>
      <c r="S74" s="85"/>
      <c r="T74" s="85"/>
      <c r="U74" s="85"/>
      <c r="V74" s="85"/>
      <c r="W74" s="85"/>
      <c r="X74" s="85"/>
      <c r="Y74" s="85"/>
      <c r="Z74" s="85"/>
      <c r="AA74" s="85"/>
      <c r="AB74" s="85"/>
      <c r="AC74" s="85"/>
    </row>
    <row r="75" spans="1:29" hidden="1" x14ac:dyDescent="0.25">
      <c r="A75" s="1389" t="str">
        <f>COA!B74</f>
        <v>2700 Due to Shareholders</v>
      </c>
      <c r="B75" s="1390">
        <f>_xlfn.XLOOKUP(A75,'TB.1 - F25'!A:A,'TB.1 - F25'!D:D,0,0,1)</f>
        <v>0</v>
      </c>
      <c r="C75" s="1390">
        <f>_xlfn.XLOOKUP(A75,'TB.1 - F25'!A:A,'TB.1 - F25'!H:H,0,0,1)</f>
        <v>0</v>
      </c>
      <c r="D75" s="1390">
        <f>_xlfn.XLOOKUP(A75,'AJE.1 - F25'!A:A,'AJE.1 - F25'!F:F,0,0,1)</f>
        <v>0</v>
      </c>
      <c r="E75" s="1390"/>
      <c r="F75" s="219">
        <f t="shared" si="18"/>
        <v>0</v>
      </c>
      <c r="G75" s="178" t="str">
        <f>_xlfn.XLOOKUP($A75,COA!$B:$B,COA!$C:$C,0,0,1)</f>
        <v>Due to related parties</v>
      </c>
      <c r="H75" s="178" t="str">
        <f>_xlfn.XLOOKUP($A75,COA!$B:$B,COA!$D:$D,0,0,1)</f>
        <v>Due to related parties</v>
      </c>
      <c r="I75" s="178" t="str">
        <f>_xlfn.XLOOKUP($A75,COA!$B:$B,COA!$E:$E,0,0,1)</f>
        <v>Due to related parties</v>
      </c>
      <c r="K75" s="85" t="str">
        <f>_xlfn.XLOOKUP(I75,FS.1!A:A,I:I,0,0,1)</f>
        <v>Equipment</v>
      </c>
      <c r="L75" s="87"/>
      <c r="M75" s="87"/>
      <c r="N75" s="87"/>
      <c r="O75" s="87"/>
      <c r="P75" s="85"/>
      <c r="Q75" s="85"/>
      <c r="R75" s="85"/>
      <c r="S75" s="85"/>
      <c r="T75" s="85"/>
      <c r="U75" s="85"/>
      <c r="V75" s="85"/>
      <c r="W75" s="85"/>
      <c r="X75" s="85"/>
      <c r="Y75" s="85"/>
      <c r="Z75" s="85"/>
      <c r="AA75" s="85"/>
      <c r="AB75" s="85"/>
      <c r="AC75" s="85"/>
    </row>
    <row r="76" spans="1:29" hidden="1" x14ac:dyDescent="0.25">
      <c r="A76" s="1389" t="str">
        <f>COA!B75</f>
        <v>2705 Due to Shareholders:Due to SH - James Taylor</v>
      </c>
      <c r="B76" s="1390">
        <f>_xlfn.XLOOKUP(A76,'TB.1 - F25'!A:A,'TB.1 - F25'!D:D,0,0,1)</f>
        <v>0</v>
      </c>
      <c r="C76" s="1390">
        <f>_xlfn.XLOOKUP(A76,'TB.1 - F25'!A:A,'TB.1 - F25'!H:H,0,0,1)</f>
        <v>0</v>
      </c>
      <c r="D76" s="1390">
        <f>_xlfn.XLOOKUP(A76,'AJE.1 - F25'!A:A,'AJE.1 - F25'!F:F,0,0,1)</f>
        <v>0</v>
      </c>
      <c r="E76" s="1390"/>
      <c r="F76" s="219">
        <f t="shared" si="18"/>
        <v>0</v>
      </c>
      <c r="G76" s="178" t="str">
        <f>_xlfn.XLOOKUP($A76,COA!$B:$B,COA!$C:$C,0,0,1)</f>
        <v>Due to related parties</v>
      </c>
      <c r="H76" s="178" t="str">
        <f>_xlfn.XLOOKUP($A76,COA!$B:$B,COA!$D:$D,0,0,1)</f>
        <v>Due to related parties</v>
      </c>
      <c r="I76" s="178" t="str">
        <f>_xlfn.XLOOKUP($A76,COA!$B:$B,COA!$E:$E,0,0,1)</f>
        <v>Due to related parties</v>
      </c>
      <c r="K76" s="85" t="str">
        <f>_xlfn.XLOOKUP(I76,FS.1!A:A,I:I,0,0,1)</f>
        <v>Equipment</v>
      </c>
      <c r="L76" s="87"/>
      <c r="M76" s="87"/>
      <c r="N76" s="87"/>
      <c r="O76" s="87"/>
      <c r="P76" s="85"/>
      <c r="Q76" s="85"/>
      <c r="R76" s="85"/>
      <c r="S76" s="85"/>
      <c r="T76" s="85"/>
      <c r="U76" s="85"/>
      <c r="V76" s="85"/>
      <c r="W76" s="85"/>
      <c r="X76" s="85"/>
      <c r="Y76" s="85"/>
      <c r="Z76" s="85"/>
      <c r="AA76" s="85"/>
      <c r="AB76" s="85"/>
      <c r="AC76" s="85"/>
    </row>
    <row r="77" spans="1:29" hidden="1" x14ac:dyDescent="0.25">
      <c r="A77" s="1389" t="str">
        <f>COA!B76</f>
        <v>2706 Due to Shareholders:Due to SH - Keith Halston</v>
      </c>
      <c r="B77" s="1390">
        <f>_xlfn.XLOOKUP(A77,'TB.1 - F25'!A:A,'TB.1 - F25'!D:D,0,0,1)</f>
        <v>0</v>
      </c>
      <c r="C77" s="1390">
        <f>_xlfn.XLOOKUP(A77,'TB.1 - F25'!A:A,'TB.1 - F25'!H:H,0,0,1)</f>
        <v>0</v>
      </c>
      <c r="D77" s="1390">
        <f>_xlfn.XLOOKUP(A77,'AJE.1 - F25'!A:A,'AJE.1 - F25'!F:F,0,0,1)</f>
        <v>0</v>
      </c>
      <c r="E77" s="1390"/>
      <c r="F77" s="219">
        <f t="shared" si="18"/>
        <v>0</v>
      </c>
      <c r="G77" s="178" t="str">
        <f>_xlfn.XLOOKUP($A77,COA!$B:$B,COA!$C:$C,0,0,1)</f>
        <v>Due to related parties</v>
      </c>
      <c r="H77" s="178" t="str">
        <f>_xlfn.XLOOKUP($A77,COA!$B:$B,COA!$D:$D,0,0,1)</f>
        <v>Due to related parties</v>
      </c>
      <c r="I77" s="178" t="str">
        <f>_xlfn.XLOOKUP($A77,COA!$B:$B,COA!$E:$E,0,0,1)</f>
        <v>Due to related parties</v>
      </c>
      <c r="K77" s="85" t="str">
        <f>_xlfn.XLOOKUP(I77,FS.1!A:A,I:I,0,0,1)</f>
        <v>Equipment</v>
      </c>
      <c r="L77" s="87"/>
      <c r="M77" s="87"/>
      <c r="N77" s="87"/>
      <c r="O77" s="87"/>
      <c r="P77" s="85"/>
      <c r="Q77" s="85"/>
      <c r="R77" s="85"/>
      <c r="S77" s="85"/>
      <c r="T77" s="85"/>
      <c r="U77" s="85"/>
      <c r="V77" s="85"/>
      <c r="W77" s="85"/>
      <c r="X77" s="85"/>
      <c r="Y77" s="85"/>
      <c r="Z77" s="85"/>
      <c r="AA77" s="85"/>
      <c r="AB77" s="85"/>
      <c r="AC77" s="85"/>
    </row>
    <row r="78" spans="1:29" x14ac:dyDescent="0.25">
      <c r="A78" s="1389" t="str">
        <f>COA!B77</f>
        <v>2800 Current portion - convertible debt</v>
      </c>
      <c r="B78" s="1390">
        <f>_xlfn.XLOOKUP(A78,'TB.1 - F25'!A:A,'TB.1 - F25'!D:D,0,0,1)</f>
        <v>-206894.93</v>
      </c>
      <c r="C78" s="1390">
        <f>_xlfn.XLOOKUP(A78,'TB.1 - F25'!A:A,'TB.1 - F25'!H:H,0,0,1)</f>
        <v>0</v>
      </c>
      <c r="D78" s="1390">
        <f>_xlfn.XLOOKUP(A78,'AJE.1 - F25'!A:A,'AJE.1 - F25'!F:F,0,0,1)</f>
        <v>0</v>
      </c>
      <c r="E78" s="1390"/>
      <c r="F78" s="219">
        <f t="shared" si="18"/>
        <v>-206895</v>
      </c>
      <c r="G78" s="178" t="str">
        <f>_xlfn.XLOOKUP($A78,COA!$B:$B,COA!$C:$C,0,0,1)</f>
        <v>Convertible debt</v>
      </c>
      <c r="H78" s="178" t="str">
        <f>_xlfn.XLOOKUP($A78,COA!$B:$B,COA!$D:$D,0,0,1)</f>
        <v>Convertible debt</v>
      </c>
      <c r="I78" s="178" t="str">
        <f>_xlfn.XLOOKUP($A78,COA!$B:$B,COA!$E:$E,0,0,1)</f>
        <v>Convertible debt</v>
      </c>
      <c r="K78" s="85" t="str">
        <f>I78</f>
        <v>Convertible debt</v>
      </c>
      <c r="L78" s="87"/>
      <c r="M78" s="87"/>
      <c r="N78" s="87"/>
      <c r="O78" s="87"/>
      <c r="P78" s="85"/>
      <c r="Q78" s="85"/>
      <c r="R78" s="85"/>
      <c r="S78" s="85"/>
      <c r="T78" s="85"/>
      <c r="U78" s="85"/>
      <c r="V78" s="85"/>
      <c r="W78" s="85"/>
      <c r="X78" s="85"/>
      <c r="Y78" s="85"/>
      <c r="Z78" s="85"/>
      <c r="AA78" s="85"/>
      <c r="AB78" s="85"/>
      <c r="AC78" s="85"/>
    </row>
    <row r="79" spans="1:29" hidden="1" x14ac:dyDescent="0.25">
      <c r="A79" s="1389" t="str">
        <f>COA!B78</f>
        <v>2801 long-term portion - convertible debt</v>
      </c>
      <c r="B79" s="1390">
        <f>_xlfn.XLOOKUP(A79,'TB.1 - F25'!A:A,'TB.1 - F25'!D:D,0,0,1)</f>
        <v>0</v>
      </c>
      <c r="C79" s="1390">
        <f>_xlfn.XLOOKUP(A79,'TB.1 - F25'!A:A,'TB.1 - F25'!H:H,0,0,1)</f>
        <v>0</v>
      </c>
      <c r="D79" s="1390">
        <f>_xlfn.XLOOKUP(A79,'AJE.1 - F25'!A:A,'AJE.1 - F25'!F:F,0,0,1)</f>
        <v>0</v>
      </c>
      <c r="E79" s="1390"/>
      <c r="F79" s="219">
        <f t="shared" si="18"/>
        <v>0</v>
      </c>
      <c r="G79" s="178" t="str">
        <f>_xlfn.XLOOKUP($A79,COA!$B:$B,COA!$C:$C,0,0,1)</f>
        <v>Convertible debt</v>
      </c>
      <c r="H79" s="178" t="str">
        <f>_xlfn.XLOOKUP($A79,COA!$B:$B,COA!$D:$D,0,0,1)</f>
        <v>Convertible debt</v>
      </c>
      <c r="I79" s="178" t="str">
        <f>_xlfn.XLOOKUP($A79,COA!$B:$B,COA!$E:$E,0,0,1)</f>
        <v>Convertible debt</v>
      </c>
      <c r="K79" s="85" t="str">
        <f>_xlfn.XLOOKUP(I79,FS.1!A:A,I:I,0,0,1)</f>
        <v>Equipment</v>
      </c>
      <c r="L79" s="87"/>
      <c r="M79" s="87"/>
      <c r="N79" s="87"/>
      <c r="O79" s="87"/>
      <c r="P79" s="85"/>
      <c r="Q79" s="85"/>
      <c r="R79" s="85"/>
      <c r="S79" s="85"/>
      <c r="T79" s="85"/>
      <c r="U79" s="85"/>
      <c r="V79" s="85"/>
      <c r="W79" s="85"/>
      <c r="X79" s="85"/>
      <c r="Y79" s="85"/>
      <c r="Z79" s="85"/>
      <c r="AA79" s="85"/>
      <c r="AB79" s="85"/>
      <c r="AC79" s="85"/>
    </row>
    <row r="80" spans="1:29" hidden="1" x14ac:dyDescent="0.25">
      <c r="A80" s="1389" t="str">
        <f>COA!B79</f>
        <v>2802 Derivative liability</v>
      </c>
      <c r="B80" s="1390">
        <f>_xlfn.XLOOKUP(A80,'TB.1 - F25'!A:A,'TB.1 - F25'!D:D,0,0,1)</f>
        <v>0</v>
      </c>
      <c r="C80" s="1390">
        <f>_xlfn.XLOOKUP(A80,'TB.1 - F25'!A:A,'TB.1 - F25'!H:H,0,0,1)</f>
        <v>0</v>
      </c>
      <c r="D80" s="1390">
        <f>_xlfn.XLOOKUP(A80,'AJE.1 - F25'!A:A,'AJE.1 - F25'!F:F,0,0,1)</f>
        <v>0</v>
      </c>
      <c r="E80" s="1390"/>
      <c r="F80" s="219">
        <f t="shared" si="18"/>
        <v>0</v>
      </c>
      <c r="G80" s="178" t="str">
        <f>_xlfn.XLOOKUP($A80,COA!$B:$B,COA!$C:$C,0,0,1)</f>
        <v>Derivative liability</v>
      </c>
      <c r="H80" s="178" t="str">
        <f>_xlfn.XLOOKUP($A80,COA!$B:$B,COA!$D:$D,0,0,1)</f>
        <v>Derivative liability</v>
      </c>
      <c r="I80" s="178" t="str">
        <f>_xlfn.XLOOKUP($A80,COA!$B:$B,COA!$E:$E,0,0,1)</f>
        <v>Derivative liability</v>
      </c>
      <c r="K80" s="85" t="str">
        <f>_xlfn.XLOOKUP(I80,FS.1!A:A,I:I,0,0,1)</f>
        <v>Equipment</v>
      </c>
      <c r="L80" s="87"/>
      <c r="M80" s="87"/>
      <c r="N80" s="87"/>
      <c r="O80" s="87"/>
      <c r="P80" s="85"/>
      <c r="Q80" s="85"/>
      <c r="R80" s="85"/>
      <c r="S80" s="85"/>
      <c r="T80" s="85"/>
      <c r="U80" s="85"/>
      <c r="V80" s="85"/>
      <c r="W80" s="85"/>
      <c r="X80" s="85"/>
      <c r="Y80" s="85"/>
      <c r="Z80" s="85"/>
      <c r="AA80" s="85"/>
      <c r="AB80" s="85"/>
      <c r="AC80" s="85"/>
    </row>
    <row r="81" spans="1:29" x14ac:dyDescent="0.25">
      <c r="A81" s="1389" t="str">
        <f>COA!B80</f>
        <v>2803 Accrued loan interest</v>
      </c>
      <c r="B81" s="1390">
        <f>_xlfn.XLOOKUP(A81,'TB.1 - F25'!A:A,'TB.1 - F25'!D:D,0,0,1)</f>
        <v>-67204</v>
      </c>
      <c r="C81" s="1390">
        <f>_xlfn.XLOOKUP(A81,'TB.1 - F25'!A:A,'TB.1 - F25'!H:H,0,0,1)</f>
        <v>0</v>
      </c>
      <c r="D81" s="1390">
        <f>_xlfn.XLOOKUP(A81,'AJE.1 - F25'!A:A,'AJE.1 - F25'!F:F,0,0,1)</f>
        <v>0</v>
      </c>
      <c r="E81" s="1390"/>
      <c r="F81" s="219">
        <f t="shared" si="18"/>
        <v>-67204</v>
      </c>
      <c r="G81" s="178" t="str">
        <f>_xlfn.XLOOKUP($A81,COA!$B:$B,COA!$C:$C,0,0,1)</f>
        <v>Convertible debt</v>
      </c>
      <c r="H81" s="178" t="str">
        <f>_xlfn.XLOOKUP($A81,COA!$B:$B,COA!$D:$D,0,0,1)</f>
        <v>Convertible debt</v>
      </c>
      <c r="I81" s="178" t="str">
        <f>_xlfn.XLOOKUP($A81,COA!$B:$B,COA!$E:$E,0,0,1)</f>
        <v>Convertible debt</v>
      </c>
      <c r="K81" s="85" t="str">
        <f t="shared" ref="K81:K83" si="19">I81</f>
        <v>Convertible debt</v>
      </c>
      <c r="L81" s="87"/>
      <c r="M81" s="87"/>
      <c r="N81" s="87"/>
      <c r="O81" s="87"/>
      <c r="P81" s="85"/>
      <c r="Q81" s="85"/>
      <c r="R81" s="85"/>
      <c r="S81" s="85"/>
      <c r="T81" s="85"/>
      <c r="U81" s="85"/>
      <c r="V81" s="85"/>
      <c r="W81" s="85"/>
      <c r="X81" s="85"/>
      <c r="Y81" s="85"/>
      <c r="Z81" s="85"/>
      <c r="AA81" s="85"/>
      <c r="AB81" s="85"/>
      <c r="AC81" s="85"/>
    </row>
    <row r="82" spans="1:29" x14ac:dyDescent="0.25">
      <c r="A82" s="1389" t="str">
        <f>COA!B81</f>
        <v>2900 Intercompany - due to Hallor Group Inc.</v>
      </c>
      <c r="B82" s="1390">
        <f>_xlfn.XLOOKUP(A82,'TB.1 - F25'!A:A,'TB.1 - F25'!D:D,0,0,1)</f>
        <v>0</v>
      </c>
      <c r="C82" s="1390">
        <f>_xlfn.XLOOKUP(A82,'TB.1 - F25'!A:A,'TB.1 - F25'!H:H,0,0,1)</f>
        <v>-109089.96</v>
      </c>
      <c r="D82" s="1390">
        <f>_xlfn.XLOOKUP(A82,'AJE.1 - F25'!A:A,'AJE.1 - F25'!F:F,0,0,1)</f>
        <v>0</v>
      </c>
      <c r="E82" s="1390"/>
      <c r="F82" s="219">
        <f t="shared" si="18"/>
        <v>-109090</v>
      </c>
      <c r="G82" s="178" t="str">
        <f>_xlfn.XLOOKUP($A82,COA!$B:$B,COA!$C:$C,0,0,1)</f>
        <v>Intercompany</v>
      </c>
      <c r="H82" s="178" t="str">
        <f>_xlfn.XLOOKUP($A82,COA!$B:$B,COA!$D:$D,0,0,1)</f>
        <v>Intercompany</v>
      </c>
      <c r="I82" s="178" t="str">
        <f>_xlfn.XLOOKUP($A82,COA!$B:$B,COA!$E:$E,0,0,1)</f>
        <v>Intercompany</v>
      </c>
      <c r="K82" s="85" t="str">
        <f t="shared" si="19"/>
        <v>Intercompany</v>
      </c>
      <c r="L82" s="87"/>
      <c r="M82" s="87"/>
      <c r="N82" s="87"/>
      <c r="O82" s="87"/>
      <c r="P82" s="85"/>
      <c r="Q82" s="85"/>
      <c r="R82" s="85"/>
      <c r="S82" s="85"/>
      <c r="T82" s="85"/>
      <c r="U82" s="85"/>
      <c r="V82" s="85"/>
      <c r="W82" s="85"/>
      <c r="X82" s="85"/>
      <c r="Y82" s="85"/>
      <c r="Z82" s="85"/>
      <c r="AA82" s="85"/>
      <c r="AB82" s="85"/>
      <c r="AC82" s="85"/>
    </row>
    <row r="83" spans="1:29" x14ac:dyDescent="0.25">
      <c r="A83" s="1389" t="str">
        <f>COA!B82</f>
        <v>3000 Share capital</v>
      </c>
      <c r="B83" s="1390">
        <f>_xlfn.XLOOKUP(A83,'TB.1 - F25'!A:A,'TB.1 - F25'!D:D,0,0,1)</f>
        <v>-6450000</v>
      </c>
      <c r="C83" s="1390">
        <f>_xlfn.XLOOKUP(A83,'TB.1 - F25'!A:A,'TB.1 - F25'!H:H,0,0,1)</f>
        <v>0</v>
      </c>
      <c r="D83" s="1390">
        <f>_xlfn.XLOOKUP(A83,'AJE.1 - F25'!A:A,'AJE.1 - F25'!F:F,0,0,1)</f>
        <v>0</v>
      </c>
      <c r="E83" s="1390"/>
      <c r="F83" s="219">
        <f t="shared" si="18"/>
        <v>-6450000</v>
      </c>
      <c r="G83" s="178" t="str">
        <f>_xlfn.XLOOKUP($A83,COA!$B:$B,COA!$C:$C,0,0,1)</f>
        <v>Share capital</v>
      </c>
      <c r="H83" s="178" t="str">
        <f>_xlfn.XLOOKUP($A83,COA!$B:$B,COA!$D:$D,0,0,1)</f>
        <v>Share capital</v>
      </c>
      <c r="I83" s="178" t="str">
        <f>_xlfn.XLOOKUP($A83,COA!$B:$B,COA!$E:$E,0,0,1)</f>
        <v>Share capital</v>
      </c>
      <c r="K83" s="85" t="str">
        <f t="shared" si="19"/>
        <v>Share capital</v>
      </c>
      <c r="L83" s="87"/>
      <c r="M83" s="87"/>
      <c r="N83" s="87"/>
      <c r="O83" s="87"/>
      <c r="P83" s="85"/>
      <c r="Q83" s="85"/>
      <c r="R83" s="85"/>
      <c r="S83" s="85"/>
      <c r="T83" s="85"/>
      <c r="U83" s="85"/>
      <c r="V83" s="85"/>
      <c r="W83" s="85"/>
      <c r="X83" s="85"/>
      <c r="Y83" s="85"/>
      <c r="Z83" s="85"/>
      <c r="AA83" s="85"/>
      <c r="AB83" s="85"/>
      <c r="AC83" s="85"/>
    </row>
    <row r="84" spans="1:29" hidden="1" x14ac:dyDescent="0.25">
      <c r="A84" s="1389" t="str">
        <f>COA!B83</f>
        <v>3000 Opening Bal Equity</v>
      </c>
      <c r="B84" s="1390">
        <f>_xlfn.XLOOKUP(A84,'TB.1 - F25'!A:A,'TB.1 - F25'!D:D,0,0,1)</f>
        <v>0</v>
      </c>
      <c r="C84" s="1390">
        <f>_xlfn.XLOOKUP(A84,'TB.1 - F25'!A:A,'TB.1 - F25'!H:H,0,0,1)</f>
        <v>1697.62</v>
      </c>
      <c r="D84" s="1390">
        <f>_xlfn.XLOOKUP(A84,'AJE.1 - F25'!A:A,'AJE.1 - F25'!F:F,0,0,1)</f>
        <v>-1698</v>
      </c>
      <c r="E84" s="1390"/>
      <c r="F84" s="219">
        <f t="shared" si="18"/>
        <v>0</v>
      </c>
      <c r="G84" s="178" t="str">
        <f>_xlfn.XLOOKUP($A84,COA!$B:$B,COA!$C:$C,0,0,1)</f>
        <v>Accumulated deficit</v>
      </c>
      <c r="H84" s="178" t="str">
        <f>_xlfn.XLOOKUP($A84,COA!$B:$B,COA!$D:$D,0,0,1)</f>
        <v>Accumulated deficit</v>
      </c>
      <c r="I84" s="178" t="str">
        <f>_xlfn.XLOOKUP($A84,COA!$B:$B,COA!$E:$E,0,0,1)</f>
        <v>Accumulated deficit</v>
      </c>
      <c r="K84" s="85" t="str">
        <f>_xlfn.XLOOKUP(I84,FS.1!A:A,I:I,0,0,1)</f>
        <v>Payroll liabilities</v>
      </c>
      <c r="L84" s="87"/>
      <c r="M84" s="87"/>
      <c r="N84" s="87"/>
      <c r="O84" s="87"/>
      <c r="P84" s="85"/>
      <c r="Q84" s="85"/>
      <c r="R84" s="85"/>
      <c r="S84" s="85"/>
      <c r="T84" s="85"/>
      <c r="U84" s="85"/>
      <c r="V84" s="85"/>
      <c r="W84" s="85"/>
      <c r="X84" s="85"/>
      <c r="Y84" s="85"/>
      <c r="Z84" s="85"/>
      <c r="AA84" s="85"/>
      <c r="AB84" s="85"/>
      <c r="AC84" s="85"/>
    </row>
    <row r="85" spans="1:29" x14ac:dyDescent="0.25">
      <c r="A85" s="1389" t="str">
        <f>COA!B84</f>
        <v>3001 Share capital:Common Shares</v>
      </c>
      <c r="B85" s="1390">
        <f>_xlfn.XLOOKUP(A85,'TB.1 - F25'!A:A,'TB.1 - F25'!D:D,0,0,1)</f>
        <v>-1801251</v>
      </c>
      <c r="C85" s="1390">
        <f>_xlfn.XLOOKUP(A85,'TB.1 - F25'!A:A,'TB.1 - F25'!H:H,0,0,1)</f>
        <v>0</v>
      </c>
      <c r="D85" s="1390">
        <f>_xlfn.XLOOKUP(A85,'AJE.1 - F25'!A:A,'AJE.1 - F25'!F:F,0,0,1)</f>
        <v>0</v>
      </c>
      <c r="E85" s="1390"/>
      <c r="F85" s="219">
        <f t="shared" si="18"/>
        <v>-1801251</v>
      </c>
      <c r="G85" s="178" t="str">
        <f>_xlfn.XLOOKUP($A85,COA!$B:$B,COA!$C:$C,0,0,1)</f>
        <v>Share capital</v>
      </c>
      <c r="H85" s="178" t="str">
        <f>_xlfn.XLOOKUP($A85,COA!$B:$B,COA!$D:$D,0,0,1)</f>
        <v>Share capital</v>
      </c>
      <c r="I85" s="178" t="str">
        <f>_xlfn.XLOOKUP($A85,COA!$B:$B,COA!$E:$E,0,0,1)</f>
        <v>Share capital</v>
      </c>
      <c r="K85" s="85" t="str">
        <f t="shared" ref="K85:K87" si="20">I85</f>
        <v>Share capital</v>
      </c>
      <c r="L85" s="87"/>
      <c r="M85" s="87"/>
      <c r="N85" s="87"/>
      <c r="O85" s="87"/>
      <c r="P85" s="85"/>
      <c r="Q85" s="85"/>
      <c r="R85" s="85"/>
      <c r="S85" s="85"/>
      <c r="T85" s="85"/>
      <c r="U85" s="85"/>
      <c r="V85" s="85"/>
      <c r="W85" s="85"/>
      <c r="X85" s="85"/>
      <c r="Y85" s="85"/>
      <c r="Z85" s="85"/>
      <c r="AA85" s="85"/>
      <c r="AB85" s="85"/>
      <c r="AC85" s="85"/>
    </row>
    <row r="86" spans="1:29" x14ac:dyDescent="0.25">
      <c r="A86" s="1389" t="str">
        <f>COA!B85</f>
        <v>3010 Share issuance cost</v>
      </c>
      <c r="B86" s="1390">
        <f>_xlfn.XLOOKUP(A86,'TB.1 - F25'!A:A,'TB.1 - F25'!D:D,0,0,1)</f>
        <v>27152.1</v>
      </c>
      <c r="C86" s="1390">
        <f>_xlfn.XLOOKUP(A86,'TB.1 - F25'!A:A,'TB.1 - F25'!H:H,0,0,1)</f>
        <v>0</v>
      </c>
      <c r="D86" s="1390">
        <f>_xlfn.XLOOKUP(A86,'AJE.1 - F25'!A:A,'AJE.1 - F25'!F:F,0,0,1)</f>
        <v>0</v>
      </c>
      <c r="E86" s="1390"/>
      <c r="F86" s="219">
        <f t="shared" si="18"/>
        <v>27152</v>
      </c>
      <c r="G86" s="178" t="str">
        <f>_xlfn.XLOOKUP($A86,COA!$B:$B,COA!$C:$C,0,0,1)</f>
        <v>Share capital</v>
      </c>
      <c r="H86" s="178" t="str">
        <f>_xlfn.XLOOKUP($A86,COA!$B:$B,COA!$D:$D,0,0,1)</f>
        <v>Share capital</v>
      </c>
      <c r="I86" s="178" t="str">
        <f>_xlfn.XLOOKUP($A86,COA!$B:$B,COA!$E:$E,0,0,1)</f>
        <v>Share capital</v>
      </c>
      <c r="K86" s="85" t="str">
        <f t="shared" si="20"/>
        <v>Share capital</v>
      </c>
      <c r="L86" s="87"/>
      <c r="M86" s="87"/>
      <c r="N86" s="87"/>
      <c r="O86" s="87"/>
      <c r="P86" s="85"/>
      <c r="Q86" s="85"/>
      <c r="R86" s="85"/>
      <c r="S86" s="85"/>
      <c r="T86" s="85"/>
      <c r="U86" s="85"/>
      <c r="V86" s="85"/>
      <c r="W86" s="85"/>
      <c r="X86" s="85"/>
      <c r="Y86" s="85"/>
      <c r="Z86" s="85"/>
      <c r="AA86" s="85"/>
      <c r="AB86" s="85"/>
      <c r="AC86" s="85"/>
    </row>
    <row r="87" spans="1:29" x14ac:dyDescent="0.25">
      <c r="A87" s="1389" t="str">
        <f>COA!B86</f>
        <v>3100 Warrant reserve</v>
      </c>
      <c r="B87" s="1390">
        <f>_xlfn.XLOOKUP(A87,'TB.1 - F25'!A:A,'TB.1 - F25'!D:D,0,0,1)</f>
        <v>-308750</v>
      </c>
      <c r="C87" s="1390">
        <f>_xlfn.XLOOKUP(A87,'TB.1 - F25'!A:A,'TB.1 - F25'!H:H,0,0,1)</f>
        <v>0</v>
      </c>
      <c r="D87" s="1390">
        <f>_xlfn.XLOOKUP(A87,'AJE.1 - F25'!A:A,'AJE.1 - F25'!F:F,0,0,1)</f>
        <v>0</v>
      </c>
      <c r="E87" s="1390"/>
      <c r="F87" s="219">
        <f t="shared" si="18"/>
        <v>-308750</v>
      </c>
      <c r="G87" s="178" t="str">
        <f>_xlfn.XLOOKUP($A87,COA!$B:$B,COA!$C:$C,0,0,1)</f>
        <v>Contributed surplus</v>
      </c>
      <c r="H87" s="178" t="str">
        <f>_xlfn.XLOOKUP($A87,COA!$B:$B,COA!$D:$D,0,0,1)</f>
        <v>Contributed surplus</v>
      </c>
      <c r="I87" s="178" t="str">
        <f>_xlfn.XLOOKUP($A87,COA!$B:$B,COA!$E:$E,0,0,1)</f>
        <v>Contributed surplus</v>
      </c>
      <c r="K87" s="85" t="str">
        <f t="shared" si="20"/>
        <v>Contributed surplus</v>
      </c>
      <c r="L87" s="87"/>
      <c r="M87" s="87"/>
      <c r="N87" s="87"/>
      <c r="O87" s="87"/>
      <c r="P87" s="85"/>
      <c r="Q87" s="85"/>
      <c r="R87" s="85"/>
      <c r="S87" s="85"/>
      <c r="T87" s="85"/>
      <c r="U87" s="85"/>
      <c r="V87" s="85"/>
      <c r="W87" s="85"/>
      <c r="X87" s="85"/>
      <c r="Y87" s="85"/>
      <c r="Z87" s="85"/>
      <c r="AA87" s="85"/>
      <c r="AB87" s="85"/>
      <c r="AC87" s="85"/>
    </row>
    <row r="88" spans="1:29" hidden="1" x14ac:dyDescent="0.25">
      <c r="A88" s="1389" t="str">
        <f>COA!B87</f>
        <v>3100 Common Shares</v>
      </c>
      <c r="B88" s="1390">
        <f>_xlfn.XLOOKUP(A88,'TB.1 - F25'!A:A,'TB.1 - F25'!D:D,0,0,1)</f>
        <v>0</v>
      </c>
      <c r="C88" s="1390">
        <f>_xlfn.XLOOKUP(A88,'TB.1 - F25'!A:A,'TB.1 - F25'!H:H,0,0,1)</f>
        <v>0</v>
      </c>
      <c r="D88" s="1390">
        <f>_xlfn.XLOOKUP(A88,'AJE.1 - F25'!A:A,'AJE.1 - F25'!F:F,0,0,1)</f>
        <v>0</v>
      </c>
      <c r="E88" s="1390"/>
      <c r="F88" s="219">
        <f t="shared" si="18"/>
        <v>0</v>
      </c>
      <c r="G88" s="178" t="str">
        <f>_xlfn.XLOOKUP($A88,COA!$B:$B,COA!$C:$C,0,0,1)</f>
        <v>Share capital</v>
      </c>
      <c r="H88" s="178" t="str">
        <f>_xlfn.XLOOKUP($A88,COA!$B:$B,COA!$D:$D,0,0,1)</f>
        <v>Share capital</v>
      </c>
      <c r="I88" s="178" t="str">
        <f>_xlfn.XLOOKUP($A88,COA!$B:$B,COA!$E:$E,0,0,1)</f>
        <v>Share capital</v>
      </c>
      <c r="K88" s="85" t="str">
        <f>_xlfn.XLOOKUP(I88,FS.1!A:A,I:I,0,0,1)</f>
        <v>Deferred revenue</v>
      </c>
      <c r="L88" s="87"/>
      <c r="M88" s="87"/>
      <c r="N88" s="87"/>
      <c r="O88" s="87"/>
      <c r="P88" s="85"/>
      <c r="Q88" s="85"/>
      <c r="R88" s="85"/>
      <c r="S88" s="85"/>
      <c r="T88" s="85"/>
      <c r="U88" s="85"/>
      <c r="V88" s="85"/>
      <c r="W88" s="85"/>
      <c r="X88" s="85"/>
      <c r="Y88" s="85"/>
      <c r="Z88" s="85"/>
      <c r="AA88" s="85"/>
      <c r="AB88" s="85"/>
      <c r="AC88" s="85"/>
    </row>
    <row r="89" spans="1:29" hidden="1" x14ac:dyDescent="0.25">
      <c r="A89" s="1389" t="str">
        <f>COA!B88</f>
        <v>3105 Common Shares:Class A Shares</v>
      </c>
      <c r="B89" s="1390">
        <f>_xlfn.XLOOKUP(A89,'TB.1 - F25'!A:A,'TB.1 - F25'!D:D,0,0,1)</f>
        <v>0</v>
      </c>
      <c r="C89" s="1390">
        <f>_xlfn.XLOOKUP(A89,'TB.1 - F25'!A:A,'TB.1 - F25'!H:H,0,0,1)</f>
        <v>-24</v>
      </c>
      <c r="D89" s="1390">
        <f>_xlfn.XLOOKUP(A89,'AJE.1 - F25'!A:A,'AJE.1 - F25'!F:F,0,0,1)</f>
        <v>24</v>
      </c>
      <c r="E89" s="1390"/>
      <c r="F89" s="219">
        <f t="shared" si="18"/>
        <v>0</v>
      </c>
      <c r="G89" s="178" t="str">
        <f>_xlfn.XLOOKUP($A89,COA!$B:$B,COA!$C:$C,0,0,1)</f>
        <v>Share capital</v>
      </c>
      <c r="H89" s="178" t="str">
        <f>_xlfn.XLOOKUP($A89,COA!$B:$B,COA!$D:$D,0,0,1)</f>
        <v>Share capital</v>
      </c>
      <c r="I89" s="178" t="str">
        <f>_xlfn.XLOOKUP($A89,COA!$B:$B,COA!$E:$E,0,0,1)</f>
        <v>Share capital</v>
      </c>
      <c r="K89" s="85" t="str">
        <f>_xlfn.XLOOKUP(I89,FS.1!A:A,I:I,0,0,1)</f>
        <v>Deferred revenue</v>
      </c>
      <c r="L89" s="87"/>
      <c r="M89" s="87"/>
      <c r="N89" s="87"/>
      <c r="O89" s="87"/>
      <c r="P89" s="85"/>
      <c r="Q89" s="85"/>
      <c r="R89" s="85"/>
      <c r="S89" s="85"/>
      <c r="T89" s="85"/>
      <c r="U89" s="85"/>
      <c r="V89" s="85"/>
      <c r="W89" s="85"/>
      <c r="X89" s="85"/>
      <c r="Y89" s="85"/>
      <c r="Z89" s="85"/>
      <c r="AA89" s="85"/>
      <c r="AB89" s="85"/>
      <c r="AC89" s="85"/>
    </row>
    <row r="90" spans="1:29" hidden="1" x14ac:dyDescent="0.25">
      <c r="A90" s="1389" t="str">
        <f>COA!B89</f>
        <v>3110 Common Shares:Class B Shares</v>
      </c>
      <c r="B90" s="1390">
        <f>_xlfn.XLOOKUP(A90,'TB.1 - F25'!A:A,'TB.1 - F25'!D:D,0,0,1)</f>
        <v>0</v>
      </c>
      <c r="C90" s="1390">
        <f>_xlfn.XLOOKUP(A90,'TB.1 - F25'!A:A,'TB.1 - F25'!H:H,0,0,1)</f>
        <v>-12</v>
      </c>
      <c r="D90" s="1390">
        <f>_xlfn.XLOOKUP(A90,'AJE.1 - F25'!A:A,'AJE.1 - F25'!F:F,0,0,1)</f>
        <v>12</v>
      </c>
      <c r="E90" s="1390"/>
      <c r="F90" s="219">
        <f t="shared" si="18"/>
        <v>0</v>
      </c>
      <c r="G90" s="178" t="str">
        <f>_xlfn.XLOOKUP($A90,COA!$B:$B,COA!$C:$C,0,0,1)</f>
        <v>Share capital</v>
      </c>
      <c r="H90" s="178" t="str">
        <f>_xlfn.XLOOKUP($A90,COA!$B:$B,COA!$D:$D,0,0,1)</f>
        <v>Share capital</v>
      </c>
      <c r="I90" s="178" t="str">
        <f>_xlfn.XLOOKUP($A90,COA!$B:$B,COA!$E:$E,0,0,1)</f>
        <v>Share capital</v>
      </c>
      <c r="K90" s="85" t="str">
        <f>_xlfn.XLOOKUP(I90,FS.1!A:A,I:I,0,0,1)</f>
        <v>Deferred revenue</v>
      </c>
      <c r="L90" s="87"/>
      <c r="M90" s="87"/>
      <c r="N90" s="87"/>
      <c r="O90" s="87"/>
      <c r="P90" s="85"/>
      <c r="Q90" s="85"/>
      <c r="R90" s="85"/>
      <c r="S90" s="85"/>
      <c r="T90" s="85"/>
      <c r="U90" s="85"/>
      <c r="V90" s="85"/>
      <c r="W90" s="85"/>
      <c r="X90" s="85"/>
      <c r="Y90" s="85"/>
      <c r="Z90" s="85"/>
      <c r="AA90" s="85"/>
      <c r="AB90" s="85"/>
      <c r="AC90" s="85"/>
    </row>
    <row r="91" spans="1:29" hidden="1" x14ac:dyDescent="0.25">
      <c r="A91" s="1389" t="str">
        <f>COA!B90</f>
        <v>3115 Common Shares:Class C Shares</v>
      </c>
      <c r="B91" s="1390">
        <f>_xlfn.XLOOKUP(A91,'TB.1 - F25'!A:A,'TB.1 - F25'!D:D,0,0,1)</f>
        <v>0</v>
      </c>
      <c r="C91" s="1390">
        <f>_xlfn.XLOOKUP(A91,'TB.1 - F25'!A:A,'TB.1 - F25'!H:H,0,0,1)</f>
        <v>-12</v>
      </c>
      <c r="D91" s="1390">
        <f>_xlfn.XLOOKUP(A91,'AJE.1 - F25'!A:A,'AJE.1 - F25'!F:F,0,0,1)</f>
        <v>12</v>
      </c>
      <c r="E91" s="1390"/>
      <c r="F91" s="219">
        <f t="shared" si="18"/>
        <v>0</v>
      </c>
      <c r="G91" s="178" t="str">
        <f>_xlfn.XLOOKUP($A91,COA!$B:$B,COA!$C:$C,0,0,1)</f>
        <v>Share capital</v>
      </c>
      <c r="H91" s="178" t="str">
        <f>_xlfn.XLOOKUP($A91,COA!$B:$B,COA!$D:$D,0,0,1)</f>
        <v>Share capital</v>
      </c>
      <c r="I91" s="178" t="str">
        <f>_xlfn.XLOOKUP($A91,COA!$B:$B,COA!$E:$E,0,0,1)</f>
        <v>Share capital</v>
      </c>
      <c r="K91" s="85" t="str">
        <f>_xlfn.XLOOKUP(I91,FS.1!A:A,I:I,0,0,1)</f>
        <v>Deferred revenue</v>
      </c>
      <c r="L91" s="87"/>
      <c r="M91" s="87"/>
      <c r="N91" s="87"/>
      <c r="O91" s="87"/>
      <c r="P91" s="85"/>
      <c r="Q91" s="85"/>
      <c r="R91" s="85"/>
      <c r="S91" s="85"/>
      <c r="T91" s="85"/>
      <c r="U91" s="85"/>
      <c r="V91" s="85"/>
      <c r="W91" s="85"/>
      <c r="X91" s="85"/>
      <c r="Y91" s="85"/>
      <c r="Z91" s="85"/>
      <c r="AA91" s="85"/>
      <c r="AB91" s="85"/>
      <c r="AC91" s="85"/>
    </row>
    <row r="92" spans="1:29" hidden="1" x14ac:dyDescent="0.25">
      <c r="A92" s="1389" t="str">
        <f>COA!B91</f>
        <v>3200 Capital contribution</v>
      </c>
      <c r="B92" s="1390">
        <f>_xlfn.XLOOKUP(A92,'TB.1 - F25'!A:A,'TB.1 - F25'!D:D,0,0,1)</f>
        <v>0</v>
      </c>
      <c r="C92" s="1390">
        <f>_xlfn.XLOOKUP(A92,'TB.1 - F25'!A:A,'TB.1 - F25'!H:H,0,0,1)</f>
        <v>-59349.72</v>
      </c>
      <c r="D92" s="1390">
        <f>_xlfn.XLOOKUP(A92,'AJE.1 - F25'!A:A,'AJE.1 - F25'!F:F,0,0,1)</f>
        <v>59350</v>
      </c>
      <c r="E92" s="1390"/>
      <c r="F92" s="219">
        <f t="shared" si="18"/>
        <v>0</v>
      </c>
      <c r="G92" s="178" t="str">
        <f>_xlfn.XLOOKUP($A92,COA!$B:$B,COA!$C:$C,0,0,1)</f>
        <v>Contributed surplus</v>
      </c>
      <c r="H92" s="178" t="str">
        <f>_xlfn.XLOOKUP($A92,COA!$B:$B,COA!$D:$D,0,0,1)</f>
        <v>Contributed surplus</v>
      </c>
      <c r="I92" s="178" t="str">
        <f>_xlfn.XLOOKUP($A92,COA!$B:$B,COA!$E:$E,0,0,1)</f>
        <v>Contributed surplus</v>
      </c>
      <c r="K92" s="85" t="str">
        <f>_xlfn.XLOOKUP(I92,FS.1!A:A,I:I,0,0,1)</f>
        <v>Accounts payables and accrued liabilities</v>
      </c>
      <c r="L92" s="87"/>
      <c r="M92" s="87"/>
      <c r="N92" s="87"/>
      <c r="O92" s="87"/>
      <c r="P92" s="85"/>
      <c r="Q92" s="85"/>
      <c r="R92" s="85"/>
      <c r="S92" s="85"/>
      <c r="T92" s="85"/>
      <c r="U92" s="85"/>
      <c r="V92" s="85"/>
      <c r="W92" s="85"/>
      <c r="X92" s="85"/>
      <c r="Y92" s="85"/>
      <c r="Z92" s="85"/>
      <c r="AA92" s="85"/>
      <c r="AB92" s="85"/>
      <c r="AC92" s="85"/>
    </row>
    <row r="93" spans="1:29" hidden="1" x14ac:dyDescent="0.25">
      <c r="A93" s="1389" t="str">
        <f>COA!B92</f>
        <v>3500 Opening Balance Equity</v>
      </c>
      <c r="B93" s="1390">
        <f>_xlfn.XLOOKUP(A93,'TB.1 - F25'!A:A,'TB.1 - F25'!D:D,0,0,1)</f>
        <v>0</v>
      </c>
      <c r="C93" s="1390">
        <f>_xlfn.XLOOKUP(A93,'TB.1 - F25'!A:A,'TB.1 - F25'!H:H,0,0,1)</f>
        <v>0</v>
      </c>
      <c r="D93" s="1390">
        <f>_xlfn.XLOOKUP(A93,'AJE.1 - F25'!A:A,'AJE.1 - F25'!F:F,0,0,1)</f>
        <v>0</v>
      </c>
      <c r="E93" s="1390"/>
      <c r="F93" s="219">
        <f t="shared" si="18"/>
        <v>0</v>
      </c>
      <c r="G93" s="178" t="str">
        <f>_xlfn.XLOOKUP($A93,COA!$B:$B,COA!$C:$C,0,0,1)</f>
        <v>Accumulated deficit</v>
      </c>
      <c r="H93" s="178" t="str">
        <f>_xlfn.XLOOKUP($A93,COA!$B:$B,COA!$D:$D,0,0,1)</f>
        <v>Accumulated deficit</v>
      </c>
      <c r="I93" s="178" t="str">
        <f>_xlfn.XLOOKUP($A93,COA!$B:$B,COA!$E:$E,0,0,1)</f>
        <v>Accumulated deficit</v>
      </c>
      <c r="K93" s="85" t="str">
        <f>_xlfn.XLOOKUP(I93,FS.1!A:A,I:I,0,0,1)</f>
        <v>Payroll liabilities</v>
      </c>
      <c r="L93" s="87"/>
      <c r="M93" s="87"/>
      <c r="N93" s="87"/>
      <c r="O93" s="87"/>
      <c r="P93" s="85"/>
      <c r="Q93" s="85"/>
      <c r="R93" s="85"/>
      <c r="S93" s="85"/>
      <c r="T93" s="85"/>
      <c r="U93" s="85"/>
      <c r="V93" s="85"/>
      <c r="W93" s="85"/>
      <c r="X93" s="85"/>
      <c r="Y93" s="85"/>
      <c r="Z93" s="85"/>
      <c r="AA93" s="85"/>
      <c r="AB93" s="85"/>
      <c r="AC93" s="85"/>
    </row>
    <row r="94" spans="1:29" x14ac:dyDescent="0.25">
      <c r="A94" s="1389" t="str">
        <f>COA!B94</f>
        <v>3501 Retained Earnings</v>
      </c>
      <c r="B94" s="1390">
        <f>_xlfn.XLOOKUP(A94,'TB.1 - F25'!A:A,'TB.1 - F25'!D:D,0,0,1)</f>
        <v>1700383.98</v>
      </c>
      <c r="C94" s="1390">
        <f>_xlfn.XLOOKUP(A94,'TB.1 - F25'!A:A,'TB.1 - F25'!H:H,0,0,1)</f>
        <v>0</v>
      </c>
      <c r="D94" s="1390">
        <f>_xlfn.XLOOKUP(A94,'AJE.1 - F25'!A:A,'AJE.1 - F25'!F:F,0,0,1)</f>
        <v>1204016</v>
      </c>
      <c r="E94" s="1390"/>
      <c r="F94" s="219">
        <f t="shared" si="18"/>
        <v>2904400</v>
      </c>
      <c r="G94" s="178" t="str">
        <f>_xlfn.XLOOKUP($A94,COA!$B:$B,COA!$C:$C,0,0,1)</f>
        <v>Accumulated deficit</v>
      </c>
      <c r="H94" s="178" t="str">
        <f>_xlfn.XLOOKUP($A94,COA!$B:$B,COA!$D:$D,0,0,1)</f>
        <v>Accumulated deficit</v>
      </c>
      <c r="I94" s="178" t="str">
        <f>_xlfn.XLOOKUP($A94,COA!$B:$B,COA!$E:$E,0,0,1)</f>
        <v>Accumulated deficit</v>
      </c>
      <c r="K94" s="85" t="str">
        <f t="shared" ref="K94:K95" si="21">I94</f>
        <v>Accumulated deficit</v>
      </c>
      <c r="L94" s="87"/>
      <c r="M94" s="87"/>
      <c r="N94" s="87"/>
      <c r="O94" s="87"/>
      <c r="P94" s="85"/>
      <c r="Q94" s="85"/>
      <c r="R94" s="85"/>
      <c r="S94" s="85"/>
      <c r="T94" s="85"/>
      <c r="U94" s="85"/>
      <c r="V94" s="85"/>
      <c r="W94" s="85"/>
      <c r="X94" s="85"/>
      <c r="Y94" s="85"/>
      <c r="Z94" s="85"/>
      <c r="AA94" s="85"/>
      <c r="AB94" s="85"/>
      <c r="AC94" s="85"/>
    </row>
    <row r="95" spans="1:29" x14ac:dyDescent="0.25">
      <c r="A95" s="1391" t="str">
        <f>COA!B95</f>
        <v>3900 Retained Earnings</v>
      </c>
      <c r="B95" s="1392">
        <f>_xlfn.XLOOKUP(A95,'TB.1 - F25'!A:A,'TB.1 - F25'!D:D,0,0,1)</f>
        <v>0</v>
      </c>
      <c r="C95" s="1392">
        <f>_xlfn.XLOOKUP(A95,'TB.1 - F25'!A:A,'TB.1 - F25'!H:H,0,0,1)</f>
        <v>502637.82</v>
      </c>
      <c r="D95" s="1392">
        <f>_xlfn.XLOOKUP(A95,'AJE.1 - F25'!A:A,'AJE.1 - F25'!F:F,0,0,1)</f>
        <v>-339522</v>
      </c>
      <c r="E95" s="1392">
        <f>-E28</f>
        <v>-26</v>
      </c>
      <c r="F95" s="57">
        <f t="shared" si="18"/>
        <v>163090</v>
      </c>
      <c r="G95" s="179" t="str">
        <f>_xlfn.XLOOKUP($A95,COA!$B:$B,COA!$C:$C,0,0,1)</f>
        <v>Accumulated deficit</v>
      </c>
      <c r="H95" s="179" t="str">
        <f>_xlfn.XLOOKUP($A95,COA!$B:$B,COA!$D:$D,0,0,1)</f>
        <v>Accumulated deficit</v>
      </c>
      <c r="I95" s="179" t="str">
        <f>_xlfn.XLOOKUP($A95,COA!$B:$B,COA!$E:$E,0,0,1)</f>
        <v>Accumulated deficit</v>
      </c>
      <c r="K95" s="85" t="str">
        <f t="shared" si="21"/>
        <v>Accumulated deficit</v>
      </c>
      <c r="L95" s="87"/>
      <c r="M95" s="87"/>
      <c r="N95" s="87"/>
      <c r="O95" s="87"/>
      <c r="P95" s="85"/>
      <c r="Q95" s="85"/>
      <c r="R95" s="85"/>
      <c r="S95" s="85"/>
      <c r="T95" s="85"/>
      <c r="U95" s="85"/>
      <c r="V95" s="85"/>
      <c r="W95" s="85"/>
      <c r="X95" s="85"/>
      <c r="Y95" s="85"/>
      <c r="Z95" s="85"/>
      <c r="AA95" s="85"/>
      <c r="AB95" s="85"/>
      <c r="AC95" s="85"/>
    </row>
    <row r="96" spans="1:29" hidden="1" x14ac:dyDescent="0.25">
      <c r="A96" s="1389" t="str">
        <f>COA!B96</f>
        <v>5000 Revenue</v>
      </c>
      <c r="B96" s="1390">
        <f>_xlfn.XLOOKUP(A96,'TB.1 - F25'!A:A,'TB.1 - F25'!D:D,0,0,1)</f>
        <v>0</v>
      </c>
      <c r="C96" s="1390">
        <f>_xlfn.XLOOKUP(A96,'TB.1 - F25'!A:A,'TB.1 - F25'!H:H,0,0,1)</f>
        <v>0</v>
      </c>
      <c r="D96" s="1390">
        <f>_xlfn.XLOOKUP(A96,'AJE.1 - F25'!A:A,'AJE.1 - F25'!F:F,0,0,1)</f>
        <v>0</v>
      </c>
      <c r="E96" s="1390"/>
      <c r="F96" s="219">
        <f t="shared" si="18"/>
        <v>0</v>
      </c>
      <c r="G96" s="178" t="str">
        <f>_xlfn.XLOOKUP($A96,COA!$B:$B,COA!$C:$C,0,0,1)</f>
        <v>Revenues</v>
      </c>
      <c r="H96" s="178" t="str">
        <f>_xlfn.XLOOKUP($A96,COA!$B:$B,COA!$D:$D,0,0,1)</f>
        <v>Revenues</v>
      </c>
      <c r="I96" s="178" t="str">
        <f>_xlfn.XLOOKUP($A96,COA!$B:$B,COA!$E:$E,0,0,1)</f>
        <v>Accumulated deficit</v>
      </c>
      <c r="K96" s="85" t="str">
        <f>_xlfn.XLOOKUP(I96,FS.1!A:A,I:I,0,0,1)</f>
        <v>Payroll liabilities</v>
      </c>
      <c r="L96" s="87"/>
      <c r="M96" s="87"/>
      <c r="N96" s="87"/>
      <c r="O96" s="87"/>
      <c r="P96" s="85"/>
      <c r="Q96" s="85"/>
      <c r="R96" s="85"/>
      <c r="S96" s="85"/>
      <c r="T96" s="85"/>
      <c r="U96" s="85"/>
      <c r="V96" s="85"/>
      <c r="W96" s="85"/>
      <c r="X96" s="85"/>
      <c r="Y96" s="85"/>
      <c r="Z96" s="85"/>
      <c r="AA96" s="85"/>
      <c r="AB96" s="85"/>
      <c r="AC96" s="85"/>
    </row>
    <row r="97" spans="1:29" x14ac:dyDescent="0.25">
      <c r="A97" s="1389" t="str">
        <f>COA!B97</f>
        <v>5000 Utility Vehicle Sales</v>
      </c>
      <c r="B97" s="1390">
        <f>_xlfn.XLOOKUP(A97,'TB.1 - F25'!A:A,'TB.1 - F25'!D:D,0,0,1)</f>
        <v>0</v>
      </c>
      <c r="C97" s="1390">
        <f>_xlfn.XLOOKUP(A97,'TB.1 - F25'!A:A,'TB.1 - F25'!H:H,0,0,1)</f>
        <v>-360000</v>
      </c>
      <c r="D97" s="1390">
        <f>_xlfn.XLOOKUP(A97,'AJE.1 - F25'!A:A,'AJE.1 - F25'!F:F,0,0,1)</f>
        <v>0</v>
      </c>
      <c r="E97" s="1390"/>
      <c r="F97" s="219">
        <f t="shared" si="18"/>
        <v>-360000</v>
      </c>
      <c r="G97" s="178" t="str">
        <f>_xlfn.XLOOKUP($A97,COA!$B:$B,COA!$C:$C,0,0,1)</f>
        <v>Revenues</v>
      </c>
      <c r="H97" s="178" t="str">
        <f>_xlfn.XLOOKUP($A97,COA!$B:$B,COA!$D:$D,0,0,1)</f>
        <v xml:space="preserve">Sale of electric vehicle </v>
      </c>
      <c r="I97" s="178" t="str">
        <f>_xlfn.XLOOKUP($A97,COA!$B:$B,COA!$E:$E,0,0,1)</f>
        <v>Accumulated deficit</v>
      </c>
      <c r="K97" s="85" t="str">
        <f>I97</f>
        <v>Accumulated deficit</v>
      </c>
      <c r="L97" s="87"/>
      <c r="M97" s="87"/>
      <c r="N97" s="87"/>
      <c r="O97" s="87"/>
      <c r="P97" s="85"/>
      <c r="Q97" s="85"/>
      <c r="R97" s="85"/>
      <c r="S97" s="85"/>
      <c r="T97" s="85"/>
      <c r="U97" s="85"/>
      <c r="V97" s="85"/>
      <c r="W97" s="85"/>
      <c r="X97" s="85"/>
      <c r="Y97" s="85"/>
      <c r="Z97" s="85"/>
      <c r="AA97" s="85"/>
      <c r="AB97" s="85"/>
      <c r="AC97" s="85"/>
    </row>
    <row r="98" spans="1:29" hidden="1" x14ac:dyDescent="0.25">
      <c r="A98" s="1389" t="str">
        <f>COA!B98</f>
        <v>5001 Other General Sales</v>
      </c>
      <c r="B98" s="1390">
        <f>_xlfn.XLOOKUP(A98,'TB.1 - F25'!A:A,'TB.1 - F25'!D:D,0,0,1)</f>
        <v>0</v>
      </c>
      <c r="C98" s="1390">
        <f>_xlfn.XLOOKUP(A98,'TB.1 - F25'!A:A,'TB.1 - F25'!H:H,0,0,1)</f>
        <v>0</v>
      </c>
      <c r="D98" s="1390">
        <f>_xlfn.XLOOKUP(A98,'AJE.1 - F25'!A:A,'AJE.1 - F25'!F:F,0,0,1)</f>
        <v>0</v>
      </c>
      <c r="E98" s="1390"/>
      <c r="F98" s="219">
        <f t="shared" si="18"/>
        <v>0</v>
      </c>
      <c r="G98" s="178" t="str">
        <f>_xlfn.XLOOKUP($A98,COA!$B:$B,COA!$C:$C,0,0,1)</f>
        <v>Revenues</v>
      </c>
      <c r="H98" s="178" t="str">
        <f>_xlfn.XLOOKUP($A98,COA!$B:$B,COA!$D:$D,0,0,1)</f>
        <v>Mechanical services</v>
      </c>
      <c r="I98" s="178" t="str">
        <f>_xlfn.XLOOKUP($A98,COA!$B:$B,COA!$E:$E,0,0,1)</f>
        <v>Accumulated deficit</v>
      </c>
      <c r="K98" s="85" t="str">
        <f>_xlfn.XLOOKUP(I98,FS.1!A:A,I:I,0,0,1)</f>
        <v>Payroll liabilities</v>
      </c>
      <c r="L98" s="87"/>
      <c r="M98" s="87"/>
      <c r="N98" s="87"/>
      <c r="O98" s="87"/>
      <c r="P98" s="85"/>
      <c r="Q98" s="85"/>
      <c r="R98" s="85"/>
      <c r="S98" s="85"/>
      <c r="T98" s="85"/>
      <c r="U98" s="85"/>
      <c r="V98" s="85"/>
      <c r="W98" s="85"/>
      <c r="X98" s="85"/>
      <c r="Y98" s="85"/>
      <c r="Z98" s="85"/>
      <c r="AA98" s="85"/>
      <c r="AB98" s="85"/>
      <c r="AC98" s="85"/>
    </row>
    <row r="99" spans="1:29" hidden="1" x14ac:dyDescent="0.25">
      <c r="A99" s="1389" t="str">
        <f>COA!B99</f>
        <v>5002 Equipment parts sale</v>
      </c>
      <c r="B99" s="1390">
        <f>_xlfn.XLOOKUP(A99,'TB.1 - F25'!A:A,'TB.1 - F25'!D:D,0,0,1)</f>
        <v>0</v>
      </c>
      <c r="C99" s="1390">
        <f>_xlfn.XLOOKUP(A99,'TB.1 - F25'!A:A,'TB.1 - F25'!H:H,0,0,1)</f>
        <v>0</v>
      </c>
      <c r="D99" s="1390">
        <f>_xlfn.XLOOKUP(A99,'AJE.1 - F25'!A:A,'AJE.1 - F25'!F:F,0,0,1)</f>
        <v>0</v>
      </c>
      <c r="E99" s="1390"/>
      <c r="F99" s="219">
        <f t="shared" si="18"/>
        <v>0</v>
      </c>
      <c r="G99" s="178" t="str">
        <f>_xlfn.XLOOKUP($A99,COA!$B:$B,COA!$C:$C,0,0,1)</f>
        <v>Revenues</v>
      </c>
      <c r="H99" s="178" t="str">
        <f>_xlfn.XLOOKUP($A99,COA!$B:$B,COA!$D:$D,0,0,1)</f>
        <v>Surcharge on parts and components sold</v>
      </c>
      <c r="I99" s="178" t="str">
        <f>_xlfn.XLOOKUP($A99,COA!$B:$B,COA!$E:$E,0,0,1)</f>
        <v>Accumulated deficit</v>
      </c>
      <c r="K99" s="85" t="str">
        <f>_xlfn.XLOOKUP(I99,FS.1!A:A,I:I,0,0,1)</f>
        <v>Payroll liabilities</v>
      </c>
      <c r="L99" s="87"/>
      <c r="M99" s="87"/>
      <c r="N99" s="87"/>
      <c r="O99" s="87"/>
      <c r="P99" s="85"/>
      <c r="Q99" s="85"/>
      <c r="R99" s="85"/>
      <c r="S99" s="85"/>
      <c r="T99" s="85"/>
      <c r="U99" s="85"/>
      <c r="V99" s="85"/>
      <c r="W99" s="85"/>
      <c r="X99" s="85"/>
      <c r="Y99" s="85"/>
      <c r="Z99" s="85"/>
      <c r="AA99" s="85"/>
      <c r="AB99" s="85"/>
      <c r="AC99" s="85"/>
    </row>
    <row r="100" spans="1:29" hidden="1" x14ac:dyDescent="0.25">
      <c r="A100" s="1389" t="str">
        <f>COA!B100</f>
        <v>5003 Labour service</v>
      </c>
      <c r="B100" s="1390">
        <f>_xlfn.XLOOKUP(A100,'TB.1 - F25'!A:A,'TB.1 - F25'!D:D,0,0,1)</f>
        <v>0</v>
      </c>
      <c r="C100" s="1390">
        <f>_xlfn.XLOOKUP(A100,'TB.1 - F25'!A:A,'TB.1 - F25'!H:H,0,0,1)</f>
        <v>0</v>
      </c>
      <c r="D100" s="1390">
        <f>_xlfn.XLOOKUP(A100,'AJE.1 - F25'!A:A,'AJE.1 - F25'!F:F,0,0,1)</f>
        <v>0</v>
      </c>
      <c r="E100" s="1390"/>
      <c r="F100" s="219">
        <f t="shared" si="18"/>
        <v>0</v>
      </c>
      <c r="G100" s="178" t="str">
        <f>_xlfn.XLOOKUP($A100,COA!$B:$B,COA!$C:$C,0,0,1)</f>
        <v>Revenues</v>
      </c>
      <c r="H100" s="178" t="str">
        <f>_xlfn.XLOOKUP($A100,COA!$B:$B,COA!$D:$D,0,0,1)</f>
        <v>Mechanical services</v>
      </c>
      <c r="I100" s="178" t="str">
        <f>_xlfn.XLOOKUP($A100,COA!$B:$B,COA!$E:$E,0,0,1)</f>
        <v>Accumulated deficit</v>
      </c>
      <c r="K100" s="85" t="str">
        <f>_xlfn.XLOOKUP(I100,FS.1!A:A,I:I,0,0,1)</f>
        <v>Payroll liabilities</v>
      </c>
      <c r="L100" s="87"/>
      <c r="M100" s="87"/>
      <c r="N100" s="87"/>
      <c r="O100" s="87"/>
      <c r="P100" s="85"/>
      <c r="Q100" s="85"/>
      <c r="R100" s="85"/>
      <c r="S100" s="85"/>
      <c r="T100" s="85"/>
      <c r="U100" s="85"/>
      <c r="V100" s="85"/>
      <c r="W100" s="85"/>
      <c r="X100" s="85"/>
      <c r="Y100" s="85"/>
      <c r="Z100" s="85"/>
      <c r="AA100" s="85"/>
      <c r="AB100" s="85"/>
      <c r="AC100" s="85"/>
    </row>
    <row r="101" spans="1:29" hidden="1" x14ac:dyDescent="0.25">
      <c r="A101" s="1389" t="str">
        <f>COA!B101</f>
        <v>5004 Shop Supplies Sales</v>
      </c>
      <c r="B101" s="1390">
        <f>_xlfn.XLOOKUP(A101,'TB.1 - F25'!A:A,'TB.1 - F25'!D:D,0,0,1)</f>
        <v>0</v>
      </c>
      <c r="C101" s="1390">
        <f>_xlfn.XLOOKUP(A101,'TB.1 - F25'!A:A,'TB.1 - F25'!H:H,0,0,1)</f>
        <v>0</v>
      </c>
      <c r="D101" s="1390">
        <f>_xlfn.XLOOKUP(A101,'AJE.1 - F25'!A:A,'AJE.1 - F25'!F:F,0,0,1)</f>
        <v>0</v>
      </c>
      <c r="E101" s="1390"/>
      <c r="F101" s="219">
        <f t="shared" si="18"/>
        <v>0</v>
      </c>
      <c r="G101" s="178" t="str">
        <f>_xlfn.XLOOKUP($A101,COA!$B:$B,COA!$C:$C,0,0,1)</f>
        <v>Revenues</v>
      </c>
      <c r="H101" s="178" t="str">
        <f>_xlfn.XLOOKUP($A101,COA!$B:$B,COA!$D:$D,0,0,1)</f>
        <v>Surcharge on parts and components sold</v>
      </c>
      <c r="I101" s="178" t="str">
        <f>_xlfn.XLOOKUP($A101,COA!$B:$B,COA!$E:$E,0,0,1)</f>
        <v>Accumulated deficit</v>
      </c>
      <c r="K101" s="85" t="str">
        <f>_xlfn.XLOOKUP(I101,FS.1!A:A,I:I,0,0,1)</f>
        <v>Payroll liabilities</v>
      </c>
      <c r="L101" s="87"/>
      <c r="M101" s="87"/>
      <c r="N101" s="87"/>
      <c r="O101" s="87"/>
      <c r="P101" s="85"/>
      <c r="Q101" s="85"/>
      <c r="R101" s="85"/>
      <c r="S101" s="85"/>
      <c r="T101" s="85"/>
      <c r="U101" s="85"/>
      <c r="V101" s="85"/>
      <c r="W101" s="85"/>
      <c r="X101" s="85"/>
      <c r="Y101" s="85"/>
      <c r="Z101" s="85"/>
      <c r="AA101" s="85"/>
      <c r="AB101" s="85"/>
      <c r="AC101" s="85"/>
    </row>
    <row r="102" spans="1:29" hidden="1" x14ac:dyDescent="0.25">
      <c r="A102" s="1389" t="str">
        <f>COA!B102</f>
        <v>5006 Markup</v>
      </c>
      <c r="B102" s="1390">
        <f>_xlfn.XLOOKUP(A102,'TB.1 - F25'!A:A,'TB.1 - F25'!D:D,0,0,1)</f>
        <v>0</v>
      </c>
      <c r="C102" s="1390">
        <f>_xlfn.XLOOKUP(A102,'TB.1 - F25'!A:A,'TB.1 - F25'!H:H,0,0,1)</f>
        <v>0</v>
      </c>
      <c r="D102" s="1390">
        <f>_xlfn.XLOOKUP(A102,'AJE.1 - F25'!A:A,'AJE.1 - F25'!F:F,0,0,1)</f>
        <v>0</v>
      </c>
      <c r="E102" s="1390"/>
      <c r="F102" s="219">
        <f t="shared" si="18"/>
        <v>0</v>
      </c>
      <c r="G102" s="178" t="str">
        <f>_xlfn.XLOOKUP($A102,COA!$B:$B,COA!$C:$C,0,0,1)</f>
        <v>Revenues</v>
      </c>
      <c r="H102" s="178" t="str">
        <f>_xlfn.XLOOKUP($A102,COA!$B:$B,COA!$D:$D,0,0,1)</f>
        <v>Surcharge on parts and components sold</v>
      </c>
      <c r="I102" s="178" t="str">
        <f>_xlfn.XLOOKUP($A102,COA!$B:$B,COA!$E:$E,0,0,1)</f>
        <v>Accumulated deficit</v>
      </c>
      <c r="K102" s="85" t="str">
        <f>_xlfn.XLOOKUP(I102,FS.1!A:A,I:I,0,0,1)</f>
        <v>Payroll liabilities</v>
      </c>
      <c r="L102" s="87"/>
      <c r="M102" s="87"/>
      <c r="N102" s="87"/>
      <c r="O102" s="87"/>
      <c r="P102" s="85"/>
      <c r="Q102" s="85"/>
      <c r="R102" s="85"/>
      <c r="S102" s="85"/>
      <c r="T102" s="85"/>
      <c r="U102" s="85"/>
      <c r="V102" s="85"/>
      <c r="W102" s="85"/>
      <c r="X102" s="85"/>
      <c r="Y102" s="85"/>
      <c r="Z102" s="85"/>
      <c r="AA102" s="85"/>
      <c r="AB102" s="85"/>
      <c r="AC102" s="85"/>
    </row>
    <row r="103" spans="1:29" x14ac:dyDescent="0.25">
      <c r="A103" s="1389" t="str">
        <f>COA!B104</f>
        <v>5498 Interest income</v>
      </c>
      <c r="B103" s="1390">
        <f>_xlfn.XLOOKUP(A103,'TB.1 - F25'!A:A,'TB.1 - F25'!D:D,0,0,1)</f>
        <v>0</v>
      </c>
      <c r="C103" s="1390">
        <f>_xlfn.XLOOKUP(A103,'TB.1 - F25'!A:A,'TB.1 - F25'!H:H,0,0,1)</f>
        <v>-13.5</v>
      </c>
      <c r="D103" s="1390">
        <f>_xlfn.XLOOKUP(A103,'AJE.1 - F25'!A:A,'AJE.1 - F25'!F:F,0,0,1)</f>
        <v>0</v>
      </c>
      <c r="E103" s="1390"/>
      <c r="F103" s="219">
        <f t="shared" si="18"/>
        <v>-14</v>
      </c>
      <c r="G103" s="178" t="str">
        <f>_xlfn.XLOOKUP($A103,COA!$B:$B,COA!$C:$C,0,0,1)</f>
        <v>Interest income</v>
      </c>
      <c r="H103" s="178" t="str">
        <f>_xlfn.XLOOKUP($A103,COA!$B:$B,COA!$D:$D,0,0,1)</f>
        <v>Interest income</v>
      </c>
      <c r="I103" s="178" t="str">
        <f>_xlfn.XLOOKUP($A103,COA!$B:$B,COA!$E:$E,0,0,1)</f>
        <v>Accumulated deficit</v>
      </c>
      <c r="K103" s="85" t="str">
        <f>I103</f>
        <v>Accumulated deficit</v>
      </c>
      <c r="L103" s="87"/>
      <c r="M103" s="87"/>
      <c r="N103" s="87"/>
      <c r="O103" s="87"/>
      <c r="P103" s="85"/>
      <c r="Q103" s="85"/>
      <c r="R103" s="85"/>
      <c r="S103" s="85"/>
      <c r="T103" s="85"/>
      <c r="U103" s="85"/>
      <c r="V103" s="85"/>
      <c r="W103" s="85"/>
      <c r="X103" s="85"/>
      <c r="Y103" s="85"/>
      <c r="Z103" s="85"/>
      <c r="AA103" s="85"/>
      <c r="AB103" s="85"/>
      <c r="AC103" s="85"/>
    </row>
    <row r="104" spans="1:29" hidden="1" x14ac:dyDescent="0.25">
      <c r="A104" s="1389" t="str">
        <f>COA!B105</f>
        <v>5499 Other Income</v>
      </c>
      <c r="B104" s="1390">
        <f>_xlfn.XLOOKUP(A104,'TB.1 - F25'!A:A,'TB.1 - F25'!D:D,0,0,1)</f>
        <v>0</v>
      </c>
      <c r="C104" s="1390">
        <f>_xlfn.XLOOKUP(A104,'TB.1 - F25'!A:A,'TB.1 - F25'!H:H,0,0,1)</f>
        <v>0</v>
      </c>
      <c r="D104" s="1390">
        <f>_xlfn.XLOOKUP(A104,'AJE.1 - F25'!A:A,'AJE.1 - F25'!F:F,0,0,1)</f>
        <v>0</v>
      </c>
      <c r="E104" s="1390"/>
      <c r="F104" s="219">
        <f t="shared" si="18"/>
        <v>0</v>
      </c>
      <c r="G104" s="178" t="str">
        <f>_xlfn.XLOOKUP($A104,COA!$B:$B,COA!$C:$C,0,0,1)</f>
        <v xml:space="preserve">Other income </v>
      </c>
      <c r="H104" s="178" t="str">
        <f>_xlfn.XLOOKUP($A104,COA!$B:$B,COA!$D:$D,0,0,1)</f>
        <v xml:space="preserve">Other income </v>
      </c>
      <c r="I104" s="178" t="str">
        <f>_xlfn.XLOOKUP($A104,COA!$B:$B,COA!$E:$E,0,0,1)</f>
        <v>Accumulated deficit</v>
      </c>
      <c r="K104" s="85" t="str">
        <f>_xlfn.XLOOKUP(I104,FS.1!A:A,I:I,0,0,1)</f>
        <v>Payroll liabilities</v>
      </c>
      <c r="L104" s="87"/>
      <c r="M104" s="87"/>
      <c r="N104" s="87"/>
      <c r="O104" s="87"/>
      <c r="P104" s="85"/>
      <c r="Q104" s="85"/>
      <c r="R104" s="85"/>
      <c r="S104" s="85"/>
      <c r="T104" s="85"/>
      <c r="U104" s="85"/>
      <c r="V104" s="85"/>
      <c r="W104" s="85"/>
      <c r="X104" s="85"/>
      <c r="Y104" s="85"/>
      <c r="Z104" s="85"/>
      <c r="AA104" s="85"/>
      <c r="AB104" s="85"/>
      <c r="AC104" s="85"/>
    </row>
    <row r="105" spans="1:29" x14ac:dyDescent="0.25">
      <c r="A105" s="1389" t="str">
        <f>COA!B106</f>
        <v>5500 Cost of Goods Sold</v>
      </c>
      <c r="B105" s="1390">
        <f>_xlfn.XLOOKUP(A105,'TB.1 - F25'!A:A,'TB.1 - F25'!D:D,0,0,1)</f>
        <v>0</v>
      </c>
      <c r="C105" s="1390">
        <f>_xlfn.XLOOKUP(A105,'TB.1 - F25'!A:A,'TB.1 - F25'!H:H,0,0,1)</f>
        <v>322512.24</v>
      </c>
      <c r="D105" s="1390">
        <f>_xlfn.XLOOKUP(A105,'AJE.1 - F25'!A:A,'AJE.1 - F25'!F:F,0,0,1)</f>
        <v>0</v>
      </c>
      <c r="E105" s="1390"/>
      <c r="F105" s="219">
        <f t="shared" ref="F105:F137" si="22">ROUND(SUM(B105:E105),0)</f>
        <v>322512</v>
      </c>
      <c r="G105" s="178" t="str">
        <f>_xlfn.XLOOKUP($A105,COA!$B:$B,COA!$C:$C,0,0,1)</f>
        <v>Cost of goods sold</v>
      </c>
      <c r="H105" s="178" t="str">
        <f>_xlfn.XLOOKUP($A105,COA!$B:$B,COA!$D:$D,0,0,1)</f>
        <v>Cost of goods sold</v>
      </c>
      <c r="I105" s="178" t="str">
        <f>_xlfn.XLOOKUP($A105,COA!$B:$B,COA!$E:$E,0,0,1)</f>
        <v>Accumulated deficit</v>
      </c>
      <c r="K105" s="85" t="str">
        <f>_xlfn.XLOOKUP(I105,FS.1!A:A,I:I,0,0,1)</f>
        <v>Payroll liabilities</v>
      </c>
      <c r="L105" s="87"/>
      <c r="M105" s="87"/>
      <c r="N105" s="87"/>
      <c r="O105" s="87"/>
      <c r="P105" s="85"/>
      <c r="Q105" s="85"/>
      <c r="R105" s="85"/>
      <c r="S105" s="85"/>
      <c r="T105" s="85"/>
      <c r="U105" s="85"/>
      <c r="V105" s="85"/>
      <c r="W105" s="85"/>
      <c r="X105" s="85"/>
      <c r="Y105" s="85"/>
      <c r="Z105" s="85"/>
      <c r="AA105" s="85"/>
      <c r="AB105" s="85"/>
      <c r="AC105" s="85"/>
    </row>
    <row r="106" spans="1:29" x14ac:dyDescent="0.25">
      <c r="A106" s="1389" t="str">
        <f>COA!B107</f>
        <v>5510 Cost of Goods Sold:Parts and components  - COS</v>
      </c>
      <c r="B106" s="1390">
        <f>_xlfn.XLOOKUP(A106,'TB.1 - F25'!A:A,'TB.1 - F25'!D:D,0,0,1)</f>
        <v>0</v>
      </c>
      <c r="C106" s="1390">
        <f>_xlfn.XLOOKUP(A106,'TB.1 - F25'!A:A,'TB.1 - F25'!H:H,0,0,1)</f>
        <v>4655.68</v>
      </c>
      <c r="D106" s="1390">
        <f>_xlfn.XLOOKUP(A106,'AJE.1 - F25'!A:A,'AJE.1 - F25'!F:F,0,0,1)</f>
        <v>0</v>
      </c>
      <c r="E106" s="1390"/>
      <c r="F106" s="219">
        <f t="shared" si="22"/>
        <v>4656</v>
      </c>
      <c r="G106" s="178" t="str">
        <f>_xlfn.XLOOKUP($A106,COA!$B:$B,COA!$C:$C,0,0,1)</f>
        <v>Cost of goods sold</v>
      </c>
      <c r="H106" s="178" t="str">
        <f>_xlfn.XLOOKUP($A106,COA!$B:$B,COA!$D:$D,0,0,1)</f>
        <v>Cost of goods sold</v>
      </c>
      <c r="I106" s="178" t="str">
        <f>_xlfn.XLOOKUP($A106,COA!$B:$B,COA!$E:$E,0,0,1)</f>
        <v>Accumulated deficit</v>
      </c>
      <c r="K106" s="85" t="str">
        <f>I106</f>
        <v>Accumulated deficit</v>
      </c>
      <c r="L106" s="87"/>
      <c r="M106" s="87"/>
      <c r="N106" s="87"/>
      <c r="O106" s="87"/>
      <c r="P106" s="85"/>
      <c r="Q106" s="85"/>
      <c r="R106" s="85"/>
      <c r="S106" s="85"/>
      <c r="T106" s="85"/>
      <c r="U106" s="85"/>
      <c r="V106" s="85"/>
      <c r="W106" s="85"/>
      <c r="X106" s="85"/>
      <c r="Y106" s="85"/>
      <c r="Z106" s="85"/>
      <c r="AA106" s="85"/>
      <c r="AB106" s="85"/>
      <c r="AC106" s="85"/>
    </row>
    <row r="107" spans="1:29" hidden="1" x14ac:dyDescent="0.25">
      <c r="A107" s="1389" t="str">
        <f>COA!B108</f>
        <v>5515 Cost of Goods Sold:Engineering  - COS</v>
      </c>
      <c r="B107" s="1390">
        <f>_xlfn.XLOOKUP(A107,'TB.1 - F25'!A:A,'TB.1 - F25'!D:D,0,0,1)</f>
        <v>0</v>
      </c>
      <c r="C107" s="1390">
        <f>_xlfn.XLOOKUP(A107,'TB.1 - F25'!A:A,'TB.1 - F25'!H:H,0,0,1)</f>
        <v>0</v>
      </c>
      <c r="D107" s="1390">
        <f>_xlfn.XLOOKUP(A107,'AJE.1 - F25'!A:A,'AJE.1 - F25'!F:F,0,0,1)</f>
        <v>0</v>
      </c>
      <c r="E107" s="1390"/>
      <c r="F107" s="219">
        <f t="shared" si="22"/>
        <v>0</v>
      </c>
      <c r="G107" s="178" t="str">
        <f>_xlfn.XLOOKUP($A107,COA!$B:$B,COA!$C:$C,0,0,1)</f>
        <v>Cost of goods sold</v>
      </c>
      <c r="H107" s="178" t="str">
        <f>_xlfn.XLOOKUP($A107,COA!$B:$B,COA!$D:$D,0,0,1)</f>
        <v>Cost of goods sold</v>
      </c>
      <c r="I107" s="178" t="str">
        <f>_xlfn.XLOOKUP($A107,COA!$B:$B,COA!$E:$E,0,0,1)</f>
        <v>Accumulated deficit</v>
      </c>
      <c r="K107" s="85" t="str">
        <f>_xlfn.XLOOKUP(I107,FS.1!A:A,I:I,0,0,1)</f>
        <v>Payroll liabilities</v>
      </c>
      <c r="L107" s="87"/>
      <c r="M107" s="87"/>
      <c r="N107" s="87"/>
      <c r="O107" s="87"/>
      <c r="P107" s="85"/>
      <c r="Q107" s="85"/>
      <c r="R107" s="85"/>
      <c r="S107" s="85"/>
      <c r="T107" s="85"/>
      <c r="U107" s="85"/>
      <c r="V107" s="85"/>
      <c r="W107" s="85"/>
      <c r="X107" s="85"/>
      <c r="Y107" s="85"/>
      <c r="Z107" s="85"/>
      <c r="AA107" s="85"/>
      <c r="AB107" s="85"/>
      <c r="AC107" s="85"/>
    </row>
    <row r="108" spans="1:29" x14ac:dyDescent="0.25">
      <c r="A108" s="1389" t="str">
        <f>COA!B109</f>
        <v>5520 Cost of Goods Sold:Subcontracting  - COS</v>
      </c>
      <c r="B108" s="1390">
        <f>_xlfn.XLOOKUP(A108,'TB.1 - F25'!A:A,'TB.1 - F25'!D:D,0,0,1)</f>
        <v>0</v>
      </c>
      <c r="C108" s="1390">
        <f>_xlfn.XLOOKUP(A108,'TB.1 - F25'!A:A,'TB.1 - F25'!H:H,0,0,1)</f>
        <v>887.29</v>
      </c>
      <c r="D108" s="1390">
        <f>_xlfn.XLOOKUP(A108,'AJE.1 - F25'!A:A,'AJE.1 - F25'!F:F,0,0,1)</f>
        <v>0</v>
      </c>
      <c r="E108" s="1390"/>
      <c r="F108" s="219">
        <f t="shared" si="22"/>
        <v>887</v>
      </c>
      <c r="G108" s="178" t="str">
        <f>_xlfn.XLOOKUP($A108,COA!$B:$B,COA!$C:$C,0,0,1)</f>
        <v>Cost of goods sold</v>
      </c>
      <c r="H108" s="178" t="str">
        <f>_xlfn.XLOOKUP($A108,COA!$B:$B,COA!$D:$D,0,0,1)</f>
        <v>Cost of goods sold</v>
      </c>
      <c r="I108" s="178" t="str">
        <f>_xlfn.XLOOKUP($A108,COA!$B:$B,COA!$E:$E,0,0,1)</f>
        <v>Accumulated deficit</v>
      </c>
      <c r="K108" s="85" t="str">
        <f>I108</f>
        <v>Accumulated deficit</v>
      </c>
      <c r="L108" s="87"/>
      <c r="M108" s="87"/>
      <c r="N108" s="87"/>
      <c r="O108" s="87"/>
      <c r="P108" s="85"/>
      <c r="Q108" s="85"/>
      <c r="R108" s="85"/>
      <c r="S108" s="85"/>
      <c r="T108" s="85"/>
      <c r="U108" s="85"/>
      <c r="V108" s="85"/>
      <c r="W108" s="85"/>
      <c r="X108" s="85"/>
      <c r="Y108" s="85"/>
      <c r="Z108" s="85"/>
      <c r="AA108" s="85"/>
      <c r="AB108" s="85"/>
      <c r="AC108" s="85"/>
    </row>
    <row r="109" spans="1:29" hidden="1" x14ac:dyDescent="0.25">
      <c r="A109" s="1389" t="str">
        <f>COA!B110</f>
        <v>5525 Cost of Goods Sold:Shipping  - COS</v>
      </c>
      <c r="B109" s="1390">
        <f>_xlfn.XLOOKUP(A109,'TB.1 - F25'!A:A,'TB.1 - F25'!D:D,0,0,1)</f>
        <v>0</v>
      </c>
      <c r="C109" s="1390">
        <f>_xlfn.XLOOKUP(A109,'TB.1 - F25'!A:A,'TB.1 - F25'!H:H,0,0,1)</f>
        <v>0</v>
      </c>
      <c r="D109" s="1390">
        <f>_xlfn.XLOOKUP(A109,'AJE.1 - F25'!A:A,'AJE.1 - F25'!F:F,0,0,1)</f>
        <v>0</v>
      </c>
      <c r="E109" s="1390"/>
      <c r="F109" s="219">
        <f t="shared" si="22"/>
        <v>0</v>
      </c>
      <c r="G109" s="178" t="str">
        <f>_xlfn.XLOOKUP($A109,COA!$B:$B,COA!$C:$C,0,0,1)</f>
        <v>Cost of goods sold</v>
      </c>
      <c r="H109" s="178" t="str">
        <f>_xlfn.XLOOKUP($A109,COA!$B:$B,COA!$D:$D,0,0,1)</f>
        <v>Cost of goods sold</v>
      </c>
      <c r="I109" s="178" t="str">
        <f>_xlfn.XLOOKUP($A109,COA!$B:$B,COA!$E:$E,0,0,1)</f>
        <v>Accumulated deficit</v>
      </c>
      <c r="K109" s="85" t="str">
        <f>_xlfn.XLOOKUP(I109,FS.1!A:A,I:I,0,0,1)</f>
        <v>Payroll liabilities</v>
      </c>
      <c r="L109" s="87"/>
      <c r="M109" s="87"/>
      <c r="N109" s="87"/>
      <c r="O109" s="87"/>
      <c r="P109" s="85"/>
      <c r="Q109" s="85"/>
      <c r="R109" s="85"/>
      <c r="S109" s="85"/>
      <c r="T109" s="85"/>
      <c r="U109" s="85"/>
      <c r="V109" s="85"/>
      <c r="W109" s="85"/>
      <c r="X109" s="85"/>
      <c r="Y109" s="85"/>
      <c r="Z109" s="85"/>
      <c r="AA109" s="85"/>
      <c r="AB109" s="85"/>
      <c r="AC109" s="85"/>
    </row>
    <row r="110" spans="1:29" hidden="1" x14ac:dyDescent="0.25">
      <c r="A110" s="1389" t="str">
        <f>COA!B111</f>
        <v>5530 Cost of Goods Sold:Disposal/Landfill  - COS</v>
      </c>
      <c r="B110" s="1390">
        <f>_xlfn.XLOOKUP(A110,'TB.1 - F25'!A:A,'TB.1 - F25'!D:D,0,0,1)</f>
        <v>0</v>
      </c>
      <c r="C110" s="1390">
        <f>_xlfn.XLOOKUP(A110,'TB.1 - F25'!A:A,'TB.1 - F25'!H:H,0,0,1)</f>
        <v>0</v>
      </c>
      <c r="D110" s="1390">
        <f>_xlfn.XLOOKUP(A110,'AJE.1 - F25'!A:A,'AJE.1 - F25'!F:F,0,0,1)</f>
        <v>0</v>
      </c>
      <c r="E110" s="1390"/>
      <c r="F110" s="219">
        <f t="shared" si="22"/>
        <v>0</v>
      </c>
      <c r="G110" s="178" t="str">
        <f>_xlfn.XLOOKUP($A110,COA!$B:$B,COA!$C:$C,0,0,1)</f>
        <v>Cost of goods sold</v>
      </c>
      <c r="H110" s="178" t="str">
        <f>_xlfn.XLOOKUP($A110,COA!$B:$B,COA!$D:$D,0,0,1)</f>
        <v>Cost of goods sold</v>
      </c>
      <c r="I110" s="178" t="str">
        <f>_xlfn.XLOOKUP($A110,COA!$B:$B,COA!$E:$E,0,0,1)</f>
        <v>Accumulated deficit</v>
      </c>
      <c r="K110" s="85" t="str">
        <f>_xlfn.XLOOKUP(I110,FS.1!A:A,I:I,0,0,1)</f>
        <v>Payroll liabilities</v>
      </c>
      <c r="L110" s="87"/>
      <c r="M110" s="87"/>
      <c r="N110" s="87"/>
      <c r="O110" s="87"/>
      <c r="P110" s="85"/>
      <c r="Q110" s="85"/>
      <c r="R110" s="85"/>
      <c r="S110" s="85"/>
      <c r="T110" s="85"/>
      <c r="U110" s="85"/>
      <c r="V110" s="85"/>
      <c r="W110" s="85"/>
      <c r="X110" s="85"/>
      <c r="Y110" s="85"/>
      <c r="Z110" s="85"/>
      <c r="AA110" s="85"/>
      <c r="AB110" s="85"/>
      <c r="AC110" s="85"/>
    </row>
    <row r="111" spans="1:29" hidden="1" x14ac:dyDescent="0.25">
      <c r="A111" s="1389" t="str">
        <f>COA!B112</f>
        <v>5535 Cost of Goods Sold:Inventory Write Off  - COS</v>
      </c>
      <c r="B111" s="1390">
        <f>_xlfn.XLOOKUP(A111,'TB.1 - F25'!A:A,'TB.1 - F25'!D:D,0,0,1)</f>
        <v>0</v>
      </c>
      <c r="C111" s="1390">
        <f>_xlfn.XLOOKUP(A111,'TB.1 - F25'!A:A,'TB.1 - F25'!H:H,0,0,1)</f>
        <v>0</v>
      </c>
      <c r="D111" s="1390">
        <f>_xlfn.XLOOKUP(A111,'AJE.1 - F25'!A:A,'AJE.1 - F25'!F:F,0,0,1)</f>
        <v>0</v>
      </c>
      <c r="E111" s="1390"/>
      <c r="F111" s="219">
        <f t="shared" si="22"/>
        <v>0</v>
      </c>
      <c r="G111" s="178" t="str">
        <f>_xlfn.XLOOKUP($A111,COA!$B:$B,COA!$C:$C,0,0,1)</f>
        <v>Cost of goods sold</v>
      </c>
      <c r="H111" s="178" t="str">
        <f>_xlfn.XLOOKUP($A111,COA!$B:$B,COA!$D:$D,0,0,1)</f>
        <v>Cost of goods sold</v>
      </c>
      <c r="I111" s="178" t="str">
        <f>_xlfn.XLOOKUP($A111,COA!$B:$B,COA!$E:$E,0,0,1)</f>
        <v>Accumulated deficit</v>
      </c>
      <c r="K111" s="85" t="str">
        <f>_xlfn.XLOOKUP(I111,FS.1!A:A,I:I,0,0,1)</f>
        <v>Payroll liabilities</v>
      </c>
      <c r="L111" s="87"/>
      <c r="M111" s="87"/>
      <c r="N111" s="87"/>
      <c r="O111" s="87"/>
      <c r="P111" s="85"/>
      <c r="Q111" s="85"/>
      <c r="R111" s="85"/>
      <c r="S111" s="85"/>
      <c r="T111" s="85"/>
      <c r="U111" s="85"/>
      <c r="V111" s="85"/>
      <c r="W111" s="85"/>
      <c r="X111" s="85"/>
      <c r="Y111" s="85"/>
      <c r="Z111" s="85"/>
      <c r="AA111" s="85"/>
      <c r="AB111" s="85"/>
      <c r="AC111" s="85"/>
    </row>
    <row r="112" spans="1:29" hidden="1" x14ac:dyDescent="0.25">
      <c r="A112" s="1389" t="str">
        <f>COA!B113</f>
        <v>5540 Cost of Goods Sold:Equipment Fuel  - COS</v>
      </c>
      <c r="B112" s="1390">
        <f>_xlfn.XLOOKUP(A112,'TB.1 - F25'!A:A,'TB.1 - F25'!D:D,0,0,1)</f>
        <v>0</v>
      </c>
      <c r="C112" s="1390">
        <f>_xlfn.XLOOKUP(A112,'TB.1 - F25'!A:A,'TB.1 - F25'!H:H,0,0,1)</f>
        <v>0</v>
      </c>
      <c r="D112" s="1390">
        <f>_xlfn.XLOOKUP(A112,'AJE.1 - F25'!A:A,'AJE.1 - F25'!F:F,0,0,1)</f>
        <v>0</v>
      </c>
      <c r="E112" s="1390"/>
      <c r="F112" s="219">
        <f t="shared" si="22"/>
        <v>0</v>
      </c>
      <c r="G112" s="178" t="str">
        <f>_xlfn.XLOOKUP($A112,COA!$B:$B,COA!$C:$C,0,0,1)</f>
        <v>Cost of goods sold</v>
      </c>
      <c r="H112" s="178" t="str">
        <f>_xlfn.XLOOKUP($A112,COA!$B:$B,COA!$D:$D,0,0,1)</f>
        <v>Cost of goods sold</v>
      </c>
      <c r="I112" s="178" t="str">
        <f>_xlfn.XLOOKUP($A112,COA!$B:$B,COA!$E:$E,0,0,1)</f>
        <v>Accumulated deficit</v>
      </c>
      <c r="K112" s="85" t="str">
        <f>_xlfn.XLOOKUP(I112,FS.1!A:A,I:I,0,0,1)</f>
        <v>Payroll liabilities</v>
      </c>
      <c r="L112" s="87"/>
      <c r="M112" s="87"/>
      <c r="N112" s="87"/>
      <c r="O112" s="87"/>
      <c r="P112" s="85"/>
      <c r="Q112" s="85"/>
      <c r="R112" s="85"/>
      <c r="S112" s="85"/>
      <c r="T112" s="85"/>
      <c r="U112" s="85"/>
      <c r="V112" s="85"/>
      <c r="W112" s="85"/>
      <c r="X112" s="85"/>
      <c r="Y112" s="85"/>
      <c r="Z112" s="85"/>
      <c r="AA112" s="85"/>
      <c r="AB112" s="85"/>
      <c r="AC112" s="85"/>
    </row>
    <row r="113" spans="1:29" hidden="1" x14ac:dyDescent="0.25">
      <c r="A113" s="1389" t="str">
        <f>COA!B114</f>
        <v>5545 Cost of Goods Sold:Equipment Leasing  - COS</v>
      </c>
      <c r="B113" s="1390">
        <f>_xlfn.XLOOKUP(A113,'TB.1 - F25'!A:A,'TB.1 - F25'!D:D,0,0,1)</f>
        <v>0</v>
      </c>
      <c r="C113" s="1390">
        <f>_xlfn.XLOOKUP(A113,'TB.1 - F25'!A:A,'TB.1 - F25'!H:H,0,0,1)</f>
        <v>0</v>
      </c>
      <c r="D113" s="1390">
        <f>_xlfn.XLOOKUP(A113,'AJE.1 - F25'!A:A,'AJE.1 - F25'!F:F,0,0,1)</f>
        <v>0</v>
      </c>
      <c r="E113" s="1390"/>
      <c r="F113" s="219">
        <f t="shared" si="22"/>
        <v>0</v>
      </c>
      <c r="G113" s="178" t="str">
        <f>_xlfn.XLOOKUP($A113,COA!$B:$B,COA!$C:$C,0,0,1)</f>
        <v>Cost of goods sold</v>
      </c>
      <c r="H113" s="178" t="str">
        <f>_xlfn.XLOOKUP($A113,COA!$B:$B,COA!$D:$D,0,0,1)</f>
        <v>Cost of goods sold</v>
      </c>
      <c r="I113" s="178" t="str">
        <f>_xlfn.XLOOKUP($A113,COA!$B:$B,COA!$E:$E,0,0,1)</f>
        <v>Accumulated deficit</v>
      </c>
      <c r="K113" s="85" t="str">
        <f>_xlfn.XLOOKUP(I113,FS.1!A:A,I:I,0,0,1)</f>
        <v>Payroll liabilities</v>
      </c>
      <c r="L113" s="87"/>
      <c r="M113" s="87"/>
      <c r="N113" s="87"/>
      <c r="O113" s="87"/>
      <c r="P113" s="85"/>
      <c r="Q113" s="85"/>
      <c r="R113" s="85"/>
      <c r="S113" s="85"/>
      <c r="T113" s="85"/>
      <c r="U113" s="85"/>
      <c r="V113" s="85"/>
      <c r="W113" s="85"/>
      <c r="X113" s="85"/>
      <c r="Y113" s="85"/>
      <c r="Z113" s="85"/>
      <c r="AA113" s="85"/>
      <c r="AB113" s="85"/>
      <c r="AC113" s="85"/>
    </row>
    <row r="114" spans="1:29" x14ac:dyDescent="0.25">
      <c r="A114" s="1389" t="str">
        <f>COA!B115</f>
        <v>5511 Supplies and materials - COS</v>
      </c>
      <c r="B114" s="1390">
        <f>_xlfn.XLOOKUP(A114,'TB.1 - F25'!A:A,'TB.1 - F25'!D:D,0,0,1)</f>
        <v>0</v>
      </c>
      <c r="C114" s="1390">
        <f>_xlfn.XLOOKUP(A114,'TB.1 - F25'!A:A,'TB.1 - F25'!H:H,0,0,1)</f>
        <v>103.12</v>
      </c>
      <c r="D114" s="1390">
        <f>_xlfn.XLOOKUP(A114,'AJE.1 - F25'!A:A,'AJE.1 - F25'!F:F,0,0,1)</f>
        <v>0</v>
      </c>
      <c r="E114" s="1390"/>
      <c r="F114" s="219">
        <f t="shared" si="22"/>
        <v>103</v>
      </c>
      <c r="G114" s="178" t="str">
        <f>_xlfn.XLOOKUP($A114,COA!$B:$B,COA!$C:$C,0,0,1)</f>
        <v>Cost of goods sold</v>
      </c>
      <c r="H114" s="178" t="str">
        <f>_xlfn.XLOOKUP($A114,COA!$B:$B,COA!$D:$D,0,0,1)</f>
        <v>Cost of goods sold</v>
      </c>
      <c r="I114" s="178" t="str">
        <f>_xlfn.XLOOKUP($A114,COA!$B:$B,COA!$E:$E,0,0,1)</f>
        <v>Accumulated deficit</v>
      </c>
      <c r="K114" s="85" t="str">
        <f>I114</f>
        <v>Accumulated deficit</v>
      </c>
      <c r="L114" s="87"/>
      <c r="M114" s="87"/>
      <c r="N114" s="87"/>
      <c r="O114" s="87"/>
      <c r="P114" s="85"/>
      <c r="Q114" s="85"/>
      <c r="R114" s="85"/>
      <c r="S114" s="85"/>
      <c r="T114" s="85"/>
      <c r="U114" s="85"/>
      <c r="V114" s="85"/>
      <c r="W114" s="85"/>
      <c r="X114" s="85"/>
      <c r="Y114" s="85"/>
      <c r="Z114" s="85"/>
      <c r="AA114" s="85"/>
      <c r="AB114" s="85"/>
      <c r="AC114" s="85"/>
    </row>
    <row r="115" spans="1:29" hidden="1" x14ac:dyDescent="0.25">
      <c r="A115" s="1389" t="str">
        <f>COA!B116</f>
        <v>5998 Uncategorized Income</v>
      </c>
      <c r="B115" s="1390">
        <f>_xlfn.XLOOKUP(A115,'TB.1 - F25'!A:A,'TB.1 - F25'!D:D,0,0,1)</f>
        <v>0</v>
      </c>
      <c r="C115" s="1390">
        <f>_xlfn.XLOOKUP(A115,'TB.1 - F25'!A:A,'TB.1 - F25'!H:H,0,0,1)</f>
        <v>0</v>
      </c>
      <c r="D115" s="1390">
        <f>_xlfn.XLOOKUP(A115,'AJE.1 - F25'!A:A,'AJE.1 - F25'!F:F,0,0,1)</f>
        <v>0</v>
      </c>
      <c r="E115" s="1390"/>
      <c r="F115" s="219">
        <f t="shared" si="22"/>
        <v>0</v>
      </c>
      <c r="G115" s="178" t="str">
        <f>_xlfn.XLOOKUP($A115,COA!$B:$B,COA!$C:$C,0,0,1)</f>
        <v xml:space="preserve">Other income </v>
      </c>
      <c r="H115" s="178" t="str">
        <f>_xlfn.XLOOKUP($A115,COA!$B:$B,COA!$D:$D,0,0,1)</f>
        <v xml:space="preserve">Other income </v>
      </c>
      <c r="I115" s="178" t="str">
        <f>_xlfn.XLOOKUP($A115,COA!$B:$B,COA!$E:$E,0,0,1)</f>
        <v>Accumulated deficit</v>
      </c>
      <c r="K115" s="85" t="str">
        <f>_xlfn.XLOOKUP(I115,FS.1!A:A,I:I,0,0,1)</f>
        <v>Payroll liabilities</v>
      </c>
      <c r="L115" s="87"/>
      <c r="M115" s="87"/>
      <c r="N115" s="87"/>
      <c r="O115" s="87"/>
      <c r="P115" s="85"/>
      <c r="Q115" s="85"/>
      <c r="R115" s="85"/>
      <c r="S115" s="85"/>
      <c r="T115" s="85"/>
      <c r="U115" s="85"/>
      <c r="V115" s="85"/>
      <c r="W115" s="85"/>
      <c r="X115" s="85"/>
      <c r="Y115" s="85"/>
      <c r="Z115" s="85"/>
      <c r="AA115" s="85"/>
      <c r="AB115" s="85"/>
      <c r="AC115" s="85"/>
    </row>
    <row r="116" spans="1:29" hidden="1" x14ac:dyDescent="0.25">
      <c r="A116" s="1389" t="str">
        <f>COA!B117</f>
        <v>5999 Uncategorized Income</v>
      </c>
      <c r="B116" s="1390">
        <f>_xlfn.XLOOKUP(A116,'TB.1 - F25'!A:A,'TB.1 - F25'!D:D,0,0,1)</f>
        <v>0</v>
      </c>
      <c r="C116" s="1390">
        <f>_xlfn.XLOOKUP(A116,'TB.1 - F25'!A:A,'TB.1 - F25'!H:H,0,0,1)</f>
        <v>0</v>
      </c>
      <c r="D116" s="1390">
        <f>_xlfn.XLOOKUP(A116,'AJE.1 - F25'!A:A,'AJE.1 - F25'!F:F,0,0,1)</f>
        <v>0</v>
      </c>
      <c r="E116" s="1390"/>
      <c r="F116" s="219">
        <f t="shared" si="22"/>
        <v>0</v>
      </c>
      <c r="G116" s="178" t="str">
        <f>_xlfn.XLOOKUP($A116,COA!$B:$B,COA!$C:$C,0,0,1)</f>
        <v>Revenues</v>
      </c>
      <c r="H116" s="178" t="str">
        <f>_xlfn.XLOOKUP($A116,COA!$B:$B,COA!$D:$D,0,0,1)</f>
        <v>Revenues</v>
      </c>
      <c r="I116" s="178" t="str">
        <f>_xlfn.XLOOKUP($A116,COA!$B:$B,COA!$E:$E,0,0,1)</f>
        <v>Accumulated deficit</v>
      </c>
      <c r="K116" s="85" t="str">
        <f>_xlfn.XLOOKUP(I116,FS.1!A:A,I:I,0,0,1)</f>
        <v>Payroll liabilities</v>
      </c>
      <c r="L116" s="87"/>
      <c r="M116" s="87"/>
      <c r="N116" s="87"/>
      <c r="O116" s="87"/>
      <c r="P116" s="85"/>
      <c r="Q116" s="85"/>
      <c r="R116" s="85"/>
      <c r="S116" s="85"/>
      <c r="T116" s="85"/>
      <c r="U116" s="85"/>
      <c r="V116" s="85"/>
      <c r="W116" s="85"/>
      <c r="X116" s="85"/>
      <c r="Y116" s="85"/>
      <c r="Z116" s="85"/>
      <c r="AA116" s="85"/>
      <c r="AB116" s="85"/>
      <c r="AC116" s="85"/>
    </row>
    <row r="117" spans="1:29" hidden="1" x14ac:dyDescent="0.25">
      <c r="A117" s="1389" t="str">
        <f>COA!B118</f>
        <v>5999 Unapplied Cash Payment Income</v>
      </c>
      <c r="B117" s="1390">
        <f>_xlfn.XLOOKUP(A117,'TB.1 - F25'!A:A,'TB.1 - F25'!D:D,0,0,1)</f>
        <v>0</v>
      </c>
      <c r="C117" s="1390">
        <f>_xlfn.XLOOKUP(A117,'TB.1 - F25'!A:A,'TB.1 - F25'!H:H,0,0,1)</f>
        <v>0</v>
      </c>
      <c r="D117" s="1390">
        <f>_xlfn.XLOOKUP(A117,'AJE.1 - F25'!A:A,'AJE.1 - F25'!F:F,0,0,1)</f>
        <v>0</v>
      </c>
      <c r="E117" s="1390"/>
      <c r="F117" s="219">
        <f t="shared" si="22"/>
        <v>0</v>
      </c>
      <c r="G117" s="178" t="str">
        <f>_xlfn.XLOOKUP($A117,COA!$B:$B,COA!$C:$C,0,0,1)</f>
        <v xml:space="preserve">Other income </v>
      </c>
      <c r="H117" s="178" t="str">
        <f>_xlfn.XLOOKUP($A117,COA!$B:$B,COA!$D:$D,0,0,1)</f>
        <v xml:space="preserve">Other income </v>
      </c>
      <c r="I117" s="178" t="str">
        <f>_xlfn.XLOOKUP($A117,COA!$B:$B,COA!$E:$E,0,0,1)</f>
        <v>Accumulated deficit</v>
      </c>
      <c r="K117" s="85" t="str">
        <f>_xlfn.XLOOKUP(I117,FS.1!A:A,I:I,0,0,1)</f>
        <v>Payroll liabilities</v>
      </c>
      <c r="L117" s="87"/>
      <c r="M117" s="87"/>
      <c r="N117" s="87"/>
      <c r="O117" s="87"/>
      <c r="P117" s="85"/>
      <c r="Q117" s="85"/>
      <c r="R117" s="85"/>
      <c r="S117" s="85"/>
      <c r="T117" s="85"/>
      <c r="U117" s="85"/>
      <c r="V117" s="85"/>
      <c r="W117" s="85"/>
      <c r="X117" s="85"/>
      <c r="Y117" s="85"/>
      <c r="Z117" s="85"/>
      <c r="AA117" s="85"/>
      <c r="AB117" s="85"/>
      <c r="AC117" s="85"/>
    </row>
    <row r="118" spans="1:29" hidden="1" x14ac:dyDescent="0.25">
      <c r="A118" s="1389" t="str">
        <f>COA!B119</f>
        <v>6000 Payroll Expenses</v>
      </c>
      <c r="B118" s="1390">
        <f>_xlfn.XLOOKUP(A118,'TB.1 - F25'!A:A,'TB.1 - F25'!D:D,0,0,1)</f>
        <v>0</v>
      </c>
      <c r="C118" s="1390">
        <f>_xlfn.XLOOKUP(A118,'TB.1 - F25'!A:A,'TB.1 - F25'!H:H,0,0,1)</f>
        <v>0</v>
      </c>
      <c r="D118" s="1390">
        <f>_xlfn.XLOOKUP(A118,'AJE.1 - F25'!A:A,'AJE.1 - F25'!F:F,0,0,1)</f>
        <v>0</v>
      </c>
      <c r="E118" s="1390"/>
      <c r="F118" s="219">
        <f t="shared" si="22"/>
        <v>0</v>
      </c>
      <c r="G118" s="178" t="str">
        <f>_xlfn.XLOOKUP($A118,COA!$B:$B,COA!$C:$C,0,0,1)</f>
        <v>General and administration</v>
      </c>
      <c r="H118" s="178" t="str">
        <f>_xlfn.XLOOKUP($A118,COA!$B:$B,COA!$D:$D,0,0,1)</f>
        <v xml:space="preserve">Salaries, wages, and benefits </v>
      </c>
      <c r="I118" s="178" t="str">
        <f>_xlfn.XLOOKUP($A118,COA!$B:$B,COA!$E:$E,0,0,1)</f>
        <v>Accumulated deficit</v>
      </c>
      <c r="K118" s="85" t="str">
        <f>_xlfn.XLOOKUP(I118,FS.1!A:A,I:I,0,0,1)</f>
        <v>Payroll liabilities</v>
      </c>
      <c r="L118" s="87"/>
      <c r="M118" s="87"/>
      <c r="N118" s="87"/>
      <c r="O118" s="87"/>
      <c r="P118" s="85"/>
      <c r="Q118" s="85"/>
      <c r="R118" s="85"/>
      <c r="S118" s="85"/>
      <c r="T118" s="85"/>
      <c r="U118" s="85"/>
      <c r="V118" s="85"/>
      <c r="W118" s="85"/>
      <c r="X118" s="85"/>
      <c r="Y118" s="85"/>
      <c r="Z118" s="85"/>
      <c r="AA118" s="85"/>
      <c r="AB118" s="85"/>
      <c r="AC118" s="85"/>
    </row>
    <row r="119" spans="1:29" hidden="1" x14ac:dyDescent="0.25">
      <c r="A119" s="1389" t="str">
        <f>COA!B120</f>
        <v>6001 Payroll Expenses:Management Salaries</v>
      </c>
      <c r="B119" s="1390">
        <f>_xlfn.XLOOKUP(A119,'TB.1 - F25'!A:A,'TB.1 - F25'!D:D,0,0,1)</f>
        <v>0</v>
      </c>
      <c r="C119" s="1390">
        <f>_xlfn.XLOOKUP(A119,'TB.1 - F25'!A:A,'TB.1 - F25'!H:H,0,0,1)</f>
        <v>0</v>
      </c>
      <c r="D119" s="1390">
        <f>_xlfn.XLOOKUP(A119,'AJE.1 - F25'!A:A,'AJE.1 - F25'!F:F,0,0,1)</f>
        <v>0</v>
      </c>
      <c r="E119" s="1390"/>
      <c r="F119" s="219">
        <f t="shared" si="22"/>
        <v>0</v>
      </c>
      <c r="G119" s="178" t="str">
        <f>_xlfn.XLOOKUP($A119,COA!$B:$B,COA!$C:$C,0,0,1)</f>
        <v>General and administration</v>
      </c>
      <c r="H119" s="178" t="str">
        <f>_xlfn.XLOOKUP($A119,COA!$B:$B,COA!$D:$D,0,0,1)</f>
        <v xml:space="preserve">Salaries, wages, and benefits </v>
      </c>
      <c r="I119" s="178" t="str">
        <f>_xlfn.XLOOKUP($A119,COA!$B:$B,COA!$E:$E,0,0,1)</f>
        <v>Accumulated deficit</v>
      </c>
      <c r="K119" s="85" t="str">
        <f>_xlfn.XLOOKUP(I119,FS.1!A:A,I:I,0,0,1)</f>
        <v>Payroll liabilities</v>
      </c>
      <c r="L119" s="87"/>
      <c r="M119" s="87"/>
      <c r="N119" s="87"/>
      <c r="O119" s="87"/>
      <c r="P119" s="85"/>
      <c r="Q119" s="85"/>
      <c r="R119" s="85"/>
      <c r="S119" s="85"/>
      <c r="T119" s="85"/>
      <c r="U119" s="85"/>
      <c r="V119" s="85"/>
      <c r="W119" s="85"/>
      <c r="X119" s="85"/>
      <c r="Y119" s="85"/>
      <c r="Z119" s="85"/>
      <c r="AA119" s="85"/>
      <c r="AB119" s="85"/>
      <c r="AC119" s="85"/>
    </row>
    <row r="120" spans="1:29" hidden="1" x14ac:dyDescent="0.25">
      <c r="A120" s="1389" t="str">
        <f>COA!B121</f>
        <v>6002 Payroll Expenses:Wages</v>
      </c>
      <c r="B120" s="1390">
        <f>_xlfn.XLOOKUP(A120,'TB.1 - F25'!A:A,'TB.1 - F25'!D:D,0,0,1)</f>
        <v>0</v>
      </c>
      <c r="C120" s="1390">
        <f>_xlfn.XLOOKUP(A120,'TB.1 - F25'!A:A,'TB.1 - F25'!H:H,0,0,1)</f>
        <v>0</v>
      </c>
      <c r="D120" s="1390">
        <f>_xlfn.XLOOKUP(A120,'AJE.1 - F25'!A:A,'AJE.1 - F25'!F:F,0,0,1)</f>
        <v>0</v>
      </c>
      <c r="E120" s="1390"/>
      <c r="F120" s="219">
        <f t="shared" si="22"/>
        <v>0</v>
      </c>
      <c r="G120" s="178" t="str">
        <f>_xlfn.XLOOKUP($A120,COA!$B:$B,COA!$C:$C,0,0,1)</f>
        <v>General and administration</v>
      </c>
      <c r="H120" s="178" t="str">
        <f>_xlfn.XLOOKUP($A120,COA!$B:$B,COA!$D:$D,0,0,1)</f>
        <v xml:space="preserve">Salaries, wages, and benefits </v>
      </c>
      <c r="I120" s="178" t="str">
        <f>_xlfn.XLOOKUP($A120,COA!$B:$B,COA!$E:$E,0,0,1)</f>
        <v>Accumulated deficit</v>
      </c>
      <c r="K120" s="85" t="str">
        <f>_xlfn.XLOOKUP(I120,FS.1!A:A,I:I,0,0,1)</f>
        <v>Payroll liabilities</v>
      </c>
      <c r="L120" s="87"/>
      <c r="M120" s="87"/>
      <c r="N120" s="87"/>
      <c r="O120" s="87"/>
      <c r="P120" s="85"/>
      <c r="Q120" s="85"/>
      <c r="R120" s="85"/>
      <c r="S120" s="85"/>
      <c r="T120" s="85"/>
      <c r="U120" s="85"/>
      <c r="V120" s="85"/>
      <c r="W120" s="85"/>
      <c r="X120" s="85"/>
      <c r="Y120" s="85"/>
      <c r="Z120" s="85"/>
      <c r="AA120" s="85"/>
      <c r="AB120" s="85"/>
      <c r="AC120" s="85"/>
    </row>
    <row r="121" spans="1:29" hidden="1" x14ac:dyDescent="0.25">
      <c r="A121" s="1389" t="str">
        <f>COA!B122</f>
        <v>6003 Payroll Expenses:Vacation Pay</v>
      </c>
      <c r="B121" s="1390">
        <f>_xlfn.XLOOKUP(A121,'TB.1 - F25'!A:A,'TB.1 - F25'!D:D,0,0,1)</f>
        <v>0</v>
      </c>
      <c r="C121" s="1390">
        <f>_xlfn.XLOOKUP(A121,'TB.1 - F25'!A:A,'TB.1 - F25'!H:H,0,0,1)</f>
        <v>0</v>
      </c>
      <c r="D121" s="1390">
        <f>_xlfn.XLOOKUP(A121,'AJE.1 - F25'!A:A,'AJE.1 - F25'!F:F,0,0,1)</f>
        <v>0</v>
      </c>
      <c r="E121" s="1390"/>
      <c r="F121" s="219">
        <f t="shared" si="22"/>
        <v>0</v>
      </c>
      <c r="G121" s="178" t="str">
        <f>_xlfn.XLOOKUP($A121,COA!$B:$B,COA!$C:$C,0,0,1)</f>
        <v>General and administration</v>
      </c>
      <c r="H121" s="178" t="str">
        <f>_xlfn.XLOOKUP($A121,COA!$B:$B,COA!$D:$D,0,0,1)</f>
        <v xml:space="preserve">Salaries, wages, and benefits </v>
      </c>
      <c r="I121" s="178" t="str">
        <f>_xlfn.XLOOKUP($A121,COA!$B:$B,COA!$E:$E,0,0,1)</f>
        <v>Accumulated deficit</v>
      </c>
      <c r="K121" s="85" t="str">
        <f>_xlfn.XLOOKUP(I121,FS.1!A:A,I:I,0,0,1)</f>
        <v>Payroll liabilities</v>
      </c>
      <c r="L121" s="87"/>
      <c r="M121" s="87"/>
      <c r="N121" s="87"/>
      <c r="O121" s="87"/>
      <c r="P121" s="85"/>
      <c r="Q121" s="85"/>
      <c r="R121" s="85"/>
      <c r="S121" s="85"/>
      <c r="T121" s="85"/>
      <c r="U121" s="85"/>
      <c r="V121" s="85"/>
      <c r="W121" s="85"/>
      <c r="X121" s="85"/>
      <c r="Y121" s="85"/>
      <c r="Z121" s="85"/>
      <c r="AA121" s="85"/>
      <c r="AB121" s="85"/>
      <c r="AC121" s="85"/>
    </row>
    <row r="122" spans="1:29" hidden="1" x14ac:dyDescent="0.25">
      <c r="A122" s="1389" t="str">
        <f>COA!B123</f>
        <v>6004 Payroll Expenses:Employer Taxes</v>
      </c>
      <c r="B122" s="1390">
        <f>_xlfn.XLOOKUP(A122,'TB.1 - F25'!A:A,'TB.1 - F25'!D:D,0,0,1)</f>
        <v>0</v>
      </c>
      <c r="C122" s="1390">
        <f>_xlfn.XLOOKUP(A122,'TB.1 - F25'!A:A,'TB.1 - F25'!H:H,0,0,1)</f>
        <v>0</v>
      </c>
      <c r="D122" s="1390">
        <f>_xlfn.XLOOKUP(A122,'AJE.1 - F25'!A:A,'AJE.1 - F25'!F:F,0,0,1)</f>
        <v>0</v>
      </c>
      <c r="E122" s="1390"/>
      <c r="F122" s="219">
        <f t="shared" si="22"/>
        <v>0</v>
      </c>
      <c r="G122" s="178" t="str">
        <f>_xlfn.XLOOKUP($A122,COA!$B:$B,COA!$C:$C,0,0,1)</f>
        <v>General and administration</v>
      </c>
      <c r="H122" s="178" t="str">
        <f>_xlfn.XLOOKUP($A122,COA!$B:$B,COA!$D:$D,0,0,1)</f>
        <v xml:space="preserve">Salaries, wages, and benefits </v>
      </c>
      <c r="I122" s="178" t="str">
        <f>_xlfn.XLOOKUP($A122,COA!$B:$B,COA!$E:$E,0,0,1)</f>
        <v>Accumulated deficit</v>
      </c>
      <c r="K122" s="85" t="str">
        <f>_xlfn.XLOOKUP(I122,FS.1!A:A,I:I,0,0,1)</f>
        <v>Payroll liabilities</v>
      </c>
      <c r="L122" s="87"/>
      <c r="M122" s="87"/>
      <c r="N122" s="87"/>
      <c r="O122" s="87"/>
      <c r="P122" s="85"/>
      <c r="Q122" s="85"/>
      <c r="R122" s="85"/>
      <c r="S122" s="85"/>
      <c r="T122" s="85"/>
      <c r="U122" s="85"/>
      <c r="V122" s="85"/>
      <c r="W122" s="85"/>
      <c r="X122" s="85"/>
      <c r="Y122" s="85"/>
      <c r="Z122" s="85"/>
      <c r="AA122" s="85"/>
      <c r="AB122" s="85"/>
      <c r="AC122" s="85"/>
    </row>
    <row r="123" spans="1:29" hidden="1" x14ac:dyDescent="0.25">
      <c r="A123" s="1389" t="str">
        <f>COA!B124</f>
        <v>6005 Payroll Expenses:WCB Expense</v>
      </c>
      <c r="B123" s="1390">
        <f>_xlfn.XLOOKUP(A123,'TB.1 - F25'!A:A,'TB.1 - F25'!D:D,0,0,1)</f>
        <v>0</v>
      </c>
      <c r="C123" s="1390">
        <f>_xlfn.XLOOKUP(A123,'TB.1 - F25'!A:A,'TB.1 - F25'!H:H,0,0,1)</f>
        <v>0</v>
      </c>
      <c r="D123" s="1390">
        <f>_xlfn.XLOOKUP(A123,'AJE.1 - F25'!A:A,'AJE.1 - F25'!F:F,0,0,1)</f>
        <v>0</v>
      </c>
      <c r="E123" s="1390"/>
      <c r="F123" s="219">
        <f t="shared" si="22"/>
        <v>0</v>
      </c>
      <c r="G123" s="178" t="str">
        <f>_xlfn.XLOOKUP($A123,COA!$B:$B,COA!$C:$C,0,0,1)</f>
        <v>General and administration</v>
      </c>
      <c r="H123" s="178" t="str">
        <f>_xlfn.XLOOKUP($A123,COA!$B:$B,COA!$D:$D,0,0,1)</f>
        <v xml:space="preserve">Salaries, wages, and benefits </v>
      </c>
      <c r="I123" s="178" t="str">
        <f>_xlfn.XLOOKUP($A123,COA!$B:$B,COA!$E:$E,0,0,1)</f>
        <v>Accumulated deficit</v>
      </c>
      <c r="K123" s="85" t="str">
        <f>_xlfn.XLOOKUP(I123,FS.1!A:A,I:I,0,0,1)</f>
        <v>Payroll liabilities</v>
      </c>
      <c r="L123" s="87"/>
      <c r="M123" s="87"/>
      <c r="N123" s="87"/>
      <c r="O123" s="87"/>
      <c r="P123" s="85"/>
      <c r="Q123" s="85"/>
      <c r="R123" s="85"/>
      <c r="S123" s="85"/>
      <c r="T123" s="85"/>
      <c r="U123" s="85"/>
      <c r="V123" s="85"/>
      <c r="W123" s="85"/>
      <c r="X123" s="85"/>
      <c r="Y123" s="85"/>
      <c r="Z123" s="85"/>
      <c r="AA123" s="85"/>
      <c r="AB123" s="85"/>
      <c r="AC123" s="85"/>
    </row>
    <row r="124" spans="1:29" hidden="1" x14ac:dyDescent="0.25">
      <c r="A124" s="1389" t="str">
        <f>COA!B125</f>
        <v>6010 Other G&amp;A</v>
      </c>
      <c r="B124" s="1390">
        <f>_xlfn.XLOOKUP(A124,'TB.1 - F25'!A:A,'TB.1 - F25'!D:D,0,0,1)</f>
        <v>0</v>
      </c>
      <c r="C124" s="1390">
        <f>_xlfn.XLOOKUP(A124,'TB.1 - F25'!A:A,'TB.1 - F25'!H:H,0,0,1)</f>
        <v>0</v>
      </c>
      <c r="D124" s="1390">
        <f>_xlfn.XLOOKUP(A124,'AJE.1 - F25'!A:A,'AJE.1 - F25'!F:F,0,0,1)</f>
        <v>0</v>
      </c>
      <c r="E124" s="1390"/>
      <c r="F124" s="219">
        <f t="shared" si="22"/>
        <v>0</v>
      </c>
      <c r="G124" s="178" t="str">
        <f>_xlfn.XLOOKUP($A124,COA!$B:$B,COA!$C:$C,0,0,1)</f>
        <v>General and administration</v>
      </c>
      <c r="H124" s="178" t="str">
        <f>_xlfn.XLOOKUP($A124,COA!$B:$B,COA!$D:$D,0,0,1)</f>
        <v>Office expenses</v>
      </c>
      <c r="I124" s="178" t="str">
        <f>_xlfn.XLOOKUP($A124,COA!$B:$B,COA!$E:$E,0,0,1)</f>
        <v>Accumulated deficit</v>
      </c>
      <c r="K124" s="85" t="str">
        <f>_xlfn.XLOOKUP(I124,FS.1!A:A,I:I,0,0,1)</f>
        <v>Payroll liabilities</v>
      </c>
      <c r="L124" s="87"/>
      <c r="M124" s="87"/>
      <c r="N124" s="87"/>
      <c r="O124" s="87"/>
      <c r="P124" s="85"/>
      <c r="Q124" s="85"/>
      <c r="R124" s="85"/>
      <c r="S124" s="85"/>
      <c r="T124" s="85"/>
      <c r="U124" s="85"/>
      <c r="V124" s="85"/>
      <c r="W124" s="85"/>
      <c r="X124" s="85"/>
      <c r="Y124" s="85"/>
      <c r="Z124" s="85"/>
      <c r="AA124" s="85"/>
      <c r="AB124" s="85"/>
      <c r="AC124" s="85"/>
    </row>
    <row r="125" spans="1:29" x14ac:dyDescent="0.25">
      <c r="A125" s="1389" t="str">
        <f>COA!B126</f>
        <v>6011 Bank charges</v>
      </c>
      <c r="B125" s="1390">
        <f>_xlfn.XLOOKUP(A125,'TB.1 - F25'!A:A,'TB.1 - F25'!D:D,0,0,1)</f>
        <v>1602.05</v>
      </c>
      <c r="C125" s="1390">
        <f>_xlfn.XLOOKUP(A125,'TB.1 - F25'!A:A,'TB.1 - F25'!H:H,0,0,1)</f>
        <v>678.5</v>
      </c>
      <c r="D125" s="1390">
        <f>_xlfn.XLOOKUP(A125,'AJE.1 - F25'!A:A,'AJE.1 - F25'!F:F,0,0,1)</f>
        <v>0</v>
      </c>
      <c r="E125" s="1390"/>
      <c r="F125" s="219">
        <f t="shared" si="22"/>
        <v>2281</v>
      </c>
      <c r="G125" s="178" t="str">
        <f>_xlfn.XLOOKUP($A125,COA!$B:$B,COA!$C:$C,0,0,1)</f>
        <v>General and administration</v>
      </c>
      <c r="H125" s="178" t="str">
        <f>_xlfn.XLOOKUP($A125,COA!$B:$B,COA!$D:$D,0,0,1)</f>
        <v>Bank fees</v>
      </c>
      <c r="I125" s="178" t="str">
        <f>_xlfn.XLOOKUP($A125,COA!$B:$B,COA!$E:$E,0,0,1)</f>
        <v>Accumulated deficit</v>
      </c>
      <c r="K125" s="85" t="str">
        <f>I125</f>
        <v>Accumulated deficit</v>
      </c>
      <c r="L125" s="87"/>
      <c r="M125" s="87"/>
      <c r="N125" s="87"/>
      <c r="O125" s="87"/>
      <c r="P125" s="85"/>
      <c r="Q125" s="85"/>
      <c r="R125" s="85"/>
      <c r="S125" s="85"/>
      <c r="T125" s="85"/>
      <c r="U125" s="85"/>
      <c r="V125" s="85"/>
      <c r="W125" s="85"/>
      <c r="X125" s="85"/>
      <c r="Y125" s="85"/>
      <c r="Z125" s="85"/>
      <c r="AA125" s="85"/>
      <c r="AB125" s="85"/>
      <c r="AC125" s="85"/>
    </row>
    <row r="126" spans="1:29" hidden="1" x14ac:dyDescent="0.25">
      <c r="A126" s="1389" t="str">
        <f>COA!B127</f>
        <v>6012 Bad debts</v>
      </c>
      <c r="B126" s="1390">
        <f>_xlfn.XLOOKUP(A126,'TB.1 - F25'!A:A,'TB.1 - F25'!D:D,0,0,1)</f>
        <v>0</v>
      </c>
      <c r="C126" s="1390">
        <f>_xlfn.XLOOKUP(A126,'TB.1 - F25'!A:A,'TB.1 - F25'!H:H,0,0,1)</f>
        <v>0</v>
      </c>
      <c r="D126" s="1390">
        <f>_xlfn.XLOOKUP(A126,'AJE.1 - F25'!A:A,'AJE.1 - F25'!F:F,0,0,1)</f>
        <v>0</v>
      </c>
      <c r="E126" s="1390"/>
      <c r="F126" s="219">
        <f t="shared" si="22"/>
        <v>0</v>
      </c>
      <c r="G126" s="178" t="str">
        <f>_xlfn.XLOOKUP($A126,COA!$B:$B,COA!$C:$C,0,0,1)</f>
        <v>General and administration</v>
      </c>
      <c r="H126" s="178" t="str">
        <f>_xlfn.XLOOKUP($A126,COA!$B:$B,COA!$D:$D,0,0,1)</f>
        <v>Bad debt expense</v>
      </c>
      <c r="I126" s="178" t="str">
        <f>_xlfn.XLOOKUP($A126,COA!$B:$B,COA!$E:$E,0,0,1)</f>
        <v>Accumulated deficit</v>
      </c>
      <c r="K126" s="85" t="str">
        <f>_xlfn.XLOOKUP(I126,FS.1!A:A,I:I,0,0,1)</f>
        <v>Payroll liabilities</v>
      </c>
      <c r="L126" s="87"/>
      <c r="M126" s="87"/>
      <c r="N126" s="87"/>
      <c r="O126" s="87"/>
      <c r="P126" s="85"/>
      <c r="Q126" s="85"/>
      <c r="R126" s="85"/>
      <c r="S126" s="85"/>
      <c r="T126" s="85"/>
      <c r="U126" s="85"/>
      <c r="V126" s="85"/>
      <c r="W126" s="85"/>
      <c r="X126" s="85"/>
      <c r="Y126" s="85"/>
      <c r="Z126" s="85"/>
      <c r="AA126" s="85"/>
      <c r="AB126" s="85"/>
      <c r="AC126" s="85"/>
    </row>
    <row r="127" spans="1:29" hidden="1" x14ac:dyDescent="0.25">
      <c r="A127" s="1389" t="str">
        <f>COA!B128</f>
        <v>6012 Bad Debt</v>
      </c>
      <c r="B127" s="1390">
        <f>_xlfn.XLOOKUP(A127,'TB.1 - F25'!A:A,'TB.1 - F25'!D:D,0,0,1)</f>
        <v>0</v>
      </c>
      <c r="C127" s="1390">
        <f>_xlfn.XLOOKUP(A127,'TB.1 - F25'!A:A,'TB.1 - F25'!H:H,0,0,1)</f>
        <v>0</v>
      </c>
      <c r="D127" s="1390">
        <f>_xlfn.XLOOKUP(A127,'AJE.1 - F25'!A:A,'AJE.1 - F25'!F:F,0,0,1)</f>
        <v>0</v>
      </c>
      <c r="E127" s="1390"/>
      <c r="F127" s="219">
        <f t="shared" si="22"/>
        <v>0</v>
      </c>
      <c r="G127" s="178" t="str">
        <f>_xlfn.XLOOKUP($A127,COA!$B:$B,COA!$C:$C,0,0,1)</f>
        <v>General and administration</v>
      </c>
      <c r="H127" s="178" t="str">
        <f>_xlfn.XLOOKUP($A127,COA!$B:$B,COA!$D:$D,0,0,1)</f>
        <v>Bad debt expense</v>
      </c>
      <c r="I127" s="178" t="str">
        <f>_xlfn.XLOOKUP($A127,COA!$B:$B,COA!$E:$E,0,0,1)</f>
        <v>Accumulated deficit</v>
      </c>
      <c r="K127" s="85" t="str">
        <f>_xlfn.XLOOKUP(I127,FS.1!A:A,I:I,0,0,1)</f>
        <v>Payroll liabilities</v>
      </c>
      <c r="L127" s="87"/>
      <c r="M127" s="87"/>
      <c r="N127" s="87"/>
      <c r="O127" s="87"/>
      <c r="P127" s="85"/>
      <c r="Q127" s="85"/>
      <c r="R127" s="85"/>
      <c r="S127" s="85"/>
      <c r="T127" s="85"/>
      <c r="U127" s="85"/>
      <c r="V127" s="85"/>
      <c r="W127" s="85"/>
      <c r="X127" s="85"/>
      <c r="Y127" s="85"/>
      <c r="Z127" s="85"/>
      <c r="AA127" s="85"/>
      <c r="AB127" s="85"/>
      <c r="AC127" s="85"/>
    </row>
    <row r="128" spans="1:29" x14ac:dyDescent="0.25">
      <c r="A128" s="1389" t="str">
        <f>COA!B129</f>
        <v>6013 Interest expense</v>
      </c>
      <c r="B128" s="1390">
        <f>_xlfn.XLOOKUP(A128,'TB.1 - F25'!A:A,'TB.1 - F25'!D:D,0,0,1)</f>
        <v>37565</v>
      </c>
      <c r="C128" s="1390">
        <f>_xlfn.XLOOKUP(A128,'TB.1 - F25'!A:A,'TB.1 - F25'!H:H,0,0,1)</f>
        <v>7666.57</v>
      </c>
      <c r="D128" s="1390">
        <f>_xlfn.XLOOKUP(A128,'AJE.1 - F25'!A:A,'AJE.1 - F25'!F:F,0,0,1)</f>
        <v>0</v>
      </c>
      <c r="E128" s="1390"/>
      <c r="F128" s="219">
        <f t="shared" si="22"/>
        <v>45232</v>
      </c>
      <c r="G128" s="178" t="str">
        <f>_xlfn.XLOOKUP($A128,COA!$B:$B,COA!$C:$C,0,0,1)</f>
        <v>Interest expense</v>
      </c>
      <c r="H128" s="178" t="str">
        <f>_xlfn.XLOOKUP($A128,COA!$B:$B,COA!$D:$D,0,0,1)</f>
        <v>Interest expense</v>
      </c>
      <c r="I128" s="178" t="str">
        <f>_xlfn.XLOOKUP($A128,COA!$B:$B,COA!$E:$E,0,0,1)</f>
        <v>Accumulated deficit</v>
      </c>
      <c r="K128" s="85" t="str">
        <f>I128</f>
        <v>Accumulated deficit</v>
      </c>
      <c r="L128" s="87"/>
      <c r="M128" s="87"/>
      <c r="N128" s="87"/>
      <c r="O128" s="87"/>
      <c r="P128" s="85"/>
      <c r="Q128" s="85"/>
      <c r="R128" s="85"/>
      <c r="S128" s="85"/>
      <c r="T128" s="85"/>
      <c r="U128" s="85"/>
      <c r="V128" s="85"/>
      <c r="W128" s="85"/>
      <c r="X128" s="85"/>
      <c r="Y128" s="85"/>
      <c r="Z128" s="85"/>
      <c r="AA128" s="85"/>
      <c r="AB128" s="85"/>
      <c r="AC128" s="85"/>
    </row>
    <row r="129" spans="1:29" hidden="1" x14ac:dyDescent="0.25">
      <c r="A129" s="1389" t="str">
        <f>COA!B130</f>
        <v>6015 Accounting Fees</v>
      </c>
      <c r="B129" s="1390">
        <f>_xlfn.XLOOKUP(A129,'TB.1 - F25'!A:A,'TB.1 - F25'!D:D,0,0,1)</f>
        <v>0</v>
      </c>
      <c r="C129" s="1390">
        <f>_xlfn.XLOOKUP(A129,'TB.1 - F25'!A:A,'TB.1 - F25'!H:H,0,0,1)</f>
        <v>0</v>
      </c>
      <c r="D129" s="1390">
        <f>_xlfn.XLOOKUP(A129,'AJE.1 - F25'!A:A,'AJE.1 - F25'!F:F,0,0,1)</f>
        <v>0</v>
      </c>
      <c r="E129" s="1390"/>
      <c r="F129" s="219">
        <f t="shared" si="22"/>
        <v>0</v>
      </c>
      <c r="G129" s="178" t="str">
        <f>_xlfn.XLOOKUP($A129,COA!$B:$B,COA!$C:$C,0,0,1)</f>
        <v>General and administration</v>
      </c>
      <c r="H129" s="178" t="str">
        <f>_xlfn.XLOOKUP($A129,COA!$B:$B,COA!$D:$D,0,0,1)</f>
        <v>Professional fees</v>
      </c>
      <c r="I129" s="178" t="str">
        <f>_xlfn.XLOOKUP($A129,COA!$B:$B,COA!$E:$E,0,0,1)</f>
        <v>Accumulated deficit</v>
      </c>
      <c r="K129" s="85" t="str">
        <f>_xlfn.XLOOKUP(I129,FS.1!A:A,I:I,0,0,1)</f>
        <v>Payroll liabilities</v>
      </c>
      <c r="L129" s="87"/>
      <c r="M129" s="87"/>
      <c r="N129" s="87"/>
      <c r="O129" s="87"/>
      <c r="P129" s="85"/>
      <c r="Q129" s="85"/>
      <c r="R129" s="85"/>
      <c r="S129" s="85"/>
      <c r="T129" s="85"/>
      <c r="U129" s="85"/>
      <c r="V129" s="85"/>
      <c r="W129" s="85"/>
      <c r="X129" s="85"/>
      <c r="Y129" s="85"/>
      <c r="Z129" s="85"/>
      <c r="AA129" s="85"/>
      <c r="AB129" s="85"/>
      <c r="AC129" s="85"/>
    </row>
    <row r="130" spans="1:29" x14ac:dyDescent="0.25">
      <c r="A130" s="1389" t="str">
        <f>COA!B131</f>
        <v>6015 Accounting &amp; Legal</v>
      </c>
      <c r="B130" s="1390">
        <f>_xlfn.XLOOKUP(A130,'TB.1 - F25'!A:A,'TB.1 - F25'!D:D,0,0,1)</f>
        <v>0</v>
      </c>
      <c r="C130" s="1390">
        <f>_xlfn.XLOOKUP(A130,'TB.1 - F25'!A:A,'TB.1 - F25'!H:H,0,0,1)</f>
        <v>449.4</v>
      </c>
      <c r="D130" s="1390">
        <f>_xlfn.XLOOKUP(A130,'AJE.1 - F25'!A:A,'AJE.1 - F25'!F:F,0,0,1)</f>
        <v>0</v>
      </c>
      <c r="E130" s="1390"/>
      <c r="F130" s="219">
        <f t="shared" si="22"/>
        <v>449</v>
      </c>
      <c r="G130" s="178" t="str">
        <f>_xlfn.XLOOKUP($A130,COA!$B:$B,COA!$C:$C,0,0,1)</f>
        <v>General and administration</v>
      </c>
      <c r="H130" s="178" t="str">
        <f>_xlfn.XLOOKUP($A130,COA!$B:$B,COA!$D:$D,0,0,1)</f>
        <v>Professional fees</v>
      </c>
      <c r="I130" s="178" t="str">
        <f>_xlfn.XLOOKUP($A130,COA!$B:$B,COA!$E:$E,0,0,1)</f>
        <v>Accumulated deficit</v>
      </c>
      <c r="K130" s="85" t="str">
        <f t="shared" ref="K130:K147" si="23">I130</f>
        <v>Accumulated deficit</v>
      </c>
      <c r="L130" s="87"/>
      <c r="M130" s="87"/>
      <c r="N130" s="87"/>
      <c r="O130" s="87"/>
      <c r="P130" s="85"/>
      <c r="Q130" s="85"/>
      <c r="R130" s="85"/>
      <c r="S130" s="85"/>
      <c r="T130" s="85"/>
      <c r="U130" s="85"/>
      <c r="V130" s="85"/>
      <c r="W130" s="85"/>
      <c r="X130" s="85"/>
      <c r="Y130" s="85"/>
      <c r="Z130" s="85"/>
      <c r="AA130" s="85"/>
      <c r="AB130" s="85"/>
      <c r="AC130" s="85"/>
    </row>
    <row r="131" spans="1:29" x14ac:dyDescent="0.25">
      <c r="A131" s="1389" t="str">
        <f>COA!B132</f>
        <v>6016 Legal and professional fees</v>
      </c>
      <c r="B131" s="1390">
        <f>_xlfn.XLOOKUP(A131,'TB.1 - F25'!A:A,'TB.1 - F25'!D:D,0,0,1)</f>
        <v>133276.85</v>
      </c>
      <c r="C131" s="1390">
        <f>_xlfn.XLOOKUP(A131,'TB.1 - F25'!A:A,'TB.1 - F25'!H:H,0,0,1)</f>
        <v>0</v>
      </c>
      <c r="D131" s="1390">
        <f>_xlfn.XLOOKUP(A131,'AJE.1 - F25'!A:A,'AJE.1 - F25'!F:F,0,0,1)</f>
        <v>0</v>
      </c>
      <c r="E131" s="1390"/>
      <c r="F131" s="219">
        <f t="shared" si="22"/>
        <v>133277</v>
      </c>
      <c r="G131" s="178" t="str">
        <f>_xlfn.XLOOKUP($A131,COA!$B:$B,COA!$C:$C,0,0,1)</f>
        <v>General and administration</v>
      </c>
      <c r="H131" s="178" t="str">
        <f>_xlfn.XLOOKUP($A131,COA!$B:$B,COA!$D:$D,0,0,1)</f>
        <v>Professional fees</v>
      </c>
      <c r="I131" s="178" t="str">
        <f>_xlfn.XLOOKUP($A131,COA!$B:$B,COA!$E:$E,0,0,1)</f>
        <v>Accumulated deficit</v>
      </c>
      <c r="K131" s="85" t="str">
        <f t="shared" si="23"/>
        <v>Accumulated deficit</v>
      </c>
      <c r="L131" s="87"/>
      <c r="M131" s="87"/>
      <c r="N131" s="87"/>
      <c r="O131" s="87"/>
      <c r="P131" s="85"/>
      <c r="Q131" s="85"/>
      <c r="R131" s="85"/>
      <c r="S131" s="85"/>
      <c r="T131" s="85"/>
      <c r="U131" s="85"/>
      <c r="V131" s="85"/>
      <c r="W131" s="85"/>
      <c r="X131" s="85"/>
      <c r="Y131" s="85"/>
      <c r="Z131" s="85"/>
      <c r="AA131" s="85"/>
      <c r="AB131" s="85"/>
      <c r="AC131" s="85"/>
    </row>
    <row r="132" spans="1:29" x14ac:dyDescent="0.25">
      <c r="A132" s="1389" t="str">
        <f>COA!B133</f>
        <v>6016 Consulting Expense</v>
      </c>
      <c r="B132" s="1390">
        <f>_xlfn.XLOOKUP(A132,'TB.1 - F25'!A:A,'TB.1 - F25'!D:D,0,0,1)</f>
        <v>0</v>
      </c>
      <c r="C132" s="1390">
        <f>_xlfn.XLOOKUP(A132,'TB.1 - F25'!A:A,'TB.1 - F25'!H:H,0,0,1)</f>
        <v>225291.05</v>
      </c>
      <c r="D132" s="1390">
        <f>_xlfn.XLOOKUP(A132,'AJE.1 - F25'!A:A,'AJE.1 - F25'!F:F,0,0,1)</f>
        <v>0</v>
      </c>
      <c r="E132" s="1390"/>
      <c r="F132" s="219">
        <f t="shared" si="22"/>
        <v>225291</v>
      </c>
      <c r="G132" s="178" t="str">
        <f>_xlfn.XLOOKUP($A132,COA!$B:$B,COA!$C:$C,0,0,1)</f>
        <v>General and administration</v>
      </c>
      <c r="H132" s="178" t="str">
        <f>_xlfn.XLOOKUP($A132,COA!$B:$B,COA!$D:$D,0,0,1)</f>
        <v>Consulting expense</v>
      </c>
      <c r="I132" s="178" t="str">
        <f>_xlfn.XLOOKUP($A132,COA!$B:$B,COA!$E:$E,0,0,1)</f>
        <v>Accumulated deficit</v>
      </c>
      <c r="K132" s="85" t="str">
        <f t="shared" si="23"/>
        <v>Accumulated deficit</v>
      </c>
      <c r="L132" s="87"/>
      <c r="M132" s="87"/>
      <c r="N132" s="87"/>
      <c r="O132" s="87"/>
      <c r="P132" s="85"/>
      <c r="Q132" s="85"/>
      <c r="R132" s="85"/>
      <c r="S132" s="85"/>
      <c r="T132" s="85"/>
      <c r="U132" s="85"/>
      <c r="V132" s="85"/>
      <c r="W132" s="85"/>
      <c r="X132" s="85"/>
      <c r="Y132" s="85"/>
      <c r="Z132" s="85"/>
      <c r="AA132" s="85"/>
      <c r="AB132" s="85"/>
      <c r="AC132" s="85"/>
    </row>
    <row r="133" spans="1:29" x14ac:dyDescent="0.25">
      <c r="A133" s="1389" t="str">
        <f>COA!B134</f>
        <v>6017 Consulting Fees</v>
      </c>
      <c r="B133" s="1390">
        <f>_xlfn.XLOOKUP(A133,'TB.1 - F25'!A:A,'TB.1 - F25'!D:D,0,0,1)</f>
        <v>93000</v>
      </c>
      <c r="C133" s="1390">
        <f>_xlfn.XLOOKUP(A133,'TB.1 - F25'!A:A,'TB.1 - F25'!H:H,0,0,1)</f>
        <v>0</v>
      </c>
      <c r="D133" s="1390">
        <f>_xlfn.XLOOKUP(A133,'AJE.1 - F25'!A:A,'AJE.1 - F25'!F:F,0,0,1)</f>
        <v>0</v>
      </c>
      <c r="E133" s="1390"/>
      <c r="F133" s="219">
        <f t="shared" si="22"/>
        <v>93000</v>
      </c>
      <c r="G133" s="178" t="str">
        <f>_xlfn.XLOOKUP($A133,COA!$B:$B,COA!$C:$C,0,0,1)</f>
        <v>General and administration</v>
      </c>
      <c r="H133" s="178" t="str">
        <f>_xlfn.XLOOKUP($A133,COA!$B:$B,COA!$D:$D,0,0,1)</f>
        <v>Consulting expense</v>
      </c>
      <c r="I133" s="178" t="str">
        <f>_xlfn.XLOOKUP($A133,COA!$B:$B,COA!$E:$E,0,0,1)</f>
        <v>Accumulated deficit</v>
      </c>
      <c r="K133" s="85" t="str">
        <f t="shared" si="23"/>
        <v>Accumulated deficit</v>
      </c>
      <c r="L133" s="87"/>
      <c r="M133" s="87"/>
      <c r="N133" s="87"/>
      <c r="O133" s="87"/>
      <c r="P133" s="85"/>
      <c r="Q133" s="85"/>
      <c r="R133" s="85"/>
      <c r="S133" s="85"/>
      <c r="T133" s="85"/>
      <c r="U133" s="85"/>
      <c r="V133" s="85"/>
      <c r="W133" s="85"/>
      <c r="X133" s="85"/>
      <c r="Y133" s="85"/>
      <c r="Z133" s="85"/>
      <c r="AA133" s="85"/>
      <c r="AB133" s="85"/>
      <c r="AC133" s="85"/>
    </row>
    <row r="134" spans="1:29" x14ac:dyDescent="0.25">
      <c r="A134" s="1389" t="str">
        <f>COA!B135</f>
        <v>6018 Dues and Subscription</v>
      </c>
      <c r="B134" s="1390">
        <f>_xlfn.XLOOKUP(A134,'TB.1 - F25'!A:A,'TB.1 - F25'!D:D,0,0,1)</f>
        <v>0</v>
      </c>
      <c r="C134" s="1390">
        <f>_xlfn.XLOOKUP(A134,'TB.1 - F25'!A:A,'TB.1 - F25'!H:H,0,0,1)</f>
        <v>-29.16</v>
      </c>
      <c r="D134" s="1390">
        <f>_xlfn.XLOOKUP(A134,'AJE.1 - F25'!A:A,'AJE.1 - F25'!F:F,0,0,1)</f>
        <v>0</v>
      </c>
      <c r="E134" s="1390"/>
      <c r="F134" s="219">
        <f t="shared" ref="F134" si="24">ROUND(SUM(B134:E134),0)</f>
        <v>-29</v>
      </c>
      <c r="G134" s="178" t="str">
        <f>_xlfn.XLOOKUP($A134,COA!$B:$B,COA!$C:$C,0,0,1)</f>
        <v>General and administration</v>
      </c>
      <c r="H134" s="178" t="str">
        <f>_xlfn.XLOOKUP($A134,COA!$B:$B,COA!$D:$D,0,0,1)</f>
        <v>Dues, licenses, and permits</v>
      </c>
      <c r="I134" s="178" t="str">
        <f>_xlfn.XLOOKUP($A134,COA!$B:$B,COA!$E:$E,0,0,1)</f>
        <v>Accumulated deficit</v>
      </c>
      <c r="K134" s="85" t="str">
        <f t="shared" si="23"/>
        <v>Accumulated deficit</v>
      </c>
      <c r="L134" s="87"/>
      <c r="M134" s="87"/>
      <c r="N134" s="87"/>
      <c r="O134" s="87"/>
      <c r="P134" s="85"/>
      <c r="Q134" s="85"/>
      <c r="R134" s="85"/>
      <c r="S134" s="85"/>
      <c r="T134" s="85"/>
      <c r="U134" s="85"/>
      <c r="V134" s="85"/>
      <c r="W134" s="85"/>
      <c r="X134" s="85"/>
      <c r="Y134" s="85"/>
      <c r="Z134" s="85"/>
      <c r="AA134" s="85"/>
      <c r="AB134" s="85"/>
      <c r="AC134" s="85"/>
    </row>
    <row r="135" spans="1:29" x14ac:dyDescent="0.25">
      <c r="A135" s="1389" t="str">
        <f>COA!B136</f>
        <v>6020 Advertising &amp; Promotion</v>
      </c>
      <c r="B135" s="1390">
        <f>_xlfn.XLOOKUP(A135,'TB.1 - F25'!A:A,'TB.1 - F25'!D:D,0,0,1)</f>
        <v>0</v>
      </c>
      <c r="C135" s="1390">
        <f>_xlfn.XLOOKUP(A135,'TB.1 - F25'!A:A,'TB.1 - F25'!H:H,0,0,1)</f>
        <v>65281.8</v>
      </c>
      <c r="D135" s="1390">
        <f>_xlfn.XLOOKUP(A135,'AJE.1 - F25'!A:A,'AJE.1 - F25'!F:F,0,0,1)</f>
        <v>0</v>
      </c>
      <c r="E135" s="1390"/>
      <c r="F135" s="219">
        <f t="shared" si="22"/>
        <v>65282</v>
      </c>
      <c r="G135" s="178" t="str">
        <f>_xlfn.XLOOKUP($A135,COA!$B:$B,COA!$C:$C,0,0,1)</f>
        <v>Sales and marketing</v>
      </c>
      <c r="H135" s="178" t="str">
        <f>_xlfn.XLOOKUP($A135,COA!$B:$B,COA!$D:$D,0,0,1)</f>
        <v>Advertising and marketing</v>
      </c>
      <c r="I135" s="178" t="str">
        <f>_xlfn.XLOOKUP($A135,COA!$B:$B,COA!$E:$E,0,0,1)</f>
        <v>Accumulated deficit</v>
      </c>
      <c r="K135" s="85" t="str">
        <f t="shared" si="23"/>
        <v>Accumulated deficit</v>
      </c>
      <c r="L135" s="87"/>
      <c r="M135" s="87"/>
      <c r="N135" s="87"/>
      <c r="O135" s="87"/>
      <c r="P135" s="85"/>
      <c r="Q135" s="85"/>
      <c r="R135" s="85"/>
      <c r="S135" s="85"/>
      <c r="T135" s="85"/>
      <c r="U135" s="85"/>
      <c r="V135" s="85"/>
      <c r="W135" s="85"/>
      <c r="X135" s="85"/>
      <c r="Y135" s="85"/>
      <c r="Z135" s="85"/>
      <c r="AA135" s="85"/>
      <c r="AB135" s="85"/>
      <c r="AC135" s="85"/>
    </row>
    <row r="136" spans="1:29" x14ac:dyDescent="0.25">
      <c r="A136" s="1389" t="str">
        <f>COA!B137</f>
        <v>6021 Tradeshows and conventions</v>
      </c>
      <c r="B136" s="1390">
        <f>_xlfn.XLOOKUP(A136,'TB.1 - F25'!A:A,'TB.1 - F25'!D:D,0,0,1)</f>
        <v>0</v>
      </c>
      <c r="C136" s="1390">
        <f>_xlfn.XLOOKUP(A136,'TB.1 - F25'!A:A,'TB.1 - F25'!H:H,0,0,1)</f>
        <v>5675.68</v>
      </c>
      <c r="D136" s="1390">
        <f>_xlfn.XLOOKUP(A136,'AJE.1 - F25'!A:A,'AJE.1 - F25'!F:F,0,0,1)</f>
        <v>0</v>
      </c>
      <c r="E136" s="1390"/>
      <c r="F136" s="219">
        <f t="shared" si="22"/>
        <v>5676</v>
      </c>
      <c r="G136" s="178" t="str">
        <f>_xlfn.XLOOKUP($A136,COA!$B:$B,COA!$C:$C,0,0,1)</f>
        <v>Sales and marketing</v>
      </c>
      <c r="H136" s="178" t="str">
        <f>_xlfn.XLOOKUP($A136,COA!$B:$B,COA!$D:$D,0,0,1)</f>
        <v>Advertising and marketing</v>
      </c>
      <c r="I136" s="178" t="str">
        <f>_xlfn.XLOOKUP($A136,COA!$B:$B,COA!$E:$E,0,0,1)</f>
        <v>Accumulated deficit</v>
      </c>
      <c r="K136" s="85" t="str">
        <f t="shared" si="23"/>
        <v>Accumulated deficit</v>
      </c>
      <c r="L136" s="87"/>
      <c r="M136" s="87"/>
      <c r="N136" s="87"/>
      <c r="O136" s="87"/>
      <c r="P136" s="85"/>
      <c r="Q136" s="85"/>
      <c r="R136" s="85"/>
      <c r="S136" s="85"/>
      <c r="T136" s="85"/>
      <c r="U136" s="85"/>
      <c r="V136" s="85"/>
      <c r="W136" s="85"/>
      <c r="X136" s="85"/>
      <c r="Y136" s="85"/>
      <c r="Z136" s="85"/>
      <c r="AA136" s="85"/>
      <c r="AB136" s="85"/>
      <c r="AC136" s="85"/>
    </row>
    <row r="137" spans="1:29" x14ac:dyDescent="0.25">
      <c r="A137" s="1389" t="str">
        <f>COA!B138</f>
        <v>6025 Dues and Subscriptions</v>
      </c>
      <c r="B137" s="1390">
        <f>_xlfn.XLOOKUP(A137,'TB.1 - F25'!A:A,'TB.1 - F25'!D:D,0,0,1)</f>
        <v>1771.23</v>
      </c>
      <c r="C137" s="1390">
        <f>_xlfn.XLOOKUP(A137,'TB.1 - F25'!A:A,'TB.1 - F25'!H:H,0,0,1)</f>
        <v>0</v>
      </c>
      <c r="D137" s="1390">
        <f>_xlfn.XLOOKUP(A137,'AJE.1 - F25'!A:A,'AJE.1 - F25'!F:F,0,0,1)</f>
        <v>0</v>
      </c>
      <c r="E137" s="1390"/>
      <c r="F137" s="219">
        <f t="shared" si="22"/>
        <v>1771</v>
      </c>
      <c r="G137" s="178" t="str">
        <f>_xlfn.XLOOKUP($A137,COA!$B:$B,COA!$C:$C,0,0,1)</f>
        <v>General and administration</v>
      </c>
      <c r="H137" s="178" t="str">
        <f>_xlfn.XLOOKUP($A137,COA!$B:$B,COA!$D:$D,0,0,1)</f>
        <v>Dues, licenses, and permits</v>
      </c>
      <c r="I137" s="178" t="str">
        <f>_xlfn.XLOOKUP($A137,COA!$B:$B,COA!$E:$E,0,0,1)</f>
        <v>Accumulated deficit</v>
      </c>
      <c r="K137" s="85" t="str">
        <f t="shared" si="23"/>
        <v>Accumulated deficit</v>
      </c>
      <c r="L137" s="87"/>
      <c r="M137" s="87"/>
      <c r="N137" s="87"/>
      <c r="O137" s="87"/>
      <c r="P137" s="85"/>
      <c r="Q137" s="85"/>
      <c r="R137" s="85"/>
      <c r="S137" s="85"/>
      <c r="T137" s="85"/>
      <c r="U137" s="85"/>
      <c r="V137" s="85"/>
      <c r="W137" s="85"/>
      <c r="X137" s="85"/>
      <c r="Y137" s="85"/>
      <c r="Z137" s="85"/>
      <c r="AA137" s="85"/>
      <c r="AB137" s="85"/>
      <c r="AC137" s="85"/>
    </row>
    <row r="138" spans="1:29" hidden="1" x14ac:dyDescent="0.25">
      <c r="A138" s="1389" t="str">
        <f>COA!B139</f>
        <v>6025 Automobile</v>
      </c>
      <c r="B138" s="1390">
        <f>_xlfn.XLOOKUP(A138,'TB.1 - F25'!A:A,'TB.1 - F25'!D:D,0,0,1)</f>
        <v>0</v>
      </c>
      <c r="C138" s="1390">
        <f>_xlfn.XLOOKUP(A138,'TB.1 - F25'!A:A,'TB.1 - F25'!H:H,0,0,1)</f>
        <v>0</v>
      </c>
      <c r="D138" s="1390">
        <f>_xlfn.XLOOKUP(A138,'AJE.1 - F25'!A:A,'AJE.1 - F25'!F:F,0,0,1)</f>
        <v>0</v>
      </c>
      <c r="E138" s="1390"/>
      <c r="F138" s="219">
        <f t="shared" ref="F138:F169" si="25">ROUND(SUM(B138:E138),0)</f>
        <v>0</v>
      </c>
      <c r="G138" s="178" t="str">
        <f>_xlfn.XLOOKUP($A138,COA!$B:$B,COA!$C:$C,0,0,1)</f>
        <v>General and administration</v>
      </c>
      <c r="H138" s="178" t="str">
        <f>_xlfn.XLOOKUP($A138,COA!$B:$B,COA!$D:$D,0,0,1)</f>
        <v>Other miscellaneous</v>
      </c>
      <c r="I138" s="178" t="str">
        <f>_xlfn.XLOOKUP($A138,COA!$B:$B,COA!$E:$E,0,0,1)</f>
        <v>Accumulated deficit</v>
      </c>
      <c r="K138" s="85" t="str">
        <f>_xlfn.XLOOKUP(I138,FS.1!A:A,I:I,0,0,1)</f>
        <v>Payroll liabilities</v>
      </c>
      <c r="L138" s="87"/>
      <c r="M138" s="87"/>
      <c r="N138" s="87"/>
      <c r="O138" s="87"/>
      <c r="P138" s="85"/>
      <c r="Q138" s="85"/>
      <c r="R138" s="85"/>
      <c r="S138" s="85"/>
      <c r="T138" s="85"/>
      <c r="U138" s="85"/>
      <c r="V138" s="85"/>
      <c r="W138" s="85"/>
      <c r="X138" s="85"/>
      <c r="Y138" s="85"/>
      <c r="Z138" s="85"/>
      <c r="AA138" s="85"/>
      <c r="AB138" s="85"/>
      <c r="AC138" s="85"/>
    </row>
    <row r="139" spans="1:29" x14ac:dyDescent="0.25">
      <c r="A139" s="1389" t="str">
        <f>COA!B140</f>
        <v>6026 Fuel / Industrial Gas</v>
      </c>
      <c r="B139" s="1390">
        <f>_xlfn.XLOOKUP(A139,'TB.1 - F25'!A:A,'TB.1 - F25'!D:D,0,0,1)</f>
        <v>0</v>
      </c>
      <c r="C139" s="1390">
        <f>_xlfn.XLOOKUP(A139,'TB.1 - F25'!A:A,'TB.1 - F25'!H:H,0,0,1)</f>
        <v>1350.8</v>
      </c>
      <c r="D139" s="1390">
        <f>_xlfn.XLOOKUP(A139,'AJE.1 - F25'!A:A,'AJE.1 - F25'!F:F,0,0,1)</f>
        <v>0</v>
      </c>
      <c r="E139" s="1390"/>
      <c r="F139" s="219">
        <f t="shared" si="25"/>
        <v>1351</v>
      </c>
      <c r="G139" s="178" t="str">
        <f>_xlfn.XLOOKUP($A139,COA!$B:$B,COA!$C:$C,0,0,1)</f>
        <v>General and administration</v>
      </c>
      <c r="H139" s="178" t="str">
        <f>_xlfn.XLOOKUP($A139,COA!$B:$B,COA!$D:$D,0,0,1)</f>
        <v>Other miscellaneous</v>
      </c>
      <c r="I139" s="178" t="str">
        <f>_xlfn.XLOOKUP($A139,COA!$B:$B,COA!$E:$E,0,0,1)</f>
        <v>Accumulated deficit</v>
      </c>
      <c r="K139" s="85" t="str">
        <f t="shared" si="23"/>
        <v>Accumulated deficit</v>
      </c>
      <c r="L139" s="87"/>
      <c r="M139" s="87"/>
      <c r="N139" s="87"/>
      <c r="O139" s="87"/>
      <c r="P139" s="85"/>
      <c r="Q139" s="85"/>
      <c r="R139" s="85"/>
      <c r="S139" s="85"/>
      <c r="T139" s="85"/>
      <c r="U139" s="85"/>
      <c r="V139" s="85"/>
      <c r="W139" s="85"/>
      <c r="X139" s="85"/>
      <c r="Y139" s="85"/>
      <c r="Z139" s="85"/>
      <c r="AA139" s="85"/>
      <c r="AB139" s="85"/>
      <c r="AC139" s="85"/>
    </row>
    <row r="140" spans="1:29" hidden="1" x14ac:dyDescent="0.25">
      <c r="A140" s="1389" t="str">
        <f>COA!B141</f>
        <v>6030 Communications</v>
      </c>
      <c r="B140" s="1390">
        <f>_xlfn.XLOOKUP(A140,'TB.1 - F25'!A:A,'TB.1 - F25'!D:D,0,0,1)</f>
        <v>0</v>
      </c>
      <c r="C140" s="1390">
        <f>_xlfn.XLOOKUP(A140,'TB.1 - F25'!A:A,'TB.1 - F25'!H:H,0,0,1)</f>
        <v>0</v>
      </c>
      <c r="D140" s="1390">
        <f>_xlfn.XLOOKUP(A140,'AJE.1 - F25'!A:A,'AJE.1 - F25'!F:F,0,0,1)</f>
        <v>0</v>
      </c>
      <c r="E140" s="1390"/>
      <c r="F140" s="219">
        <f t="shared" si="25"/>
        <v>0</v>
      </c>
      <c r="G140" s="178" t="str">
        <f>_xlfn.XLOOKUP($A140,COA!$B:$B,COA!$C:$C,0,0,1)</f>
        <v>General and administration</v>
      </c>
      <c r="H140" s="178" t="str">
        <f>_xlfn.XLOOKUP($A140,COA!$B:$B,COA!$D:$D,0,0,1)</f>
        <v>Communications</v>
      </c>
      <c r="I140" s="178" t="str">
        <f>_xlfn.XLOOKUP($A140,COA!$B:$B,COA!$E:$E,0,0,1)</f>
        <v>Accumulated deficit</v>
      </c>
      <c r="K140" s="85" t="str">
        <f>_xlfn.XLOOKUP(I140,FS.1!A:A,I:I,0,0,1)</f>
        <v>Payroll liabilities</v>
      </c>
      <c r="L140" s="87"/>
      <c r="M140" s="87"/>
      <c r="N140" s="87"/>
      <c r="O140" s="87"/>
      <c r="P140" s="85"/>
      <c r="Q140" s="85"/>
      <c r="R140" s="85"/>
      <c r="S140" s="85"/>
      <c r="T140" s="85"/>
      <c r="U140" s="85"/>
      <c r="V140" s="85"/>
      <c r="W140" s="85"/>
      <c r="X140" s="85"/>
      <c r="Y140" s="85"/>
      <c r="Z140" s="85"/>
      <c r="AA140" s="85"/>
      <c r="AB140" s="85"/>
      <c r="AC140" s="85"/>
    </row>
    <row r="141" spans="1:29" x14ac:dyDescent="0.25">
      <c r="A141" s="1389" t="str">
        <f>COA!B142</f>
        <v>6031 IT Expense</v>
      </c>
      <c r="B141" s="1390">
        <f>_xlfn.XLOOKUP(A141,'TB.1 - F25'!A:A,'TB.1 - F25'!D:D,0,0,1)</f>
        <v>0</v>
      </c>
      <c r="C141" s="1390">
        <f>_xlfn.XLOOKUP(A141,'TB.1 - F25'!A:A,'TB.1 - F25'!H:H,0,0,1)</f>
        <v>2566.8200000000002</v>
      </c>
      <c r="D141" s="1390">
        <f>_xlfn.XLOOKUP(A141,'AJE.1 - F25'!A:A,'AJE.1 - F25'!F:F,0,0,1)</f>
        <v>0</v>
      </c>
      <c r="E141" s="1390"/>
      <c r="F141" s="219">
        <f t="shared" si="25"/>
        <v>2567</v>
      </c>
      <c r="G141" s="178" t="str">
        <f>_xlfn.XLOOKUP($A141,COA!$B:$B,COA!$C:$C,0,0,1)</f>
        <v>General and administration</v>
      </c>
      <c r="H141" s="178" t="str">
        <f>_xlfn.XLOOKUP($A141,COA!$B:$B,COA!$D:$D,0,0,1)</f>
        <v>Office expenses</v>
      </c>
      <c r="I141" s="178" t="str">
        <f>_xlfn.XLOOKUP($A141,COA!$B:$B,COA!$E:$E,0,0,1)</f>
        <v>Accumulated deficit</v>
      </c>
      <c r="K141" s="85" t="str">
        <f t="shared" si="23"/>
        <v>Accumulated deficit</v>
      </c>
      <c r="L141" s="87"/>
      <c r="M141" s="87"/>
      <c r="N141" s="87"/>
      <c r="O141" s="87"/>
      <c r="P141" s="85"/>
      <c r="Q141" s="85"/>
      <c r="R141" s="85"/>
      <c r="S141" s="85"/>
      <c r="T141" s="85"/>
      <c r="U141" s="85"/>
      <c r="V141" s="85"/>
      <c r="W141" s="85"/>
      <c r="X141" s="85"/>
      <c r="Y141" s="85"/>
      <c r="Z141" s="85"/>
      <c r="AA141" s="85"/>
      <c r="AB141" s="85"/>
      <c r="AC141" s="85"/>
    </row>
    <row r="142" spans="1:29" x14ac:dyDescent="0.25">
      <c r="A142" s="1389" t="str">
        <f>COA!B143</f>
        <v>6040 Meals and entertainment</v>
      </c>
      <c r="B142" s="1390">
        <f>_xlfn.XLOOKUP(A142,'TB.1 - F25'!A:A,'TB.1 - F25'!D:D,0,0,1)</f>
        <v>0</v>
      </c>
      <c r="C142" s="1390">
        <f>_xlfn.XLOOKUP(A142,'TB.1 - F25'!A:A,'TB.1 - F25'!H:H,0,0,1)</f>
        <v>934.17</v>
      </c>
      <c r="D142" s="1390">
        <f>_xlfn.XLOOKUP(A142,'AJE.1 - F25'!A:A,'AJE.1 - F25'!F:F,0,0,1)</f>
        <v>0</v>
      </c>
      <c r="E142" s="1390"/>
      <c r="F142" s="219">
        <f t="shared" si="25"/>
        <v>934</v>
      </c>
      <c r="G142" s="178" t="str">
        <f>_xlfn.XLOOKUP($A142,COA!$B:$B,COA!$C:$C,0,0,1)</f>
        <v>General and administration</v>
      </c>
      <c r="H142" s="178" t="str">
        <f>_xlfn.XLOOKUP($A142,COA!$B:$B,COA!$D:$D,0,0,1)</f>
        <v>Meals and entertainment</v>
      </c>
      <c r="I142" s="178" t="str">
        <f>_xlfn.XLOOKUP($A142,COA!$B:$B,COA!$E:$E,0,0,1)</f>
        <v>Accumulated deficit</v>
      </c>
      <c r="K142" s="85" t="str">
        <f t="shared" si="23"/>
        <v>Accumulated deficit</v>
      </c>
      <c r="L142" s="87"/>
      <c r="M142" s="87"/>
      <c r="N142" s="87"/>
      <c r="O142" s="87"/>
      <c r="P142" s="85"/>
      <c r="Q142" s="85"/>
      <c r="R142" s="85"/>
      <c r="S142" s="85"/>
      <c r="T142" s="85"/>
      <c r="U142" s="85"/>
      <c r="V142" s="85"/>
      <c r="W142" s="85"/>
      <c r="X142" s="85"/>
      <c r="Y142" s="85"/>
      <c r="Z142" s="85"/>
      <c r="AA142" s="85"/>
      <c r="AB142" s="85"/>
      <c r="AC142" s="85"/>
    </row>
    <row r="143" spans="1:29" x14ac:dyDescent="0.25">
      <c r="A143" s="1389" t="str">
        <f>COA!B144</f>
        <v>6041 Travel Meals</v>
      </c>
      <c r="B143" s="1390">
        <f>_xlfn.XLOOKUP(A143,'TB.1 - F25'!A:A,'TB.1 - F25'!D:D,0,0,1)</f>
        <v>0</v>
      </c>
      <c r="C143" s="1390">
        <f>_xlfn.XLOOKUP(A143,'TB.1 - F25'!A:A,'TB.1 - F25'!H:H,0,0,1)</f>
        <v>198.61</v>
      </c>
      <c r="D143" s="1390">
        <f>_xlfn.XLOOKUP(A143,'AJE.1 - F25'!A:A,'AJE.1 - F25'!F:F,0,0,1)</f>
        <v>0</v>
      </c>
      <c r="E143" s="1390"/>
      <c r="F143" s="219">
        <f t="shared" si="25"/>
        <v>199</v>
      </c>
      <c r="G143" s="178" t="str">
        <f>_xlfn.XLOOKUP($A143,COA!$B:$B,COA!$C:$C,0,0,1)</f>
        <v>General and administration</v>
      </c>
      <c r="H143" s="178" t="str">
        <f>_xlfn.XLOOKUP($A143,COA!$B:$B,COA!$D:$D,0,0,1)</f>
        <v>Travel expenses</v>
      </c>
      <c r="I143" s="178" t="str">
        <f>_xlfn.XLOOKUP($A143,COA!$B:$B,COA!$E:$E,0,0,1)</f>
        <v>Accumulated deficit</v>
      </c>
      <c r="K143" s="85" t="str">
        <f t="shared" si="23"/>
        <v>Accumulated deficit</v>
      </c>
      <c r="L143" s="87"/>
      <c r="M143" s="87"/>
      <c r="N143" s="87"/>
      <c r="O143" s="87"/>
      <c r="P143" s="85"/>
      <c r="Q143" s="85"/>
      <c r="R143" s="85"/>
      <c r="S143" s="85"/>
      <c r="T143" s="85"/>
      <c r="U143" s="85"/>
      <c r="V143" s="85"/>
      <c r="W143" s="85"/>
      <c r="X143" s="85"/>
      <c r="Y143" s="85"/>
      <c r="Z143" s="85"/>
      <c r="AA143" s="85"/>
      <c r="AB143" s="85"/>
      <c r="AC143" s="85"/>
    </row>
    <row r="144" spans="1:29" x14ac:dyDescent="0.25">
      <c r="A144" s="1389" t="str">
        <f>COA!B145</f>
        <v>6042 Travel</v>
      </c>
      <c r="B144" s="1390">
        <f>_xlfn.XLOOKUP(A144,'TB.1 - F25'!A:A,'TB.1 - F25'!D:D,0,0,1)</f>
        <v>0</v>
      </c>
      <c r="C144" s="1390">
        <f>_xlfn.XLOOKUP(A144,'TB.1 - F25'!A:A,'TB.1 - F25'!H:H,0,0,1)</f>
        <v>4325.18</v>
      </c>
      <c r="D144" s="1390">
        <f>_xlfn.XLOOKUP(A144,'AJE.1 - F25'!A:A,'AJE.1 - F25'!F:F,0,0,1)</f>
        <v>0</v>
      </c>
      <c r="E144" s="1390"/>
      <c r="F144" s="219">
        <f t="shared" si="25"/>
        <v>4325</v>
      </c>
      <c r="G144" s="178" t="str">
        <f>_xlfn.XLOOKUP($A144,COA!$B:$B,COA!$C:$C,0,0,1)</f>
        <v>General and administration</v>
      </c>
      <c r="H144" s="178" t="str">
        <f>_xlfn.XLOOKUP($A144,COA!$B:$B,COA!$D:$D,0,0,1)</f>
        <v>Travel expenses</v>
      </c>
      <c r="I144" s="178" t="str">
        <f>_xlfn.XLOOKUP($A144,COA!$B:$B,COA!$E:$E,0,0,1)</f>
        <v>Accumulated deficit</v>
      </c>
      <c r="K144" s="85" t="str">
        <f t="shared" si="23"/>
        <v>Accumulated deficit</v>
      </c>
      <c r="L144" s="87"/>
      <c r="M144" s="87"/>
      <c r="N144" s="87"/>
      <c r="O144" s="87"/>
      <c r="P144" s="85"/>
      <c r="Q144" s="85"/>
      <c r="R144" s="85"/>
      <c r="S144" s="85"/>
      <c r="T144" s="85"/>
      <c r="U144" s="85"/>
      <c r="V144" s="85"/>
      <c r="W144" s="85"/>
      <c r="X144" s="85"/>
      <c r="Y144" s="85"/>
      <c r="Z144" s="85"/>
      <c r="AA144" s="85"/>
      <c r="AB144" s="85"/>
      <c r="AC144" s="85"/>
    </row>
    <row r="145" spans="1:29" hidden="1" x14ac:dyDescent="0.25">
      <c r="A145" s="1389" t="str">
        <f>COA!B146</f>
        <v>6043 Transfer agent and regulatory expenses</v>
      </c>
      <c r="B145" s="1390">
        <f>_xlfn.XLOOKUP(A145,'TB.1 - F25'!A:A,'TB.1 - F25'!D:D,0,0,1)</f>
        <v>0</v>
      </c>
      <c r="C145" s="1390">
        <f>_xlfn.XLOOKUP(A145,'TB.1 - F25'!A:A,'TB.1 - F25'!H:H,0,0,1)</f>
        <v>0</v>
      </c>
      <c r="D145" s="1390">
        <f>_xlfn.XLOOKUP(A145,'AJE.1 - F25'!A:A,'AJE.1 - F25'!F:F,0,0,1)</f>
        <v>0</v>
      </c>
      <c r="E145" s="1390"/>
      <c r="F145" s="219">
        <f t="shared" si="25"/>
        <v>0</v>
      </c>
      <c r="G145" s="178" t="str">
        <f>_xlfn.XLOOKUP($A145,COA!$B:$B,COA!$C:$C,0,0,1)</f>
        <v>General and administration</v>
      </c>
      <c r="H145" s="178" t="str">
        <f>_xlfn.XLOOKUP($A145,COA!$B:$B,COA!$D:$D,0,0,1)</f>
        <v>Transfer agent and regulatory expenses</v>
      </c>
      <c r="I145" s="178" t="str">
        <f>_xlfn.XLOOKUP($A145,COA!$B:$B,COA!$E:$E,0,0,1)</f>
        <v>Accumulated deficit</v>
      </c>
      <c r="K145" s="85" t="str">
        <f>_xlfn.XLOOKUP(I145,FS.1!A:A,I:I,0,0,1)</f>
        <v>Payroll liabilities</v>
      </c>
      <c r="L145" s="87"/>
      <c r="M145" s="87"/>
      <c r="N145" s="87"/>
      <c r="O145" s="87"/>
      <c r="P145" s="85"/>
      <c r="Q145" s="85"/>
      <c r="R145" s="85"/>
      <c r="S145" s="85"/>
      <c r="T145" s="85"/>
      <c r="U145" s="85"/>
      <c r="V145" s="85"/>
      <c r="W145" s="85"/>
      <c r="X145" s="85"/>
      <c r="Y145" s="85"/>
      <c r="Z145" s="85"/>
      <c r="AA145" s="85"/>
      <c r="AB145" s="85"/>
      <c r="AC145" s="85"/>
    </row>
    <row r="146" spans="1:29" x14ac:dyDescent="0.25">
      <c r="A146" s="1389" t="str">
        <f>COA!B147</f>
        <v>6050 Insurance</v>
      </c>
      <c r="B146" s="1390">
        <f>_xlfn.XLOOKUP(A146,'TB.1 - F25'!A:A,'TB.1 - F25'!D:D,0,0,1)</f>
        <v>26182.36</v>
      </c>
      <c r="C146" s="1390">
        <f>_xlfn.XLOOKUP(A146,'TB.1 - F25'!A:A,'TB.1 - F25'!H:H,0,0,1)</f>
        <v>0</v>
      </c>
      <c r="D146" s="1390">
        <f>_xlfn.XLOOKUP(A146,'AJE.1 - F25'!A:A,'AJE.1 - F25'!F:F,0,0,1)</f>
        <v>0</v>
      </c>
      <c r="E146" s="1390"/>
      <c r="F146" s="219">
        <f t="shared" si="25"/>
        <v>26182</v>
      </c>
      <c r="G146" s="178" t="str">
        <f>_xlfn.XLOOKUP($A146,COA!$B:$B,COA!$C:$C,0,0,1)</f>
        <v>General and administration</v>
      </c>
      <c r="H146" s="178" t="str">
        <f>_xlfn.XLOOKUP($A146,COA!$B:$B,COA!$D:$D,0,0,1)</f>
        <v>Insurance</v>
      </c>
      <c r="I146" s="178" t="str">
        <f>_xlfn.XLOOKUP($A146,COA!$B:$B,COA!$E:$E,0,0,1)</f>
        <v>Accumulated deficit</v>
      </c>
      <c r="K146" s="85" t="str">
        <f t="shared" si="23"/>
        <v>Accumulated deficit</v>
      </c>
      <c r="L146" s="87"/>
      <c r="M146" s="87"/>
      <c r="N146" s="87"/>
      <c r="O146" s="87"/>
      <c r="P146" s="85"/>
      <c r="Q146" s="85"/>
      <c r="R146" s="85"/>
      <c r="S146" s="85"/>
      <c r="T146" s="85"/>
      <c r="U146" s="85"/>
      <c r="V146" s="85"/>
      <c r="W146" s="85"/>
      <c r="X146" s="85"/>
      <c r="Y146" s="85"/>
      <c r="Z146" s="85"/>
      <c r="AA146" s="85"/>
      <c r="AB146" s="85"/>
      <c r="AC146" s="85"/>
    </row>
    <row r="147" spans="1:29" x14ac:dyDescent="0.25">
      <c r="A147" s="1389" t="str">
        <f>COA!B148</f>
        <v>6060 Office expenses</v>
      </c>
      <c r="B147" s="1390">
        <f>_xlfn.XLOOKUP(A147,'TB.1 - F25'!A:A,'TB.1 - F25'!D:D,0,0,1)</f>
        <v>64.319999999999993</v>
      </c>
      <c r="C147" s="1390">
        <f>_xlfn.XLOOKUP(A147,'TB.1 - F25'!A:A,'TB.1 - F25'!H:H,0,0,1)</f>
        <v>0</v>
      </c>
      <c r="D147" s="1390">
        <f>_xlfn.XLOOKUP(A147,'AJE.1 - F25'!A:A,'AJE.1 - F25'!F:F,0,0,1)</f>
        <v>0</v>
      </c>
      <c r="E147" s="1390"/>
      <c r="F147" s="219">
        <f t="shared" si="25"/>
        <v>64</v>
      </c>
      <c r="G147" s="178" t="str">
        <f>_xlfn.XLOOKUP($A147,COA!$B:$B,COA!$C:$C,0,0,1)</f>
        <v>General and administration</v>
      </c>
      <c r="H147" s="178" t="str">
        <f>_xlfn.XLOOKUP($A147,COA!$B:$B,COA!$D:$D,0,0,1)</f>
        <v>Office expenses</v>
      </c>
      <c r="I147" s="178" t="str">
        <f>_xlfn.XLOOKUP($A147,COA!$B:$B,COA!$E:$E,0,0,1)</f>
        <v>Accumulated deficit</v>
      </c>
      <c r="K147" s="85" t="str">
        <f t="shared" si="23"/>
        <v>Accumulated deficit</v>
      </c>
      <c r="L147" s="87"/>
      <c r="M147" s="87"/>
      <c r="N147" s="87"/>
      <c r="O147" s="87"/>
      <c r="P147" s="85"/>
      <c r="Q147" s="85"/>
      <c r="R147" s="85"/>
      <c r="S147" s="85"/>
      <c r="T147" s="85"/>
      <c r="U147" s="85"/>
      <c r="V147" s="85"/>
      <c r="W147" s="85"/>
      <c r="X147" s="85"/>
      <c r="Y147" s="85"/>
      <c r="Z147" s="85"/>
      <c r="AA147" s="85"/>
      <c r="AB147" s="85"/>
      <c r="AC147" s="85"/>
    </row>
    <row r="148" spans="1:29" hidden="1" x14ac:dyDescent="0.25">
      <c r="A148" s="1389" t="str">
        <f>COA!B149</f>
        <v>6060 Repairs and Maintenance</v>
      </c>
      <c r="B148" s="1390">
        <f>_xlfn.XLOOKUP(A148,'TB.1 - F25'!A:A,'TB.1 - F25'!D:D,0,0,1)</f>
        <v>0</v>
      </c>
      <c r="C148" s="1390">
        <f>_xlfn.XLOOKUP(A148,'TB.1 - F25'!A:A,'TB.1 - F25'!H:H,0,0,1)</f>
        <v>0</v>
      </c>
      <c r="D148" s="1390">
        <f>_xlfn.XLOOKUP(A148,'AJE.1 - F25'!A:A,'AJE.1 - F25'!F:F,0,0,1)</f>
        <v>0</v>
      </c>
      <c r="E148" s="1390"/>
      <c r="F148" s="219">
        <f t="shared" si="25"/>
        <v>0</v>
      </c>
      <c r="G148" s="178" t="str">
        <f>_xlfn.XLOOKUP($A148,COA!$B:$B,COA!$C:$C,0,0,1)</f>
        <v>General and administration</v>
      </c>
      <c r="H148" s="178" t="str">
        <f>_xlfn.XLOOKUP($A148,COA!$B:$B,COA!$D:$D,0,0,1)</f>
        <v>Repairs and maintenance</v>
      </c>
      <c r="I148" s="178" t="str">
        <f>_xlfn.XLOOKUP($A148,COA!$B:$B,COA!$E:$E,0,0,1)</f>
        <v>Accumulated deficit</v>
      </c>
      <c r="K148" s="85" t="str">
        <f>_xlfn.XLOOKUP(I148,FS.1!A:A,I:I,0,0,1)</f>
        <v>Payroll liabilities</v>
      </c>
      <c r="L148" s="87"/>
      <c r="M148" s="87"/>
      <c r="N148" s="87"/>
      <c r="O148" s="87"/>
      <c r="P148" s="85"/>
      <c r="Q148" s="85"/>
      <c r="R148" s="85"/>
      <c r="S148" s="85"/>
      <c r="T148" s="85"/>
      <c r="U148" s="85"/>
      <c r="V148" s="85"/>
      <c r="W148" s="85"/>
      <c r="X148" s="85"/>
      <c r="Y148" s="85"/>
      <c r="Z148" s="85"/>
      <c r="AA148" s="85"/>
      <c r="AB148" s="85"/>
      <c r="AC148" s="85"/>
    </row>
    <row r="149" spans="1:29" hidden="1" x14ac:dyDescent="0.25">
      <c r="A149" s="1389" t="str">
        <f>COA!B150</f>
        <v>6061 Other general and administrative expenses</v>
      </c>
      <c r="B149" s="1390">
        <f>_xlfn.XLOOKUP(A149,'TB.1 - F25'!A:A,'TB.1 - F25'!D:D,0,0,1)</f>
        <v>0</v>
      </c>
      <c r="C149" s="1390">
        <f>_xlfn.XLOOKUP(A149,'TB.1 - F25'!A:A,'TB.1 - F25'!H:H,0,0,1)</f>
        <v>0</v>
      </c>
      <c r="D149" s="1390">
        <f>_xlfn.XLOOKUP(A149,'AJE.1 - F25'!A:A,'AJE.1 - F25'!F:F,0,0,1)</f>
        <v>0</v>
      </c>
      <c r="E149" s="1390"/>
      <c r="F149" s="219">
        <f t="shared" si="25"/>
        <v>0</v>
      </c>
      <c r="G149" s="178" t="str">
        <f>_xlfn.XLOOKUP($A149,COA!$B:$B,COA!$C:$C,0,0,1)</f>
        <v>General and administration</v>
      </c>
      <c r="H149" s="178" t="str">
        <f>_xlfn.XLOOKUP($A149,COA!$B:$B,COA!$D:$D,0,0,1)</f>
        <v>Other miscellaneous</v>
      </c>
      <c r="I149" s="178" t="str">
        <f>_xlfn.XLOOKUP($A149,COA!$B:$B,COA!$E:$E,0,0,1)</f>
        <v>Accumulated deficit</v>
      </c>
      <c r="K149" s="85" t="str">
        <f>_xlfn.XLOOKUP(I149,FS.1!A:A,I:I,0,0,1)</f>
        <v>Payroll liabilities</v>
      </c>
      <c r="L149" s="87"/>
      <c r="M149" s="87"/>
      <c r="N149" s="87"/>
      <c r="O149" s="87"/>
      <c r="P149" s="85"/>
      <c r="Q149" s="85"/>
      <c r="R149" s="85"/>
      <c r="S149" s="85"/>
      <c r="T149" s="85"/>
      <c r="U149" s="85"/>
      <c r="V149" s="85"/>
      <c r="W149" s="85"/>
      <c r="X149" s="85"/>
      <c r="Y149" s="85"/>
      <c r="Z149" s="85"/>
      <c r="AA149" s="85"/>
      <c r="AB149" s="85"/>
      <c r="AC149" s="85"/>
    </row>
    <row r="150" spans="1:29" hidden="1" x14ac:dyDescent="0.25">
      <c r="A150" s="1389" t="str">
        <f>COA!B151</f>
        <v>6065 Rent</v>
      </c>
      <c r="B150" s="1390">
        <f>_xlfn.XLOOKUP(A150,'TB.1 - F25'!A:A,'TB.1 - F25'!D:D,0,0,1)</f>
        <v>0</v>
      </c>
      <c r="C150" s="1390">
        <f>_xlfn.XLOOKUP(A150,'TB.1 - F25'!A:A,'TB.1 - F25'!H:H,0,0,1)</f>
        <v>0</v>
      </c>
      <c r="D150" s="1390">
        <f>_xlfn.XLOOKUP(A150,'AJE.1 - F25'!A:A,'AJE.1 - F25'!F:F,0,0,1)</f>
        <v>0</v>
      </c>
      <c r="E150" s="1390"/>
      <c r="F150" s="219">
        <f t="shared" si="25"/>
        <v>0</v>
      </c>
      <c r="G150" s="178" t="str">
        <f>_xlfn.XLOOKUP($A150,COA!$B:$B,COA!$C:$C,0,0,1)</f>
        <v>General and administration</v>
      </c>
      <c r="H150" s="178" t="str">
        <f>_xlfn.XLOOKUP($A150,COA!$B:$B,COA!$D:$D,0,0,1)</f>
        <v>Rent</v>
      </c>
      <c r="I150" s="178" t="str">
        <f>_xlfn.XLOOKUP($A150,COA!$B:$B,COA!$E:$E,0,0,1)</f>
        <v>Accumulated deficit</v>
      </c>
      <c r="K150" s="85" t="str">
        <f>_xlfn.XLOOKUP(I150,FS.1!A:A,I:I,0,0,1)</f>
        <v>Payroll liabilities</v>
      </c>
      <c r="L150" s="87"/>
      <c r="M150" s="87"/>
      <c r="N150" s="87"/>
      <c r="O150" s="87"/>
      <c r="P150" s="85"/>
      <c r="Q150" s="85"/>
      <c r="R150" s="85"/>
      <c r="S150" s="85"/>
      <c r="T150" s="85"/>
      <c r="U150" s="85"/>
      <c r="V150" s="85"/>
      <c r="W150" s="85"/>
      <c r="X150" s="85"/>
      <c r="Y150" s="85"/>
      <c r="Z150" s="85"/>
      <c r="AA150" s="85"/>
      <c r="AB150" s="85"/>
      <c r="AC150" s="85"/>
    </row>
    <row r="151" spans="1:29" hidden="1" x14ac:dyDescent="0.25">
      <c r="A151" s="1389" t="str">
        <f>COA!B152</f>
        <v>6066 Utilities</v>
      </c>
      <c r="B151" s="1390">
        <f>_xlfn.XLOOKUP(A151,'TB.1 - F25'!A:A,'TB.1 - F25'!D:D,0,0,1)</f>
        <v>0</v>
      </c>
      <c r="C151" s="1390">
        <f>_xlfn.XLOOKUP(A151,'TB.1 - F25'!A:A,'TB.1 - F25'!H:H,0,0,1)</f>
        <v>0</v>
      </c>
      <c r="D151" s="1390">
        <f>_xlfn.XLOOKUP(A151,'AJE.1 - F25'!A:A,'AJE.1 - F25'!F:F,0,0,1)</f>
        <v>0</v>
      </c>
      <c r="E151" s="1390"/>
      <c r="F151" s="219">
        <f t="shared" si="25"/>
        <v>0</v>
      </c>
      <c r="G151" s="178" t="str">
        <f>_xlfn.XLOOKUP($A151,COA!$B:$B,COA!$C:$C,0,0,1)</f>
        <v>General and administration</v>
      </c>
      <c r="H151" s="178" t="str">
        <f>_xlfn.XLOOKUP($A151,COA!$B:$B,COA!$D:$D,0,0,1)</f>
        <v>Utilities</v>
      </c>
      <c r="I151" s="178" t="str">
        <f>_xlfn.XLOOKUP($A151,COA!$B:$B,COA!$E:$E,0,0,1)</f>
        <v>Accumulated deficit</v>
      </c>
      <c r="K151" s="85" t="str">
        <f>_xlfn.XLOOKUP(I151,FS.1!A:A,I:I,0,0,1)</f>
        <v>Payroll liabilities</v>
      </c>
      <c r="L151" s="87"/>
      <c r="M151" s="87"/>
      <c r="N151" s="87"/>
      <c r="O151" s="87"/>
      <c r="P151" s="85"/>
      <c r="Q151" s="85"/>
      <c r="R151" s="85"/>
      <c r="S151" s="85"/>
      <c r="T151" s="85"/>
      <c r="U151" s="85"/>
      <c r="V151" s="85"/>
      <c r="W151" s="85"/>
      <c r="X151" s="85"/>
      <c r="Y151" s="85"/>
      <c r="Z151" s="85"/>
      <c r="AA151" s="85"/>
      <c r="AB151" s="85"/>
      <c r="AC151" s="85"/>
    </row>
    <row r="152" spans="1:29" hidden="1" x14ac:dyDescent="0.25">
      <c r="A152" s="1389" t="str">
        <f>COA!B153</f>
        <v>6068 Shipping, Freight, and Delivery</v>
      </c>
      <c r="B152" s="1390">
        <f>_xlfn.XLOOKUP(A152,'TB.1 - F25'!A:A,'TB.1 - F25'!D:D,0,0,1)</f>
        <v>0</v>
      </c>
      <c r="C152" s="1390">
        <f>_xlfn.XLOOKUP(A152,'TB.1 - F25'!A:A,'TB.1 - F25'!H:H,0,0,1)</f>
        <v>0</v>
      </c>
      <c r="D152" s="1390">
        <f>_xlfn.XLOOKUP(A152,'AJE.1 - F25'!A:A,'AJE.1 - F25'!F:F,0,0,1)</f>
        <v>0</v>
      </c>
      <c r="E152" s="1390"/>
      <c r="F152" s="219">
        <f t="shared" si="25"/>
        <v>0</v>
      </c>
      <c r="G152" s="178" t="str">
        <f>_xlfn.XLOOKUP($A152,COA!$B:$B,COA!$C:$C,0,0,1)</f>
        <v>General and administration</v>
      </c>
      <c r="H152" s="178" t="str">
        <f>_xlfn.XLOOKUP($A152,COA!$B:$B,COA!$D:$D,0,0,1)</f>
        <v>Shipping expense</v>
      </c>
      <c r="I152" s="178" t="str">
        <f>_xlfn.XLOOKUP($A152,COA!$B:$B,COA!$E:$E,0,0,1)</f>
        <v>Accumulated deficit</v>
      </c>
      <c r="K152" s="85" t="str">
        <f>_xlfn.XLOOKUP(I152,FS.1!A:A,I:I,0,0,1)</f>
        <v>Payroll liabilities</v>
      </c>
      <c r="L152" s="87"/>
      <c r="M152" s="87"/>
      <c r="N152" s="87"/>
      <c r="O152" s="87"/>
      <c r="P152" s="85"/>
      <c r="Q152" s="85"/>
      <c r="R152" s="85"/>
      <c r="S152" s="85"/>
      <c r="T152" s="85"/>
      <c r="U152" s="85"/>
      <c r="V152" s="85"/>
      <c r="W152" s="85"/>
      <c r="X152" s="85"/>
      <c r="Y152" s="85"/>
      <c r="Z152" s="85"/>
      <c r="AA152" s="85"/>
      <c r="AB152" s="85"/>
      <c r="AC152" s="85"/>
    </row>
    <row r="153" spans="1:29" x14ac:dyDescent="0.25">
      <c r="A153" s="1389" t="str">
        <f>COA!B154</f>
        <v>6070 Office Supplies</v>
      </c>
      <c r="B153" s="1390">
        <f>_xlfn.XLOOKUP(A153,'TB.1 - F25'!A:A,'TB.1 - F25'!D:D,0,0,1)</f>
        <v>0</v>
      </c>
      <c r="C153" s="1390">
        <f>_xlfn.XLOOKUP(A153,'TB.1 - F25'!A:A,'TB.1 - F25'!H:H,0,0,1)</f>
        <v>116.46</v>
      </c>
      <c r="D153" s="1390">
        <f>_xlfn.XLOOKUP(A153,'AJE.1 - F25'!A:A,'AJE.1 - F25'!F:F,0,0,1)</f>
        <v>0</v>
      </c>
      <c r="E153" s="1390"/>
      <c r="F153" s="219">
        <f t="shared" si="25"/>
        <v>116</v>
      </c>
      <c r="G153" s="178" t="str">
        <f>_xlfn.XLOOKUP($A153,COA!$B:$B,COA!$C:$C,0,0,1)</f>
        <v>General and administration</v>
      </c>
      <c r="H153" s="178" t="str">
        <f>_xlfn.XLOOKUP($A153,COA!$B:$B,COA!$D:$D,0,0,1)</f>
        <v>Office expenses</v>
      </c>
      <c r="I153" s="178" t="str">
        <f>_xlfn.XLOOKUP($A153,COA!$B:$B,COA!$E:$E,0,0,1)</f>
        <v>Accumulated deficit</v>
      </c>
      <c r="K153" s="85" t="str">
        <f t="shared" ref="K153" si="26">I153</f>
        <v>Accumulated deficit</v>
      </c>
      <c r="L153" s="87"/>
      <c r="M153" s="87"/>
      <c r="N153" s="87"/>
      <c r="O153" s="87"/>
      <c r="P153" s="85"/>
      <c r="Q153" s="85"/>
      <c r="R153" s="85"/>
      <c r="S153" s="85"/>
      <c r="T153" s="85"/>
      <c r="U153" s="85"/>
      <c r="V153" s="85"/>
      <c r="W153" s="85"/>
      <c r="X153" s="85"/>
      <c r="Y153" s="85"/>
      <c r="Z153" s="85"/>
      <c r="AA153" s="85"/>
      <c r="AB153" s="85"/>
      <c r="AC153" s="85"/>
    </row>
    <row r="154" spans="1:29" hidden="1" x14ac:dyDescent="0.25">
      <c r="A154" s="1389" t="str">
        <f>COA!B155</f>
        <v>6075 Minor shop tools</v>
      </c>
      <c r="B154" s="1390">
        <f>_xlfn.XLOOKUP(A154,'TB.1 - F25'!A:A,'TB.1 - F25'!D:D,0,0,1)</f>
        <v>0</v>
      </c>
      <c r="C154" s="1390">
        <f>_xlfn.XLOOKUP(A154,'TB.1 - F25'!A:A,'TB.1 - F25'!H:H,0,0,1)</f>
        <v>0</v>
      </c>
      <c r="D154" s="1390">
        <f>_xlfn.XLOOKUP(A154,'AJE.1 - F25'!A:A,'AJE.1 - F25'!F:F,0,0,1)</f>
        <v>0</v>
      </c>
      <c r="E154" s="1390"/>
      <c r="F154" s="219">
        <f t="shared" si="25"/>
        <v>0</v>
      </c>
      <c r="G154" s="178" t="str">
        <f>_xlfn.XLOOKUP($A154,COA!$B:$B,COA!$C:$C,0,0,1)</f>
        <v>General and administration</v>
      </c>
      <c r="H154" s="178" t="str">
        <f>_xlfn.XLOOKUP($A154,COA!$B:$B,COA!$D:$D,0,0,1)</f>
        <v>Shop supplies</v>
      </c>
      <c r="I154" s="178" t="str">
        <f>_xlfn.XLOOKUP($A154,COA!$B:$B,COA!$E:$E,0,0,1)</f>
        <v>Accumulated deficit</v>
      </c>
      <c r="K154" s="85" t="str">
        <f>_xlfn.XLOOKUP(I154,FS.1!A:A,I:I,0,0,1)</f>
        <v>Payroll liabilities</v>
      </c>
      <c r="L154" s="87"/>
      <c r="M154" s="87"/>
      <c r="N154" s="87"/>
      <c r="O154" s="87"/>
      <c r="P154" s="85"/>
      <c r="Q154" s="85"/>
      <c r="R154" s="85"/>
      <c r="S154" s="85"/>
      <c r="T154" s="85"/>
      <c r="U154" s="85"/>
      <c r="V154" s="85"/>
      <c r="W154" s="85"/>
      <c r="X154" s="85"/>
      <c r="Y154" s="85"/>
      <c r="Z154" s="85"/>
      <c r="AA154" s="85"/>
      <c r="AB154" s="85"/>
      <c r="AC154" s="85"/>
    </row>
    <row r="155" spans="1:29" hidden="1" x14ac:dyDescent="0.25">
      <c r="A155" s="1389" t="str">
        <f>COA!B156</f>
        <v>6076 Disposal/Landfill</v>
      </c>
      <c r="B155" s="1390">
        <f>_xlfn.XLOOKUP(A155,'TB.1 - F25'!A:A,'TB.1 - F25'!D:D,0,0,1)</f>
        <v>0</v>
      </c>
      <c r="C155" s="1390">
        <f>_xlfn.XLOOKUP(A155,'TB.1 - F25'!A:A,'TB.1 - F25'!H:H,0,0,1)</f>
        <v>0</v>
      </c>
      <c r="D155" s="1390">
        <f>_xlfn.XLOOKUP(A155,'AJE.1 - F25'!A:A,'AJE.1 - F25'!F:F,0,0,1)</f>
        <v>0</v>
      </c>
      <c r="E155" s="1390"/>
      <c r="F155" s="219">
        <f t="shared" si="25"/>
        <v>0</v>
      </c>
      <c r="G155" s="178" t="str">
        <f>_xlfn.XLOOKUP($A155,COA!$B:$B,COA!$C:$C,0,0,1)</f>
        <v>General and administration</v>
      </c>
      <c r="H155" s="178" t="str">
        <f>_xlfn.XLOOKUP($A155,COA!$B:$B,COA!$D:$D,0,0,1)</f>
        <v>Other miscellaneous</v>
      </c>
      <c r="I155" s="178" t="str">
        <f>_xlfn.XLOOKUP($A155,COA!$B:$B,COA!$E:$E,0,0,1)</f>
        <v>Accumulated deficit</v>
      </c>
      <c r="K155" s="85" t="str">
        <f>_xlfn.XLOOKUP(I155,FS.1!A:A,I:I,0,0,1)</f>
        <v>Payroll liabilities</v>
      </c>
      <c r="L155" s="87"/>
      <c r="M155" s="87"/>
      <c r="N155" s="87"/>
      <c r="O155" s="87"/>
      <c r="P155" s="85"/>
      <c r="Q155" s="85"/>
      <c r="R155" s="85"/>
      <c r="S155" s="85"/>
      <c r="T155" s="85"/>
      <c r="U155" s="85"/>
      <c r="V155" s="85"/>
      <c r="W155" s="85"/>
      <c r="X155" s="85"/>
      <c r="Y155" s="85"/>
      <c r="Z155" s="85"/>
      <c r="AA155" s="85"/>
      <c r="AB155" s="85"/>
      <c r="AC155" s="85"/>
    </row>
    <row r="156" spans="1:29" hidden="1" x14ac:dyDescent="0.25">
      <c r="A156" s="1389" t="str">
        <f>COA!B157</f>
        <v>6080 PST Expense (BC)</v>
      </c>
      <c r="B156" s="1390">
        <f>_xlfn.XLOOKUP(A156,'TB.1 - F25'!A:A,'TB.1 - F25'!D:D,0,0,1)</f>
        <v>0</v>
      </c>
      <c r="C156" s="1390">
        <f>_xlfn.XLOOKUP(A156,'TB.1 - F25'!A:A,'TB.1 - F25'!H:H,0,0,1)</f>
        <v>0</v>
      </c>
      <c r="D156" s="1390">
        <f>_xlfn.XLOOKUP(A156,'AJE.1 - F25'!A:A,'AJE.1 - F25'!F:F,0,0,1)</f>
        <v>0</v>
      </c>
      <c r="E156" s="1390"/>
      <c r="F156" s="219">
        <f t="shared" si="25"/>
        <v>0</v>
      </c>
      <c r="G156" s="178" t="str">
        <f>_xlfn.XLOOKUP($A156,COA!$B:$B,COA!$C:$C,0,0,1)</f>
        <v>General and administration</v>
      </c>
      <c r="H156" s="178" t="str">
        <f>_xlfn.XLOOKUP($A156,COA!$B:$B,COA!$D:$D,0,0,1)</f>
        <v>Taxes and licenses</v>
      </c>
      <c r="I156" s="178" t="str">
        <f>_xlfn.XLOOKUP($A156,COA!$B:$B,COA!$E:$E,0,0,1)</f>
        <v>Accumulated deficit</v>
      </c>
      <c r="K156" s="85" t="str">
        <f>_xlfn.XLOOKUP(I156,FS.1!A:A,I:I,0,0,1)</f>
        <v>Payroll liabilities</v>
      </c>
      <c r="L156" s="87"/>
      <c r="M156" s="87"/>
      <c r="N156" s="87"/>
      <c r="O156" s="87"/>
      <c r="P156" s="85"/>
      <c r="Q156" s="85"/>
      <c r="R156" s="85"/>
      <c r="S156" s="85"/>
      <c r="T156" s="85"/>
      <c r="U156" s="85"/>
      <c r="V156" s="85"/>
      <c r="W156" s="85"/>
      <c r="X156" s="85"/>
      <c r="Y156" s="85"/>
      <c r="Z156" s="85"/>
      <c r="AA156" s="85"/>
      <c r="AB156" s="85"/>
      <c r="AC156" s="85"/>
    </row>
    <row r="157" spans="1:29" x14ac:dyDescent="0.25">
      <c r="A157" s="1389" t="str">
        <f>COA!B158</f>
        <v>6080 Shop and other supplies</v>
      </c>
      <c r="B157" s="1390">
        <f>_xlfn.XLOOKUP(A157,'TB.1 - F25'!A:A,'TB.1 - F25'!D:D,0,0,1)</f>
        <v>0</v>
      </c>
      <c r="C157" s="1390">
        <f>_xlfn.XLOOKUP(A157,'TB.1 - F25'!A:A,'TB.1 - F25'!H:H,0,0,1)</f>
        <v>241.4</v>
      </c>
      <c r="D157" s="1390">
        <f>_xlfn.XLOOKUP(A157,'AJE.1 - F25'!A:A,'AJE.1 - F25'!F:F,0,0,1)</f>
        <v>0</v>
      </c>
      <c r="E157" s="1390"/>
      <c r="F157" s="219">
        <f t="shared" si="25"/>
        <v>241</v>
      </c>
      <c r="G157" s="178" t="str">
        <f>_xlfn.XLOOKUP($A157,COA!$B:$B,COA!$C:$C,0,0,1)</f>
        <v>General and administration</v>
      </c>
      <c r="H157" s="178" t="str">
        <f>_xlfn.XLOOKUP($A157,COA!$B:$B,COA!$D:$D,0,0,1)</f>
        <v>Shop supplies</v>
      </c>
      <c r="I157" s="178" t="str">
        <f>_xlfn.XLOOKUP($A157,COA!$B:$B,COA!$E:$E,0,0,1)</f>
        <v>Accumulated deficit</v>
      </c>
      <c r="K157" s="85" t="str">
        <f t="shared" ref="K157:K158" si="27">I157</f>
        <v>Accumulated deficit</v>
      </c>
      <c r="L157" s="87"/>
      <c r="M157" s="87"/>
      <c r="N157" s="87"/>
      <c r="O157" s="87"/>
      <c r="P157" s="85"/>
      <c r="Q157" s="85"/>
      <c r="R157" s="85"/>
      <c r="S157" s="85"/>
      <c r="T157" s="85"/>
      <c r="U157" s="85"/>
      <c r="V157" s="85"/>
      <c r="W157" s="85"/>
      <c r="X157" s="85"/>
      <c r="Y157" s="85"/>
      <c r="Z157" s="85"/>
      <c r="AA157" s="85"/>
      <c r="AB157" s="85"/>
      <c r="AC157" s="85"/>
    </row>
    <row r="158" spans="1:29" x14ac:dyDescent="0.25">
      <c r="A158" s="1389" t="str">
        <f>COA!B159</f>
        <v>6085 Depreciation</v>
      </c>
      <c r="B158" s="1390">
        <f>_xlfn.XLOOKUP(A158,'TB.1 - F25'!A:A,'TB.1 - F25'!D:D,0,0,1)</f>
        <v>0</v>
      </c>
      <c r="C158" s="1390">
        <f>_xlfn.XLOOKUP(A158,'TB.1 - F25'!A:A,'TB.1 - F25'!H:H,0,0,1)</f>
        <v>0</v>
      </c>
      <c r="D158" s="1390">
        <f>_xlfn.XLOOKUP(A158,'AJE.1 - F25'!A:A,'AJE.1 - F25'!F:F,0,0,1)</f>
        <v>1256364</v>
      </c>
      <c r="E158" s="1390"/>
      <c r="F158" s="219">
        <f t="shared" si="25"/>
        <v>1256364</v>
      </c>
      <c r="G158" s="178" t="str">
        <f>_xlfn.XLOOKUP($A158,COA!$B:$B,COA!$C:$C,0,0,1)</f>
        <v>General and administration</v>
      </c>
      <c r="H158" s="178" t="str">
        <f>_xlfn.XLOOKUP($A158,COA!$B:$B,COA!$D:$D,0,0,1)</f>
        <v>Depreciation and amortization</v>
      </c>
      <c r="I158" s="178" t="str">
        <f>_xlfn.XLOOKUP($A158,COA!$B:$B,COA!$E:$E,0,0,1)</f>
        <v>Accumulated deficit</v>
      </c>
      <c r="K158" s="85" t="str">
        <f t="shared" si="27"/>
        <v>Accumulated deficit</v>
      </c>
      <c r="L158" s="87"/>
      <c r="M158" s="87"/>
      <c r="N158" s="87"/>
      <c r="O158" s="87"/>
      <c r="P158" s="85"/>
      <c r="Q158" s="85"/>
      <c r="R158" s="85"/>
      <c r="S158" s="85"/>
      <c r="T158" s="85"/>
      <c r="U158" s="85"/>
      <c r="V158" s="85"/>
      <c r="W158" s="85"/>
      <c r="X158" s="85"/>
      <c r="Y158" s="85"/>
      <c r="Z158" s="85"/>
      <c r="AA158" s="85"/>
      <c r="AB158" s="85"/>
      <c r="AC158" s="85"/>
    </row>
    <row r="159" spans="1:29" hidden="1" x14ac:dyDescent="0.25">
      <c r="A159" s="1389" t="str">
        <f>COA!B160</f>
        <v>6090 Corporate Tax Expense</v>
      </c>
      <c r="B159" s="1390">
        <f>_xlfn.XLOOKUP(A159,'TB.1 - F25'!A:A,'TB.1 - F25'!D:D,0,0,1)</f>
        <v>0</v>
      </c>
      <c r="C159" s="1390">
        <f>_xlfn.XLOOKUP(A159,'TB.1 - F25'!A:A,'TB.1 - F25'!H:H,0,0,1)</f>
        <v>0</v>
      </c>
      <c r="D159" s="1390">
        <f>_xlfn.XLOOKUP(A159,'AJE.1 - F25'!A:A,'AJE.1 - F25'!F:F,0,0,1)</f>
        <v>0</v>
      </c>
      <c r="E159" s="1390"/>
      <c r="F159" s="219">
        <f t="shared" si="25"/>
        <v>0</v>
      </c>
      <c r="G159" s="178" t="str">
        <f>_xlfn.XLOOKUP($A159,COA!$B:$B,COA!$C:$C,0,0,1)</f>
        <v>General and administration</v>
      </c>
      <c r="H159" s="178" t="str">
        <f>_xlfn.XLOOKUP($A159,COA!$B:$B,COA!$D:$D,0,0,1)</f>
        <v>Current tax recovery (expense)</v>
      </c>
      <c r="I159" s="178" t="str">
        <f>_xlfn.XLOOKUP($A159,COA!$B:$B,COA!$E:$E,0,0,1)</f>
        <v>Accumulated deficit</v>
      </c>
      <c r="K159" s="85" t="str">
        <f>_xlfn.XLOOKUP(I159,FS.1!A:A,I:I,0,0,1)</f>
        <v>Payroll liabilities</v>
      </c>
      <c r="L159" s="87"/>
      <c r="M159" s="87"/>
      <c r="N159" s="87"/>
      <c r="O159" s="87"/>
      <c r="P159" s="85"/>
      <c r="Q159" s="85"/>
      <c r="R159" s="85"/>
      <c r="S159" s="85"/>
      <c r="T159" s="85"/>
      <c r="U159" s="85"/>
      <c r="V159" s="85"/>
      <c r="W159" s="85"/>
      <c r="X159" s="85"/>
      <c r="Y159" s="85"/>
      <c r="Z159" s="85"/>
      <c r="AA159" s="85"/>
      <c r="AB159" s="85"/>
      <c r="AC159" s="85"/>
    </row>
    <row r="160" spans="1:29" hidden="1" x14ac:dyDescent="0.25">
      <c r="A160" s="1389" t="str">
        <f>COA!B161</f>
        <v>6092 Penalties</v>
      </c>
      <c r="B160" s="1390">
        <f>_xlfn.XLOOKUP(A160,'TB.1 - F25'!A:A,'TB.1 - F25'!D:D,0,0,1)</f>
        <v>0</v>
      </c>
      <c r="C160" s="1390">
        <f>_xlfn.XLOOKUP(A160,'TB.1 - F25'!A:A,'TB.1 - F25'!H:H,0,0,1)</f>
        <v>0</v>
      </c>
      <c r="D160" s="1390">
        <f>_xlfn.XLOOKUP(A160,'AJE.1 - F25'!A:A,'AJE.1 - F25'!F:F,0,0,1)</f>
        <v>0</v>
      </c>
      <c r="E160" s="1390"/>
      <c r="F160" s="219">
        <f t="shared" si="25"/>
        <v>0</v>
      </c>
      <c r="G160" s="178" t="str">
        <f>_xlfn.XLOOKUP($A160,COA!$B:$B,COA!$C:$C,0,0,1)</f>
        <v>General and administration</v>
      </c>
      <c r="H160" s="178" t="str">
        <f>_xlfn.XLOOKUP($A160,COA!$B:$B,COA!$D:$D,0,0,1)</f>
        <v>Interest expense</v>
      </c>
      <c r="I160" s="178" t="str">
        <f>_xlfn.XLOOKUP($A160,COA!$B:$B,COA!$E:$E,0,0,1)</f>
        <v>Accumulated deficit</v>
      </c>
      <c r="K160" s="85" t="str">
        <f>_xlfn.XLOOKUP(I160,FS.1!A:A,I:I,0,0,1)</f>
        <v>Payroll liabilities</v>
      </c>
      <c r="L160" s="87"/>
      <c r="M160" s="87"/>
      <c r="N160" s="87"/>
      <c r="O160" s="87"/>
      <c r="P160" s="85"/>
      <c r="Q160" s="85"/>
      <c r="R160" s="85"/>
      <c r="S160" s="85"/>
      <c r="T160" s="85"/>
      <c r="U160" s="85"/>
      <c r="V160" s="85"/>
      <c r="W160" s="85"/>
      <c r="X160" s="85"/>
      <c r="Y160" s="85"/>
      <c r="Z160" s="85"/>
      <c r="AA160" s="85"/>
      <c r="AB160" s="85"/>
      <c r="AC160" s="85"/>
    </row>
    <row r="161" spans="1:29" hidden="1" x14ac:dyDescent="0.25">
      <c r="A161" s="1389" t="str">
        <f>COA!B162</f>
        <v>6092 Penalities</v>
      </c>
      <c r="B161" s="1390">
        <f>_xlfn.XLOOKUP(A161,'TB.1 - F25'!A:A,'TB.1 - F25'!D:D,0,0,1)</f>
        <v>0</v>
      </c>
      <c r="C161" s="1390">
        <f>_xlfn.XLOOKUP(A161,'TB.1 - F25'!A:A,'TB.1 - F25'!H:H,0,0,1)</f>
        <v>0</v>
      </c>
      <c r="D161" s="1390">
        <f>_xlfn.XLOOKUP(A161,'AJE.1 - F25'!A:A,'AJE.1 - F25'!F:F,0,0,1)</f>
        <v>0</v>
      </c>
      <c r="E161" s="1390"/>
      <c r="F161" s="219">
        <f t="shared" si="25"/>
        <v>0</v>
      </c>
      <c r="G161" s="178" t="str">
        <f>_xlfn.XLOOKUP($A161,COA!$B:$B,COA!$C:$C,0,0,1)</f>
        <v>General and administration</v>
      </c>
      <c r="H161" s="178" t="str">
        <f>_xlfn.XLOOKUP($A161,COA!$B:$B,COA!$D:$D,0,0,1)</f>
        <v xml:space="preserve">Interest and penalties </v>
      </c>
      <c r="I161" s="178" t="str">
        <f>_xlfn.XLOOKUP($A161,COA!$B:$B,COA!$E:$E,0,0,1)</f>
        <v>Accumulated deficit</v>
      </c>
      <c r="K161" s="85" t="str">
        <f>_xlfn.XLOOKUP(I161,FS.1!A:A,I:I,0,0,1)</f>
        <v>Payroll liabilities</v>
      </c>
      <c r="L161" s="87"/>
      <c r="M161" s="87"/>
      <c r="N161" s="87"/>
      <c r="O161" s="87"/>
      <c r="P161" s="85"/>
      <c r="Q161" s="85"/>
      <c r="R161" s="85"/>
      <c r="S161" s="85"/>
      <c r="T161" s="85"/>
      <c r="U161" s="85"/>
      <c r="V161" s="85"/>
      <c r="W161" s="85"/>
      <c r="X161" s="85"/>
      <c r="Y161" s="85"/>
      <c r="Z161" s="85"/>
      <c r="AA161" s="85"/>
      <c r="AB161" s="85"/>
      <c r="AC161" s="85"/>
    </row>
    <row r="162" spans="1:29" hidden="1" x14ac:dyDescent="0.25">
      <c r="A162" s="1389" t="str">
        <f>COA!B163</f>
        <v>6100 Listing expense</v>
      </c>
      <c r="B162" s="1390">
        <f>_xlfn.XLOOKUP(A162,'TB.1 - F25'!A:A,'TB.1 - F25'!D:D,0,0,1)</f>
        <v>0</v>
      </c>
      <c r="C162" s="1390">
        <f>_xlfn.XLOOKUP(A162,'TB.1 - F25'!A:A,'TB.1 - F25'!H:H,0,0,1)</f>
        <v>0</v>
      </c>
      <c r="D162" s="1390">
        <f>_xlfn.XLOOKUP(A162,'AJE.1 - F25'!A:A,'AJE.1 - F25'!F:F,0,0,1)</f>
        <v>0</v>
      </c>
      <c r="E162" s="1390"/>
      <c r="F162" s="219">
        <f t="shared" si="25"/>
        <v>0</v>
      </c>
      <c r="G162" s="178" t="str">
        <f>_xlfn.XLOOKUP($A162,COA!$B:$B,COA!$C:$C,0,0,1)</f>
        <v>General and administration</v>
      </c>
      <c r="H162" s="178" t="str">
        <f>_xlfn.XLOOKUP($A162,COA!$B:$B,COA!$D:$D,0,0,1)</f>
        <v>Listing expense</v>
      </c>
      <c r="I162" s="178" t="str">
        <f>_xlfn.XLOOKUP($A162,COA!$B:$B,COA!$E:$E,0,0,1)</f>
        <v>Accumulated deficit</v>
      </c>
      <c r="K162" s="85" t="str">
        <f>_xlfn.XLOOKUP(I162,FS.1!A:A,I:I,0,0,1)</f>
        <v>Payroll liabilities</v>
      </c>
      <c r="L162" s="87"/>
      <c r="M162" s="87"/>
      <c r="N162" s="87"/>
      <c r="O162" s="87"/>
      <c r="P162" s="85"/>
      <c r="Q162" s="85"/>
      <c r="R162" s="85"/>
      <c r="S162" s="85"/>
      <c r="T162" s="85"/>
      <c r="U162" s="85"/>
      <c r="V162" s="85"/>
      <c r="W162" s="85"/>
      <c r="X162" s="85"/>
      <c r="Y162" s="85"/>
      <c r="Z162" s="85"/>
      <c r="AA162" s="85"/>
      <c r="AB162" s="85"/>
      <c r="AC162" s="85"/>
    </row>
    <row r="163" spans="1:29" hidden="1" x14ac:dyDescent="0.25">
      <c r="A163" s="1389" t="str">
        <f>COA!B164</f>
        <v>6300 Unapplied Cash Bill Payment Expense</v>
      </c>
      <c r="B163" s="1390">
        <f>_xlfn.XLOOKUP(A163,'TB.1 - F25'!A:A,'TB.1 - F25'!D:D,0,0,1)</f>
        <v>0</v>
      </c>
      <c r="C163" s="1390">
        <f>_xlfn.XLOOKUP(A163,'TB.1 - F25'!A:A,'TB.1 - F25'!H:H,0,0,1)</f>
        <v>0</v>
      </c>
      <c r="D163" s="1390">
        <f>_xlfn.XLOOKUP(A163,'AJE.1 - F25'!A:A,'AJE.1 - F25'!F:F,0,0,1)</f>
        <v>0</v>
      </c>
      <c r="E163" s="1390"/>
      <c r="F163" s="219">
        <f t="shared" si="25"/>
        <v>0</v>
      </c>
      <c r="G163" s="178" t="str">
        <f>_xlfn.XLOOKUP($A163,COA!$B:$B,COA!$C:$C,0,0,1)</f>
        <v>General and administration</v>
      </c>
      <c r="H163" s="178" t="str">
        <f>_xlfn.XLOOKUP($A163,COA!$B:$B,COA!$D:$D,0,0,1)</f>
        <v>Other miscellaneous</v>
      </c>
      <c r="I163" s="178" t="str">
        <f>_xlfn.XLOOKUP($A163,COA!$B:$B,COA!$E:$E,0,0,1)</f>
        <v>Accumulated deficit</v>
      </c>
      <c r="K163" s="85" t="str">
        <f>_xlfn.XLOOKUP(I163,FS.1!A:A,I:I,0,0,1)</f>
        <v>Payroll liabilities</v>
      </c>
      <c r="L163" s="87"/>
      <c r="M163" s="87"/>
      <c r="N163" s="87"/>
      <c r="O163" s="87"/>
      <c r="P163" s="85"/>
      <c r="Q163" s="85"/>
      <c r="R163" s="85"/>
      <c r="S163" s="85"/>
      <c r="T163" s="85"/>
      <c r="U163" s="85"/>
      <c r="V163" s="85"/>
      <c r="W163" s="85"/>
      <c r="X163" s="85"/>
      <c r="Y163" s="85"/>
      <c r="Z163" s="85"/>
      <c r="AA163" s="85"/>
      <c r="AB163" s="85"/>
      <c r="AC163" s="85"/>
    </row>
    <row r="164" spans="1:29" x14ac:dyDescent="0.25">
      <c r="A164" s="1389" t="str">
        <f>COA!B165</f>
        <v>6300 Design and modeling</v>
      </c>
      <c r="B164" s="1390">
        <f>_xlfn.XLOOKUP(A164,'TB.1 - F25'!A:A,'TB.1 - F25'!D:D,0,0,1)</f>
        <v>0</v>
      </c>
      <c r="C164" s="1390">
        <f>_xlfn.XLOOKUP(A164,'TB.1 - F25'!A:A,'TB.1 - F25'!H:H,0,0,1)</f>
        <v>5306.24</v>
      </c>
      <c r="D164" s="1390">
        <f>_xlfn.XLOOKUP(A164,'AJE.1 - F25'!A:A,'AJE.1 - F25'!F:F,0,0,1)</f>
        <v>0</v>
      </c>
      <c r="E164" s="1390"/>
      <c r="F164" s="219">
        <f t="shared" si="25"/>
        <v>5306</v>
      </c>
      <c r="G164" s="178" t="str">
        <f>_xlfn.XLOOKUP($A164,COA!$B:$B,COA!$C:$C,0,0,1)</f>
        <v>General and administration</v>
      </c>
      <c r="H164" s="178" t="str">
        <f>_xlfn.XLOOKUP($A164,COA!$B:$B,COA!$D:$D,0,0,1)</f>
        <v>Other miscellaneous</v>
      </c>
      <c r="I164" s="178" t="str">
        <f>_xlfn.XLOOKUP($A164,COA!$B:$B,COA!$E:$E,0,0,1)</f>
        <v>Accumulated deficit</v>
      </c>
      <c r="K164" s="85" t="str">
        <f t="shared" ref="K164:K165" si="28">I164</f>
        <v>Accumulated deficit</v>
      </c>
      <c r="L164" s="87"/>
      <c r="M164" s="87"/>
      <c r="N164" s="87"/>
      <c r="O164" s="87"/>
      <c r="P164" s="85"/>
      <c r="Q164" s="85"/>
      <c r="R164" s="85"/>
      <c r="S164" s="85"/>
      <c r="T164" s="85"/>
      <c r="U164" s="85"/>
      <c r="V164" s="85"/>
      <c r="W164" s="85"/>
      <c r="X164" s="85"/>
      <c r="Y164" s="85"/>
      <c r="Z164" s="85"/>
      <c r="AA164" s="85"/>
      <c r="AB164" s="85"/>
      <c r="AC164" s="85"/>
    </row>
    <row r="165" spans="1:29" x14ac:dyDescent="0.25">
      <c r="A165" s="1389" t="str">
        <f>COA!B166</f>
        <v>6350 Other labor costs</v>
      </c>
      <c r="B165" s="1390">
        <f>_xlfn.XLOOKUP(A165,'TB.1 - F25'!A:A,'TB.1 - F25'!D:D,0,0,1)</f>
        <v>0</v>
      </c>
      <c r="C165" s="1390">
        <f>_xlfn.XLOOKUP(A165,'TB.1 - F25'!A:A,'TB.1 - F25'!H:H,0,0,1)</f>
        <v>1713.44</v>
      </c>
      <c r="D165" s="1390">
        <f>_xlfn.XLOOKUP(A165,'AJE.1 - F25'!A:A,'AJE.1 - F25'!F:F,0,0,1)</f>
        <v>0</v>
      </c>
      <c r="E165" s="1390"/>
      <c r="F165" s="219">
        <f t="shared" si="25"/>
        <v>1713</v>
      </c>
      <c r="G165" s="178" t="str">
        <f>_xlfn.XLOOKUP($A165,COA!$B:$B,COA!$C:$C,0,0,1)</f>
        <v>General and administration</v>
      </c>
      <c r="H165" s="178" t="str">
        <f>_xlfn.XLOOKUP($A165,COA!$B:$B,COA!$D:$D,0,0,1)</f>
        <v>Other miscellaneous</v>
      </c>
      <c r="I165" s="178" t="str">
        <f>_xlfn.XLOOKUP($A165,COA!$B:$B,COA!$E:$E,0,0,1)</f>
        <v>Accumulated deficit</v>
      </c>
      <c r="K165" s="85" t="str">
        <f t="shared" si="28"/>
        <v>Accumulated deficit</v>
      </c>
      <c r="L165" s="87"/>
      <c r="M165" s="87"/>
      <c r="N165" s="87"/>
      <c r="O165" s="87"/>
      <c r="P165" s="85"/>
      <c r="Q165" s="85"/>
      <c r="R165" s="85"/>
      <c r="S165" s="85"/>
      <c r="T165" s="85"/>
      <c r="U165" s="85"/>
      <c r="V165" s="85"/>
      <c r="W165" s="85"/>
      <c r="X165" s="85"/>
      <c r="Y165" s="85"/>
      <c r="Z165" s="85"/>
      <c r="AA165" s="85"/>
      <c r="AB165" s="85"/>
      <c r="AC165" s="85"/>
    </row>
    <row r="166" spans="1:29" hidden="1" x14ac:dyDescent="0.25">
      <c r="A166" s="1389" t="str">
        <f>COA!B167</f>
        <v>6997 Unapplied Cash Bill Payment Expense</v>
      </c>
      <c r="B166" s="1390">
        <f>_xlfn.XLOOKUP(A166,'TB.1 - F25'!A:A,'TB.1 - F25'!D:D,0,0,1)</f>
        <v>0</v>
      </c>
      <c r="C166" s="1390">
        <f>_xlfn.XLOOKUP(A166,'TB.1 - F25'!A:A,'TB.1 - F25'!H:H,0,0,1)</f>
        <v>0</v>
      </c>
      <c r="D166" s="1390">
        <f>_xlfn.XLOOKUP(A166,'AJE.1 - F25'!A:A,'AJE.1 - F25'!F:F,0,0,1)</f>
        <v>0</v>
      </c>
      <c r="E166" s="1390"/>
      <c r="F166" s="219">
        <f t="shared" si="25"/>
        <v>0</v>
      </c>
      <c r="G166" s="178" t="str">
        <f>_xlfn.XLOOKUP($A166,COA!$B:$B,COA!$C:$C,0,0,1)</f>
        <v>Other expenses</v>
      </c>
      <c r="H166" s="178" t="str">
        <f>_xlfn.XLOOKUP($A166,COA!$B:$B,COA!$D:$D,0,0,1)</f>
        <v>Other miscellaneous</v>
      </c>
      <c r="I166" s="178" t="str">
        <f>_xlfn.XLOOKUP($A166,COA!$B:$B,COA!$E:$E,0,0,1)</f>
        <v>Accumulated deficit</v>
      </c>
      <c r="K166" s="85" t="str">
        <f>_xlfn.XLOOKUP(I166,FS.1!A:A,I:I,0,0,1)</f>
        <v>Payroll liabilities</v>
      </c>
      <c r="L166" s="87"/>
      <c r="M166" s="87"/>
      <c r="N166" s="87"/>
      <c r="O166" s="87"/>
      <c r="P166" s="85"/>
      <c r="Q166" s="85"/>
      <c r="R166" s="85"/>
      <c r="S166" s="85"/>
      <c r="T166" s="85"/>
      <c r="U166" s="85"/>
      <c r="V166" s="85"/>
      <c r="W166" s="85"/>
      <c r="X166" s="85"/>
      <c r="Y166" s="85"/>
      <c r="Z166" s="85"/>
      <c r="AA166" s="85"/>
      <c r="AB166" s="85"/>
      <c r="AC166" s="85"/>
    </row>
    <row r="167" spans="1:29" hidden="1" x14ac:dyDescent="0.25">
      <c r="A167" s="1389" t="str">
        <f>COA!B168</f>
        <v>6998 Uncategorized Expense</v>
      </c>
      <c r="B167" s="1390">
        <f>_xlfn.XLOOKUP(A167,'TB.1 - F25'!A:A,'TB.1 - F25'!D:D,0,0,1)</f>
        <v>0</v>
      </c>
      <c r="C167" s="1390">
        <f>_xlfn.XLOOKUP(A167,'TB.1 - F25'!A:A,'TB.1 - F25'!H:H,0,0,1)</f>
        <v>0</v>
      </c>
      <c r="D167" s="1390">
        <f>_xlfn.XLOOKUP(A167,'AJE.1 - F25'!A:A,'AJE.1 - F25'!F:F,0,0,1)</f>
        <v>0</v>
      </c>
      <c r="E167" s="1390"/>
      <c r="F167" s="219">
        <f t="shared" si="25"/>
        <v>0</v>
      </c>
      <c r="G167" s="178" t="str">
        <f>_xlfn.XLOOKUP($A167,COA!$B:$B,COA!$C:$C,0,0,1)</f>
        <v>General and administration</v>
      </c>
      <c r="H167" s="178" t="str">
        <f>_xlfn.XLOOKUP($A167,COA!$B:$B,COA!$D:$D,0,0,1)</f>
        <v>Other miscellaneous</v>
      </c>
      <c r="I167" s="178" t="str">
        <f>_xlfn.XLOOKUP($A167,COA!$B:$B,COA!$E:$E,0,0,1)</f>
        <v>Accumulated deficit</v>
      </c>
      <c r="K167" s="85" t="str">
        <f>_xlfn.XLOOKUP(I167,FS.1!A:A,I:I,0,0,1)</f>
        <v>Payroll liabilities</v>
      </c>
      <c r="L167" s="87"/>
      <c r="M167" s="87"/>
      <c r="N167" s="87"/>
      <c r="O167" s="87"/>
      <c r="P167" s="85"/>
      <c r="Q167" s="85"/>
      <c r="R167" s="85"/>
      <c r="S167" s="85"/>
      <c r="T167" s="85"/>
      <c r="U167" s="85"/>
      <c r="V167" s="85"/>
      <c r="W167" s="85"/>
      <c r="X167" s="85"/>
      <c r="Y167" s="85"/>
      <c r="Z167" s="85"/>
      <c r="AA167" s="85"/>
      <c r="AB167" s="85"/>
      <c r="AC167" s="85"/>
    </row>
    <row r="168" spans="1:29" hidden="1" x14ac:dyDescent="0.25">
      <c r="A168" s="1389" t="str">
        <f>COA!B169</f>
        <v>6999 Miscellaneous</v>
      </c>
      <c r="B168" s="1390">
        <f>_xlfn.XLOOKUP(A168,'TB.1 - F25'!A:A,'TB.1 - F25'!D:D,0,0,1)</f>
        <v>0</v>
      </c>
      <c r="C168" s="1390">
        <f>_xlfn.XLOOKUP(A168,'TB.1 - F25'!A:A,'TB.1 - F25'!H:H,0,0,1)</f>
        <v>0</v>
      </c>
      <c r="D168" s="1390">
        <f>_xlfn.XLOOKUP(A168,'AJE.1 - F25'!A:A,'AJE.1 - F25'!F:F,0,0,1)</f>
        <v>0</v>
      </c>
      <c r="E168" s="1390"/>
      <c r="F168" s="219">
        <f t="shared" si="25"/>
        <v>0</v>
      </c>
      <c r="G168" s="178" t="str">
        <f>_xlfn.XLOOKUP($A168,COA!$B:$B,COA!$C:$C,0,0,1)</f>
        <v>General and administration</v>
      </c>
      <c r="H168" s="178" t="str">
        <f>_xlfn.XLOOKUP($A168,COA!$B:$B,COA!$D:$D,0,0,1)</f>
        <v>Other miscellaneous</v>
      </c>
      <c r="I168" s="178" t="str">
        <f>_xlfn.XLOOKUP($A168,COA!$B:$B,COA!$E:$E,0,0,1)</f>
        <v>Accumulated deficit</v>
      </c>
      <c r="K168" s="85" t="str">
        <f>_xlfn.XLOOKUP(I168,FS.1!A:A,I:I,0,0,1)</f>
        <v>Payroll liabilities</v>
      </c>
      <c r="L168" s="87"/>
      <c r="M168" s="87"/>
      <c r="N168" s="87"/>
      <c r="O168" s="87"/>
      <c r="P168" s="85"/>
      <c r="Q168" s="85"/>
      <c r="R168" s="85"/>
      <c r="S168" s="85"/>
      <c r="T168" s="85"/>
      <c r="U168" s="85"/>
      <c r="V168" s="85"/>
      <c r="W168" s="85"/>
      <c r="X168" s="85"/>
      <c r="Y168" s="85"/>
      <c r="Z168" s="85"/>
      <c r="AA168" s="85"/>
      <c r="AB168" s="85"/>
      <c r="AC168" s="85"/>
    </row>
    <row r="169" spans="1:29" hidden="1" x14ac:dyDescent="0.25">
      <c r="A169" s="1389" t="str">
        <f>COA!B170</f>
        <v>7000 Reconciliation Discrepancies</v>
      </c>
      <c r="B169" s="1390">
        <f>_xlfn.XLOOKUP(A169,'TB.1 - F25'!A:A,'TB.1 - F25'!D:D,0,0,1)</f>
        <v>0</v>
      </c>
      <c r="C169" s="1390">
        <f>_xlfn.XLOOKUP(A169,'TB.1 - F25'!A:A,'TB.1 - F25'!H:H,0,0,1)</f>
        <v>0</v>
      </c>
      <c r="D169" s="1390">
        <f>_xlfn.XLOOKUP(A169,'AJE.1 - F25'!A:A,'AJE.1 - F25'!F:F,0,0,1)</f>
        <v>0</v>
      </c>
      <c r="E169" s="1390"/>
      <c r="F169" s="219">
        <f t="shared" si="25"/>
        <v>0</v>
      </c>
      <c r="G169" s="178" t="str">
        <f>_xlfn.XLOOKUP($A169,COA!$B:$B,COA!$C:$C,0,0,1)</f>
        <v>General and administration</v>
      </c>
      <c r="H169" s="178" t="str">
        <f>_xlfn.XLOOKUP($A169,COA!$B:$B,COA!$D:$D,0,0,1)</f>
        <v>Other miscellaneous</v>
      </c>
      <c r="I169" s="178" t="str">
        <f>_xlfn.XLOOKUP($A169,COA!$B:$B,COA!$E:$E,0,0,1)</f>
        <v>Accumulated deficit</v>
      </c>
      <c r="K169" s="85" t="str">
        <f>_xlfn.XLOOKUP(I169,FS.1!A:A,I:I,0,0,1)</f>
        <v>Payroll liabilities</v>
      </c>
      <c r="L169" s="87"/>
      <c r="M169" s="87"/>
      <c r="N169" s="87"/>
      <c r="O169" s="87"/>
      <c r="P169" s="85"/>
      <c r="Q169" s="85"/>
      <c r="R169" s="85"/>
      <c r="S169" s="85"/>
      <c r="T169" s="85"/>
      <c r="U169" s="85"/>
      <c r="V169" s="85"/>
      <c r="W169" s="85"/>
      <c r="X169" s="85"/>
      <c r="Y169" s="85"/>
      <c r="Z169" s="85"/>
      <c r="AA169" s="85"/>
      <c r="AB169" s="85"/>
      <c r="AC169" s="85"/>
    </row>
    <row r="170" spans="1:29" x14ac:dyDescent="0.25">
      <c r="A170" s="1389" t="str">
        <f>COA!B171</f>
        <v>8000 Exchange Gain or Loss</v>
      </c>
      <c r="B170" s="1390">
        <f>_xlfn.XLOOKUP(A170,'TB.1 - F25'!A:A,'TB.1 - F25'!D:D,0,0,1)</f>
        <v>0</v>
      </c>
      <c r="C170" s="1390">
        <f>_xlfn.XLOOKUP(A170,'TB.1 - F25'!A:A,'TB.1 - F25'!H:H,0,0,1)</f>
        <v>42.78</v>
      </c>
      <c r="D170" s="1390">
        <f>_xlfn.XLOOKUP(A170,'AJE.1 - F25'!A:A,'AJE.1 - F25'!F:F,0,0,1)</f>
        <v>0</v>
      </c>
      <c r="E170" s="1390"/>
      <c r="F170" s="219">
        <f t="shared" ref="F170:F173" si="29">ROUND(SUM(B170:E170),0)</f>
        <v>43</v>
      </c>
      <c r="G170" s="178" t="str">
        <f>_xlfn.XLOOKUP($A170,COA!$B:$B,COA!$C:$C,0,0,1)</f>
        <v>General and administration</v>
      </c>
      <c r="H170" s="178" t="str">
        <f>_xlfn.XLOOKUP($A170,COA!$B:$B,COA!$D:$D,0,0,1)</f>
        <v>Foreign exchange</v>
      </c>
      <c r="I170" s="178" t="str">
        <f>_xlfn.XLOOKUP($A170,COA!$B:$B,COA!$E:$E,0,0,1)</f>
        <v>Accumulated deficit</v>
      </c>
      <c r="K170" s="85" t="str">
        <f t="shared" ref="K170" si="30">I170</f>
        <v>Accumulated deficit</v>
      </c>
      <c r="L170" s="87"/>
      <c r="M170" s="87"/>
      <c r="N170" s="87"/>
      <c r="O170" s="87"/>
      <c r="P170" s="85"/>
      <c r="Q170" s="85"/>
      <c r="R170" s="85"/>
      <c r="S170" s="85"/>
      <c r="T170" s="85"/>
      <c r="U170" s="85"/>
      <c r="V170" s="85"/>
      <c r="W170" s="85"/>
      <c r="X170" s="85"/>
      <c r="Y170" s="85"/>
      <c r="Z170" s="85"/>
      <c r="AA170" s="85"/>
      <c r="AB170" s="85"/>
      <c r="AC170" s="85"/>
    </row>
    <row r="171" spans="1:29" hidden="1" x14ac:dyDescent="0.25">
      <c r="A171" s="1389" t="str">
        <f>COA!B172</f>
        <v>IMP1 - Warranty expense</v>
      </c>
      <c r="B171" s="1390">
        <f>_xlfn.XLOOKUP(A171,'TB.1 - F25'!A:A,'TB.1 - F25'!D:D,0,0,1)</f>
        <v>0</v>
      </c>
      <c r="C171" s="1390">
        <f>_xlfn.XLOOKUP(A171,'TB.1 - F25'!A:A,'TB.1 - F25'!H:H,0,0,1)</f>
        <v>0</v>
      </c>
      <c r="D171" s="1390">
        <f>_xlfn.XLOOKUP(A171,'AJE.1 - F25'!A:A,'AJE.1 - F25'!F:F,0,0,1)</f>
        <v>0</v>
      </c>
      <c r="E171" s="1390"/>
      <c r="F171" s="219">
        <f t="shared" si="29"/>
        <v>0</v>
      </c>
      <c r="G171" s="178" t="str">
        <f>_xlfn.XLOOKUP($A171,COA!$B:$B,COA!$C:$C,0,0,1)</f>
        <v>General and administration</v>
      </c>
      <c r="H171" s="178" t="str">
        <f>_xlfn.XLOOKUP($A171,COA!$B:$B,COA!$D:$D,0,0,1)</f>
        <v>Warranty expense</v>
      </c>
      <c r="I171" s="178" t="str">
        <f>_xlfn.XLOOKUP($A171,COA!$B:$B,COA!$E:$E,0,0,1)</f>
        <v>Accumulated deficit</v>
      </c>
      <c r="K171" s="85" t="str">
        <f>_xlfn.XLOOKUP(I171,FS.1!A:A,I:I,0,0,1)</f>
        <v>Payroll liabilities</v>
      </c>
      <c r="L171" s="87"/>
      <c r="M171" s="87"/>
      <c r="N171" s="87"/>
      <c r="O171" s="87"/>
      <c r="P171" s="85"/>
      <c r="Q171" s="85"/>
      <c r="R171" s="85"/>
      <c r="S171" s="85"/>
      <c r="T171" s="85"/>
      <c r="U171" s="85"/>
      <c r="V171" s="85"/>
      <c r="W171" s="85"/>
      <c r="X171" s="85"/>
      <c r="Y171" s="85"/>
      <c r="Z171" s="85"/>
      <c r="AA171" s="85"/>
      <c r="AB171" s="85"/>
      <c r="AC171" s="85"/>
    </row>
    <row r="172" spans="1:29" hidden="1" x14ac:dyDescent="0.25">
      <c r="A172" s="1389" t="str">
        <f>COA!B173</f>
        <v>IMP2 - Engineering expense</v>
      </c>
      <c r="B172" s="1390">
        <f>_xlfn.XLOOKUP(A172,'TB.1 - F25'!A:A,'TB.1 - F25'!D:D,0,0,1)</f>
        <v>0</v>
      </c>
      <c r="C172" s="1390">
        <f>_xlfn.XLOOKUP(A172,'TB.1 - F25'!A:A,'TB.1 - F25'!H:H,0,0,1)</f>
        <v>0</v>
      </c>
      <c r="D172" s="1390">
        <f>_xlfn.XLOOKUP(A172,'AJE.1 - F25'!A:A,'AJE.1 - F25'!F:F,0,0,1)</f>
        <v>0</v>
      </c>
      <c r="E172" s="1390"/>
      <c r="F172" s="219">
        <f t="shared" si="29"/>
        <v>0</v>
      </c>
      <c r="G172" s="178" t="str">
        <f>_xlfn.XLOOKUP($A172,COA!$B:$B,COA!$C:$C,0,0,1)</f>
        <v>General and administration</v>
      </c>
      <c r="H172" s="178" t="str">
        <f>_xlfn.XLOOKUP($A172,COA!$B:$B,COA!$D:$D,0,0,1)</f>
        <v>Engineering expense</v>
      </c>
      <c r="I172" s="178" t="str">
        <f>_xlfn.XLOOKUP($A172,COA!$B:$B,COA!$E:$E,0,0,1)</f>
        <v>Accumulated deficit</v>
      </c>
      <c r="K172" s="85" t="str">
        <f>_xlfn.XLOOKUP(I172,FS.1!A:A,I:I,0,0,1)</f>
        <v>Payroll liabilities</v>
      </c>
      <c r="L172" s="87"/>
      <c r="M172" s="87"/>
      <c r="N172" s="87"/>
      <c r="O172" s="87"/>
      <c r="P172" s="85"/>
      <c r="Q172" s="85"/>
      <c r="R172" s="85"/>
      <c r="S172" s="85"/>
      <c r="T172" s="85"/>
      <c r="U172" s="85"/>
      <c r="V172" s="85"/>
      <c r="W172" s="85"/>
      <c r="X172" s="85"/>
      <c r="Y172" s="85"/>
      <c r="Z172" s="85"/>
      <c r="AA172" s="85"/>
      <c r="AB172" s="85"/>
      <c r="AC172" s="85"/>
    </row>
    <row r="173" spans="1:29" hidden="1" x14ac:dyDescent="0.25">
      <c r="A173" s="1389" t="str">
        <f>COA!B174</f>
        <v>IMP3 - Commission expense</v>
      </c>
      <c r="B173" s="1390">
        <f>_xlfn.XLOOKUP(A173,'TB.1 - F25'!A:A,'TB.1 - F25'!D:D,0,0,1)</f>
        <v>0</v>
      </c>
      <c r="C173" s="1390">
        <f>_xlfn.XLOOKUP(A173,'TB.1 - F25'!A:A,'TB.1 - F25'!H:H,0,0,1)</f>
        <v>0</v>
      </c>
      <c r="D173" s="1390">
        <f>_xlfn.XLOOKUP(A173,'AJE.1 - F25'!A:A,'AJE.1 - F25'!F:F,0,0,1)</f>
        <v>0</v>
      </c>
      <c r="E173" s="1390"/>
      <c r="F173" s="219">
        <f t="shared" si="29"/>
        <v>0</v>
      </c>
      <c r="G173" s="178" t="str">
        <f>_xlfn.XLOOKUP($A173,COA!$B:$B,COA!$C:$C,0,0,1)</f>
        <v>Cost of goods sold</v>
      </c>
      <c r="H173" s="178" t="str">
        <f>_xlfn.XLOOKUP($A173,COA!$B:$B,COA!$D:$D,0,0,1)</f>
        <v>Cost of goods sold</v>
      </c>
      <c r="I173" s="178" t="str">
        <f>_xlfn.XLOOKUP($A173,COA!$B:$B,COA!$E:$E,0,0,1)</f>
        <v>Accumulated deficit</v>
      </c>
      <c r="K173" s="85" t="str">
        <f>_xlfn.XLOOKUP(I173,FS.1!A:A,I:I,0,0,1)</f>
        <v>Payroll liabilities</v>
      </c>
      <c r="L173" s="87"/>
      <c r="M173" s="87"/>
      <c r="N173" s="87"/>
      <c r="O173" s="87"/>
      <c r="P173" s="85"/>
      <c r="Q173" s="85"/>
      <c r="R173" s="85"/>
      <c r="S173" s="85"/>
      <c r="T173" s="85"/>
      <c r="U173" s="85"/>
      <c r="V173" s="85"/>
      <c r="W173" s="85"/>
      <c r="X173" s="85"/>
      <c r="Y173" s="85"/>
      <c r="Z173" s="85"/>
      <c r="AA173" s="85"/>
      <c r="AB173" s="85"/>
      <c r="AC173" s="85"/>
    </row>
    <row r="174" spans="1:29" hidden="1" x14ac:dyDescent="0.25">
      <c r="A174" s="1389" t="str">
        <f>COA!B175</f>
        <v>IMP4 - Warranty Liability</v>
      </c>
      <c r="B174" s="1390">
        <f>_xlfn.XLOOKUP(A174,'TB.1 - F25'!A:A,'TB.1 - F25'!D:D,0,0,1)</f>
        <v>0</v>
      </c>
      <c r="C174" s="1390">
        <f>_xlfn.XLOOKUP(A174,'TB.1 - F25'!A:A,'TB.1 - F25'!H:H,0,0,1)</f>
        <v>0</v>
      </c>
      <c r="D174" s="1390">
        <f>_xlfn.XLOOKUP(A174,'AJE.1 - F25'!A:A,'AJE.1 - F25'!F:F,0,0,1)</f>
        <v>0</v>
      </c>
      <c r="E174" s="1390"/>
      <c r="F174" s="219">
        <f t="shared" ref="F174" si="31">ROUND(SUM(B174:E174),0)</f>
        <v>0</v>
      </c>
      <c r="G174" s="178" t="str">
        <f>_xlfn.XLOOKUP($A174,COA!$B:$B,COA!$C:$C,0,0,1)</f>
        <v>Warranty liability</v>
      </c>
      <c r="H174" s="178" t="str">
        <f>_xlfn.XLOOKUP($A174,COA!$B:$B,COA!$D:$D,0,0,1)</f>
        <v>Warranty liability</v>
      </c>
      <c r="I174" s="178" t="str">
        <f>_xlfn.XLOOKUP($A174,COA!$B:$B,COA!$E:$E,0,0,1)</f>
        <v>Warranty liability</v>
      </c>
      <c r="K174" s="85" t="str">
        <f>_xlfn.XLOOKUP(I174,FS.1!A:A,I:I,0,0,1)</f>
        <v>Equipment</v>
      </c>
      <c r="L174" s="87"/>
      <c r="M174" s="87"/>
      <c r="N174" s="87"/>
      <c r="O174" s="87"/>
      <c r="P174" s="85"/>
      <c r="Q174" s="85"/>
      <c r="R174" s="85"/>
      <c r="S174" s="85"/>
      <c r="T174" s="85"/>
      <c r="U174" s="85"/>
      <c r="V174" s="85"/>
      <c r="W174" s="85"/>
      <c r="X174" s="85"/>
      <c r="Y174" s="85"/>
      <c r="Z174" s="85"/>
      <c r="AA174" s="85"/>
      <c r="AB174" s="85"/>
      <c r="AC174" s="85"/>
    </row>
    <row r="175" spans="1:29" hidden="1" x14ac:dyDescent="0.25">
      <c r="A175" s="1389" t="str">
        <f>COA!B176</f>
        <v>IMP5 - R&amp;D</v>
      </c>
      <c r="B175" s="1390">
        <f>_xlfn.XLOOKUP(A175,'TB.1 - F25'!A:A,'TB.1 - F25'!D:D,0,0,1)</f>
        <v>0</v>
      </c>
      <c r="C175" s="1390">
        <f>_xlfn.XLOOKUP(A175,'TB.1 - F25'!A:A,'TB.1 - F25'!H:H,0,0,1)</f>
        <v>0</v>
      </c>
      <c r="D175" s="1390">
        <f>_xlfn.XLOOKUP(A175,'AJE.1 - F25'!A:A,'AJE.1 - F25'!F:F,0,0,1)</f>
        <v>0</v>
      </c>
      <c r="E175" s="1390"/>
      <c r="F175" s="219">
        <f t="shared" ref="F175" si="32">ROUND(SUM(B175:E175),0)</f>
        <v>0</v>
      </c>
      <c r="G175" s="178" t="str">
        <f>_xlfn.XLOOKUP($A175,COA!$B:$B,COA!$C:$C,0,0,1)</f>
        <v>General and administration</v>
      </c>
      <c r="H175" s="178" t="str">
        <f>_xlfn.XLOOKUP($A175,COA!$B:$B,COA!$D:$D,0,0,1)</f>
        <v>Other expenses</v>
      </c>
      <c r="I175" s="178" t="str">
        <f>_xlfn.XLOOKUP($A175,COA!$B:$B,COA!$E:$E,0,0,1)</f>
        <v>Accumulated deficit</v>
      </c>
      <c r="K175" s="85" t="str">
        <f>_xlfn.XLOOKUP(I175,FS.1!A:A,I:I,0,0,1)</f>
        <v>Payroll liabilities</v>
      </c>
      <c r="L175" s="87"/>
      <c r="M175" s="87"/>
      <c r="N175" s="87"/>
      <c r="O175" s="87"/>
      <c r="P175" s="85"/>
      <c r="Q175" s="85"/>
      <c r="R175" s="85"/>
      <c r="S175" s="85"/>
      <c r="T175" s="85"/>
      <c r="U175" s="85"/>
      <c r="V175" s="85"/>
      <c r="W175" s="85"/>
      <c r="X175" s="85"/>
      <c r="Y175" s="85"/>
      <c r="Z175" s="85"/>
      <c r="AA175" s="85"/>
      <c r="AB175" s="85"/>
      <c r="AC175" s="85"/>
    </row>
    <row r="176" spans="1:29" hidden="1" x14ac:dyDescent="0.25">
      <c r="A176" s="1389" t="str">
        <f>COA!B177</f>
        <v>IMP6 - Acquisition costs</v>
      </c>
      <c r="B176" s="1390">
        <f>_xlfn.XLOOKUP(A176,'TB.1 - F25'!A:A,'TB.1 - F25'!D:D,0,0,1)</f>
        <v>0</v>
      </c>
      <c r="C176" s="1390">
        <f>_xlfn.XLOOKUP(A176,'TB.1 - F25'!A:A,'TB.1 - F25'!H:H,0,0,1)</f>
        <v>0</v>
      </c>
      <c r="D176" s="1390">
        <f>_xlfn.XLOOKUP(A176,'AJE.1 - F25'!A:A,'AJE.1 - F25'!F:F,0,0,1)</f>
        <v>0</v>
      </c>
      <c r="E176" s="1390"/>
      <c r="F176" s="219">
        <f t="shared" ref="F176" si="33">ROUND(SUM(B176:E176),0)</f>
        <v>0</v>
      </c>
      <c r="G176" s="178" t="str">
        <f>_xlfn.XLOOKUP($A176,COA!$B:$B,COA!$C:$C,0,0,1)</f>
        <v>General and administration</v>
      </c>
      <c r="H176" s="178" t="str">
        <f>_xlfn.XLOOKUP($A176,COA!$B:$B,COA!$D:$D,0,0,1)</f>
        <v>Acquisition expense</v>
      </c>
      <c r="I176" s="178" t="str">
        <f>_xlfn.XLOOKUP($A176,COA!$B:$B,COA!$E:$E,0,0,1)</f>
        <v>Accumulated deficit</v>
      </c>
      <c r="K176" s="85" t="str">
        <f>_xlfn.XLOOKUP(I176,FS.1!A:A,I:I,0,0,1)</f>
        <v>Payroll liabilities</v>
      </c>
      <c r="L176" s="87"/>
      <c r="M176" s="87"/>
      <c r="N176" s="87"/>
      <c r="O176" s="87"/>
      <c r="P176" s="85"/>
      <c r="Q176" s="85"/>
      <c r="R176" s="85"/>
      <c r="S176" s="85"/>
      <c r="T176" s="85"/>
      <c r="U176" s="85"/>
      <c r="V176" s="85"/>
      <c r="W176" s="85"/>
      <c r="X176" s="85"/>
      <c r="Y176" s="85"/>
      <c r="Z176" s="85"/>
      <c r="AA176" s="85"/>
      <c r="AB176" s="85"/>
      <c r="AC176" s="85"/>
    </row>
    <row r="177" spans="1:31" hidden="1" x14ac:dyDescent="0.25">
      <c r="A177" s="1389" t="str">
        <f>COA!B178</f>
        <v>IMP9 - Share-based compensation</v>
      </c>
      <c r="B177" s="1390">
        <f>_xlfn.XLOOKUP(A177,'TB.1 - F25'!A:A,'TB.1 - F25'!D:D,0,0,1)</f>
        <v>0</v>
      </c>
      <c r="C177" s="1390">
        <f>_xlfn.XLOOKUP(A177,'TB.1 - F25'!A:A,'TB.1 - F25'!H:H,0,0,1)</f>
        <v>0</v>
      </c>
      <c r="D177" s="1390">
        <f>_xlfn.XLOOKUP(A177,'AJE.1 - F25'!A:A,'AJE.1 - F25'!F:F,0,0,1)</f>
        <v>0</v>
      </c>
      <c r="E177" s="1390"/>
      <c r="F177" s="219">
        <f t="shared" ref="F177:F179" si="34">ROUND(SUM(B177:E177),0)</f>
        <v>0</v>
      </c>
      <c r="G177" s="178" t="str">
        <f>_xlfn.XLOOKUP($A177,COA!$B:$B,COA!$C:$C,0,0,1)</f>
        <v>General and administration</v>
      </c>
      <c r="H177" s="178" t="str">
        <f>_xlfn.XLOOKUP($A177,COA!$B:$B,COA!$D:$D,0,0,1)</f>
        <v>Share based compensation</v>
      </c>
      <c r="I177" s="178" t="str">
        <f>_xlfn.XLOOKUP($A177,COA!$B:$B,COA!$E:$E,0,0,1)</f>
        <v>Accumulated deficit</v>
      </c>
      <c r="K177" s="85" t="str">
        <f>_xlfn.XLOOKUP(I177,FS.1!A:A,I:I,0,0,1)</f>
        <v>Payroll liabilities</v>
      </c>
      <c r="L177" s="87"/>
      <c r="M177" s="87"/>
      <c r="N177" s="87"/>
      <c r="O177" s="87"/>
      <c r="P177" s="85"/>
      <c r="Q177" s="85"/>
      <c r="R177" s="85"/>
      <c r="S177" s="85"/>
      <c r="T177" s="85"/>
      <c r="U177" s="85"/>
      <c r="V177" s="85"/>
      <c r="W177" s="85"/>
      <c r="X177" s="85"/>
      <c r="Y177" s="85"/>
      <c r="Z177" s="85"/>
      <c r="AA177" s="85"/>
      <c r="AB177" s="85"/>
      <c r="AC177" s="85"/>
    </row>
    <row r="178" spans="1:31" x14ac:dyDescent="0.25">
      <c r="A178" s="1389" t="str">
        <f>COA!B179</f>
        <v>6200 Accretion expense</v>
      </c>
      <c r="B178" s="1390">
        <f>_xlfn.XLOOKUP(A178,'TB.1 - F25'!A:A,'TB.1 - F25'!D:D,0,0,1)</f>
        <v>31956.79</v>
      </c>
      <c r="C178" s="1390">
        <f>_xlfn.XLOOKUP(A178,'TB.1 - F25'!A:A,'TB.1 - F25'!H:H,0,0,1)</f>
        <v>0</v>
      </c>
      <c r="D178" s="1390">
        <f>_xlfn.XLOOKUP(A178,'AJE.1 - F25'!A:A,'AJE.1 - F25'!F:F,0,0,1)</f>
        <v>0</v>
      </c>
      <c r="E178" s="1390"/>
      <c r="F178" s="219">
        <f t="shared" si="34"/>
        <v>31957</v>
      </c>
      <c r="G178" s="178" t="str">
        <f>_xlfn.XLOOKUP($A178,COA!$B:$B,COA!$C:$C,0,0,1)</f>
        <v>Net financial expenses</v>
      </c>
      <c r="H178" s="178" t="str">
        <f>_xlfn.XLOOKUP($A178,COA!$B:$B,COA!$D:$D,0,0,1)</f>
        <v>Net financial expenses</v>
      </c>
      <c r="I178" s="178" t="str">
        <f>_xlfn.XLOOKUP($A178,COA!$B:$B,COA!$E:$E,0,0,1)</f>
        <v>Accumulated deficit</v>
      </c>
      <c r="K178" s="85" t="str">
        <f t="shared" ref="K178" si="35">I178</f>
        <v>Accumulated deficit</v>
      </c>
      <c r="L178" s="87"/>
      <c r="M178" s="87"/>
      <c r="N178" s="87"/>
      <c r="O178" s="87"/>
      <c r="P178" s="85"/>
      <c r="Q178" s="85"/>
      <c r="R178" s="85"/>
      <c r="S178" s="85"/>
      <c r="T178" s="85"/>
      <c r="U178" s="85"/>
      <c r="V178" s="85"/>
      <c r="W178" s="85"/>
      <c r="X178" s="85"/>
      <c r="Y178" s="85"/>
      <c r="Z178" s="85"/>
      <c r="AA178" s="85"/>
      <c r="AB178" s="85"/>
      <c r="AC178" s="85"/>
    </row>
    <row r="179" spans="1:31" hidden="1" x14ac:dyDescent="0.25">
      <c r="A179" s="1389" t="str">
        <f>COA!B180</f>
        <v>6250 Finance expense</v>
      </c>
      <c r="B179" s="1390">
        <f>_xlfn.XLOOKUP(A179,'TB.1 - F25'!A:A,'TB.1 - F25'!D:D,0,0,1)</f>
        <v>0</v>
      </c>
      <c r="C179" s="1390">
        <f>_xlfn.XLOOKUP(A179,'TB.1 - F25'!A:A,'TB.1 - F25'!H:H,0,0,1)</f>
        <v>0</v>
      </c>
      <c r="D179" s="1390">
        <f>_xlfn.XLOOKUP(A179,'AJE.1 - F25'!A:A,'AJE.1 - F25'!F:F,0,0,1)</f>
        <v>0</v>
      </c>
      <c r="E179" s="1390"/>
      <c r="F179" s="219">
        <f t="shared" si="34"/>
        <v>0</v>
      </c>
      <c r="G179" s="178" t="str">
        <f>_xlfn.XLOOKUP($A179,COA!$B:$B,COA!$C:$C,0,0,1)</f>
        <v>Net financial expenses</v>
      </c>
      <c r="H179" s="178" t="str">
        <f>_xlfn.XLOOKUP($A179,COA!$B:$B,COA!$D:$D,0,0,1)</f>
        <v>Net financial expenses</v>
      </c>
      <c r="I179" s="178" t="str">
        <f>_xlfn.XLOOKUP($A179,COA!$B:$B,COA!$E:$E,0,0,1)</f>
        <v>Accumulated deficit</v>
      </c>
      <c r="K179" s="85" t="str">
        <f>_xlfn.XLOOKUP(I179,FS.1!A:A,I:I,0,0,1)</f>
        <v>Payroll liabilities</v>
      </c>
      <c r="L179" s="87"/>
      <c r="M179" s="87"/>
      <c r="N179" s="87"/>
      <c r="O179" s="87"/>
      <c r="P179" s="85"/>
      <c r="Q179" s="85"/>
      <c r="R179" s="85"/>
      <c r="S179" s="85"/>
      <c r="T179" s="85"/>
      <c r="U179" s="85"/>
      <c r="V179" s="85"/>
      <c r="W179" s="85"/>
      <c r="X179" s="85"/>
      <c r="Y179" s="85"/>
      <c r="Z179" s="85"/>
      <c r="AA179" s="85"/>
      <c r="AB179" s="85"/>
      <c r="AC179" s="85"/>
    </row>
    <row r="180" spans="1:31" x14ac:dyDescent="0.25">
      <c r="A180" s="1389"/>
      <c r="B180" s="1390"/>
      <c r="C180" s="1390"/>
      <c r="D180" s="1390"/>
      <c r="E180" s="1390"/>
      <c r="F180" s="219"/>
      <c r="G180" s="178"/>
      <c r="H180" s="178"/>
      <c r="I180" s="178"/>
      <c r="K180" s="85"/>
      <c r="L180" s="87"/>
      <c r="M180" s="87"/>
      <c r="N180" s="87"/>
      <c r="O180" s="87"/>
      <c r="P180" s="85"/>
      <c r="Q180" s="85"/>
      <c r="R180" s="85"/>
      <c r="S180" s="85"/>
      <c r="T180" s="85"/>
      <c r="U180" s="85"/>
      <c r="V180" s="85"/>
      <c r="W180" s="85"/>
      <c r="X180" s="85"/>
      <c r="Y180" s="85"/>
      <c r="Z180" s="85"/>
      <c r="AA180" s="85"/>
      <c r="AB180" s="85"/>
      <c r="AC180" s="85"/>
    </row>
    <row r="181" spans="1:31" x14ac:dyDescent="0.25">
      <c r="A181" s="1389"/>
      <c r="B181" s="1390"/>
      <c r="C181" s="1390"/>
      <c r="D181" s="1390"/>
      <c r="E181" s="1390"/>
      <c r="F181" s="219"/>
      <c r="G181" s="178"/>
      <c r="H181" s="178"/>
      <c r="I181" s="178"/>
      <c r="K181" s="85"/>
      <c r="L181" s="87"/>
      <c r="M181" s="87"/>
      <c r="N181" s="87"/>
      <c r="O181" s="87"/>
      <c r="P181" s="85"/>
      <c r="Q181" s="85"/>
      <c r="R181" s="85"/>
      <c r="S181" s="85"/>
      <c r="T181" s="85"/>
      <c r="U181" s="85"/>
      <c r="V181" s="85"/>
      <c r="W181" s="85"/>
      <c r="X181" s="85"/>
      <c r="Y181" s="85"/>
      <c r="Z181" s="85"/>
      <c r="AA181" s="85"/>
      <c r="AB181" s="85"/>
      <c r="AC181" s="85"/>
    </row>
    <row r="182" spans="1:31" ht="12.6" hidden="1" thickBot="1" x14ac:dyDescent="0.35">
      <c r="A182" s="48" t="s">
        <v>0</v>
      </c>
      <c r="B182" s="49">
        <f>SUM(B8:B181)</f>
        <v>-5.6024873629212379E-10</v>
      </c>
      <c r="C182" s="49">
        <f>SUM(C8:C181)</f>
        <v>1.4350121091410983E-10</v>
      </c>
      <c r="D182" s="49">
        <f>SUM(D8:D181)</f>
        <v>0</v>
      </c>
      <c r="E182" s="49">
        <f>SUM(E8:E181)</f>
        <v>0</v>
      </c>
      <c r="F182" s="49">
        <f>SUM(F8:F181)</f>
        <v>0</v>
      </c>
      <c r="G182" s="180"/>
      <c r="H182" s="48"/>
      <c r="I182" s="48"/>
      <c r="J182" s="19"/>
      <c r="K182" s="87"/>
      <c r="L182" s="87"/>
      <c r="M182" s="87"/>
      <c r="N182" s="87"/>
      <c r="O182" s="87"/>
      <c r="P182" s="85"/>
      <c r="Q182" s="85"/>
      <c r="R182" s="85"/>
      <c r="S182" s="85"/>
      <c r="T182" s="85"/>
      <c r="U182" s="85"/>
      <c r="V182" s="85"/>
      <c r="W182" s="85"/>
      <c r="X182" s="85"/>
      <c r="Y182" s="85"/>
      <c r="Z182" s="85"/>
      <c r="AA182" s="85"/>
      <c r="AB182" s="85"/>
      <c r="AC182" s="85"/>
    </row>
    <row r="183" spans="1:31" x14ac:dyDescent="0.3">
      <c r="B183" s="19"/>
      <c r="C183" s="19"/>
      <c r="D183" s="19"/>
      <c r="E183" s="19"/>
      <c r="F183" s="19"/>
      <c r="G183" s="181"/>
      <c r="H183" s="19"/>
      <c r="I183" s="19"/>
      <c r="J183" s="19"/>
      <c r="K183" s="87"/>
      <c r="L183" s="87"/>
      <c r="M183" s="87"/>
      <c r="N183" s="87"/>
      <c r="O183" s="87"/>
      <c r="P183" s="85"/>
      <c r="Q183" s="85"/>
      <c r="R183" s="85"/>
      <c r="S183" s="85"/>
      <c r="T183" s="85"/>
      <c r="U183" s="85"/>
      <c r="V183" s="85"/>
      <c r="W183" s="85"/>
      <c r="X183" s="85"/>
      <c r="Y183" s="85"/>
      <c r="Z183" s="85"/>
      <c r="AA183" s="85"/>
      <c r="AB183" s="85"/>
      <c r="AC183" s="85"/>
    </row>
    <row r="184" spans="1:31" x14ac:dyDescent="0.3">
      <c r="K184" s="85"/>
      <c r="L184" s="85"/>
      <c r="M184" s="85"/>
      <c r="N184" s="85"/>
      <c r="O184" s="85"/>
      <c r="P184" s="85"/>
      <c r="Q184" s="85"/>
      <c r="R184" s="85"/>
      <c r="S184" s="85"/>
      <c r="T184" s="85"/>
      <c r="U184" s="85"/>
      <c r="V184" s="85"/>
      <c r="W184" s="85"/>
      <c r="X184" s="85"/>
      <c r="Y184" s="85"/>
      <c r="Z184" s="85"/>
      <c r="AA184" s="85"/>
      <c r="AB184" s="85"/>
      <c r="AC184" s="85"/>
      <c r="AE184" s="89" t="s">
        <v>19</v>
      </c>
    </row>
    <row r="185" spans="1:31" x14ac:dyDescent="0.3">
      <c r="A185" s="77" t="s">
        <v>1196</v>
      </c>
      <c r="B185" s="537">
        <f>'IS - F25'!I91</f>
        <v>246334.50999999998</v>
      </c>
      <c r="C185" s="537">
        <f>'IS - F25'!J91</f>
        <v>159318.05000000002</v>
      </c>
      <c r="D185" s="537"/>
      <c r="E185" s="537"/>
      <c r="F185" s="537"/>
      <c r="G185" s="182"/>
      <c r="K185" s="64">
        <f>comp_period_1</f>
        <v>45473</v>
      </c>
      <c r="L185" s="45">
        <f>_xlfn.XLOOKUP(L5,FS.1!$U:$U,FS.1!$E:$E,0,0,1)</f>
        <v>5604</v>
      </c>
      <c r="M185" s="45">
        <f>_xlfn.XLOOKUP(M5,FS.1!$U:$U,FS.1!$E:$E,0,0,1)</f>
        <v>0</v>
      </c>
      <c r="N185" s="45">
        <f>_xlfn.XLOOKUP(N5,FS.1!$U:$U,FS.1!$E:$E,0,0,1)</f>
        <v>0</v>
      </c>
      <c r="O185" s="45">
        <f>_xlfn.XLOOKUP(O5,FS.1!$U:$U,FS.1!$E:$E,0,0,1)</f>
        <v>30450</v>
      </c>
      <c r="P185" s="45">
        <f>_xlfn.XLOOKUP(P5,FS.1!$U:$U,FS.1!$E:$E,0,0,1)</f>
        <v>452364</v>
      </c>
      <c r="Q185" s="45">
        <f>_xlfn.XLOOKUP(Q5,FS.1!$U:$U,FS.1!$E:$E,0,0,1)</f>
        <v>0</v>
      </c>
      <c r="R185" s="45">
        <f>_xlfn.XLOOKUP(R5,FS.1!$U:$U,FS.1!$E:$E,0,0,1)</f>
        <v>0</v>
      </c>
      <c r="S185" s="45">
        <f>_xlfn.XLOOKUP(S5,FS.1!$U:$U,FS.1!$E:$E,0,0,1)</f>
        <v>5341</v>
      </c>
      <c r="T185" s="45">
        <f>_xlfn.XLOOKUP(T5,FS.1!$U:$U,FS.1!$E:$E,0,0,1)</f>
        <v>5527806</v>
      </c>
      <c r="U185" s="45">
        <f>-_xlfn.XLOOKUP(U5,FS.1!$U:$U,FS.1!$E:$E,0,0,1)</f>
        <v>-349791</v>
      </c>
      <c r="V185" s="45">
        <f>-_xlfn.XLOOKUP(V5,FS.1!$U:$U,FS.1!$E:$E,0,0,1)</f>
        <v>0</v>
      </c>
      <c r="W185" s="45">
        <f>-_xlfn.XLOOKUP(W5,FS.1!$U:$U,FS.1!$E:$E,0,0,1)</f>
        <v>-204577</v>
      </c>
      <c r="X185" s="45">
        <f>-_xlfn.XLOOKUP(X5,FS.1!$U:$U,FS.1!$E:$E,0,0,1)</f>
        <v>0</v>
      </c>
      <c r="Y185" s="45">
        <f>-_xlfn.XLOOKUP(Y5,FS.1!$U:$U,FS.1!$E:$E,0,0,1)</f>
        <v>0</v>
      </c>
      <c r="Z185" s="45">
        <f>-_xlfn.XLOOKUP(Z5,FS.1!$U:$U,FS.1!$E:$E,0,0,1)</f>
        <v>-1838</v>
      </c>
      <c r="AA185" s="45">
        <f>-_xlfn.XLOOKUP(AA5,FS.1!$U:$U,FS.1!$E:$E,0,0,1)</f>
        <v>-8224099</v>
      </c>
      <c r="AB185" s="45">
        <f>-_xlfn.XLOOKUP(AB5,FS.1!$U:$U,FS.1!$E:$E,0,0,1)</f>
        <v>-308750</v>
      </c>
      <c r="AC185" s="45">
        <f>-_xlfn.XLOOKUP(AC5,FS.1!$U:$U,FS.1!$E:$E,0,0,1)</f>
        <v>0</v>
      </c>
      <c r="AE185" s="88">
        <f>SUM(L185:AC185)</f>
        <v>-3067490</v>
      </c>
    </row>
    <row r="186" spans="1:31" x14ac:dyDescent="0.3">
      <c r="A186" s="974" t="s">
        <v>1197</v>
      </c>
      <c r="B186" s="975">
        <f>B185-B4</f>
        <v>-79084.09</v>
      </c>
      <c r="C186" s="975">
        <f>C185-C4</f>
        <v>-130636.51999999999</v>
      </c>
      <c r="K186" s="64">
        <f>A2</f>
        <v>45838</v>
      </c>
      <c r="L186" s="45">
        <f>_xlfn.XLOOKUP(L6,FS.1!$T:$T,FS.1!$C:$C,0,0,1)</f>
        <v>392</v>
      </c>
      <c r="M186" s="45">
        <f>_xlfn.XLOOKUP(M6,FS.1!$T:$T,FS.1!$C:$C,0,0,1)</f>
        <v>0</v>
      </c>
      <c r="N186" s="45">
        <f>_xlfn.XLOOKUP(N6,FS.1!$T:$T,FS.1!$C:$C,0,0,1)</f>
        <v>0</v>
      </c>
      <c r="O186" s="45">
        <f>_xlfn.XLOOKUP(O6,FS.1!$T:$T,FS.1!$C:$C,0,0,1)</f>
        <v>37905</v>
      </c>
      <c r="P186" s="45">
        <f>_xlfn.XLOOKUP(P6,FS.1!$T:$T,FS.1!$C:$C,0,0,1)</f>
        <v>161256</v>
      </c>
      <c r="Q186" s="45">
        <f>_xlfn.XLOOKUP(Q6,FS.1!$T:$T,FS.1!$C:$C,0,0,1)</f>
        <v>0</v>
      </c>
      <c r="R186" s="45">
        <f>_xlfn.XLOOKUP(R6,FS.1!$T:$T,FS.1!$C:$C,0,0,1)</f>
        <v>0</v>
      </c>
      <c r="S186" s="45">
        <f>_xlfn.XLOOKUP(S6,FS.1!$T:$T,FS.1!$C:$C,0,0,1)</f>
        <v>5341</v>
      </c>
      <c r="T186" s="45">
        <f>_xlfn.XLOOKUP(T6,FS.1!$T:$T,FS.1!$C:$C,0,0,1)</f>
        <v>4271442</v>
      </c>
      <c r="U186" s="45">
        <f>-_xlfn.XLOOKUP(U6,FS.1!$T:$T,FS.1!$C:$C,0,0,1)</f>
        <v>-603276</v>
      </c>
      <c r="V186" s="45">
        <f>-_xlfn.XLOOKUP(V6,FS.1!$T:$T,FS.1!$C:$C,0,0,1)</f>
        <v>0</v>
      </c>
      <c r="W186" s="45">
        <f>-_xlfn.XLOOKUP(W6,FS.1!$T:$T,FS.1!$C:$C,0,0,1)</f>
        <v>-274099</v>
      </c>
      <c r="X186" s="45">
        <f>-_xlfn.XLOOKUP(X6,FS.1!$T:$T,FS.1!$C:$C,0,0,1)</f>
        <v>0</v>
      </c>
      <c r="Y186" s="45">
        <f>-_xlfn.XLOOKUP(Y6,FS.1!$T:$T,FS.1!$C:$C,0,0,1)</f>
        <v>0</v>
      </c>
      <c r="Z186" s="45">
        <f>-_xlfn.XLOOKUP(Z6,FS.1!$T:$T,FS.1!$C:$C,0,0,1)</f>
        <v>-5338</v>
      </c>
      <c r="AA186" s="45">
        <f>-_xlfn.XLOOKUP(AA6,FS.1!$T:$T,FS.1!$C:$C,0,0,1)</f>
        <v>-8224099</v>
      </c>
      <c r="AB186" s="45">
        <f>-_xlfn.XLOOKUP(AB6,FS.1!$T:$T,FS.1!$C:$C,0,0,1)</f>
        <v>-308750</v>
      </c>
      <c r="AC186" s="45">
        <f>-_xlfn.XLOOKUP(AC6,FS.1!$T:$T,FS.1!$C:$C,0,0,1)</f>
        <v>4939226</v>
      </c>
      <c r="AE186" s="88">
        <f>SUM(L186:AC186)</f>
        <v>0</v>
      </c>
    </row>
    <row r="187" spans="1:31" ht="12.6" thickBot="1" x14ac:dyDescent="0.35">
      <c r="K187" s="56" t="s">
        <v>18</v>
      </c>
      <c r="L187" s="59">
        <f t="shared" ref="L187:AA187" si="36">L186-L185</f>
        <v>-5212</v>
      </c>
      <c r="M187" s="59">
        <f t="shared" si="36"/>
        <v>0</v>
      </c>
      <c r="N187" s="59">
        <f t="shared" si="36"/>
        <v>0</v>
      </c>
      <c r="O187" s="59">
        <f t="shared" si="36"/>
        <v>7455</v>
      </c>
      <c r="P187" s="59">
        <f t="shared" si="36"/>
        <v>-291108</v>
      </c>
      <c r="Q187" s="59">
        <f t="shared" si="36"/>
        <v>0</v>
      </c>
      <c r="R187" s="59">
        <f t="shared" si="36"/>
        <v>0</v>
      </c>
      <c r="S187" s="59">
        <f t="shared" si="36"/>
        <v>0</v>
      </c>
      <c r="T187" s="59">
        <f t="shared" si="36"/>
        <v>-1256364</v>
      </c>
      <c r="U187" s="59">
        <f t="shared" si="36"/>
        <v>-253485</v>
      </c>
      <c r="V187" s="59">
        <f t="shared" si="36"/>
        <v>0</v>
      </c>
      <c r="W187" s="59">
        <f t="shared" si="36"/>
        <v>-69522</v>
      </c>
      <c r="X187" s="59">
        <f t="shared" si="36"/>
        <v>0</v>
      </c>
      <c r="Y187" s="59">
        <f t="shared" si="36"/>
        <v>0</v>
      </c>
      <c r="Z187" s="59">
        <f t="shared" si="36"/>
        <v>-3500</v>
      </c>
      <c r="AA187" s="59">
        <f t="shared" si="36"/>
        <v>0</v>
      </c>
      <c r="AB187" s="59">
        <f t="shared" ref="AB187:AC187" si="37">AB186-AB185</f>
        <v>0</v>
      </c>
      <c r="AC187" s="59">
        <f t="shared" si="37"/>
        <v>4939226</v>
      </c>
    </row>
    <row r="188" spans="1:31" x14ac:dyDescent="0.3">
      <c r="A188" s="77" t="s">
        <v>816</v>
      </c>
      <c r="F188" s="925">
        <f>SUMIF($G$8:$G$181,FS.1!A59,'BS.1 - F25'!$F$8:$F$181)</f>
        <v>1755445</v>
      </c>
      <c r="K188" s="1398"/>
      <c r="L188" s="57"/>
      <c r="M188" s="1392"/>
      <c r="N188" s="1392"/>
      <c r="O188" s="1392"/>
      <c r="P188" s="1392"/>
      <c r="Q188" s="1392"/>
      <c r="R188" s="1392"/>
      <c r="S188" s="1392"/>
      <c r="T188" s="1392"/>
      <c r="U188" s="1392"/>
      <c r="V188" s="1392"/>
      <c r="W188" s="1392"/>
      <c r="X188" s="1392"/>
      <c r="Y188" s="1392"/>
      <c r="Z188" s="1392"/>
      <c r="AA188" s="1392"/>
      <c r="AB188" s="1392"/>
      <c r="AC188" s="1392"/>
    </row>
    <row r="189" spans="1:31" x14ac:dyDescent="0.3">
      <c r="A189" s="77" t="s">
        <v>818</v>
      </c>
      <c r="F189" s="925">
        <f>SUMIF($G$8:$G$181,FS.1!A60,'BS.1 - F25'!$F$8:$F$181)</f>
        <v>70958</v>
      </c>
      <c r="K189" s="1474" t="s">
        <v>9</v>
      </c>
      <c r="L189" s="55"/>
      <c r="M189" s="1397"/>
      <c r="N189" s="1397"/>
      <c r="O189" s="1397"/>
      <c r="P189" s="1397"/>
      <c r="Q189" s="1397"/>
      <c r="R189" s="1397"/>
      <c r="S189" s="1397"/>
      <c r="T189" s="1397"/>
      <c r="U189" s="1397"/>
      <c r="V189" s="1397"/>
      <c r="W189" s="1397"/>
      <c r="X189" s="1397"/>
      <c r="Y189" s="1397"/>
      <c r="Z189" s="1397"/>
      <c r="AA189" s="1397"/>
      <c r="AB189" s="1397"/>
      <c r="AC189" s="1397"/>
    </row>
    <row r="190" spans="1:31" x14ac:dyDescent="0.3">
      <c r="A190" s="77" t="s">
        <v>819</v>
      </c>
      <c r="F190" s="927">
        <f>SUBTOTAL(9,F188:F189)</f>
        <v>1826403</v>
      </c>
      <c r="K190" s="1470" t="s">
        <v>274</v>
      </c>
      <c r="L190" s="55">
        <f>ROUND(SUM(M190:AC190),0)</f>
        <v>-1871736</v>
      </c>
      <c r="M190" s="1397"/>
      <c r="N190" s="1397"/>
      <c r="O190" s="1397"/>
      <c r="P190" s="1397"/>
      <c r="Q190" s="1397"/>
      <c r="R190" s="1397"/>
      <c r="S190" s="1397"/>
      <c r="T190" s="1397"/>
      <c r="U190" s="1397"/>
      <c r="V190" s="1397"/>
      <c r="W190" s="1397"/>
      <c r="X190" s="1397"/>
      <c r="Y190" s="1397"/>
      <c r="Z190" s="1397"/>
      <c r="AA190" s="1397"/>
      <c r="AB190" s="1397"/>
      <c r="AC190" s="1397">
        <f>FS.1!G72</f>
        <v>-1871736</v>
      </c>
    </row>
    <row r="191" spans="1:31" x14ac:dyDescent="0.3">
      <c r="A191" s="77"/>
      <c r="K191" s="1470"/>
      <c r="L191" s="55"/>
      <c r="M191" s="1397"/>
      <c r="N191" s="1397"/>
      <c r="O191" s="1397"/>
      <c r="P191" s="1397"/>
      <c r="Q191" s="1397"/>
      <c r="R191" s="1397"/>
      <c r="S191" s="1397"/>
      <c r="T191" s="1397"/>
      <c r="U191" s="1397"/>
      <c r="V191" s="1397"/>
      <c r="W191" s="1397"/>
      <c r="X191" s="1397"/>
      <c r="Y191" s="1397"/>
      <c r="Z191" s="1397"/>
      <c r="AA191" s="1397"/>
      <c r="AB191" s="1397"/>
      <c r="AC191" s="1397"/>
    </row>
    <row r="192" spans="1:31" x14ac:dyDescent="0.3">
      <c r="A192" s="77" t="s">
        <v>820</v>
      </c>
      <c r="F192" s="926">
        <f>SUMIF(G8:G181,FS.1!A55,'BS.1 - F25'!F8:F181)</f>
        <v>328158</v>
      </c>
      <c r="K192" s="1474" t="s">
        <v>46</v>
      </c>
      <c r="L192" s="55"/>
      <c r="M192" s="1397"/>
      <c r="N192" s="1397"/>
      <c r="O192" s="1397"/>
      <c r="P192" s="1397"/>
      <c r="Q192" s="1397"/>
      <c r="R192" s="1397"/>
      <c r="S192" s="1397"/>
      <c r="T192" s="1397"/>
      <c r="U192" s="1397"/>
      <c r="V192" s="1397"/>
      <c r="W192" s="1397"/>
      <c r="X192" s="1397"/>
      <c r="Y192" s="1397"/>
      <c r="Z192" s="1397"/>
      <c r="AA192" s="1397"/>
      <c r="AB192" s="1397"/>
      <c r="AC192" s="1397"/>
    </row>
    <row r="193" spans="1:29" x14ac:dyDescent="0.2">
      <c r="A193" s="256"/>
      <c r="F193" s="78"/>
      <c r="K193" s="1470" t="s">
        <v>1281</v>
      </c>
      <c r="L193" s="55">
        <f>ROUND(SUM(M193:AC193),0)</f>
        <v>0</v>
      </c>
      <c r="M193" s="1397"/>
      <c r="N193" s="1397"/>
      <c r="O193" s="1397"/>
      <c r="P193" s="1397"/>
      <c r="Q193" s="1397"/>
      <c r="R193" s="1397"/>
      <c r="S193" s="1397"/>
      <c r="T193" s="1397"/>
      <c r="U193" s="1397"/>
      <c r="V193" s="1397"/>
      <c r="W193" s="1397"/>
      <c r="X193" s="1397"/>
      <c r="Y193" s="1397"/>
      <c r="Z193" s="1397"/>
      <c r="AA193" s="1397"/>
      <c r="AB193" s="1397"/>
      <c r="AC193" s="1397"/>
    </row>
    <row r="194" spans="1:29" x14ac:dyDescent="0.2">
      <c r="A194" s="256"/>
      <c r="F194" s="78"/>
      <c r="K194" s="1470" t="s">
        <v>1282</v>
      </c>
      <c r="L194" s="55">
        <f t="shared" ref="L194:L199" si="38">ROUND(SUM(M194:AC194),0)</f>
        <v>0</v>
      </c>
      <c r="M194" s="1397"/>
      <c r="N194" s="1397"/>
      <c r="O194" s="1397"/>
      <c r="P194" s="1397"/>
      <c r="Q194" s="1397"/>
      <c r="R194" s="1397"/>
      <c r="S194" s="1397"/>
      <c r="T194" s="1397"/>
      <c r="U194" s="1397"/>
      <c r="V194" s="1397"/>
      <c r="W194" s="1397"/>
      <c r="X194" s="1397"/>
      <c r="Y194" s="1397"/>
      <c r="Z194" s="1397"/>
      <c r="AA194" s="1397"/>
      <c r="AB194" s="1397"/>
      <c r="AC194" s="1397"/>
    </row>
    <row r="195" spans="1:29" x14ac:dyDescent="0.2">
      <c r="A195" s="256"/>
      <c r="F195" s="78"/>
      <c r="K195" s="1470" t="s">
        <v>1369</v>
      </c>
      <c r="L195" s="55">
        <f t="shared" si="38"/>
        <v>31957</v>
      </c>
      <c r="M195" s="1397"/>
      <c r="N195" s="1397"/>
      <c r="O195" s="1397"/>
      <c r="P195" s="1397"/>
      <c r="Q195" s="1397"/>
      <c r="R195" s="1397"/>
      <c r="S195" s="1397"/>
      <c r="T195" s="1397"/>
      <c r="U195" s="1397"/>
      <c r="V195" s="1397"/>
      <c r="W195" s="1397">
        <f>F178</f>
        <v>31957</v>
      </c>
      <c r="X195" s="1397"/>
      <c r="Y195" s="1397"/>
      <c r="Z195" s="1397"/>
      <c r="AA195" s="1397"/>
      <c r="AB195" s="1397"/>
      <c r="AC195" s="1397"/>
    </row>
    <row r="196" spans="1:29" x14ac:dyDescent="0.2">
      <c r="A196" s="256"/>
      <c r="F196" s="78"/>
      <c r="K196" s="1470" t="s">
        <v>26</v>
      </c>
      <c r="L196" s="55">
        <f t="shared" si="38"/>
        <v>37565</v>
      </c>
      <c r="M196" s="1397"/>
      <c r="N196" s="1397"/>
      <c r="O196" s="1397"/>
      <c r="P196" s="1397"/>
      <c r="Q196" s="1397"/>
      <c r="R196" s="1397"/>
      <c r="S196" s="1397"/>
      <c r="T196" s="1397"/>
      <c r="U196" s="1397"/>
      <c r="V196" s="1397"/>
      <c r="W196" s="1397">
        <f>B128</f>
        <v>37565</v>
      </c>
      <c r="X196" s="1397"/>
      <c r="Y196" s="1397"/>
      <c r="Z196" s="1397"/>
      <c r="AA196" s="1397"/>
      <c r="AB196" s="1397"/>
      <c r="AC196" s="1397"/>
    </row>
    <row r="197" spans="1:29" x14ac:dyDescent="0.2">
      <c r="A197" s="256"/>
      <c r="F197" s="78"/>
      <c r="G197" s="178" t="s">
        <v>240</v>
      </c>
      <c r="H197" s="19">
        <f t="shared" ref="H197:H210" si="39">SUMIF($H$8:$H$183,G197,$F$8:$F$183)</f>
        <v>2281</v>
      </c>
      <c r="K197" s="1470" t="s">
        <v>7</v>
      </c>
      <c r="L197" s="55">
        <f t="shared" si="38"/>
        <v>0</v>
      </c>
      <c r="M197" s="1397"/>
      <c r="N197" s="1397"/>
      <c r="O197" s="1397"/>
      <c r="P197" s="1397"/>
      <c r="Q197" s="1397"/>
      <c r="R197" s="1397"/>
      <c r="S197" s="1397"/>
      <c r="T197" s="1397"/>
      <c r="U197" s="1397"/>
      <c r="V197" s="1397"/>
      <c r="W197" s="1397"/>
      <c r="X197" s="1397"/>
      <c r="Y197" s="1397"/>
      <c r="Z197" s="1397"/>
      <c r="AA197" s="1397"/>
      <c r="AB197" s="1397"/>
      <c r="AC197" s="1397"/>
    </row>
    <row r="198" spans="1:29" x14ac:dyDescent="0.2">
      <c r="A198" s="256"/>
      <c r="F198" s="78"/>
      <c r="G198" s="178" t="s">
        <v>236</v>
      </c>
      <c r="H198" s="19">
        <f t="shared" si="39"/>
        <v>133726</v>
      </c>
      <c r="K198" s="1470" t="s">
        <v>47</v>
      </c>
      <c r="L198" s="55">
        <f t="shared" si="38"/>
        <v>0</v>
      </c>
      <c r="M198" s="1397"/>
      <c r="N198" s="1397"/>
      <c r="O198" s="1397"/>
      <c r="P198" s="1397"/>
      <c r="Q198" s="1397"/>
      <c r="R198" s="1397"/>
      <c r="S198" s="1397"/>
      <c r="T198" s="1397"/>
      <c r="U198" s="1397"/>
      <c r="V198" s="1397"/>
      <c r="W198" s="1397"/>
      <c r="X198" s="1397"/>
      <c r="Y198" s="1397"/>
      <c r="Z198" s="1397"/>
      <c r="AA198" s="1397"/>
      <c r="AB198" s="1397"/>
      <c r="AC198" s="1397"/>
    </row>
    <row r="199" spans="1:29" x14ac:dyDescent="0.2">
      <c r="A199" s="256"/>
      <c r="F199" s="78"/>
      <c r="G199" s="178" t="s">
        <v>514</v>
      </c>
      <c r="H199" s="19">
        <f t="shared" si="39"/>
        <v>318291</v>
      </c>
      <c r="K199" s="1470" t="s">
        <v>43</v>
      </c>
      <c r="L199" s="55">
        <f t="shared" si="38"/>
        <v>1256364</v>
      </c>
      <c r="M199" s="1397"/>
      <c r="N199" s="1397"/>
      <c r="O199" s="1397"/>
      <c r="P199" s="1397"/>
      <c r="Q199" s="1397"/>
      <c r="R199" s="1397"/>
      <c r="S199" s="1397"/>
      <c r="T199" s="1397">
        <f>F158</f>
        <v>1256364</v>
      </c>
      <c r="U199" s="1397"/>
      <c r="V199" s="1397"/>
      <c r="W199" s="1397"/>
      <c r="X199" s="1397"/>
      <c r="Y199" s="1397"/>
      <c r="Z199" s="1397"/>
      <c r="AA199" s="1397"/>
      <c r="AB199" s="1397"/>
      <c r="AC199" s="1397"/>
    </row>
    <row r="200" spans="1:29" x14ac:dyDescent="0.2">
      <c r="A200" s="256"/>
      <c r="F200" s="78"/>
      <c r="G200" s="178" t="s">
        <v>243</v>
      </c>
      <c r="H200" s="19">
        <f t="shared" si="39"/>
        <v>1742</v>
      </c>
      <c r="K200" s="1470"/>
      <c r="L200" s="55"/>
      <c r="M200" s="1397"/>
      <c r="N200" s="1397"/>
      <c r="O200" s="1397"/>
      <c r="P200" s="1397"/>
      <c r="Q200" s="1397"/>
      <c r="R200" s="1397"/>
      <c r="S200" s="1397"/>
      <c r="T200" s="1397"/>
      <c r="U200" s="1397"/>
      <c r="V200" s="1397"/>
      <c r="W200" s="1397"/>
      <c r="X200" s="1397"/>
      <c r="Y200" s="1397"/>
      <c r="Z200" s="1397"/>
      <c r="AA200" s="1397"/>
      <c r="AB200" s="1397"/>
      <c r="AC200" s="1397"/>
    </row>
    <row r="201" spans="1:29" x14ac:dyDescent="0.2">
      <c r="A201" s="256"/>
      <c r="F201" s="78"/>
      <c r="G201" s="178" t="s">
        <v>247</v>
      </c>
      <c r="H201" s="19">
        <f t="shared" si="39"/>
        <v>8370</v>
      </c>
      <c r="K201" s="1480" t="s">
        <v>52</v>
      </c>
      <c r="L201" s="55"/>
      <c r="M201" s="1397"/>
      <c r="N201" s="1397"/>
      <c r="O201" s="1397"/>
      <c r="P201" s="1397"/>
      <c r="Q201" s="1397"/>
      <c r="R201" s="1397"/>
      <c r="S201" s="1397"/>
      <c r="T201" s="1397"/>
      <c r="U201" s="1397"/>
      <c r="V201" s="1397"/>
      <c r="W201" s="1397"/>
      <c r="X201" s="1397"/>
      <c r="Y201" s="1397"/>
      <c r="Z201" s="1397"/>
      <c r="AA201" s="1397"/>
      <c r="AB201" s="1397"/>
      <c r="AC201" s="1397"/>
    </row>
    <row r="202" spans="1:29" x14ac:dyDescent="0.2">
      <c r="A202" s="256"/>
      <c r="F202" s="78"/>
      <c r="G202" s="178" t="s">
        <v>200</v>
      </c>
      <c r="H202" s="19">
        <f t="shared" si="39"/>
        <v>2747</v>
      </c>
      <c r="K202" s="1470" t="s">
        <v>15</v>
      </c>
      <c r="L202" s="55">
        <f t="shared" ref="L202:L216" si="40">ROUND(SUM(M202:AC202),0)</f>
        <v>0</v>
      </c>
      <c r="M202" s="1397"/>
      <c r="N202" s="1397"/>
      <c r="O202" s="1397"/>
      <c r="P202" s="1397"/>
      <c r="Q202" s="1397"/>
      <c r="R202" s="1397"/>
      <c r="S202" s="1397"/>
      <c r="T202" s="1397"/>
      <c r="U202" s="1397"/>
      <c r="V202" s="1397"/>
      <c r="W202" s="1397"/>
      <c r="X202" s="1397"/>
      <c r="Y202" s="1397"/>
      <c r="Z202" s="1397"/>
      <c r="AA202" s="1397"/>
      <c r="AB202" s="1397"/>
      <c r="AC202" s="1397"/>
    </row>
    <row r="203" spans="1:29" x14ac:dyDescent="0.2">
      <c r="A203" s="256"/>
      <c r="F203" s="78"/>
      <c r="G203" s="178" t="s">
        <v>27</v>
      </c>
      <c r="H203" s="19">
        <f t="shared" si="39"/>
        <v>934</v>
      </c>
      <c r="K203" s="1470" t="s">
        <v>22</v>
      </c>
      <c r="L203" s="55">
        <f t="shared" si="40"/>
        <v>0</v>
      </c>
      <c r="M203" s="1397"/>
      <c r="N203" s="1397"/>
      <c r="O203" s="1397"/>
      <c r="P203" s="1397"/>
      <c r="Q203" s="1397"/>
      <c r="R203" s="1397"/>
      <c r="S203" s="1397"/>
      <c r="T203" s="1397"/>
      <c r="U203" s="1397"/>
      <c r="V203" s="1397"/>
      <c r="W203" s="1397"/>
      <c r="X203" s="1397"/>
      <c r="Y203" s="1397"/>
      <c r="Z203" s="1397"/>
      <c r="AA203" s="1397"/>
      <c r="AB203" s="1397"/>
      <c r="AC203" s="1397"/>
    </row>
    <row r="204" spans="1:29" x14ac:dyDescent="0.2">
      <c r="A204" s="256"/>
      <c r="G204" s="178" t="s">
        <v>242</v>
      </c>
      <c r="H204" s="19">
        <f t="shared" si="39"/>
        <v>4524</v>
      </c>
      <c r="K204" s="1470" t="str">
        <f>N7</f>
        <v>Prepaid expenses</v>
      </c>
      <c r="L204" s="55">
        <f t="shared" si="40"/>
        <v>0</v>
      </c>
      <c r="M204" s="1397"/>
      <c r="N204" s="1397"/>
      <c r="O204" s="1397"/>
      <c r="P204" s="1397"/>
      <c r="Q204" s="1397"/>
      <c r="R204" s="1397"/>
      <c r="S204" s="1397"/>
      <c r="T204" s="1397"/>
      <c r="U204" s="1397"/>
      <c r="V204" s="1397"/>
      <c r="W204" s="1397"/>
      <c r="X204" s="1397"/>
      <c r="Y204" s="1397"/>
      <c r="Z204" s="1397"/>
      <c r="AA204" s="1397"/>
      <c r="AB204" s="1397"/>
      <c r="AC204" s="1397"/>
    </row>
    <row r="205" spans="1:29" x14ac:dyDescent="0.2">
      <c r="A205" s="256"/>
      <c r="G205" s="178" t="s">
        <v>813</v>
      </c>
      <c r="H205" s="19">
        <f t="shared" si="39"/>
        <v>0</v>
      </c>
      <c r="K205" s="1470" t="str">
        <f>O7</f>
        <v>Sales tax receivable</v>
      </c>
      <c r="L205" s="55">
        <f t="shared" si="40"/>
        <v>-7455</v>
      </c>
      <c r="M205" s="1397"/>
      <c r="N205" s="1397"/>
      <c r="O205" s="1397">
        <f>-O187</f>
        <v>-7455</v>
      </c>
      <c r="P205" s="1397"/>
      <c r="Q205" s="1397"/>
      <c r="R205" s="1397"/>
      <c r="S205" s="1397"/>
      <c r="T205" s="1397"/>
      <c r="U205" s="1397"/>
      <c r="V205" s="1397"/>
      <c r="W205" s="1397"/>
      <c r="X205" s="1397"/>
      <c r="Y205" s="1397"/>
      <c r="Z205" s="1397"/>
      <c r="AA205" s="1397"/>
      <c r="AB205" s="1397"/>
      <c r="AC205" s="1397"/>
    </row>
    <row r="206" spans="1:29" x14ac:dyDescent="0.2">
      <c r="A206" s="256"/>
      <c r="G206" s="178" t="s">
        <v>494</v>
      </c>
      <c r="H206" s="19">
        <f t="shared" si="39"/>
        <v>26182</v>
      </c>
      <c r="K206" s="1470" t="str">
        <f>P7</f>
        <v>Inventory</v>
      </c>
      <c r="L206" s="55">
        <f t="shared" si="40"/>
        <v>291108</v>
      </c>
      <c r="M206" s="1397"/>
      <c r="N206" s="1397"/>
      <c r="O206" s="1397"/>
      <c r="P206" s="1397">
        <f>-P187</f>
        <v>291108</v>
      </c>
      <c r="Q206" s="1397"/>
      <c r="R206" s="1397"/>
      <c r="S206" s="1397"/>
      <c r="T206" s="1397"/>
      <c r="U206" s="1397"/>
      <c r="V206" s="1397"/>
      <c r="W206" s="1397"/>
      <c r="X206" s="1397"/>
      <c r="Y206" s="1397"/>
      <c r="Z206" s="1397"/>
      <c r="AA206" s="1397"/>
      <c r="AB206" s="1397"/>
      <c r="AC206" s="1397"/>
    </row>
    <row r="207" spans="1:29" x14ac:dyDescent="0.2">
      <c r="A207" s="256"/>
      <c r="G207" s="178" t="s">
        <v>627</v>
      </c>
      <c r="H207" s="19">
        <f t="shared" si="39"/>
        <v>0</v>
      </c>
      <c r="K207" s="1470" t="str">
        <f>Q7</f>
        <v>Due from related parties</v>
      </c>
      <c r="L207" s="55">
        <f t="shared" si="40"/>
        <v>0</v>
      </c>
      <c r="M207" s="1397"/>
      <c r="N207" s="1397"/>
      <c r="O207" s="1397"/>
      <c r="P207" s="1397"/>
      <c r="Q207" s="1397"/>
      <c r="R207" s="1397"/>
      <c r="S207" s="1397"/>
      <c r="T207" s="1397"/>
      <c r="U207" s="1397"/>
      <c r="V207" s="1397"/>
      <c r="W207" s="1397"/>
      <c r="X207" s="1397"/>
      <c r="Y207" s="1397"/>
      <c r="Z207" s="1397"/>
      <c r="AA207" s="1397"/>
      <c r="AB207" s="1397"/>
      <c r="AC207" s="1397"/>
    </row>
    <row r="208" spans="1:29" x14ac:dyDescent="0.2">
      <c r="A208" s="256"/>
      <c r="G208" s="178" t="s">
        <v>628</v>
      </c>
      <c r="H208" s="19">
        <f t="shared" si="39"/>
        <v>241</v>
      </c>
      <c r="K208" s="1470" t="str">
        <f>R7</f>
        <v>Current portion of loan receivable</v>
      </c>
      <c r="L208" s="55">
        <f t="shared" si="40"/>
        <v>0</v>
      </c>
      <c r="M208" s="1397"/>
      <c r="N208" s="1397"/>
      <c r="O208" s="1397"/>
      <c r="P208" s="1397"/>
      <c r="Q208" s="1397"/>
      <c r="R208" s="1397"/>
      <c r="S208" s="1397"/>
      <c r="T208" s="1397"/>
      <c r="U208" s="1397"/>
      <c r="V208" s="1397"/>
      <c r="W208" s="1397"/>
      <c r="X208" s="1397"/>
      <c r="Y208" s="1397"/>
      <c r="Z208" s="1397"/>
      <c r="AA208" s="1397"/>
      <c r="AB208" s="1397"/>
      <c r="AC208" s="1397"/>
    </row>
    <row r="209" spans="1:29" x14ac:dyDescent="0.2">
      <c r="A209" s="256"/>
      <c r="G209" s="178" t="s">
        <v>43</v>
      </c>
      <c r="H209" s="19">
        <f t="shared" si="39"/>
        <v>1256364</v>
      </c>
      <c r="K209" s="1471" t="str">
        <f>S7</f>
        <v>Equipment</v>
      </c>
      <c r="L209" s="55">
        <f t="shared" si="40"/>
        <v>0</v>
      </c>
      <c r="M209" s="1397"/>
      <c r="N209" s="1397"/>
      <c r="O209" s="1397"/>
      <c r="P209" s="1397"/>
      <c r="Q209" s="1397"/>
      <c r="R209" s="1397"/>
      <c r="S209" s="1397"/>
      <c r="T209" s="1397"/>
      <c r="U209" s="1397"/>
      <c r="V209" s="1397"/>
      <c r="W209" s="1397"/>
      <c r="X209" s="1397"/>
      <c r="Y209" s="1397"/>
      <c r="Z209" s="1397"/>
      <c r="AA209" s="1397"/>
      <c r="AB209" s="1397"/>
      <c r="AC209" s="1397"/>
    </row>
    <row r="210" spans="1:29" x14ac:dyDescent="0.2">
      <c r="A210" s="256"/>
      <c r="G210" s="178" t="s">
        <v>629</v>
      </c>
      <c r="H210" s="19">
        <f t="shared" si="39"/>
        <v>43</v>
      </c>
      <c r="K210" s="1471" t="str">
        <f>T7</f>
        <v>Intangible assets</v>
      </c>
      <c r="L210" s="55">
        <f t="shared" si="40"/>
        <v>0</v>
      </c>
      <c r="M210" s="1397"/>
      <c r="N210" s="1397"/>
      <c r="O210" s="1397"/>
      <c r="P210" s="1397"/>
      <c r="Q210" s="1397"/>
      <c r="R210" s="1397"/>
      <c r="S210" s="1397"/>
      <c r="T210" s="1397"/>
      <c r="U210" s="1397"/>
      <c r="V210" s="1397"/>
      <c r="W210" s="1397"/>
      <c r="X210" s="1397"/>
      <c r="Y210" s="1397"/>
      <c r="Z210" s="1397"/>
      <c r="AA210" s="1397"/>
      <c r="AB210" s="1397"/>
      <c r="AC210" s="1397"/>
    </row>
    <row r="211" spans="1:29" ht="14.4" x14ac:dyDescent="0.3">
      <c r="A211" s="256"/>
      <c r="G211"/>
      <c r="H211" s="19"/>
      <c r="K211" s="1471" t="str">
        <f>U7</f>
        <v>Accounts payables and accrued liabilities</v>
      </c>
      <c r="L211" s="55">
        <f t="shared" si="40"/>
        <v>253485</v>
      </c>
      <c r="M211" s="1397"/>
      <c r="N211" s="1397"/>
      <c r="O211" s="1397"/>
      <c r="P211" s="1397"/>
      <c r="Q211" s="1397"/>
      <c r="R211" s="1397"/>
      <c r="S211" s="1397"/>
      <c r="T211" s="1397"/>
      <c r="U211" s="1397">
        <f>-U187</f>
        <v>253485</v>
      </c>
      <c r="V211" s="1397"/>
      <c r="W211" s="1397"/>
      <c r="X211" s="1397"/>
      <c r="Y211" s="1397"/>
      <c r="Z211" s="1397"/>
      <c r="AA211" s="1397"/>
      <c r="AB211" s="1397"/>
      <c r="AC211" s="1397"/>
    </row>
    <row r="212" spans="1:29" ht="14.4" x14ac:dyDescent="0.3">
      <c r="A212" s="256"/>
      <c r="G212"/>
      <c r="H212" s="19"/>
      <c r="K212" s="1471" t="str">
        <f>V7</f>
        <v>Warranty liability</v>
      </c>
      <c r="L212" s="55">
        <f t="shared" si="40"/>
        <v>0</v>
      </c>
      <c r="M212" s="1397"/>
      <c r="N212" s="1397"/>
      <c r="O212" s="1397"/>
      <c r="P212" s="1397"/>
      <c r="Q212" s="1397"/>
      <c r="R212" s="1397"/>
      <c r="S212" s="1397"/>
      <c r="T212" s="1397"/>
      <c r="U212" s="1397"/>
      <c r="V212" s="1397"/>
      <c r="W212" s="1397"/>
      <c r="X212" s="1397"/>
      <c r="Y212" s="1397"/>
      <c r="Z212" s="1397"/>
      <c r="AA212" s="1397"/>
      <c r="AB212" s="1397"/>
      <c r="AC212" s="1397"/>
    </row>
    <row r="213" spans="1:29" ht="14.4" x14ac:dyDescent="0.3">
      <c r="A213" s="256"/>
      <c r="G213"/>
      <c r="H213" s="19"/>
      <c r="K213" s="1471" t="str">
        <f>W7</f>
        <v>Convertible debt</v>
      </c>
      <c r="L213" s="55">
        <f t="shared" si="40"/>
        <v>0</v>
      </c>
      <c r="M213" s="1397"/>
      <c r="N213" s="1397"/>
      <c r="O213" s="1397"/>
      <c r="P213" s="1397"/>
      <c r="Q213" s="1397"/>
      <c r="R213" s="1397"/>
      <c r="S213" s="1397"/>
      <c r="T213" s="1397"/>
      <c r="U213" s="1397"/>
      <c r="V213" s="1397"/>
      <c r="W213" s="1397"/>
      <c r="X213" s="1397"/>
      <c r="Y213" s="1397"/>
      <c r="Z213" s="1397"/>
      <c r="AA213" s="1397"/>
      <c r="AB213" s="1397"/>
      <c r="AC213" s="1397"/>
    </row>
    <row r="214" spans="1:29" ht="14.4" x14ac:dyDescent="0.3">
      <c r="A214" s="256"/>
      <c r="G214"/>
      <c r="H214" s="19"/>
      <c r="K214" s="1471" t="str">
        <f>X7</f>
        <v>Derivative liability</v>
      </c>
      <c r="L214" s="55">
        <f t="shared" si="40"/>
        <v>0</v>
      </c>
      <c r="M214" s="1397"/>
      <c r="N214" s="1397"/>
      <c r="O214" s="1397"/>
      <c r="P214" s="1397"/>
      <c r="Q214" s="1397"/>
      <c r="R214" s="1397"/>
      <c r="S214" s="1397"/>
      <c r="T214" s="1397"/>
      <c r="U214" s="1397"/>
      <c r="V214" s="1397"/>
      <c r="W214" s="1397"/>
      <c r="X214" s="1397"/>
      <c r="Y214" s="1397"/>
      <c r="Z214" s="1397"/>
      <c r="AA214" s="1397"/>
      <c r="AB214" s="1397"/>
      <c r="AC214" s="1397"/>
    </row>
    <row r="215" spans="1:29" ht="14.4" x14ac:dyDescent="0.3">
      <c r="A215" s="256"/>
      <c r="G215"/>
      <c r="H215" s="19"/>
      <c r="K215" s="1471" t="str">
        <f>Y7</f>
        <v>Income tax payable</v>
      </c>
      <c r="L215" s="55">
        <f t="shared" si="40"/>
        <v>0</v>
      </c>
      <c r="M215" s="1397"/>
      <c r="N215" s="1397"/>
      <c r="O215" s="1397"/>
      <c r="P215" s="1397"/>
      <c r="Q215" s="1397"/>
      <c r="R215" s="1397"/>
      <c r="S215" s="1397"/>
      <c r="T215" s="1397"/>
      <c r="U215" s="1397"/>
      <c r="V215" s="1397"/>
      <c r="W215" s="1397"/>
      <c r="X215" s="1397"/>
      <c r="Y215" s="1397"/>
      <c r="Z215" s="1397"/>
      <c r="AA215" s="1397"/>
      <c r="AB215" s="1397"/>
      <c r="AC215" s="1397"/>
    </row>
    <row r="216" spans="1:29" ht="14.4" x14ac:dyDescent="0.3">
      <c r="A216" s="256"/>
      <c r="G216"/>
      <c r="H216" s="19"/>
      <c r="K216" s="1471" t="str">
        <f>Z7</f>
        <v>Due to related parties</v>
      </c>
      <c r="L216" s="55">
        <f t="shared" si="40"/>
        <v>3500</v>
      </c>
      <c r="M216" s="1397"/>
      <c r="N216" s="1397"/>
      <c r="O216" s="1397"/>
      <c r="P216" s="1397"/>
      <c r="Q216" s="1397"/>
      <c r="R216" s="1397"/>
      <c r="S216" s="1397"/>
      <c r="T216" s="1397"/>
      <c r="U216" s="1397"/>
      <c r="V216" s="1397"/>
      <c r="W216" s="1397"/>
      <c r="X216" s="1397"/>
      <c r="Y216" s="1397"/>
      <c r="Z216" s="1397">
        <f>-Z187</f>
        <v>3500</v>
      </c>
      <c r="AA216" s="1397"/>
      <c r="AB216" s="1397"/>
      <c r="AC216" s="1397"/>
    </row>
    <row r="217" spans="1:29" ht="14.4" x14ac:dyDescent="0.3">
      <c r="A217" s="256"/>
      <c r="G217"/>
      <c r="H217" s="19"/>
      <c r="K217" s="1471"/>
      <c r="L217" s="214"/>
      <c r="M217" s="1397"/>
      <c r="N217" s="1397"/>
      <c r="O217" s="1397"/>
      <c r="P217" s="1397"/>
      <c r="Q217" s="1397"/>
      <c r="R217" s="1397"/>
      <c r="S217" s="1397"/>
      <c r="T217" s="1397"/>
      <c r="U217" s="1397"/>
      <c r="V217" s="1397"/>
      <c r="W217" s="1397"/>
      <c r="X217" s="1397"/>
      <c r="Y217" s="1397"/>
      <c r="Z217" s="1397"/>
      <c r="AA217" s="1397"/>
      <c r="AB217" s="1397"/>
      <c r="AC217" s="1397"/>
    </row>
    <row r="218" spans="1:29" ht="15" thickBot="1" x14ac:dyDescent="0.35">
      <c r="A218" s="256"/>
      <c r="G218"/>
      <c r="H218" s="19"/>
      <c r="K218" s="1473" t="s">
        <v>51</v>
      </c>
      <c r="L218" s="281">
        <f>SUM(L190:L217)</f>
        <v>-5212</v>
      </c>
      <c r="M218" s="1397"/>
      <c r="N218" s="1397"/>
      <c r="O218" s="1397"/>
      <c r="P218" s="1397"/>
      <c r="Q218" s="1397"/>
      <c r="R218" s="1397"/>
      <c r="S218" s="1397"/>
      <c r="T218" s="1397"/>
      <c r="U218" s="1397"/>
      <c r="V218" s="1397"/>
      <c r="W218" s="1397"/>
      <c r="X218" s="1397"/>
      <c r="Y218" s="1397"/>
      <c r="Z218" s="1397"/>
      <c r="AA218" s="1397"/>
      <c r="AB218" s="1397"/>
      <c r="AC218" s="1397"/>
    </row>
    <row r="219" spans="1:29" ht="14.4" x14ac:dyDescent="0.3">
      <c r="A219" s="256"/>
      <c r="G219"/>
      <c r="H219" s="19"/>
      <c r="K219" s="1472"/>
      <c r="L219" s="61"/>
      <c r="M219" s="1397"/>
      <c r="N219" s="1397"/>
      <c r="O219" s="1397"/>
      <c r="P219" s="1397"/>
      <c r="Q219" s="1397"/>
      <c r="R219" s="1397"/>
      <c r="S219" s="1397"/>
      <c r="T219" s="1397"/>
      <c r="U219" s="1397"/>
      <c r="V219" s="1397"/>
      <c r="W219" s="1397"/>
      <c r="X219" s="1397"/>
      <c r="Y219" s="1397"/>
      <c r="Z219" s="1397"/>
      <c r="AA219" s="1397"/>
      <c r="AB219" s="1397"/>
      <c r="AC219" s="1397"/>
    </row>
    <row r="220" spans="1:29" ht="14.4" x14ac:dyDescent="0.3">
      <c r="A220" s="256"/>
      <c r="G220"/>
      <c r="H220" s="19"/>
      <c r="K220" s="1474" t="s">
        <v>12</v>
      </c>
      <c r="L220" s="55"/>
      <c r="M220" s="1397"/>
      <c r="N220" s="1397"/>
      <c r="O220" s="1397"/>
      <c r="P220" s="1397"/>
      <c r="Q220" s="1397"/>
      <c r="R220" s="1397"/>
      <c r="S220" s="1397"/>
      <c r="T220" s="1397"/>
      <c r="U220" s="1397"/>
      <c r="V220" s="1397"/>
      <c r="W220" s="1397"/>
      <c r="X220" s="1397"/>
      <c r="Y220" s="1397"/>
      <c r="Z220" s="1397"/>
      <c r="AA220" s="1397"/>
      <c r="AB220" s="1397"/>
      <c r="AC220" s="1397"/>
    </row>
    <row r="221" spans="1:29" ht="14.4" x14ac:dyDescent="0.3">
      <c r="A221" s="256"/>
      <c r="G221"/>
      <c r="H221" s="19"/>
      <c r="K221" s="1470" t="s">
        <v>1832</v>
      </c>
      <c r="L221" s="55">
        <f t="shared" ref="L221:L222" si="41">ROUND(SUM(M221:AC221),0)</f>
        <v>0</v>
      </c>
      <c r="M221" s="1397"/>
      <c r="N221" s="1397"/>
      <c r="O221" s="1397"/>
      <c r="P221" s="1397"/>
      <c r="Q221" s="1397"/>
      <c r="R221" s="1397"/>
      <c r="S221" s="1397"/>
      <c r="T221" s="1397"/>
      <c r="U221" s="1397"/>
      <c r="V221" s="1397"/>
      <c r="W221" s="1397"/>
      <c r="X221" s="1397"/>
      <c r="Y221" s="1397"/>
      <c r="Z221" s="1397"/>
      <c r="AA221" s="1397"/>
      <c r="AB221" s="1397"/>
      <c r="AC221" s="1397"/>
    </row>
    <row r="222" spans="1:29" ht="14.4" x14ac:dyDescent="0.3">
      <c r="A222" s="256"/>
      <c r="G222"/>
      <c r="K222" s="1470" t="s">
        <v>1280</v>
      </c>
      <c r="L222" s="55">
        <f t="shared" si="41"/>
        <v>0</v>
      </c>
      <c r="M222" s="1397"/>
      <c r="N222" s="1397"/>
      <c r="O222" s="1397"/>
      <c r="P222" s="1397"/>
      <c r="Q222" s="1397"/>
      <c r="R222" s="1397"/>
      <c r="S222" s="1397"/>
      <c r="T222" s="1397"/>
      <c r="U222" s="1397"/>
      <c r="V222" s="1397"/>
      <c r="W222" s="1397"/>
      <c r="X222" s="1397"/>
      <c r="Y222" s="1397"/>
      <c r="Z222" s="1397"/>
      <c r="AA222" s="1397"/>
      <c r="AB222" s="1397"/>
      <c r="AC222" s="1397"/>
    </row>
    <row r="223" spans="1:29" ht="14.4" x14ac:dyDescent="0.3">
      <c r="A223" s="256"/>
      <c r="G223"/>
      <c r="K223" s="1470"/>
      <c r="L223" s="55"/>
      <c r="M223" s="1397"/>
      <c r="N223" s="1397"/>
      <c r="O223" s="1397"/>
      <c r="P223" s="1397"/>
      <c r="Q223" s="1397"/>
      <c r="R223" s="1397"/>
      <c r="S223" s="1397"/>
      <c r="T223" s="1397"/>
      <c r="U223" s="1397"/>
      <c r="V223" s="1397"/>
      <c r="W223" s="1397"/>
      <c r="X223" s="1397"/>
      <c r="Y223" s="1397"/>
      <c r="Z223" s="1397"/>
      <c r="AA223" s="1397"/>
      <c r="AB223" s="1397"/>
      <c r="AC223" s="1397"/>
    </row>
    <row r="224" spans="1:29" ht="15" thickBot="1" x14ac:dyDescent="0.35">
      <c r="A224" s="256"/>
      <c r="G224"/>
      <c r="K224" s="1473" t="s">
        <v>122</v>
      </c>
      <c r="L224" s="68">
        <f>SUM(L221:L223)</f>
        <v>0</v>
      </c>
      <c r="M224" s="1397"/>
      <c r="N224" s="1397"/>
      <c r="O224" s="1397"/>
      <c r="P224" s="1397"/>
      <c r="Q224" s="1397"/>
      <c r="R224" s="1397"/>
      <c r="S224" s="1397"/>
      <c r="T224" s="1397"/>
      <c r="U224" s="1397"/>
      <c r="V224" s="1397"/>
      <c r="W224" s="1397"/>
      <c r="X224" s="1397"/>
      <c r="Y224" s="1397"/>
      <c r="Z224" s="1397"/>
      <c r="AA224" s="1397"/>
      <c r="AB224" s="1397"/>
      <c r="AC224" s="1397"/>
    </row>
    <row r="225" spans="1:31" ht="14.4" x14ac:dyDescent="0.3">
      <c r="A225" s="256"/>
      <c r="G225"/>
      <c r="K225" s="1472"/>
      <c r="L225" s="61"/>
      <c r="M225" s="1397"/>
      <c r="N225" s="1397"/>
      <c r="O225" s="1397"/>
      <c r="P225" s="1397"/>
      <c r="Q225" s="1397"/>
      <c r="R225" s="1397"/>
      <c r="S225" s="1397"/>
      <c r="T225" s="1397"/>
      <c r="U225" s="1397"/>
      <c r="V225" s="1397"/>
      <c r="W225" s="1397"/>
      <c r="X225" s="1397"/>
      <c r="Y225" s="1397"/>
      <c r="Z225" s="1397"/>
      <c r="AA225" s="1397"/>
      <c r="AB225" s="1397"/>
      <c r="AC225" s="1397"/>
    </row>
    <row r="226" spans="1:31" ht="14.4" x14ac:dyDescent="0.3">
      <c r="A226" s="256"/>
      <c r="G226"/>
      <c r="K226" s="1474" t="s">
        <v>14</v>
      </c>
      <c r="L226" s="55"/>
      <c r="M226" s="1397"/>
      <c r="N226" s="1397"/>
      <c r="O226" s="1397"/>
      <c r="P226" s="1397"/>
      <c r="Q226" s="1397"/>
      <c r="R226" s="1397"/>
      <c r="S226" s="1397"/>
      <c r="T226" s="1397"/>
      <c r="U226" s="1397"/>
      <c r="V226" s="1397"/>
      <c r="W226" s="1397"/>
      <c r="X226" s="1397"/>
      <c r="Y226" s="1397"/>
      <c r="Z226" s="1397"/>
      <c r="AA226" s="1397"/>
      <c r="AB226" s="1397"/>
      <c r="AC226" s="1397"/>
    </row>
    <row r="227" spans="1:31" ht="14.4" x14ac:dyDescent="0.3">
      <c r="A227" s="256"/>
      <c r="G227"/>
      <c r="K227" s="1470" t="s">
        <v>329</v>
      </c>
      <c r="L227" s="55">
        <f t="shared" ref="L227:L238" si="42">ROUND(SUM(M227:AC227),0)</f>
        <v>0</v>
      </c>
      <c r="M227" s="1397"/>
      <c r="N227" s="1397"/>
      <c r="O227" s="1397"/>
      <c r="P227" s="1397"/>
      <c r="Q227" s="1397"/>
      <c r="R227" s="1397"/>
      <c r="S227" s="1397"/>
      <c r="T227" s="1397"/>
      <c r="U227" s="1397"/>
      <c r="V227" s="1397"/>
      <c r="W227" s="1397"/>
      <c r="X227" s="1397"/>
      <c r="Y227" s="1397"/>
      <c r="Z227" s="1397"/>
      <c r="AA227" s="1397"/>
      <c r="AB227" s="1397"/>
      <c r="AC227" s="1397"/>
    </row>
    <row r="228" spans="1:31" ht="14.4" x14ac:dyDescent="0.3">
      <c r="A228" s="256"/>
      <c r="G228"/>
      <c r="K228" s="1470" t="s">
        <v>508</v>
      </c>
      <c r="L228" s="55">
        <f t="shared" si="42"/>
        <v>0</v>
      </c>
      <c r="M228" s="1397"/>
      <c r="N228" s="1397"/>
      <c r="O228" s="1397"/>
      <c r="P228" s="1397"/>
      <c r="Q228" s="1397"/>
      <c r="R228" s="1397"/>
      <c r="S228" s="1397"/>
      <c r="T228" s="1397"/>
      <c r="U228" s="1397"/>
      <c r="V228" s="1397"/>
      <c r="W228" s="1397"/>
      <c r="X228" s="1397"/>
      <c r="Y228" s="1397"/>
      <c r="Z228" s="1397"/>
      <c r="AA228" s="1397"/>
      <c r="AB228" s="1397"/>
      <c r="AC228" s="1397"/>
    </row>
    <row r="229" spans="1:31" ht="14.4" x14ac:dyDescent="0.3">
      <c r="A229" s="256"/>
      <c r="G229"/>
      <c r="K229" s="1470" t="s">
        <v>1280</v>
      </c>
      <c r="L229" s="55">
        <f t="shared" si="42"/>
        <v>0</v>
      </c>
      <c r="M229" s="1397"/>
      <c r="N229" s="1397"/>
      <c r="O229" s="1397"/>
      <c r="P229" s="1397"/>
      <c r="Q229" s="1397"/>
      <c r="R229" s="1397"/>
      <c r="S229" s="1397"/>
      <c r="T229" s="1397"/>
      <c r="U229" s="1397"/>
      <c r="V229" s="1397"/>
      <c r="W229" s="1397"/>
      <c r="X229" s="1397"/>
      <c r="Y229" s="1397"/>
      <c r="Z229" s="1397"/>
      <c r="AA229" s="1397"/>
      <c r="AB229" s="1397"/>
      <c r="AC229" s="1397"/>
    </row>
    <row r="230" spans="1:31" ht="14.4" x14ac:dyDescent="0.3">
      <c r="A230" s="256"/>
      <c r="G230"/>
      <c r="K230" s="1470" t="s">
        <v>1292</v>
      </c>
      <c r="L230" s="55">
        <f t="shared" si="42"/>
        <v>0</v>
      </c>
      <c r="M230" s="1397"/>
      <c r="N230" s="1397"/>
      <c r="O230" s="1397"/>
      <c r="P230" s="1397"/>
      <c r="Q230" s="1397"/>
      <c r="R230" s="1397"/>
      <c r="S230" s="1397"/>
      <c r="T230" s="1397"/>
      <c r="U230" s="1397"/>
      <c r="V230" s="1397"/>
      <c r="W230" s="1397"/>
      <c r="X230" s="1397"/>
      <c r="Y230" s="1397"/>
      <c r="Z230" s="1397"/>
      <c r="AA230" s="1397"/>
      <c r="AB230" s="1397"/>
      <c r="AC230" s="1397"/>
    </row>
    <row r="231" spans="1:31" ht="14.4" x14ac:dyDescent="0.3">
      <c r="A231" s="256"/>
      <c r="G231"/>
      <c r="K231" s="1470" t="s">
        <v>55</v>
      </c>
      <c r="L231" s="55">
        <f t="shared" si="42"/>
        <v>0</v>
      </c>
      <c r="M231" s="1397"/>
      <c r="N231" s="1397"/>
      <c r="O231" s="1397"/>
      <c r="P231" s="1397"/>
      <c r="Q231" s="1397"/>
      <c r="R231" s="1397"/>
      <c r="S231" s="1397"/>
      <c r="T231" s="1397"/>
      <c r="U231" s="1397"/>
      <c r="V231" s="1397"/>
      <c r="W231" s="1397"/>
      <c r="X231" s="1397"/>
      <c r="Y231" s="1397"/>
      <c r="Z231" s="1397"/>
      <c r="AA231" s="1397"/>
      <c r="AB231" s="1397"/>
      <c r="AC231" s="1397"/>
      <c r="AE231" s="73"/>
    </row>
    <row r="232" spans="1:31" ht="14.4" x14ac:dyDescent="0.3">
      <c r="A232" s="256"/>
      <c r="G232"/>
      <c r="K232" s="1470" t="s">
        <v>84</v>
      </c>
      <c r="L232" s="55">
        <f t="shared" si="42"/>
        <v>0</v>
      </c>
      <c r="M232" s="1397"/>
      <c r="N232" s="1397"/>
      <c r="O232" s="1397"/>
      <c r="P232" s="1397"/>
      <c r="Q232" s="1397"/>
      <c r="R232" s="1397"/>
      <c r="S232" s="1397"/>
      <c r="T232" s="1397"/>
      <c r="U232" s="1397"/>
      <c r="V232" s="1397"/>
      <c r="W232" s="1397"/>
      <c r="X232" s="1397"/>
      <c r="Y232" s="1397"/>
      <c r="Z232" s="1397"/>
      <c r="AA232" s="1397"/>
      <c r="AB232" s="1397"/>
      <c r="AC232" s="1397"/>
      <c r="AE232" s="73"/>
    </row>
    <row r="233" spans="1:31" ht="14.4" x14ac:dyDescent="0.3">
      <c r="A233" s="256"/>
      <c r="G233"/>
      <c r="K233" s="1470" t="s">
        <v>1848</v>
      </c>
      <c r="L233" s="55">
        <f t="shared" si="42"/>
        <v>0</v>
      </c>
      <c r="M233" s="1397"/>
      <c r="N233" s="1397"/>
      <c r="O233" s="1397"/>
      <c r="P233" s="1397"/>
      <c r="Q233" s="1397"/>
      <c r="R233" s="1397"/>
      <c r="S233" s="1397"/>
      <c r="T233" s="1397"/>
      <c r="U233" s="1397"/>
      <c r="V233" s="1397"/>
      <c r="W233" s="1397"/>
      <c r="X233" s="1397"/>
      <c r="Y233" s="1397"/>
      <c r="Z233" s="1397"/>
      <c r="AA233" s="1397"/>
      <c r="AB233" s="1397"/>
      <c r="AC233" s="1397"/>
    </row>
    <row r="234" spans="1:31" ht="14.4" x14ac:dyDescent="0.3">
      <c r="A234" s="256"/>
      <c r="G234"/>
      <c r="K234" s="1470" t="s">
        <v>60</v>
      </c>
      <c r="L234" s="55">
        <f t="shared" si="42"/>
        <v>0</v>
      </c>
      <c r="M234" s="1397"/>
      <c r="N234" s="1397"/>
      <c r="O234" s="1397"/>
      <c r="P234" s="1397"/>
      <c r="Q234" s="1397"/>
      <c r="R234" s="1397"/>
      <c r="S234" s="1397"/>
      <c r="T234" s="1397"/>
      <c r="U234" s="1397"/>
      <c r="V234" s="1397"/>
      <c r="W234" s="1397"/>
      <c r="X234" s="1397"/>
      <c r="Y234" s="1397"/>
      <c r="Z234" s="1397"/>
      <c r="AA234" s="1397"/>
      <c r="AB234" s="1397"/>
      <c r="AC234" s="1397"/>
    </row>
    <row r="235" spans="1:31" ht="14.4" x14ac:dyDescent="0.3">
      <c r="A235" s="256"/>
      <c r="G235"/>
      <c r="K235" s="1470" t="s">
        <v>59</v>
      </c>
      <c r="L235" s="55">
        <f t="shared" si="42"/>
        <v>0</v>
      </c>
      <c r="M235" s="1397"/>
      <c r="N235" s="1397"/>
      <c r="O235" s="1397"/>
      <c r="P235" s="1397"/>
      <c r="Q235" s="1397"/>
      <c r="R235" s="1397"/>
      <c r="S235" s="1397"/>
      <c r="T235" s="1397"/>
      <c r="U235" s="1397"/>
      <c r="V235" s="1397"/>
      <c r="W235" s="1397"/>
      <c r="X235" s="1397"/>
      <c r="Y235" s="1397"/>
      <c r="Z235" s="1397"/>
      <c r="AA235" s="1397"/>
      <c r="AB235" s="1397"/>
      <c r="AC235" s="1397"/>
    </row>
    <row r="236" spans="1:31" ht="14.4" x14ac:dyDescent="0.3">
      <c r="A236" s="256"/>
      <c r="G236"/>
      <c r="K236" s="1470" t="s">
        <v>48</v>
      </c>
      <c r="L236" s="55">
        <f t="shared" si="42"/>
        <v>0</v>
      </c>
      <c r="M236" s="1397"/>
      <c r="N236" s="1397"/>
      <c r="O236" s="1397"/>
      <c r="P236" s="1397"/>
      <c r="Q236" s="1397"/>
      <c r="R236" s="1397"/>
      <c r="S236" s="1397"/>
      <c r="T236" s="1397"/>
      <c r="U236" s="1397"/>
      <c r="V236" s="1397"/>
      <c r="W236" s="1397"/>
      <c r="X236" s="1397"/>
      <c r="Y236" s="1397"/>
      <c r="Z236" s="1397"/>
      <c r="AA236" s="1397"/>
      <c r="AB236" s="1397"/>
      <c r="AC236" s="1397"/>
    </row>
    <row r="237" spans="1:31" ht="14.4" x14ac:dyDescent="0.3">
      <c r="A237" s="256"/>
      <c r="G237"/>
      <c r="K237" s="1470" t="s">
        <v>61</v>
      </c>
      <c r="L237" s="55">
        <f t="shared" si="42"/>
        <v>0</v>
      </c>
      <c r="M237" s="1397"/>
      <c r="N237" s="1397"/>
      <c r="O237" s="1397"/>
      <c r="P237" s="1397"/>
      <c r="Q237" s="1397"/>
      <c r="R237" s="1397"/>
      <c r="S237" s="1397"/>
      <c r="T237" s="1397"/>
      <c r="U237" s="1397"/>
      <c r="V237" s="1397"/>
      <c r="W237" s="1397"/>
      <c r="X237" s="1397"/>
      <c r="Y237" s="1397"/>
      <c r="Z237" s="1397"/>
      <c r="AA237" s="1397"/>
      <c r="AB237" s="1397"/>
      <c r="AC237" s="1397"/>
    </row>
    <row r="238" spans="1:31" x14ac:dyDescent="0.2">
      <c r="A238" s="256"/>
      <c r="K238" s="1471" t="s">
        <v>271</v>
      </c>
      <c r="L238" s="55">
        <f t="shared" si="42"/>
        <v>0</v>
      </c>
      <c r="M238" s="1397"/>
      <c r="N238" s="1397"/>
      <c r="O238" s="1397"/>
      <c r="P238" s="1397"/>
      <c r="Q238" s="1397"/>
      <c r="R238" s="1397"/>
      <c r="S238" s="1397"/>
      <c r="T238" s="1397"/>
      <c r="U238" s="1397"/>
      <c r="V238" s="1397"/>
      <c r="W238" s="1397"/>
      <c r="X238" s="1397"/>
      <c r="Y238" s="1397"/>
      <c r="Z238" s="1397"/>
      <c r="AA238" s="1397"/>
      <c r="AB238" s="1397"/>
      <c r="AC238" s="1397"/>
    </row>
    <row r="239" spans="1:31" ht="12.6" thickBot="1" x14ac:dyDescent="0.25">
      <c r="A239" s="256"/>
      <c r="K239" s="1473" t="s">
        <v>121</v>
      </c>
      <c r="L239" s="281">
        <f>SUM(L227:L237)</f>
        <v>0</v>
      </c>
      <c r="M239" s="1397"/>
      <c r="N239" s="1397"/>
      <c r="O239" s="1397"/>
      <c r="P239" s="1397"/>
      <c r="Q239" s="1397"/>
      <c r="R239" s="1397"/>
      <c r="S239" s="1397"/>
      <c r="T239" s="1397"/>
      <c r="U239" s="1397"/>
      <c r="V239" s="1397"/>
      <c r="W239" s="1397"/>
      <c r="X239" s="1397"/>
      <c r="Y239" s="1397"/>
      <c r="Z239" s="1397"/>
      <c r="AA239" s="1397"/>
      <c r="AB239" s="1397"/>
      <c r="AC239" s="1397"/>
    </row>
    <row r="240" spans="1:31" x14ac:dyDescent="0.2">
      <c r="A240" s="256"/>
      <c r="K240" s="1472"/>
      <c r="L240" s="57"/>
      <c r="M240" s="1397"/>
      <c r="N240" s="1397"/>
      <c r="O240" s="1397"/>
      <c r="P240" s="1397"/>
      <c r="Q240" s="1397"/>
      <c r="R240" s="1397"/>
      <c r="S240" s="1397"/>
      <c r="T240" s="1397"/>
      <c r="U240" s="1397"/>
      <c r="V240" s="1397"/>
      <c r="W240" s="1397"/>
      <c r="X240" s="1397"/>
      <c r="Y240" s="1397"/>
      <c r="Z240" s="1397"/>
      <c r="AA240" s="1397"/>
      <c r="AB240" s="1397"/>
      <c r="AC240" s="1397"/>
    </row>
    <row r="241" spans="1:29" x14ac:dyDescent="0.2">
      <c r="A241" s="256"/>
      <c r="K241" s="1474" t="s">
        <v>63</v>
      </c>
      <c r="L241" s="55"/>
      <c r="M241" s="1397"/>
      <c r="N241" s="1397"/>
      <c r="O241" s="1397"/>
      <c r="P241" s="1397"/>
      <c r="Q241" s="1397"/>
      <c r="R241" s="1397"/>
      <c r="S241" s="1397"/>
      <c r="T241" s="1397"/>
      <c r="U241" s="1397"/>
      <c r="V241" s="1397"/>
      <c r="W241" s="1397"/>
      <c r="X241" s="1397"/>
      <c r="Y241" s="1397"/>
      <c r="Z241" s="1397"/>
      <c r="AA241" s="1397"/>
      <c r="AB241" s="1397"/>
      <c r="AC241" s="1397"/>
    </row>
    <row r="242" spans="1:29" x14ac:dyDescent="0.2">
      <c r="A242" s="256"/>
      <c r="K242" s="1470" t="s">
        <v>1279</v>
      </c>
      <c r="L242" s="55">
        <f t="shared" ref="L242:L243" si="43">ROUND(SUM(M242:AC242),0)</f>
        <v>0</v>
      </c>
      <c r="M242" s="1397"/>
      <c r="N242" s="1397"/>
      <c r="O242" s="1397"/>
      <c r="P242" s="1397"/>
      <c r="Q242" s="1397"/>
      <c r="R242" s="1397"/>
      <c r="S242" s="1397"/>
      <c r="T242" s="1397"/>
      <c r="U242" s="1397"/>
      <c r="V242" s="1397"/>
      <c r="W242" s="1397"/>
      <c r="X242" s="1397"/>
      <c r="Y242" s="1397"/>
      <c r="Z242" s="1397"/>
      <c r="AA242" s="1397"/>
      <c r="AB242" s="1397"/>
      <c r="AC242" s="1397"/>
    </row>
    <row r="243" spans="1:29" x14ac:dyDescent="0.2">
      <c r="A243" s="256"/>
      <c r="K243" s="1470" t="s">
        <v>1292</v>
      </c>
      <c r="L243" s="55">
        <f t="shared" si="43"/>
        <v>0</v>
      </c>
      <c r="M243" s="1397"/>
      <c r="N243" s="1397"/>
      <c r="O243" s="1397"/>
      <c r="P243" s="1397"/>
      <c r="Q243" s="1397"/>
      <c r="R243" s="1397"/>
      <c r="S243" s="1397"/>
      <c r="T243" s="1397"/>
      <c r="U243" s="1397"/>
      <c r="V243" s="1397"/>
      <c r="W243" s="1397"/>
      <c r="X243" s="1397"/>
      <c r="Y243" s="1397"/>
      <c r="Z243" s="1397"/>
      <c r="AA243" s="1397"/>
      <c r="AB243" s="1397"/>
      <c r="AC243" s="1397"/>
    </row>
    <row r="244" spans="1:29" x14ac:dyDescent="0.2">
      <c r="A244" s="256"/>
      <c r="K244" s="1470"/>
      <c r="L244" s="55"/>
      <c r="M244" s="1397"/>
      <c r="N244" s="1397"/>
      <c r="O244" s="1397"/>
      <c r="P244" s="1397"/>
      <c r="Q244" s="1397"/>
      <c r="R244" s="1397"/>
      <c r="S244" s="1397"/>
      <c r="T244" s="1397"/>
      <c r="U244" s="1397"/>
      <c r="V244" s="1397"/>
      <c r="W244" s="1397"/>
      <c r="X244" s="1397"/>
      <c r="Y244" s="1397"/>
      <c r="Z244" s="1397"/>
      <c r="AA244" s="1397"/>
      <c r="AB244" s="1397"/>
      <c r="AC244" s="1397"/>
    </row>
    <row r="245" spans="1:29" ht="12.6" thickBot="1" x14ac:dyDescent="0.25">
      <c r="A245" s="256"/>
      <c r="K245" s="1473" t="s">
        <v>20</v>
      </c>
      <c r="L245" s="281">
        <f>SUM(L218,L224,L239)</f>
        <v>-5212</v>
      </c>
      <c r="M245" s="1397"/>
      <c r="N245" s="1397"/>
      <c r="O245" s="1397"/>
      <c r="P245" s="1397"/>
      <c r="Q245" s="1397"/>
      <c r="R245" s="1397"/>
      <c r="S245" s="1397"/>
      <c r="T245" s="1397"/>
      <c r="U245" s="1397"/>
      <c r="V245" s="1397"/>
      <c r="W245" s="1397"/>
      <c r="X245" s="1397"/>
      <c r="Y245" s="1397"/>
      <c r="Z245" s="1397"/>
      <c r="AA245" s="1397"/>
      <c r="AB245" s="1397"/>
      <c r="AC245" s="1397"/>
    </row>
    <row r="246" spans="1:29" x14ac:dyDescent="0.2">
      <c r="A246" s="256"/>
      <c r="K246" s="1472" t="s">
        <v>118</v>
      </c>
      <c r="L246" s="55">
        <f>ROUND(SUM(M246:W246),0)</f>
        <v>0</v>
      </c>
      <c r="M246" s="1397"/>
      <c r="N246" s="1397"/>
      <c r="O246" s="1397"/>
      <c r="P246" s="1397"/>
      <c r="Q246" s="1397"/>
      <c r="R246" s="1397"/>
      <c r="S246" s="1397"/>
      <c r="T246" s="1397"/>
      <c r="U246" s="1397"/>
      <c r="V246" s="1397"/>
      <c r="W246" s="1397"/>
      <c r="X246" s="1397"/>
      <c r="Y246" s="1397"/>
      <c r="Z246" s="1397"/>
      <c r="AA246" s="1397"/>
      <c r="AB246" s="1397"/>
      <c r="AC246" s="1397"/>
    </row>
    <row r="247" spans="1:29" x14ac:dyDescent="0.2">
      <c r="A247" s="256"/>
      <c r="K247" s="1474" t="s">
        <v>67</v>
      </c>
      <c r="L247" s="55">
        <f>FS.1!E13</f>
        <v>5604</v>
      </c>
      <c r="M247" s="1397"/>
      <c r="N247" s="1397"/>
      <c r="O247" s="1397"/>
      <c r="P247" s="1397"/>
      <c r="Q247" s="1397"/>
      <c r="R247" s="1397"/>
      <c r="S247" s="1397"/>
      <c r="T247" s="1397"/>
      <c r="U247" s="1397"/>
      <c r="V247" s="1397"/>
      <c r="W247" s="1397"/>
      <c r="X247" s="1397"/>
      <c r="Y247" s="1397"/>
      <c r="Z247" s="1397"/>
      <c r="AA247" s="1397"/>
      <c r="AB247" s="1397"/>
      <c r="AC247" s="1397"/>
    </row>
    <row r="248" spans="1:29" ht="12.6" thickBot="1" x14ac:dyDescent="0.25">
      <c r="A248" s="256"/>
      <c r="K248" s="48" t="s">
        <v>66</v>
      </c>
      <c r="L248" s="49">
        <f>L247+L245+L246</f>
        <v>392</v>
      </c>
      <c r="M248" s="49">
        <f t="shared" ref="M248:AC248" si="44">ROUND(SUM(M187:M247),0)</f>
        <v>0</v>
      </c>
      <c r="N248" s="49">
        <f t="shared" si="44"/>
        <v>0</v>
      </c>
      <c r="O248" s="49">
        <f t="shared" si="44"/>
        <v>0</v>
      </c>
      <c r="P248" s="49">
        <f t="shared" si="44"/>
        <v>0</v>
      </c>
      <c r="Q248" s="49">
        <f t="shared" si="44"/>
        <v>0</v>
      </c>
      <c r="R248" s="49">
        <f t="shared" si="44"/>
        <v>0</v>
      </c>
      <c r="S248" s="49">
        <f t="shared" si="44"/>
        <v>0</v>
      </c>
      <c r="T248" s="49">
        <f t="shared" si="44"/>
        <v>0</v>
      </c>
      <c r="U248" s="49">
        <f t="shared" si="44"/>
        <v>0</v>
      </c>
      <c r="V248" s="49">
        <f t="shared" si="44"/>
        <v>0</v>
      </c>
      <c r="W248" s="49">
        <f t="shared" si="44"/>
        <v>0</v>
      </c>
      <c r="X248" s="49">
        <f t="shared" si="44"/>
        <v>0</v>
      </c>
      <c r="Y248" s="49">
        <f t="shared" si="44"/>
        <v>0</v>
      </c>
      <c r="Z248" s="49">
        <f t="shared" si="44"/>
        <v>0</v>
      </c>
      <c r="AA248" s="49">
        <f t="shared" si="44"/>
        <v>0</v>
      </c>
      <c r="AB248" s="49">
        <f t="shared" si="44"/>
        <v>0</v>
      </c>
      <c r="AC248" s="49">
        <f t="shared" si="44"/>
        <v>3067490</v>
      </c>
    </row>
    <row r="249" spans="1:29" ht="12.6" thickTop="1" x14ac:dyDescent="0.2">
      <c r="A249" s="256"/>
    </row>
    <row r="250" spans="1:29" ht="12.6" thickBot="1" x14ac:dyDescent="0.25">
      <c r="A250" s="256"/>
      <c r="K250" s="65" t="s">
        <v>19</v>
      </c>
      <c r="L250" s="66">
        <f>L248-L186</f>
        <v>0</v>
      </c>
    </row>
    <row r="251" spans="1:29" ht="12.6" thickTop="1" x14ac:dyDescent="0.3"/>
  </sheetData>
  <autoFilter ref="A7:I182" xr:uid="{CCE2C590-15A9-4615-8AEF-C6783E103DA9}">
    <filterColumn colId="5">
      <filters blank="1">
        <filter val="(1,801,251)"/>
        <filter val="(102)"/>
        <filter val="(109,090)"/>
        <filter val="(14)"/>
        <filter val="(175,041)"/>
        <filter val="(2,460,380)"/>
        <filter val="(206,895)"/>
        <filter val="(29)"/>
        <filter val="(3,500)"/>
        <filter val="(307,037)"/>
        <filter val="(308,750)"/>
        <filter val="(360,000)"/>
        <filter val="(373)"/>
        <filter val="(396)"/>
        <filter val="(53,625)"/>
        <filter val="(556,400)"/>
        <filter val="(6)"/>
        <filter val="(6,450,000)"/>
        <filter val="(60,000)"/>
        <filter val="(67,204)"/>
        <filter val="(7,200)"/>
        <filter val="(900)"/>
        <filter val="(938)"/>
        <filter val="(948)"/>
        <filter val="(98)"/>
        <filter val="1,256,364"/>
        <filter val="1,289"/>
        <filter val="1,351"/>
        <filter val="1,713"/>
        <filter val="1,771"/>
        <filter val="103"/>
        <filter val="109,090"/>
        <filter val="116"/>
        <filter val="133,277"/>
        <filter val="161,256"/>
        <filter val="163,090"/>
        <filter val="198"/>
        <filter val="199"/>
        <filter val="2,281"/>
        <filter val="2,567"/>
        <filter val="2,904,400"/>
        <filter val="225,291"/>
        <filter val="241"/>
        <filter val="243"/>
        <filter val="26,182"/>
        <filter val="27,152"/>
        <filter val="31,779"/>
        <filter val="31,957"/>
        <filter val="322,512"/>
        <filter val="390"/>
        <filter val="396"/>
        <filter val="4"/>
        <filter val="4,325"/>
        <filter val="4,541"/>
        <filter val="4,656"/>
        <filter val="43"/>
        <filter val="449"/>
        <filter val="45,232"/>
        <filter val="5,306"/>
        <filter val="5,676"/>
        <filter val="53"/>
        <filter val="556,400"/>
        <filter val="6"/>
        <filter val="6,289"/>
        <filter val="6,731,822"/>
        <filter val="64"/>
        <filter val="65,282"/>
        <filter val="887"/>
        <filter val="93,000"/>
        <filter val="934"/>
      </filters>
    </filterColumn>
  </autoFilter>
  <phoneticPr fontId="42" type="noConversion"/>
  <conditionalFormatting sqref="A185 A188:A1048576 A1:A3 A5:A183">
    <cfRule type="duplicateValues" dxfId="10" priority="70"/>
  </conditionalFormatting>
  <hyperlinks>
    <hyperlink ref="B5" location="'TB.1 - F25'!A1" display="TB.1" xr:uid="{768615F2-35C5-40A7-8E37-4C7BDCD8F9EC}"/>
    <hyperlink ref="D5" location="'AJE.1 - F25'!A1" display="AJE.1" xr:uid="{D5BDC42E-3C4E-40E8-8557-6DF1F9183204}"/>
    <hyperlink ref="C5" location="'TB.1 - F25'!A1" display="TB.1" xr:uid="{D4675A4A-5F1E-4C27-8387-BD9A4A733ACA}"/>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5117-391A-4E36-BBFC-AF407B5A3CF1}">
  <sheetPr>
    <tabColor rgb="FF00FF99"/>
  </sheetPr>
  <dimension ref="A1:AA151"/>
  <sheetViews>
    <sheetView workbookViewId="0"/>
  </sheetViews>
  <sheetFormatPr defaultColWidth="8.88671875" defaultRowHeight="12" outlineLevelCol="1" x14ac:dyDescent="0.3"/>
  <cols>
    <col min="1" max="1" width="3.6640625" style="16" customWidth="1"/>
    <col min="2" max="2" width="43.5546875" style="16" customWidth="1"/>
    <col min="3" max="3" width="14.5546875" style="16" customWidth="1"/>
    <col min="4" max="4" width="16" style="16" customWidth="1"/>
    <col min="5" max="5" width="15.109375" style="16" hidden="1" customWidth="1" outlineLevel="1"/>
    <col min="6" max="6" width="12.44140625" style="16" hidden="1" customWidth="1" outlineLevel="1"/>
    <col min="7" max="7" width="14.5546875" style="16" customWidth="1" collapsed="1"/>
    <col min="8" max="8" width="3" style="16" customWidth="1"/>
    <col min="9" max="9" width="13.6640625" style="16" customWidth="1"/>
    <col min="10" max="10" width="14.5546875" style="16" customWidth="1"/>
    <col min="11" max="11" width="17.33203125" style="16" hidden="1" customWidth="1" outlineLevel="1"/>
    <col min="12" max="12" width="14" style="16" hidden="1" customWidth="1" outlineLevel="1"/>
    <col min="13" max="13" width="16" style="16" customWidth="1" collapsed="1"/>
    <col min="14" max="14" width="28.44140625" style="183" customWidth="1"/>
    <col min="15" max="15" width="39" style="16" customWidth="1"/>
    <col min="16" max="16" width="41.88671875" style="16" customWidth="1"/>
    <col min="17" max="17" width="3" style="16" customWidth="1"/>
    <col min="18" max="18" width="64" style="16" customWidth="1"/>
    <col min="19" max="19" width="21" style="16" hidden="1" customWidth="1" outlineLevel="1"/>
    <col min="20" max="24" width="18.109375" style="16" hidden="1" customWidth="1" outlineLevel="1"/>
    <col min="25" max="25" width="3.88671875" style="16" customWidth="1" collapsed="1"/>
    <col min="26" max="26" width="15" style="16" customWidth="1"/>
    <col min="27" max="16384" width="8.88671875" style="16"/>
  </cols>
  <sheetData>
    <row r="1" spans="1:25" ht="25.2" x14ac:dyDescent="0.3">
      <c r="A1" s="44" t="str">
        <f>company_name</f>
        <v>Consolidated Hallor Group Inc.</v>
      </c>
      <c r="B1" s="5"/>
      <c r="G1" s="71"/>
      <c r="H1" s="71"/>
      <c r="I1" s="71"/>
      <c r="J1" s="71"/>
      <c r="K1" s="71"/>
      <c r="L1" s="71"/>
      <c r="M1" s="71"/>
      <c r="N1" s="176"/>
      <c r="O1" s="1365" t="s">
        <v>398</v>
      </c>
      <c r="P1" s="19"/>
    </row>
    <row r="2" spans="1:25" ht="21" x14ac:dyDescent="0.25">
      <c r="B2" s="534">
        <f>currentperiod_end_date</f>
        <v>45838</v>
      </c>
      <c r="C2" s="535" t="s">
        <v>400</v>
      </c>
      <c r="D2" s="535" t="s">
        <v>400</v>
      </c>
      <c r="G2" s="71"/>
      <c r="H2" s="71"/>
      <c r="I2" s="535" t="s">
        <v>400</v>
      </c>
      <c r="J2" s="535" t="s">
        <v>400</v>
      </c>
      <c r="K2" s="71"/>
      <c r="L2" s="71"/>
      <c r="M2" s="71"/>
      <c r="N2" s="176"/>
      <c r="O2" s="19"/>
      <c r="P2" s="19"/>
      <c r="R2" s="212"/>
      <c r="S2" s="211"/>
      <c r="T2" s="211"/>
      <c r="U2" s="211"/>
      <c r="V2" s="211"/>
      <c r="W2" s="211"/>
      <c r="X2" s="211"/>
    </row>
    <row r="3" spans="1:25" ht="14.4" x14ac:dyDescent="0.25">
      <c r="B3" s="532" t="s">
        <v>410</v>
      </c>
      <c r="C3" s="533" t="s">
        <v>411</v>
      </c>
      <c r="D3" s="533" t="s">
        <v>411</v>
      </c>
      <c r="E3" s="915" t="s">
        <v>1194</v>
      </c>
      <c r="G3" s="71"/>
      <c r="H3" s="71"/>
      <c r="I3" s="533" t="s">
        <v>411</v>
      </c>
      <c r="J3" s="533" t="s">
        <v>411</v>
      </c>
      <c r="K3" s="915" t="s">
        <v>1194</v>
      </c>
      <c r="L3" s="71"/>
      <c r="M3" s="71"/>
      <c r="N3" s="176"/>
      <c r="O3" s="531"/>
      <c r="P3" s="531"/>
      <c r="R3" s="212"/>
      <c r="S3" s="211"/>
      <c r="T3" s="211"/>
      <c r="U3" s="211"/>
      <c r="V3" s="211"/>
      <c r="W3" s="211"/>
      <c r="X3" s="211"/>
    </row>
    <row r="4" spans="1:25" ht="14.4" x14ac:dyDescent="0.25">
      <c r="B4" s="532"/>
      <c r="C4" s="928" t="s">
        <v>638</v>
      </c>
      <c r="D4" s="928" t="s">
        <v>639</v>
      </c>
      <c r="G4" s="71"/>
      <c r="H4" s="71"/>
      <c r="I4" s="928" t="s">
        <v>638</v>
      </c>
      <c r="J4" s="928" t="s">
        <v>639</v>
      </c>
      <c r="K4" s="71"/>
      <c r="L4" s="71"/>
      <c r="M4" s="71"/>
      <c r="N4" s="176"/>
      <c r="O4" s="531"/>
      <c r="P4" s="531"/>
      <c r="R4" s="212"/>
      <c r="S4" s="211"/>
      <c r="T4" s="211"/>
      <c r="U4" s="211"/>
      <c r="V4" s="211"/>
      <c r="W4" s="211"/>
      <c r="X4" s="211"/>
    </row>
    <row r="5" spans="1:25" s="143" customFormat="1" ht="36.6" customHeight="1" x14ac:dyDescent="0.3">
      <c r="A5" s="142"/>
      <c r="C5" s="184" t="str">
        <f>INPUTS!$B$16</f>
        <v>3 months</v>
      </c>
      <c r="D5" s="184" t="str">
        <f>INPUTS!$B$16</f>
        <v>3 months</v>
      </c>
      <c r="E5" s="184" t="str">
        <f>INPUTS!$B$16</f>
        <v>3 months</v>
      </c>
      <c r="F5" s="184" t="str">
        <f>INPUTS!$B$16</f>
        <v>3 months</v>
      </c>
      <c r="G5" s="184" t="str">
        <f>INPUTS!$B$16</f>
        <v>3 months</v>
      </c>
      <c r="H5" s="502"/>
      <c r="I5" s="502" t="str">
        <f>_xlfn.XLOOKUP(INPUTS!$B$3,INPUTS!$A$16:$A$19,INPUTS!$B$16:$B$19,"n/a",0,1)</f>
        <v>year ended</v>
      </c>
      <c r="J5" s="502" t="str">
        <f>I5</f>
        <v>year ended</v>
      </c>
      <c r="K5" s="502" t="str">
        <f>_xlfn.XLOOKUP(INPUTS!$B$3,INPUTS!$A$16:$A$19,INPUTS!$B$16:$B$19,"n/a",0,1)</f>
        <v>year ended</v>
      </c>
      <c r="L5" s="502" t="str">
        <f>_xlfn.XLOOKUP(INPUTS!$B$3,INPUTS!$A$16:$A$19,INPUTS!$B$16:$B$19,"n/a",0,1)</f>
        <v>year ended</v>
      </c>
      <c r="M5" s="502" t="str">
        <f>_xlfn.XLOOKUP(INPUTS!$B$3,INPUTS!$A$16:$A$19,INPUTS!$B$16:$B$19,"n/a",0,1)</f>
        <v>year ended</v>
      </c>
      <c r="N5" s="177"/>
      <c r="R5" s="212"/>
      <c r="S5" s="211"/>
      <c r="T5" s="211"/>
      <c r="U5" s="211"/>
      <c r="V5" s="211"/>
      <c r="W5" s="211"/>
      <c r="X5" s="211"/>
      <c r="Y5" s="145"/>
    </row>
    <row r="6" spans="1:25" ht="56.25" customHeight="1" thickBot="1" x14ac:dyDescent="0.3">
      <c r="A6" s="82"/>
      <c r="B6" s="82" t="s">
        <v>250</v>
      </c>
      <c r="C6" s="421" t="str">
        <f>TEXT(currentperiod_end_date, "MMMM DD, YYYY")</f>
        <v>June 30, 2025</v>
      </c>
      <c r="D6" s="421" t="str">
        <f>C6</f>
        <v>June 30, 2025</v>
      </c>
      <c r="E6" s="128" t="s">
        <v>376</v>
      </c>
      <c r="F6" s="128" t="s">
        <v>265</v>
      </c>
      <c r="G6" s="128" t="str">
        <f>"Adjusted Bal - "&amp;TEXT($B$2,"MMMM DD, YYYY")</f>
        <v>Adjusted Bal - June 30, 2025</v>
      </c>
      <c r="H6" s="503"/>
      <c r="I6" s="421" t="str">
        <f>TEXT(currentperiod_end_date, "MMMM DD, YYYY")</f>
        <v>June 30, 2025</v>
      </c>
      <c r="J6" s="421" t="str">
        <f>I6</f>
        <v>June 30, 2025</v>
      </c>
      <c r="K6" s="128" t="s">
        <v>376</v>
      </c>
      <c r="L6" s="128" t="s">
        <v>265</v>
      </c>
      <c r="M6" s="128" t="str">
        <f>"Adjusted Bal - "&amp;TEXT($B$2,"MMMM DD, YYYY")</f>
        <v>Adjusted Bal - June 30, 2025</v>
      </c>
      <c r="N6" s="82" t="s">
        <v>1</v>
      </c>
      <c r="O6" s="82" t="s">
        <v>40</v>
      </c>
      <c r="P6" s="82" t="s">
        <v>45</v>
      </c>
      <c r="R6" s="46"/>
      <c r="S6" s="126" t="s">
        <v>237</v>
      </c>
      <c r="T6" s="126" t="s">
        <v>70</v>
      </c>
      <c r="U6" s="126" t="s">
        <v>308</v>
      </c>
      <c r="V6" s="126" t="s">
        <v>5</v>
      </c>
      <c r="W6" s="126" t="s">
        <v>6</v>
      </c>
      <c r="X6" s="126" t="s">
        <v>309</v>
      </c>
    </row>
    <row r="7" spans="1:25" x14ac:dyDescent="0.25">
      <c r="A7" s="1398"/>
      <c r="B7" s="1393" t="str">
        <f>COA!B96</f>
        <v>5000 Revenue</v>
      </c>
      <c r="C7" s="1394">
        <f>SUMIF('PL.1 - FY24'!M:M,'IS - F25'!B7,'PL.1 - FY24'!O:O)</f>
        <v>0</v>
      </c>
      <c r="D7" s="1394">
        <f>SUMIF('PL.1 - FY24'!B:B,'IS - F25'!B7,'PL.1 - FY24'!F:F)</f>
        <v>0</v>
      </c>
      <c r="E7" s="1390">
        <f>_xlfn.XLOOKUP(B7,'AJE.1B - F25'!A:A,'AJE.1B - F25'!F:F,0,0,1)</f>
        <v>0</v>
      </c>
      <c r="F7" s="1390"/>
      <c r="G7" s="218">
        <f t="shared" ref="G7:G71" si="0">ROUND(SUM(C7:F7),0)</f>
        <v>0</v>
      </c>
      <c r="H7" s="420"/>
      <c r="I7" s="1394">
        <f>SUMIF('PL.1 - FY24'!M:M,B7,'PL.1 - FY24'!R:R)</f>
        <v>0</v>
      </c>
      <c r="J7" s="1394">
        <f>SUMIF('PL.1 - FY24'!B:B,B7,'PL.1 - FY24'!J:J)</f>
        <v>0</v>
      </c>
      <c r="K7" s="1390">
        <f>_xlfn.XLOOKUP(B7,'AJE.1B - F25'!A:A,'AJE.1B - F25'!M:M,0,0,1)</f>
        <v>0</v>
      </c>
      <c r="L7" s="1390"/>
      <c r="M7" s="218">
        <f t="shared" ref="M7:M71" si="1">ROUND(SUM(I7:L7),0)</f>
        <v>0</v>
      </c>
      <c r="N7" s="216" t="str">
        <f>_xlfn.XLOOKUP($B7,COA!$B:$B,COA!$C:$C,0,0,1)</f>
        <v>Revenues</v>
      </c>
      <c r="O7" s="216" t="str">
        <f>_xlfn.XLOOKUP($B7,COA!$B:$B,COA!$D:$D,0,0,1)</f>
        <v>Revenues</v>
      </c>
      <c r="P7" s="216" t="str">
        <f>_xlfn.XLOOKUP($B7,COA!$B:$B,COA!$E:$E,0,0,1)</f>
        <v>Accumulated deficit</v>
      </c>
      <c r="R7" s="85" t="e">
        <f>_xlfn.XLOOKUP(P7,#REF!,#REF!,0,0,1)</f>
        <v>#REF!</v>
      </c>
      <c r="S7" s="85"/>
      <c r="T7" s="85"/>
      <c r="U7" s="85"/>
      <c r="V7" s="85"/>
      <c r="W7" s="85"/>
      <c r="X7" s="85"/>
    </row>
    <row r="8" spans="1:25" x14ac:dyDescent="0.25">
      <c r="A8" s="1398"/>
      <c r="B8" s="1393" t="str">
        <f>COA!B97</f>
        <v>5000 Utility Vehicle Sales</v>
      </c>
      <c r="C8" s="1394">
        <f>SUMIF('PL.1 - FY24'!M:M,'IS - F25'!B8,'PL.1 - FY24'!O:O)</f>
        <v>0</v>
      </c>
      <c r="D8" s="1394">
        <f>SUMIF('PL.1 - FY24'!B:B,'IS - F25'!B8,'PL.1 - FY24'!F:F)</f>
        <v>0</v>
      </c>
      <c r="E8" s="1390">
        <f>_xlfn.XLOOKUP(B8,'AJE.1B - F25'!A:A,'AJE.1B - F25'!F:F,0,0,1)</f>
        <v>0</v>
      </c>
      <c r="F8" s="1390"/>
      <c r="G8" s="219">
        <f t="shared" si="0"/>
        <v>0</v>
      </c>
      <c r="H8" s="420"/>
      <c r="I8" s="1394">
        <f>SUMIF('PL.1 - FY24'!M:M,B8,'PL.1 - FY24'!R:R)</f>
        <v>0</v>
      </c>
      <c r="J8" s="1394">
        <f>SUMIF('PL.1 - FY24'!B:B,B8,'PL.1 - FY24'!J:J)</f>
        <v>0</v>
      </c>
      <c r="K8" s="1390">
        <f>_xlfn.XLOOKUP(B8,'AJE.1B - F25'!A:A,'AJE.1B - F25'!M:M,0,0,1)</f>
        <v>0</v>
      </c>
      <c r="L8" s="1390"/>
      <c r="M8" s="219">
        <f t="shared" si="1"/>
        <v>0</v>
      </c>
      <c r="N8" s="178" t="str">
        <f>_xlfn.XLOOKUP($B8,COA!$B:$B,COA!$C:$C,0,0,1)</f>
        <v>Revenues</v>
      </c>
      <c r="O8" s="178" t="str">
        <f>_xlfn.XLOOKUP($B8,COA!$B:$B,COA!$D:$D,0,0,1)</f>
        <v xml:space="preserve">Sale of electric vehicle </v>
      </c>
      <c r="P8" s="178" t="str">
        <f>_xlfn.XLOOKUP($B8,COA!$B:$B,COA!$E:$E,0,0,1)</f>
        <v>Accumulated deficit</v>
      </c>
      <c r="R8" s="85" t="e">
        <f>_xlfn.XLOOKUP(P8,#REF!,#REF!,0,0,1)</f>
        <v>#REF!</v>
      </c>
      <c r="S8" s="85"/>
      <c r="T8" s="85"/>
      <c r="U8" s="85"/>
      <c r="V8" s="85"/>
      <c r="W8" s="85"/>
      <c r="X8" s="85"/>
    </row>
    <row r="9" spans="1:25" x14ac:dyDescent="0.25">
      <c r="A9" s="1398"/>
      <c r="B9" s="1393" t="str">
        <f>COA!B98</f>
        <v>5001 Other General Sales</v>
      </c>
      <c r="C9" s="1394">
        <f>SUMIF('PL.1 - FY24'!M:M,'IS - F25'!B9,'PL.1 - FY24'!O:O)</f>
        <v>0</v>
      </c>
      <c r="D9" s="1394">
        <f>SUMIF('PL.1 - FY24'!B:B,'IS - F25'!B9,'PL.1 - FY24'!F:F)</f>
        <v>0</v>
      </c>
      <c r="E9" s="1390">
        <f>_xlfn.XLOOKUP(B9,'AJE.1B - F25'!A:A,'AJE.1B - F25'!F:F,0,0,1)</f>
        <v>0</v>
      </c>
      <c r="F9" s="1390"/>
      <c r="G9" s="219">
        <f t="shared" si="0"/>
        <v>0</v>
      </c>
      <c r="H9" s="420"/>
      <c r="I9" s="1394">
        <f>SUMIF('PL.1 - FY24'!M:M,B9,'PL.1 - FY24'!R:R)</f>
        <v>0</v>
      </c>
      <c r="J9" s="1394">
        <f>SUMIF('PL.1 - FY24'!B:B,B9,'PL.1 - FY24'!J:J)</f>
        <v>0</v>
      </c>
      <c r="K9" s="1390">
        <f>_xlfn.XLOOKUP(B9,'AJE.1B - F25'!A:A,'AJE.1B - F25'!M:M,0,0,1)</f>
        <v>0</v>
      </c>
      <c r="L9" s="1390"/>
      <c r="M9" s="219">
        <f t="shared" si="1"/>
        <v>0</v>
      </c>
      <c r="N9" s="178" t="str">
        <f>_xlfn.XLOOKUP($B9,COA!$B:$B,COA!$C:$C,0,0,1)</f>
        <v>Revenues</v>
      </c>
      <c r="O9" s="178" t="str">
        <f>_xlfn.XLOOKUP($B9,COA!$B:$B,COA!$D:$D,0,0,1)</f>
        <v>Mechanical services</v>
      </c>
      <c r="P9" s="178" t="str">
        <f>_xlfn.XLOOKUP($B9,COA!$B:$B,COA!$E:$E,0,0,1)</f>
        <v>Accumulated deficit</v>
      </c>
      <c r="R9" s="85" t="e">
        <f>_xlfn.XLOOKUP(P9,#REF!,#REF!,0,0,1)</f>
        <v>#REF!</v>
      </c>
      <c r="S9" s="85"/>
      <c r="T9" s="85"/>
      <c r="U9" s="85"/>
      <c r="V9" s="85"/>
      <c r="W9" s="85"/>
      <c r="X9" s="85"/>
    </row>
    <row r="10" spans="1:25" x14ac:dyDescent="0.25">
      <c r="A10" s="1398"/>
      <c r="B10" s="1393" t="str">
        <f>COA!B99</f>
        <v>5002 Equipment parts sale</v>
      </c>
      <c r="C10" s="1394">
        <f>SUMIF('PL.1 - FY24'!M:M,'IS - F25'!B10,'PL.1 - FY24'!O:O)</f>
        <v>0</v>
      </c>
      <c r="D10" s="1394">
        <f>SUMIF('PL.1 - FY24'!B:B,'IS - F25'!B10,'PL.1 - FY24'!F:F)</f>
        <v>0</v>
      </c>
      <c r="E10" s="1390">
        <f>_xlfn.XLOOKUP(B10,'AJE.1B - F25'!A:A,'AJE.1B - F25'!F:F,0,0,1)</f>
        <v>0</v>
      </c>
      <c r="F10" s="1390"/>
      <c r="G10" s="219">
        <f t="shared" si="0"/>
        <v>0</v>
      </c>
      <c r="H10" s="420"/>
      <c r="I10" s="1394">
        <f>SUMIF('PL.1 - FY24'!M:M,B10,'PL.1 - FY24'!R:R)</f>
        <v>0</v>
      </c>
      <c r="J10" s="1394">
        <f>SUMIF('PL.1 - FY24'!B:B,B10,'PL.1 - FY24'!J:J)</f>
        <v>0</v>
      </c>
      <c r="K10" s="1390">
        <f>_xlfn.XLOOKUP(B10,'AJE.1B - F25'!A:A,'AJE.1B - F25'!M:M,0,0,1)</f>
        <v>0</v>
      </c>
      <c r="L10" s="1390"/>
      <c r="M10" s="219">
        <f t="shared" si="1"/>
        <v>0</v>
      </c>
      <c r="N10" s="178" t="str">
        <f>_xlfn.XLOOKUP($B10,COA!$B:$B,COA!$C:$C,0,0,1)</f>
        <v>Revenues</v>
      </c>
      <c r="O10" s="178" t="str">
        <f>_xlfn.XLOOKUP($B10,COA!$B:$B,COA!$D:$D,0,0,1)</f>
        <v>Surcharge on parts and components sold</v>
      </c>
      <c r="P10" s="178" t="str">
        <f>_xlfn.XLOOKUP($B10,COA!$B:$B,COA!$E:$E,0,0,1)</f>
        <v>Accumulated deficit</v>
      </c>
      <c r="R10" s="85" t="e">
        <f>_xlfn.XLOOKUP(P10,#REF!,#REF!,0,0,1)</f>
        <v>#REF!</v>
      </c>
      <c r="S10" s="85"/>
      <c r="T10" s="85"/>
      <c r="U10" s="85"/>
      <c r="V10" s="85"/>
      <c r="W10" s="85"/>
      <c r="X10" s="85"/>
    </row>
    <row r="11" spans="1:25" x14ac:dyDescent="0.25">
      <c r="A11" s="1398"/>
      <c r="B11" s="1393" t="str">
        <f>COA!B100</f>
        <v>5003 Labour service</v>
      </c>
      <c r="C11" s="1394">
        <f>SUMIF('PL.1 - FY24'!M:M,'IS - F25'!B11,'PL.1 - FY24'!O:O)</f>
        <v>0</v>
      </c>
      <c r="D11" s="1394">
        <f>SUMIF('PL.1 - FY24'!B:B,'IS - F25'!B11,'PL.1 - FY24'!F:F)</f>
        <v>0</v>
      </c>
      <c r="E11" s="1390">
        <f>_xlfn.XLOOKUP(B11,'AJE.1B - F25'!A:A,'AJE.1B - F25'!F:F,0,0,1)</f>
        <v>0</v>
      </c>
      <c r="F11" s="1390"/>
      <c r="G11" s="219">
        <f t="shared" si="0"/>
        <v>0</v>
      </c>
      <c r="H11" s="420"/>
      <c r="I11" s="1394">
        <f>SUMIF('PL.1 - FY24'!M:M,B11,'PL.1 - FY24'!R:R)</f>
        <v>0</v>
      </c>
      <c r="J11" s="1394">
        <f>SUMIF('PL.1 - FY24'!B:B,B11,'PL.1 - FY24'!J:J)</f>
        <v>0</v>
      </c>
      <c r="K11" s="1390">
        <f>_xlfn.XLOOKUP(B11,'AJE.1B - F25'!A:A,'AJE.1B - F25'!M:M,0,0,1)</f>
        <v>0</v>
      </c>
      <c r="L11" s="1390"/>
      <c r="M11" s="219">
        <f t="shared" si="1"/>
        <v>0</v>
      </c>
      <c r="N11" s="178" t="str">
        <f>_xlfn.XLOOKUP($B11,COA!$B:$B,COA!$C:$C,0,0,1)</f>
        <v>Revenues</v>
      </c>
      <c r="O11" s="178" t="str">
        <f>_xlfn.XLOOKUP($B11,COA!$B:$B,COA!$D:$D,0,0,1)</f>
        <v>Mechanical services</v>
      </c>
      <c r="P11" s="178" t="str">
        <f>_xlfn.XLOOKUP($B11,COA!$B:$B,COA!$E:$E,0,0,1)</f>
        <v>Accumulated deficit</v>
      </c>
      <c r="R11" s="85" t="e">
        <f>_xlfn.XLOOKUP(P11,#REF!,#REF!,0,0,1)</f>
        <v>#REF!</v>
      </c>
      <c r="S11" s="85"/>
      <c r="T11" s="85"/>
      <c r="U11" s="85"/>
      <c r="V11" s="85"/>
      <c r="W11" s="85"/>
      <c r="X11" s="85"/>
    </row>
    <row r="12" spans="1:25" x14ac:dyDescent="0.25">
      <c r="A12" s="1398"/>
      <c r="B12" s="1393" t="str">
        <f>COA!B101</f>
        <v>5004 Shop Supplies Sales</v>
      </c>
      <c r="C12" s="1394">
        <f>SUMIF('PL.1 - FY24'!M:M,'IS - F25'!B12,'PL.1 - FY24'!O:O)</f>
        <v>0</v>
      </c>
      <c r="D12" s="1394">
        <f>SUMIF('PL.1 - FY24'!B:B,'IS - F25'!B12,'PL.1 - FY24'!F:F)</f>
        <v>0</v>
      </c>
      <c r="E12" s="1390">
        <f>_xlfn.XLOOKUP(B12,'AJE.1B - F25'!A:A,'AJE.1B - F25'!F:F,0,0,1)</f>
        <v>0</v>
      </c>
      <c r="F12" s="1390"/>
      <c r="G12" s="219">
        <f t="shared" si="0"/>
        <v>0</v>
      </c>
      <c r="H12" s="420"/>
      <c r="I12" s="1394">
        <f>SUMIF('PL.1 - FY24'!M:M,B12,'PL.1 - FY24'!R:R)</f>
        <v>0</v>
      </c>
      <c r="J12" s="1394">
        <f>SUMIF('PL.1 - FY24'!B:B,B12,'PL.1 - FY24'!J:J)</f>
        <v>0</v>
      </c>
      <c r="K12" s="1390">
        <f>_xlfn.XLOOKUP(B12,'AJE.1B - F25'!A:A,'AJE.1B - F25'!M:M,0,0,1)</f>
        <v>0</v>
      </c>
      <c r="L12" s="1390"/>
      <c r="M12" s="219">
        <f t="shared" si="1"/>
        <v>0</v>
      </c>
      <c r="N12" s="178" t="str">
        <f>_xlfn.XLOOKUP($B12,COA!$B:$B,COA!$C:$C,0,0,1)</f>
        <v>Revenues</v>
      </c>
      <c r="O12" s="178" t="str">
        <f>_xlfn.XLOOKUP($B12,COA!$B:$B,COA!$D:$D,0,0,1)</f>
        <v>Surcharge on parts and components sold</v>
      </c>
      <c r="P12" s="178" t="str">
        <f>_xlfn.XLOOKUP($B12,COA!$B:$B,COA!$E:$E,0,0,1)</f>
        <v>Accumulated deficit</v>
      </c>
      <c r="R12" s="85" t="e">
        <f>_xlfn.XLOOKUP(P12,#REF!,#REF!,0,0,1)</f>
        <v>#REF!</v>
      </c>
      <c r="S12" s="85"/>
      <c r="T12" s="85"/>
      <c r="U12" s="85"/>
      <c r="V12" s="85"/>
      <c r="W12" s="85"/>
      <c r="X12" s="85"/>
    </row>
    <row r="13" spans="1:25" x14ac:dyDescent="0.25">
      <c r="A13" s="1398"/>
      <c r="B13" s="1393" t="str">
        <f>COA!B102</f>
        <v>5006 Markup</v>
      </c>
      <c r="C13" s="1394">
        <f>SUMIF('PL.1 - FY24'!M:M,'IS - F25'!B13,'PL.1 - FY24'!O:O)</f>
        <v>0</v>
      </c>
      <c r="D13" s="1394">
        <f>SUMIF('PL.1 - FY24'!B:B,'IS - F25'!B13,'PL.1 - FY24'!F:F)</f>
        <v>0</v>
      </c>
      <c r="E13" s="1390">
        <f>_xlfn.XLOOKUP(B13,'AJE.1B - F25'!A:A,'AJE.1B - F25'!F:F,0,0,1)</f>
        <v>0</v>
      </c>
      <c r="F13" s="1390"/>
      <c r="G13" s="219">
        <f t="shared" si="0"/>
        <v>0</v>
      </c>
      <c r="H13" s="420"/>
      <c r="I13" s="1394">
        <f>SUMIF('PL.1 - FY24'!M:M,B13,'PL.1 - FY24'!R:R)</f>
        <v>0</v>
      </c>
      <c r="J13" s="1394">
        <f>SUMIF('PL.1 - FY24'!B:B,B13,'PL.1 - FY24'!J:J)</f>
        <v>0</v>
      </c>
      <c r="K13" s="1390">
        <f>_xlfn.XLOOKUP(B13,'AJE.1B - F25'!A:A,'AJE.1B - F25'!M:M,0,0,1)</f>
        <v>0</v>
      </c>
      <c r="L13" s="1390"/>
      <c r="M13" s="219">
        <f t="shared" si="1"/>
        <v>0</v>
      </c>
      <c r="N13" s="178" t="str">
        <f>_xlfn.XLOOKUP($B13,COA!$B:$B,COA!$C:$C,0,0,1)</f>
        <v>Revenues</v>
      </c>
      <c r="O13" s="178" t="str">
        <f>_xlfn.XLOOKUP($B13,COA!$B:$B,COA!$D:$D,0,0,1)</f>
        <v>Surcharge on parts and components sold</v>
      </c>
      <c r="P13" s="178" t="str">
        <f>_xlfn.XLOOKUP($B13,COA!$B:$B,COA!$E:$E,0,0,1)</f>
        <v>Accumulated deficit</v>
      </c>
      <c r="R13" s="85" t="e">
        <f>_xlfn.XLOOKUP(P13,#REF!,#REF!,0,0,1)</f>
        <v>#REF!</v>
      </c>
      <c r="S13" s="85"/>
      <c r="T13" s="85"/>
      <c r="U13" s="85"/>
      <c r="V13" s="85"/>
      <c r="W13" s="85"/>
      <c r="X13" s="85"/>
    </row>
    <row r="14" spans="1:25" x14ac:dyDescent="0.25">
      <c r="A14" s="1399"/>
      <c r="B14" s="1395" t="str">
        <f>COA!B104</f>
        <v>5498 Interest income</v>
      </c>
      <c r="C14" s="1396">
        <f>-SUMIF('PL.1 - FY24'!M:M,'IS - F25'!B14,'PL.1 - FY24'!O:O)</f>
        <v>0</v>
      </c>
      <c r="D14" s="1396">
        <f>-SUMIF('PL.1 - FY24'!B:B,'IS - F25'!B14,'PL.1 - FY24'!F:F)</f>
        <v>-83.37</v>
      </c>
      <c r="E14" s="1397">
        <f>_xlfn.XLOOKUP(B14,'AJE.1B - F25'!A:A,'AJE.1B - F25'!F:F,0,0,1)</f>
        <v>0</v>
      </c>
      <c r="F14" s="1397"/>
      <c r="G14" s="55">
        <f t="shared" si="0"/>
        <v>-83</v>
      </c>
      <c r="H14" s="1344"/>
      <c r="I14" s="1396">
        <f>-SUMIF('PL.1 - FY24'!M:M,B14,'PL.1 - FY24'!R:R)</f>
        <v>0</v>
      </c>
      <c r="J14" s="1396">
        <f>-SUMIF('PL.1 - FY24'!B:B,B14,'PL.1 - FY24'!J:J)</f>
        <v>-198.11999999999998</v>
      </c>
      <c r="K14" s="1397">
        <f>_xlfn.XLOOKUP(B14,'AJE.1B - F25'!A:A,'AJE.1B - F25'!M:M,0,0,1)</f>
        <v>0</v>
      </c>
      <c r="L14" s="1397"/>
      <c r="M14" s="55">
        <f t="shared" si="1"/>
        <v>-198</v>
      </c>
      <c r="N14" s="1345" t="str">
        <f>_xlfn.XLOOKUP($B14,COA!$B:$B,COA!$C:$C,0,0,1)</f>
        <v>Interest income</v>
      </c>
      <c r="O14" s="1345" t="str">
        <f>_xlfn.XLOOKUP($B14,COA!$B:$B,COA!$D:$D,0,0,1)</f>
        <v>Interest income</v>
      </c>
      <c r="P14" s="1345" t="str">
        <f>_xlfn.XLOOKUP($B14,COA!$B:$B,COA!$E:$E,0,0,1)</f>
        <v>Accumulated deficit</v>
      </c>
      <c r="R14" s="85" t="e">
        <f>_xlfn.XLOOKUP(P14,#REF!,#REF!,0,0,1)</f>
        <v>#REF!</v>
      </c>
      <c r="S14" s="85"/>
      <c r="T14" s="85"/>
      <c r="U14" s="85"/>
      <c r="V14" s="85"/>
      <c r="W14" s="85"/>
      <c r="X14" s="85"/>
    </row>
    <row r="15" spans="1:25" x14ac:dyDescent="0.25">
      <c r="A15" s="1398"/>
      <c r="B15" s="1393" t="str">
        <f>COA!B105</f>
        <v>5499 Other Income</v>
      </c>
      <c r="C15" s="1394">
        <f>SUMIF('PL.1 - FY24'!M:M,'IS - F25'!B15,'PL.1 - FY24'!O:O)</f>
        <v>0</v>
      </c>
      <c r="D15" s="1394">
        <f>SUMIF('PL.1 - FY24'!B:B,'IS - F25'!B15,'PL.1 - FY24'!F:F)</f>
        <v>0</v>
      </c>
      <c r="E15" s="1390">
        <f>_xlfn.XLOOKUP(B15,'AJE.1B - F25'!A:A,'AJE.1B - F25'!F:F,0,0,1)</f>
        <v>0</v>
      </c>
      <c r="F15" s="1390"/>
      <c r="G15" s="219">
        <f t="shared" si="0"/>
        <v>0</v>
      </c>
      <c r="H15" s="420"/>
      <c r="I15" s="1394">
        <f>SUMIF('PL.1 - FY24'!M:M,B15,'PL.1 - FY24'!R:R)</f>
        <v>0</v>
      </c>
      <c r="J15" s="1394">
        <f>SUMIF('PL.1 - FY24'!B:B,B15,'PL.1 - FY24'!J:J)</f>
        <v>3050</v>
      </c>
      <c r="K15" s="1390">
        <f>_xlfn.XLOOKUP(B15,'AJE.1B - F25'!A:A,'AJE.1B - F25'!M:M,0,0,1)</f>
        <v>0</v>
      </c>
      <c r="L15" s="1390"/>
      <c r="M15" s="219">
        <f t="shared" si="1"/>
        <v>3050</v>
      </c>
      <c r="N15" s="178" t="str">
        <f>_xlfn.XLOOKUP($B15,COA!$B:$B,COA!$C:$C,0,0,1)</f>
        <v xml:space="preserve">Other income </v>
      </c>
      <c r="O15" s="178" t="str">
        <f>_xlfn.XLOOKUP($B15,COA!$B:$B,COA!$D:$D,0,0,1)</f>
        <v xml:space="preserve">Other income </v>
      </c>
      <c r="P15" s="178" t="str">
        <f>_xlfn.XLOOKUP($B15,COA!$B:$B,COA!$E:$E,0,0,1)</f>
        <v>Accumulated deficit</v>
      </c>
      <c r="R15" s="85" t="e">
        <f>_xlfn.XLOOKUP(P15,#REF!,#REF!,0,0,1)</f>
        <v>#REF!</v>
      </c>
      <c r="S15" s="85"/>
      <c r="T15" s="85"/>
      <c r="U15" s="85"/>
      <c r="V15" s="85"/>
      <c r="W15" s="85"/>
      <c r="X15" s="85"/>
    </row>
    <row r="16" spans="1:25" x14ac:dyDescent="0.25">
      <c r="A16" s="1398"/>
      <c r="B16" s="1393" t="str">
        <f>COA!B106</f>
        <v>5500 Cost of Goods Sold</v>
      </c>
      <c r="C16" s="1394">
        <f>SUMIF('PL.1 - FY24'!M:M,'IS - F25'!B16,'PL.1 - FY24'!O:O)</f>
        <v>0</v>
      </c>
      <c r="D16" s="1394">
        <f>SUMIF('PL.1 - FY24'!B:B,'IS - F25'!B16,'PL.1 - FY24'!F:F)</f>
        <v>0</v>
      </c>
      <c r="E16" s="1390">
        <f>_xlfn.XLOOKUP(B16,'AJE.1B - F25'!A:A,'AJE.1B - F25'!F:F,0,0,1)</f>
        <v>0</v>
      </c>
      <c r="F16" s="1390"/>
      <c r="G16" s="219">
        <f t="shared" si="0"/>
        <v>0</v>
      </c>
      <c r="H16" s="420"/>
      <c r="I16" s="1394">
        <f>SUMIF('PL.1 - FY24'!M:M,B16,'PL.1 - FY24'!R:R)</f>
        <v>0</v>
      </c>
      <c r="J16" s="1394">
        <f>SUMIF('PL.1 - FY24'!B:B,B16,'PL.1 - FY24'!J:J)</f>
        <v>0</v>
      </c>
      <c r="K16" s="1390">
        <f>_xlfn.XLOOKUP(B16,'AJE.1B - F25'!A:A,'AJE.1B - F25'!M:M,0,0,1)</f>
        <v>0</v>
      </c>
      <c r="L16" s="1390"/>
      <c r="M16" s="219">
        <f t="shared" si="1"/>
        <v>0</v>
      </c>
      <c r="N16" s="178" t="str">
        <f>_xlfn.XLOOKUP($B16,COA!$B:$B,COA!$C:$C,0,0,1)</f>
        <v>Cost of goods sold</v>
      </c>
      <c r="O16" s="178" t="str">
        <f>_xlfn.XLOOKUP($B16,COA!$B:$B,COA!$D:$D,0,0,1)</f>
        <v>Cost of goods sold</v>
      </c>
      <c r="P16" s="178" t="str">
        <f>_xlfn.XLOOKUP($B16,COA!$B:$B,COA!$E:$E,0,0,1)</f>
        <v>Accumulated deficit</v>
      </c>
      <c r="R16" s="85" t="e">
        <f>_xlfn.XLOOKUP(P16,#REF!,#REF!,0,0,1)</f>
        <v>#REF!</v>
      </c>
      <c r="S16" s="85"/>
      <c r="T16" s="85"/>
      <c r="U16" s="85"/>
      <c r="V16" s="85"/>
      <c r="W16" s="85"/>
      <c r="X16" s="85"/>
    </row>
    <row r="17" spans="1:24" x14ac:dyDescent="0.25">
      <c r="A17" s="1398"/>
      <c r="B17" s="1393" t="str">
        <f>COA!B107</f>
        <v>5510 Cost of Goods Sold:Parts and components  - COS</v>
      </c>
      <c r="C17" s="1394">
        <f>SUMIF('PL.1 - FY24'!M:M,'IS - F25'!B17,'PL.1 - FY24'!O:O)</f>
        <v>0</v>
      </c>
      <c r="D17" s="1394">
        <f>SUMIF('PL.1 - FY24'!B:B,'IS - F25'!B17,'PL.1 - FY24'!F:F)</f>
        <v>19443.09</v>
      </c>
      <c r="E17" s="1390">
        <f>_xlfn.XLOOKUP(B17,'AJE.1B - F25'!A:A,'AJE.1B - F25'!F:F,0,0,1)</f>
        <v>0</v>
      </c>
      <c r="F17" s="1390"/>
      <c r="G17" s="219">
        <f t="shared" si="0"/>
        <v>19443</v>
      </c>
      <c r="H17" s="420"/>
      <c r="I17" s="1394">
        <f>SUMIF('PL.1 - FY24'!M:M,B17,'PL.1 - FY24'!R:R)</f>
        <v>0</v>
      </c>
      <c r="J17" s="1394">
        <f>SUMIF('PL.1 - FY24'!B:B,B17,'PL.1 - FY24'!J:J)</f>
        <v>0</v>
      </c>
      <c r="K17" s="1390">
        <f>_xlfn.XLOOKUP(B17,'AJE.1B - F25'!A:A,'AJE.1B - F25'!M:M,0,0,1)</f>
        <v>0</v>
      </c>
      <c r="L17" s="1390"/>
      <c r="M17" s="219">
        <f t="shared" si="1"/>
        <v>0</v>
      </c>
      <c r="N17" s="178" t="str">
        <f>_xlfn.XLOOKUP($B17,COA!$B:$B,COA!$C:$C,0,0,1)</f>
        <v>Cost of goods sold</v>
      </c>
      <c r="O17" s="178" t="str">
        <f>_xlfn.XLOOKUP($B17,COA!$B:$B,COA!$D:$D,0,0,1)</f>
        <v>Cost of goods sold</v>
      </c>
      <c r="P17" s="178" t="str">
        <f>_xlfn.XLOOKUP($B17,COA!$B:$B,COA!$E:$E,0,0,1)</f>
        <v>Accumulated deficit</v>
      </c>
      <c r="R17" s="85" t="e">
        <f>_xlfn.XLOOKUP(P17,#REF!,#REF!,0,0,1)</f>
        <v>#REF!</v>
      </c>
      <c r="S17" s="85"/>
      <c r="T17" s="85"/>
      <c r="U17" s="85"/>
      <c r="V17" s="85"/>
      <c r="W17" s="85"/>
      <c r="X17" s="85"/>
    </row>
    <row r="18" spans="1:24" x14ac:dyDescent="0.25">
      <c r="A18" s="1398"/>
      <c r="B18" s="1393" t="str">
        <f>COA!B108</f>
        <v>5515 Cost of Goods Sold:Engineering  - COS</v>
      </c>
      <c r="C18" s="1394">
        <f>SUMIF('PL.1 - FY24'!M:M,'IS - F25'!B18,'PL.1 - FY24'!O:O)</f>
        <v>0</v>
      </c>
      <c r="D18" s="1394">
        <f>SUMIF('PL.1 - FY24'!B:B,'IS - F25'!B18,'PL.1 - FY24'!F:F)</f>
        <v>9009.4699999999993</v>
      </c>
      <c r="E18" s="1390">
        <f>_xlfn.XLOOKUP(B18,'AJE.1B - F25'!A:A,'AJE.1B - F25'!F:F,0,0,1)</f>
        <v>0</v>
      </c>
      <c r="F18" s="1390"/>
      <c r="G18" s="219">
        <f t="shared" si="0"/>
        <v>9009</v>
      </c>
      <c r="H18" s="420"/>
      <c r="I18" s="1394">
        <f>SUMIF('PL.1 - FY24'!M:M,B18,'PL.1 - FY24'!R:R)</f>
        <v>0</v>
      </c>
      <c r="J18" s="1394">
        <f>SUMIF('PL.1 - FY24'!B:B,B18,'PL.1 - FY24'!J:J)</f>
        <v>0</v>
      </c>
      <c r="K18" s="1390">
        <f>_xlfn.XLOOKUP(B18,'AJE.1B - F25'!A:A,'AJE.1B - F25'!M:M,0,0,1)</f>
        <v>0</v>
      </c>
      <c r="L18" s="1390"/>
      <c r="M18" s="219">
        <f t="shared" si="1"/>
        <v>0</v>
      </c>
      <c r="N18" s="178" t="str">
        <f>_xlfn.XLOOKUP($B18,COA!$B:$B,COA!$C:$C,0,0,1)</f>
        <v>Cost of goods sold</v>
      </c>
      <c r="O18" s="178" t="str">
        <f>_xlfn.XLOOKUP($B18,COA!$B:$B,COA!$D:$D,0,0,1)</f>
        <v>Cost of goods sold</v>
      </c>
      <c r="P18" s="178" t="str">
        <f>_xlfn.XLOOKUP($B18,COA!$B:$B,COA!$E:$E,0,0,1)</f>
        <v>Accumulated deficit</v>
      </c>
      <c r="R18" s="85" t="e">
        <f>_xlfn.XLOOKUP(P18,#REF!,#REF!,0,0,1)</f>
        <v>#REF!</v>
      </c>
      <c r="S18" s="85"/>
      <c r="T18" s="85"/>
      <c r="U18" s="85"/>
      <c r="V18" s="85"/>
      <c r="W18" s="85"/>
      <c r="X18" s="85"/>
    </row>
    <row r="19" spans="1:24" x14ac:dyDescent="0.25">
      <c r="A19" s="1398"/>
      <c r="B19" s="1393" t="str">
        <f>COA!B109</f>
        <v>5520 Cost of Goods Sold:Subcontracting  - COS</v>
      </c>
      <c r="C19" s="1394">
        <f>SUMIF('PL.1 - FY24'!M:M,'IS - F25'!B19,'PL.1 - FY24'!O:O)</f>
        <v>0</v>
      </c>
      <c r="D19" s="1394">
        <f>SUMIF('PL.1 - FY24'!B:B,'IS - F25'!B19,'PL.1 - FY24'!F:F)</f>
        <v>3720.18</v>
      </c>
      <c r="E19" s="1390">
        <f>_xlfn.XLOOKUP(B19,'AJE.1B - F25'!A:A,'AJE.1B - F25'!F:F,0,0,1)</f>
        <v>0</v>
      </c>
      <c r="F19" s="1390"/>
      <c r="G19" s="219">
        <f t="shared" si="0"/>
        <v>3720</v>
      </c>
      <c r="H19" s="420"/>
      <c r="I19" s="1394">
        <f>SUMIF('PL.1 - FY24'!M:M,B19,'PL.1 - FY24'!R:R)</f>
        <v>0</v>
      </c>
      <c r="J19" s="1394">
        <f>SUMIF('PL.1 - FY24'!B:B,B19,'PL.1 - FY24'!J:J)</f>
        <v>0</v>
      </c>
      <c r="K19" s="1390">
        <f>_xlfn.XLOOKUP(B19,'AJE.1B - F25'!A:A,'AJE.1B - F25'!M:M,0,0,1)</f>
        <v>0</v>
      </c>
      <c r="L19" s="1390"/>
      <c r="M19" s="219">
        <f t="shared" si="1"/>
        <v>0</v>
      </c>
      <c r="N19" s="178" t="str">
        <f>_xlfn.XLOOKUP($B19,COA!$B:$B,COA!$C:$C,0,0,1)</f>
        <v>Cost of goods sold</v>
      </c>
      <c r="O19" s="178" t="str">
        <f>_xlfn.XLOOKUP($B19,COA!$B:$B,COA!$D:$D,0,0,1)</f>
        <v>Cost of goods sold</v>
      </c>
      <c r="P19" s="178" t="str">
        <f>_xlfn.XLOOKUP($B19,COA!$B:$B,COA!$E:$E,0,0,1)</f>
        <v>Accumulated deficit</v>
      </c>
      <c r="R19" s="85" t="e">
        <f>_xlfn.XLOOKUP(P19,#REF!,#REF!,0,0,1)</f>
        <v>#REF!</v>
      </c>
      <c r="S19" s="85"/>
      <c r="T19" s="85"/>
      <c r="U19" s="85"/>
      <c r="V19" s="85"/>
      <c r="W19" s="85"/>
      <c r="X19" s="85"/>
    </row>
    <row r="20" spans="1:24" x14ac:dyDescent="0.25">
      <c r="A20" s="1398"/>
      <c r="B20" s="1393" t="str">
        <f>COA!B110</f>
        <v>5525 Cost of Goods Sold:Shipping  - COS</v>
      </c>
      <c r="C20" s="1394">
        <f>SUMIF('PL.1 - FY24'!M:M,'IS - F25'!B20,'PL.1 - FY24'!O:O)</f>
        <v>0</v>
      </c>
      <c r="D20" s="1394">
        <f>SUMIF('PL.1 - FY24'!B:B,'IS - F25'!B20,'PL.1 - FY24'!F:F)</f>
        <v>0</v>
      </c>
      <c r="E20" s="1390">
        <f>_xlfn.XLOOKUP(B20,'AJE.1B - F25'!A:A,'AJE.1B - F25'!F:F,0,0,1)</f>
        <v>0</v>
      </c>
      <c r="F20" s="1390"/>
      <c r="G20" s="219">
        <f t="shared" si="0"/>
        <v>0</v>
      </c>
      <c r="H20" s="420"/>
      <c r="I20" s="1394">
        <f>SUMIF('PL.1 - FY24'!M:M,B20,'PL.1 - FY24'!R:R)</f>
        <v>0</v>
      </c>
      <c r="J20" s="1394">
        <f>SUMIF('PL.1 - FY24'!B:B,B20,'PL.1 - FY24'!J:J)</f>
        <v>0</v>
      </c>
      <c r="K20" s="1390">
        <f>_xlfn.XLOOKUP(B20,'AJE.1B - F25'!A:A,'AJE.1B - F25'!M:M,0,0,1)</f>
        <v>0</v>
      </c>
      <c r="L20" s="1390"/>
      <c r="M20" s="219">
        <f t="shared" si="1"/>
        <v>0</v>
      </c>
      <c r="N20" s="178" t="str">
        <f>_xlfn.XLOOKUP($B20,COA!$B:$B,COA!$C:$C,0,0,1)</f>
        <v>Cost of goods sold</v>
      </c>
      <c r="O20" s="178" t="str">
        <f>_xlfn.XLOOKUP($B20,COA!$B:$B,COA!$D:$D,0,0,1)</f>
        <v>Cost of goods sold</v>
      </c>
      <c r="P20" s="178" t="str">
        <f>_xlfn.XLOOKUP($B20,COA!$B:$B,COA!$E:$E,0,0,1)</f>
        <v>Accumulated deficit</v>
      </c>
      <c r="R20" s="85" t="e">
        <f>_xlfn.XLOOKUP(P20,#REF!,#REF!,0,0,1)</f>
        <v>#REF!</v>
      </c>
      <c r="S20" s="85"/>
      <c r="T20" s="85"/>
      <c r="U20" s="85"/>
      <c r="V20" s="85"/>
      <c r="W20" s="85"/>
      <c r="X20" s="85"/>
    </row>
    <row r="21" spans="1:24" x14ac:dyDescent="0.25">
      <c r="A21" s="1398"/>
      <c r="B21" s="1393" t="str">
        <f>COA!B111</f>
        <v>5530 Cost of Goods Sold:Disposal/Landfill  - COS</v>
      </c>
      <c r="C21" s="1394">
        <f>SUMIF('PL.1 - FY24'!M:M,'IS - F25'!B21,'PL.1 - FY24'!O:O)</f>
        <v>0</v>
      </c>
      <c r="D21" s="1394">
        <f>SUMIF('PL.1 - FY24'!B:B,'IS - F25'!B21,'PL.1 - FY24'!F:F)</f>
        <v>0</v>
      </c>
      <c r="E21" s="1390">
        <f>_xlfn.XLOOKUP(B21,'AJE.1B - F25'!A:A,'AJE.1B - F25'!F:F,0,0,1)</f>
        <v>0</v>
      </c>
      <c r="F21" s="1390"/>
      <c r="G21" s="219">
        <f t="shared" si="0"/>
        <v>0</v>
      </c>
      <c r="H21" s="420"/>
      <c r="I21" s="1394">
        <f>SUMIF('PL.1 - FY24'!M:M,B21,'PL.1 - FY24'!R:R)</f>
        <v>0</v>
      </c>
      <c r="J21" s="1394">
        <f>SUMIF('PL.1 - FY24'!B:B,B21,'PL.1 - FY24'!J:J)</f>
        <v>0</v>
      </c>
      <c r="K21" s="1390">
        <f>_xlfn.XLOOKUP(B21,'AJE.1B - F25'!A:A,'AJE.1B - F25'!M:M,0,0,1)</f>
        <v>0</v>
      </c>
      <c r="L21" s="1390"/>
      <c r="M21" s="219">
        <f t="shared" si="1"/>
        <v>0</v>
      </c>
      <c r="N21" s="178" t="str">
        <f>_xlfn.XLOOKUP($B21,COA!$B:$B,COA!$C:$C,0,0,1)</f>
        <v>Cost of goods sold</v>
      </c>
      <c r="O21" s="178" t="str">
        <f>_xlfn.XLOOKUP($B21,COA!$B:$B,COA!$D:$D,0,0,1)</f>
        <v>Cost of goods sold</v>
      </c>
      <c r="P21" s="178" t="str">
        <f>_xlfn.XLOOKUP($B21,COA!$B:$B,COA!$E:$E,0,0,1)</f>
        <v>Accumulated deficit</v>
      </c>
      <c r="R21" s="85" t="e">
        <f>_xlfn.XLOOKUP(P21,#REF!,#REF!,0,0,1)</f>
        <v>#REF!</v>
      </c>
      <c r="S21" s="85"/>
      <c r="T21" s="85"/>
      <c r="U21" s="85"/>
      <c r="V21" s="85"/>
      <c r="W21" s="85"/>
      <c r="X21" s="85"/>
    </row>
    <row r="22" spans="1:24" x14ac:dyDescent="0.25">
      <c r="A22" s="1398"/>
      <c r="B22" s="1393" t="str">
        <f>COA!B112</f>
        <v>5535 Cost of Goods Sold:Inventory Write Off  - COS</v>
      </c>
      <c r="C22" s="1394">
        <f>SUMIF('PL.1 - FY24'!M:M,'IS - F25'!B22,'PL.1 - FY24'!O:O)</f>
        <v>0</v>
      </c>
      <c r="D22" s="1394">
        <f>SUMIF('PL.1 - FY24'!B:B,'IS - F25'!B22,'PL.1 - FY24'!F:F)</f>
        <v>0</v>
      </c>
      <c r="E22" s="1390">
        <f>_xlfn.XLOOKUP(B22,'AJE.1B - F25'!A:A,'AJE.1B - F25'!F:F,0,0,1)</f>
        <v>0</v>
      </c>
      <c r="F22" s="1390"/>
      <c r="G22" s="219">
        <f t="shared" si="0"/>
        <v>0</v>
      </c>
      <c r="H22" s="420"/>
      <c r="I22" s="1394">
        <f>SUMIF('PL.1 - FY24'!M:M,B22,'PL.1 - FY24'!R:R)</f>
        <v>0</v>
      </c>
      <c r="J22" s="1394">
        <f>SUMIF('PL.1 - FY24'!B:B,B22,'PL.1 - FY24'!J:J)</f>
        <v>0</v>
      </c>
      <c r="K22" s="1390">
        <f>_xlfn.XLOOKUP(B22,'AJE.1B - F25'!A:A,'AJE.1B - F25'!M:M,0,0,1)</f>
        <v>0</v>
      </c>
      <c r="L22" s="1390"/>
      <c r="M22" s="219">
        <f t="shared" si="1"/>
        <v>0</v>
      </c>
      <c r="N22" s="178" t="str">
        <f>_xlfn.XLOOKUP($B22,COA!$B:$B,COA!$C:$C,0,0,1)</f>
        <v>Cost of goods sold</v>
      </c>
      <c r="O22" s="178" t="str">
        <f>_xlfn.XLOOKUP($B22,COA!$B:$B,COA!$D:$D,0,0,1)</f>
        <v>Cost of goods sold</v>
      </c>
      <c r="P22" s="178" t="str">
        <f>_xlfn.XLOOKUP($B22,COA!$B:$B,COA!$E:$E,0,0,1)</f>
        <v>Accumulated deficit</v>
      </c>
      <c r="R22" s="85" t="e">
        <f>_xlfn.XLOOKUP(P22,#REF!,#REF!,0,0,1)</f>
        <v>#REF!</v>
      </c>
      <c r="S22" s="85"/>
      <c r="T22" s="85"/>
      <c r="U22" s="85"/>
      <c r="V22" s="85"/>
      <c r="W22" s="85"/>
      <c r="X22" s="85"/>
    </row>
    <row r="23" spans="1:24" x14ac:dyDescent="0.25">
      <c r="A23" s="1398"/>
      <c r="B23" s="1393" t="str">
        <f>COA!B113</f>
        <v>5540 Cost of Goods Sold:Equipment Fuel  - COS</v>
      </c>
      <c r="C23" s="1394">
        <f>SUMIF('PL.1 - FY24'!M:M,'IS - F25'!B23,'PL.1 - FY24'!O:O)</f>
        <v>0</v>
      </c>
      <c r="D23" s="1394">
        <f>SUMIF('PL.1 - FY24'!B:B,'IS - F25'!B23,'PL.1 - FY24'!F:F)</f>
        <v>0</v>
      </c>
      <c r="E23" s="1390">
        <f>_xlfn.XLOOKUP(B23,'AJE.1B - F25'!A:A,'AJE.1B - F25'!F:F,0,0,1)</f>
        <v>0</v>
      </c>
      <c r="F23" s="1390"/>
      <c r="G23" s="219">
        <f t="shared" si="0"/>
        <v>0</v>
      </c>
      <c r="H23" s="420"/>
      <c r="I23" s="1394">
        <f>SUMIF('PL.1 - FY24'!M:M,B23,'PL.1 - FY24'!R:R)</f>
        <v>0</v>
      </c>
      <c r="J23" s="1394">
        <f>SUMIF('PL.1 - FY24'!B:B,B23,'PL.1 - FY24'!J:J)</f>
        <v>0</v>
      </c>
      <c r="K23" s="1390">
        <f>_xlfn.XLOOKUP(B23,'AJE.1B - F25'!A:A,'AJE.1B - F25'!M:M,0,0,1)</f>
        <v>0</v>
      </c>
      <c r="L23" s="1390"/>
      <c r="M23" s="219">
        <f t="shared" si="1"/>
        <v>0</v>
      </c>
      <c r="N23" s="178" t="str">
        <f>_xlfn.XLOOKUP($B23,COA!$B:$B,COA!$C:$C,0,0,1)</f>
        <v>Cost of goods sold</v>
      </c>
      <c r="O23" s="178" t="str">
        <f>_xlfn.XLOOKUP($B23,COA!$B:$B,COA!$D:$D,0,0,1)</f>
        <v>Cost of goods sold</v>
      </c>
      <c r="P23" s="178" t="str">
        <f>_xlfn.XLOOKUP($B23,COA!$B:$B,COA!$E:$E,0,0,1)</f>
        <v>Accumulated deficit</v>
      </c>
      <c r="R23" s="85" t="e">
        <f>_xlfn.XLOOKUP(P23,#REF!,#REF!,0,0,1)</f>
        <v>#REF!</v>
      </c>
      <c r="S23" s="85"/>
      <c r="T23" s="85"/>
      <c r="U23" s="85"/>
      <c r="V23" s="85"/>
      <c r="W23" s="85"/>
      <c r="X23" s="85"/>
    </row>
    <row r="24" spans="1:24" x14ac:dyDescent="0.25">
      <c r="A24" s="1398"/>
      <c r="B24" s="1393" t="str">
        <f>COA!B114</f>
        <v>5545 Cost of Goods Sold:Equipment Leasing  - COS</v>
      </c>
      <c r="C24" s="1394">
        <f>SUMIF('PL.1 - FY24'!M:M,'IS - F25'!B24,'PL.1 - FY24'!O:O)</f>
        <v>0</v>
      </c>
      <c r="D24" s="1394">
        <f>SUMIF('PL.1 - FY24'!B:B,'IS - F25'!B24,'PL.1 - FY24'!F:F)</f>
        <v>0</v>
      </c>
      <c r="E24" s="1390">
        <f>_xlfn.XLOOKUP(B24,'AJE.1B - F25'!A:A,'AJE.1B - F25'!F:F,0,0,1)</f>
        <v>0</v>
      </c>
      <c r="F24" s="1390"/>
      <c r="G24" s="219">
        <f t="shared" si="0"/>
        <v>0</v>
      </c>
      <c r="H24" s="420"/>
      <c r="I24" s="1394">
        <f>SUMIF('PL.1 - FY24'!M:M,B24,'PL.1 - FY24'!R:R)</f>
        <v>0</v>
      </c>
      <c r="J24" s="1394">
        <f>SUMIF('PL.1 - FY24'!B:B,B24,'PL.1 - FY24'!J:J)</f>
        <v>0</v>
      </c>
      <c r="K24" s="1390">
        <f>_xlfn.XLOOKUP(B24,'AJE.1B - F25'!A:A,'AJE.1B - F25'!M:M,0,0,1)</f>
        <v>0</v>
      </c>
      <c r="L24" s="1390"/>
      <c r="M24" s="219">
        <f t="shared" si="1"/>
        <v>0</v>
      </c>
      <c r="N24" s="178" t="str">
        <f>_xlfn.XLOOKUP($B24,COA!$B:$B,COA!$C:$C,0,0,1)</f>
        <v>Cost of goods sold</v>
      </c>
      <c r="O24" s="178" t="str">
        <f>_xlfn.XLOOKUP($B24,COA!$B:$B,COA!$D:$D,0,0,1)</f>
        <v>Cost of goods sold</v>
      </c>
      <c r="P24" s="178" t="str">
        <f>_xlfn.XLOOKUP($B24,COA!$B:$B,COA!$E:$E,0,0,1)</f>
        <v>Accumulated deficit</v>
      </c>
      <c r="R24" s="85" t="e">
        <f>_xlfn.XLOOKUP(P24,#REF!,#REF!,0,0,1)</f>
        <v>#REF!</v>
      </c>
      <c r="S24" s="85"/>
      <c r="T24" s="85"/>
      <c r="U24" s="85"/>
      <c r="V24" s="85"/>
      <c r="W24" s="85"/>
      <c r="X24" s="85"/>
    </row>
    <row r="25" spans="1:24" x14ac:dyDescent="0.25">
      <c r="A25" s="1398"/>
      <c r="B25" s="1393" t="str">
        <f>COA!B115</f>
        <v>5511 Supplies and materials - COS</v>
      </c>
      <c r="C25" s="1394">
        <f>SUMIF('PL.1 - FY24'!M:M,'IS - F25'!B25,'PL.1 - FY24'!O:O)</f>
        <v>0</v>
      </c>
      <c r="D25" s="1394">
        <f>SUMIF('PL.1 - FY24'!B:B,'IS - F25'!B25,'PL.1 - FY24'!F:F)</f>
        <v>0</v>
      </c>
      <c r="E25" s="1390">
        <f>_xlfn.XLOOKUP(B25,'AJE.1B - F25'!A:A,'AJE.1B - F25'!F:F,0,0,1)</f>
        <v>0</v>
      </c>
      <c r="F25" s="1390"/>
      <c r="G25" s="219">
        <f t="shared" si="0"/>
        <v>0</v>
      </c>
      <c r="H25" s="420"/>
      <c r="I25" s="1394">
        <f>SUMIF('PL.1 - FY24'!M:M,B25,'PL.1 - FY24'!R:R)</f>
        <v>0</v>
      </c>
      <c r="J25" s="1394">
        <f>SUMIF('PL.1 - FY24'!B:B,B25,'PL.1 - FY24'!J:J)</f>
        <v>0</v>
      </c>
      <c r="K25" s="1390">
        <f>_xlfn.XLOOKUP(B25,'AJE.1B - F25'!A:A,'AJE.1B - F25'!M:M,0,0,1)</f>
        <v>0</v>
      </c>
      <c r="L25" s="1390"/>
      <c r="M25" s="219">
        <f t="shared" si="1"/>
        <v>0</v>
      </c>
      <c r="N25" s="178" t="str">
        <f>_xlfn.XLOOKUP($B25,COA!$B:$B,COA!$C:$C,0,0,1)</f>
        <v>Cost of goods sold</v>
      </c>
      <c r="O25" s="178" t="str">
        <f>_xlfn.XLOOKUP($B25,COA!$B:$B,COA!$D:$D,0,0,1)</f>
        <v>Cost of goods sold</v>
      </c>
      <c r="P25" s="178" t="str">
        <f>_xlfn.XLOOKUP($B25,COA!$B:$B,COA!$E:$E,0,0,1)</f>
        <v>Accumulated deficit</v>
      </c>
      <c r="R25" s="85" t="e">
        <f>_xlfn.XLOOKUP(P25,#REF!,#REF!,0,0,1)</f>
        <v>#REF!</v>
      </c>
      <c r="S25" s="85"/>
      <c r="T25" s="85"/>
      <c r="U25" s="85"/>
      <c r="V25" s="85"/>
      <c r="W25" s="85"/>
      <c r="X25" s="85"/>
    </row>
    <row r="26" spans="1:24" x14ac:dyDescent="0.25">
      <c r="A26" s="1398"/>
      <c r="B26" s="1393" t="str">
        <f>COA!B116</f>
        <v>5998 Uncategorized Income</v>
      </c>
      <c r="C26" s="1394">
        <f>SUMIF('PL.1 - FY24'!M:M,'IS - F25'!B26,'PL.1 - FY24'!O:O)</f>
        <v>0</v>
      </c>
      <c r="D26" s="1394">
        <f>SUMIF('PL.1 - FY24'!B:B,'IS - F25'!B26,'PL.1 - FY24'!F:F)</f>
        <v>0</v>
      </c>
      <c r="E26" s="1390">
        <f>_xlfn.XLOOKUP(B26,'AJE.1B - F25'!A:A,'AJE.1B - F25'!F:F,0,0,1)</f>
        <v>0</v>
      </c>
      <c r="F26" s="1390"/>
      <c r="G26" s="219">
        <f t="shared" si="0"/>
        <v>0</v>
      </c>
      <c r="H26" s="420"/>
      <c r="I26" s="1394">
        <f>SUMIF('PL.1 - FY24'!M:M,B26,'PL.1 - FY24'!R:R)</f>
        <v>0</v>
      </c>
      <c r="J26" s="1394">
        <f>SUMIF('PL.1 - FY24'!B:B,B26,'PL.1 - FY24'!J:J)</f>
        <v>0</v>
      </c>
      <c r="K26" s="1390">
        <f>_xlfn.XLOOKUP(B26,'AJE.1B - F25'!A:A,'AJE.1B - F25'!M:M,0,0,1)</f>
        <v>0</v>
      </c>
      <c r="L26" s="1390"/>
      <c r="M26" s="219">
        <f t="shared" si="1"/>
        <v>0</v>
      </c>
      <c r="N26" s="178" t="str">
        <f>_xlfn.XLOOKUP($B26,COA!$B:$B,COA!$C:$C,0,0,1)</f>
        <v xml:space="preserve">Other income </v>
      </c>
      <c r="O26" s="178" t="str">
        <f>_xlfn.XLOOKUP($B26,COA!$B:$B,COA!$D:$D,0,0,1)</f>
        <v xml:space="preserve">Other income </v>
      </c>
      <c r="P26" s="178" t="str">
        <f>_xlfn.XLOOKUP($B26,COA!$B:$B,COA!$E:$E,0,0,1)</f>
        <v>Accumulated deficit</v>
      </c>
      <c r="R26" s="85" t="e">
        <f>_xlfn.XLOOKUP(P26,#REF!,#REF!,0,0,1)</f>
        <v>#REF!</v>
      </c>
      <c r="S26" s="85"/>
      <c r="T26" s="85"/>
      <c r="U26" s="85"/>
      <c r="V26" s="85"/>
      <c r="W26" s="85"/>
      <c r="X26" s="85"/>
    </row>
    <row r="27" spans="1:24" x14ac:dyDescent="0.25">
      <c r="A27" s="1398"/>
      <c r="B27" s="1393" t="str">
        <f>COA!B117</f>
        <v>5999 Uncategorized Income</v>
      </c>
      <c r="C27" s="1394">
        <f>SUMIF('PL.1 - FY24'!M:M,'IS - F25'!B27,'PL.1 - FY24'!O:O)</f>
        <v>0</v>
      </c>
      <c r="D27" s="1394">
        <f>SUMIF('PL.1 - FY24'!B:B,'IS - F25'!B27,'PL.1 - FY24'!F:F)</f>
        <v>0</v>
      </c>
      <c r="E27" s="1390">
        <f>_xlfn.XLOOKUP(B27,'AJE.1B - F25'!A:A,'AJE.1B - F25'!F:F,0,0,1)</f>
        <v>0</v>
      </c>
      <c r="F27" s="1390"/>
      <c r="G27" s="219">
        <f t="shared" si="0"/>
        <v>0</v>
      </c>
      <c r="H27" s="420"/>
      <c r="I27" s="1394">
        <f>SUMIF('PL.1 - FY24'!M:M,B27,'PL.1 - FY24'!R:R)</f>
        <v>0</v>
      </c>
      <c r="J27" s="1394">
        <f>SUMIF('PL.1 - FY24'!B:B,B27,'PL.1 - FY24'!J:J)</f>
        <v>0</v>
      </c>
      <c r="K27" s="1390">
        <f>_xlfn.XLOOKUP(B27,'AJE.1B - F25'!A:A,'AJE.1B - F25'!M:M,0,0,1)</f>
        <v>0</v>
      </c>
      <c r="L27" s="1390"/>
      <c r="M27" s="219">
        <f t="shared" si="1"/>
        <v>0</v>
      </c>
      <c r="N27" s="178" t="str">
        <f>_xlfn.XLOOKUP($B27,COA!$B:$B,COA!$C:$C,0,0,1)</f>
        <v>Revenues</v>
      </c>
      <c r="O27" s="178" t="str">
        <f>_xlfn.XLOOKUP($B27,COA!$B:$B,COA!$D:$D,0,0,1)</f>
        <v>Revenues</v>
      </c>
      <c r="P27" s="178" t="str">
        <f>_xlfn.XLOOKUP($B27,COA!$B:$B,COA!$E:$E,0,0,1)</f>
        <v>Accumulated deficit</v>
      </c>
      <c r="R27" s="85" t="e">
        <f>_xlfn.XLOOKUP(P27,#REF!,#REF!,0,0,1)</f>
        <v>#REF!</v>
      </c>
      <c r="S27" s="85"/>
      <c r="T27" s="85"/>
      <c r="U27" s="85"/>
      <c r="V27" s="85"/>
      <c r="W27" s="85"/>
      <c r="X27" s="85"/>
    </row>
    <row r="28" spans="1:24" x14ac:dyDescent="0.25">
      <c r="A28" s="1398"/>
      <c r="B28" s="1393" t="str">
        <f>COA!B118</f>
        <v>5999 Unapplied Cash Payment Income</v>
      </c>
      <c r="C28" s="1394">
        <f>SUMIF('PL.1 - FY24'!M:M,'IS - F25'!B28,'PL.1 - FY24'!O:O)</f>
        <v>0</v>
      </c>
      <c r="D28" s="1394">
        <f>SUMIF('PL.1 - FY24'!B:B,'IS - F25'!B28,'PL.1 - FY24'!F:F)</f>
        <v>0</v>
      </c>
      <c r="E28" s="1390">
        <f>_xlfn.XLOOKUP(B28,'AJE.1B - F25'!A:A,'AJE.1B - F25'!F:F,0,0,1)</f>
        <v>0</v>
      </c>
      <c r="F28" s="1390"/>
      <c r="G28" s="219">
        <f t="shared" si="0"/>
        <v>0</v>
      </c>
      <c r="H28" s="506"/>
      <c r="I28" s="1394">
        <f>SUMIF('PL.1 - FY24'!M:M,B28,'PL.1 - FY24'!R:R)</f>
        <v>0</v>
      </c>
      <c r="J28" s="1394">
        <f>SUMIF('PL.1 - FY24'!B:B,B28,'PL.1 - FY24'!J:J)</f>
        <v>0</v>
      </c>
      <c r="K28" s="1390">
        <f>_xlfn.XLOOKUP(B28,'AJE.1B - F25'!A:A,'AJE.1B - F25'!M:M,0,0,1)</f>
        <v>0</v>
      </c>
      <c r="L28" s="1390"/>
      <c r="M28" s="219">
        <f t="shared" si="1"/>
        <v>0</v>
      </c>
      <c r="N28" s="178" t="str">
        <f>_xlfn.XLOOKUP($B28,COA!$B:$B,COA!$C:$C,0,0,1)</f>
        <v xml:space="preserve">Other income </v>
      </c>
      <c r="O28" s="178" t="str">
        <f>_xlfn.XLOOKUP($B28,COA!$B:$B,COA!$D:$D,0,0,1)</f>
        <v xml:space="preserve">Other income </v>
      </c>
      <c r="P28" s="178" t="str">
        <f>_xlfn.XLOOKUP($B28,COA!$B:$B,COA!$E:$E,0,0,1)</f>
        <v>Accumulated deficit</v>
      </c>
      <c r="R28" s="85" t="e">
        <f>_xlfn.XLOOKUP(P28,#REF!,#REF!,0,0,1)</f>
        <v>#REF!</v>
      </c>
      <c r="S28" s="85"/>
      <c r="T28" s="85"/>
      <c r="U28" s="85"/>
      <c r="V28" s="85"/>
      <c r="W28" s="85"/>
      <c r="X28" s="85"/>
    </row>
    <row r="29" spans="1:24" x14ac:dyDescent="0.25">
      <c r="A29" s="1398"/>
      <c r="B29" s="1393" t="str">
        <f>COA!B119</f>
        <v>6000 Payroll Expenses</v>
      </c>
      <c r="C29" s="1394">
        <f>SUMIF('PL.1 - FY24'!M:M,'IS - F25'!B29,'PL.1 - FY24'!O:O)</f>
        <v>0</v>
      </c>
      <c r="D29" s="1394">
        <f>SUMIF('PL.1 - FY24'!B:B,'IS - F25'!B29,'PL.1 - FY24'!F:F)</f>
        <v>0</v>
      </c>
      <c r="E29" s="1390">
        <f>_xlfn.XLOOKUP(B29,'AJE.1B - F25'!A:A,'AJE.1B - F25'!F:F,0,0,1)</f>
        <v>0</v>
      </c>
      <c r="F29" s="1390"/>
      <c r="G29" s="219">
        <f t="shared" si="0"/>
        <v>0</v>
      </c>
      <c r="H29" s="506"/>
      <c r="I29" s="1394">
        <f>SUMIF('PL.1 - FY24'!M:M,B29,'PL.1 - FY24'!R:R)</f>
        <v>0</v>
      </c>
      <c r="J29" s="1394">
        <f>SUMIF('PL.1 - FY24'!B:B,B29,'PL.1 - FY24'!J:J)</f>
        <v>0</v>
      </c>
      <c r="K29" s="1390">
        <f>_xlfn.XLOOKUP(B29,'AJE.1B - F25'!A:A,'AJE.1B - F25'!M:M,0,0,1)</f>
        <v>0</v>
      </c>
      <c r="L29" s="1390"/>
      <c r="M29" s="219">
        <f t="shared" si="1"/>
        <v>0</v>
      </c>
      <c r="N29" s="178" t="str">
        <f>_xlfn.XLOOKUP($B29,COA!$B:$B,COA!$C:$C,0,0,1)</f>
        <v>General and administration</v>
      </c>
      <c r="O29" s="178" t="str">
        <f>_xlfn.XLOOKUP($B29,COA!$B:$B,COA!$D:$D,0,0,1)</f>
        <v xml:space="preserve">Salaries, wages, and benefits </v>
      </c>
      <c r="P29" s="178" t="str">
        <f>_xlfn.XLOOKUP($B29,COA!$B:$B,COA!$E:$E,0,0,1)</f>
        <v>Accumulated deficit</v>
      </c>
      <c r="R29" s="85" t="e">
        <f>_xlfn.XLOOKUP(P29,#REF!,#REF!,0,0,1)</f>
        <v>#REF!</v>
      </c>
      <c r="S29" s="85"/>
      <c r="T29" s="85"/>
      <c r="U29" s="85"/>
      <c r="V29" s="85"/>
      <c r="W29" s="85"/>
      <c r="X29" s="85"/>
    </row>
    <row r="30" spans="1:24" x14ac:dyDescent="0.25">
      <c r="A30" s="1398"/>
      <c r="B30" s="1393" t="str">
        <f>COA!B120</f>
        <v>6001 Payroll Expenses:Management Salaries</v>
      </c>
      <c r="C30" s="1394">
        <f>SUMIF('PL.1 - FY24'!M:M,'IS - F25'!B30,'PL.1 - FY24'!O:O)</f>
        <v>0</v>
      </c>
      <c r="D30" s="1394">
        <f>SUMIF('PL.1 - FY24'!B:B,'IS - F25'!B30,'PL.1 - FY24'!F:F)</f>
        <v>0</v>
      </c>
      <c r="E30" s="1390">
        <f>_xlfn.XLOOKUP(B30,'AJE.1B - F25'!A:A,'AJE.1B - F25'!F:F,0,0,1)</f>
        <v>0</v>
      </c>
      <c r="F30" s="1390"/>
      <c r="G30" s="219">
        <f t="shared" si="0"/>
        <v>0</v>
      </c>
      <c r="H30" s="506"/>
      <c r="I30" s="1394">
        <f>SUMIF('PL.1 - FY24'!M:M,B30,'PL.1 - FY24'!R:R)</f>
        <v>0</v>
      </c>
      <c r="J30" s="1394">
        <f>SUMIF('PL.1 - FY24'!B:B,B30,'PL.1 - FY24'!J:J)</f>
        <v>0</v>
      </c>
      <c r="K30" s="1390">
        <f>_xlfn.XLOOKUP(B30,'AJE.1B - F25'!A:A,'AJE.1B - F25'!M:M,0,0,1)</f>
        <v>0</v>
      </c>
      <c r="L30" s="1390"/>
      <c r="M30" s="219">
        <f t="shared" si="1"/>
        <v>0</v>
      </c>
      <c r="N30" s="178" t="str">
        <f>_xlfn.XLOOKUP($B30,COA!$B:$B,COA!$C:$C,0,0,1)</f>
        <v>General and administration</v>
      </c>
      <c r="O30" s="178" t="str">
        <f>_xlfn.XLOOKUP($B30,COA!$B:$B,COA!$D:$D,0,0,1)</f>
        <v xml:space="preserve">Salaries, wages, and benefits </v>
      </c>
      <c r="P30" s="178" t="str">
        <f>_xlfn.XLOOKUP($B30,COA!$B:$B,COA!$E:$E,0,0,1)</f>
        <v>Accumulated deficit</v>
      </c>
      <c r="R30" s="85" t="e">
        <f>_xlfn.XLOOKUP(P30,#REF!,#REF!,0,0,1)</f>
        <v>#REF!</v>
      </c>
      <c r="S30" s="85"/>
      <c r="T30" s="85"/>
      <c r="U30" s="85"/>
      <c r="V30" s="85"/>
      <c r="W30" s="85"/>
      <c r="X30" s="85"/>
    </row>
    <row r="31" spans="1:24" x14ac:dyDescent="0.25">
      <c r="A31" s="1398"/>
      <c r="B31" s="1393" t="str">
        <f>COA!B121</f>
        <v>6002 Payroll Expenses:Wages</v>
      </c>
      <c r="C31" s="1394">
        <f>SUMIF('PL.1 - FY24'!M:M,'IS - F25'!B31,'PL.1 - FY24'!O:O)</f>
        <v>0</v>
      </c>
      <c r="D31" s="1394">
        <f>SUMIF('PL.1 - FY24'!B:B,'IS - F25'!B31,'PL.1 - FY24'!F:F)</f>
        <v>0</v>
      </c>
      <c r="E31" s="1390">
        <f>_xlfn.XLOOKUP(B31,'AJE.1B - F25'!A:A,'AJE.1B - F25'!F:F,0,0,1)</f>
        <v>0</v>
      </c>
      <c r="F31" s="1390"/>
      <c r="G31" s="219">
        <f t="shared" si="0"/>
        <v>0</v>
      </c>
      <c r="H31" s="506"/>
      <c r="I31" s="1394">
        <f>SUMIF('PL.1 - FY24'!M:M,B31,'PL.1 - FY24'!R:R)</f>
        <v>0</v>
      </c>
      <c r="J31" s="1394">
        <f>SUMIF('PL.1 - FY24'!B:B,B31,'PL.1 - FY24'!J:J)</f>
        <v>0</v>
      </c>
      <c r="K31" s="1390">
        <f>_xlfn.XLOOKUP(B31,'AJE.1B - F25'!A:A,'AJE.1B - F25'!M:M,0,0,1)</f>
        <v>0</v>
      </c>
      <c r="L31" s="1390"/>
      <c r="M31" s="219">
        <f t="shared" si="1"/>
        <v>0</v>
      </c>
      <c r="N31" s="178" t="str">
        <f>_xlfn.XLOOKUP($B31,COA!$B:$B,COA!$C:$C,0,0,1)</f>
        <v>General and administration</v>
      </c>
      <c r="O31" s="178" t="str">
        <f>_xlfn.XLOOKUP($B31,COA!$B:$B,COA!$D:$D,0,0,1)</f>
        <v xml:space="preserve">Salaries, wages, and benefits </v>
      </c>
      <c r="P31" s="178" t="str">
        <f>_xlfn.XLOOKUP($B31,COA!$B:$B,COA!$E:$E,0,0,1)</f>
        <v>Accumulated deficit</v>
      </c>
      <c r="R31" s="85"/>
      <c r="S31" s="85"/>
      <c r="T31" s="85"/>
      <c r="U31" s="85"/>
      <c r="V31" s="85"/>
      <c r="W31" s="85"/>
      <c r="X31" s="85"/>
    </row>
    <row r="32" spans="1:24" x14ac:dyDescent="0.25">
      <c r="A32" s="1398"/>
      <c r="B32" s="1393" t="str">
        <f>COA!B122</f>
        <v>6003 Payroll Expenses:Vacation Pay</v>
      </c>
      <c r="C32" s="1394">
        <f>SUMIF('PL.1 - FY24'!M:M,'IS - F25'!B32,'PL.1 - FY24'!O:O)</f>
        <v>0</v>
      </c>
      <c r="D32" s="1394">
        <f>SUMIF('PL.1 - FY24'!B:B,'IS - F25'!B32,'PL.1 - FY24'!F:F)</f>
        <v>0</v>
      </c>
      <c r="E32" s="1390">
        <f>_xlfn.XLOOKUP(B32,'AJE.1B - F25'!A:A,'AJE.1B - F25'!F:F,0,0,1)</f>
        <v>0</v>
      </c>
      <c r="F32" s="1390"/>
      <c r="G32" s="219">
        <f t="shared" si="0"/>
        <v>0</v>
      </c>
      <c r="H32" s="506"/>
      <c r="I32" s="1394">
        <f>SUMIF('PL.1 - FY24'!M:M,B32,'PL.1 - FY24'!R:R)</f>
        <v>0</v>
      </c>
      <c r="J32" s="1394">
        <f>SUMIF('PL.1 - FY24'!B:B,B32,'PL.1 - FY24'!J:J)</f>
        <v>0</v>
      </c>
      <c r="K32" s="1390">
        <f>_xlfn.XLOOKUP(B32,'AJE.1B - F25'!A:A,'AJE.1B - F25'!M:M,0,0,1)</f>
        <v>0</v>
      </c>
      <c r="L32" s="1390"/>
      <c r="M32" s="219">
        <f t="shared" si="1"/>
        <v>0</v>
      </c>
      <c r="N32" s="178" t="str">
        <f>_xlfn.XLOOKUP($B32,COA!$B:$B,COA!$C:$C,0,0,1)</f>
        <v>General and administration</v>
      </c>
      <c r="O32" s="178" t="str">
        <f>_xlfn.XLOOKUP($B32,COA!$B:$B,COA!$D:$D,0,0,1)</f>
        <v xml:space="preserve">Salaries, wages, and benefits </v>
      </c>
      <c r="P32" s="178" t="str">
        <f>_xlfn.XLOOKUP($B32,COA!$B:$B,COA!$E:$E,0,0,1)</f>
        <v>Accumulated deficit</v>
      </c>
      <c r="R32" s="85"/>
      <c r="S32" s="85"/>
      <c r="T32" s="85"/>
      <c r="U32" s="85"/>
      <c r="V32" s="85"/>
      <c r="W32" s="85"/>
      <c r="X32" s="85"/>
    </row>
    <row r="33" spans="1:24" x14ac:dyDescent="0.25">
      <c r="A33" s="1398"/>
      <c r="B33" s="1393" t="str">
        <f>COA!B123</f>
        <v>6004 Payroll Expenses:Employer Taxes</v>
      </c>
      <c r="C33" s="1394">
        <f>SUMIF('PL.1 - FY24'!M:M,'IS - F25'!B33,'PL.1 - FY24'!O:O)</f>
        <v>0</v>
      </c>
      <c r="D33" s="1394">
        <f>SUMIF('PL.1 - FY24'!B:B,'IS - F25'!B33,'PL.1 - FY24'!F:F)</f>
        <v>0</v>
      </c>
      <c r="E33" s="1390">
        <f>_xlfn.XLOOKUP(B33,'AJE.1B - F25'!A:A,'AJE.1B - F25'!F:F,0,0,1)</f>
        <v>0</v>
      </c>
      <c r="F33" s="1390"/>
      <c r="G33" s="219">
        <f t="shared" si="0"/>
        <v>0</v>
      </c>
      <c r="H33" s="506"/>
      <c r="I33" s="1394">
        <f>SUMIF('PL.1 - FY24'!M:M,B33,'PL.1 - FY24'!R:R)</f>
        <v>0</v>
      </c>
      <c r="J33" s="1394">
        <f>SUMIF('PL.1 - FY24'!B:B,B33,'PL.1 - FY24'!J:J)</f>
        <v>0</v>
      </c>
      <c r="K33" s="1390">
        <f>_xlfn.XLOOKUP(B33,'AJE.1B - F25'!A:A,'AJE.1B - F25'!M:M,0,0,1)</f>
        <v>0</v>
      </c>
      <c r="L33" s="1390"/>
      <c r="M33" s="219">
        <f t="shared" si="1"/>
        <v>0</v>
      </c>
      <c r="N33" s="178" t="str">
        <f>_xlfn.XLOOKUP($B33,COA!$B:$B,COA!$C:$C,0,0,1)</f>
        <v>General and administration</v>
      </c>
      <c r="O33" s="178" t="str">
        <f>_xlfn.XLOOKUP($B33,COA!$B:$B,COA!$D:$D,0,0,1)</f>
        <v xml:space="preserve">Salaries, wages, and benefits </v>
      </c>
      <c r="P33" s="178" t="str">
        <f>_xlfn.XLOOKUP($B33,COA!$B:$B,COA!$E:$E,0,0,1)</f>
        <v>Accumulated deficit</v>
      </c>
      <c r="R33" s="85"/>
      <c r="S33" s="85"/>
      <c r="T33" s="85"/>
      <c r="U33" s="85"/>
      <c r="V33" s="85"/>
      <c r="W33" s="85"/>
      <c r="X33" s="85"/>
    </row>
    <row r="34" spans="1:24" x14ac:dyDescent="0.25">
      <c r="A34" s="1398"/>
      <c r="B34" s="1393" t="str">
        <f>COA!B124</f>
        <v>6005 Payroll Expenses:WCB Expense</v>
      </c>
      <c r="C34" s="1394">
        <f>SUMIF('PL.1 - FY24'!M:M,'IS - F25'!B34,'PL.1 - FY24'!O:O)</f>
        <v>0</v>
      </c>
      <c r="D34" s="1394">
        <f>SUMIF('PL.1 - FY24'!B:B,'IS - F25'!B34,'PL.1 - FY24'!F:F)</f>
        <v>0</v>
      </c>
      <c r="E34" s="1390">
        <f>_xlfn.XLOOKUP(B34,'AJE.1B - F25'!A:A,'AJE.1B - F25'!F:F,0,0,1)</f>
        <v>0</v>
      </c>
      <c r="F34" s="1390"/>
      <c r="G34" s="219">
        <f t="shared" si="0"/>
        <v>0</v>
      </c>
      <c r="H34" s="506"/>
      <c r="I34" s="1394">
        <f>SUMIF('PL.1 - FY24'!M:M,B34,'PL.1 - FY24'!R:R)</f>
        <v>0</v>
      </c>
      <c r="J34" s="1394">
        <f>SUMIF('PL.1 - FY24'!B:B,B34,'PL.1 - FY24'!J:J)</f>
        <v>0</v>
      </c>
      <c r="K34" s="1390">
        <f>_xlfn.XLOOKUP(B34,'AJE.1B - F25'!A:A,'AJE.1B - F25'!M:M,0,0,1)</f>
        <v>0</v>
      </c>
      <c r="L34" s="1390"/>
      <c r="M34" s="219">
        <f t="shared" si="1"/>
        <v>0</v>
      </c>
      <c r="N34" s="178" t="str">
        <f>_xlfn.XLOOKUP($B34,COA!$B:$B,COA!$C:$C,0,0,1)</f>
        <v>General and administration</v>
      </c>
      <c r="O34" s="178" t="str">
        <f>_xlfn.XLOOKUP($B34,COA!$B:$B,COA!$D:$D,0,0,1)</f>
        <v xml:space="preserve">Salaries, wages, and benefits </v>
      </c>
      <c r="P34" s="178" t="str">
        <f>_xlfn.XLOOKUP($B34,COA!$B:$B,COA!$E:$E,0,0,1)</f>
        <v>Accumulated deficit</v>
      </c>
      <c r="R34" s="85"/>
      <c r="S34" s="85"/>
      <c r="T34" s="85"/>
      <c r="U34" s="85"/>
      <c r="V34" s="85"/>
      <c r="W34" s="85"/>
      <c r="X34" s="85"/>
    </row>
    <row r="35" spans="1:24" x14ac:dyDescent="0.25">
      <c r="A35" s="1398"/>
      <c r="B35" s="1393" t="str">
        <f>COA!B125</f>
        <v>6010 Other G&amp;A</v>
      </c>
      <c r="C35" s="1394">
        <f>SUMIF('PL.1 - FY24'!M:M,'IS - F25'!B35,'PL.1 - FY24'!O:O)</f>
        <v>0</v>
      </c>
      <c r="D35" s="1394">
        <f>SUMIF('PL.1 - FY24'!B:B,'IS - F25'!B35,'PL.1 - FY24'!F:F)</f>
        <v>0</v>
      </c>
      <c r="E35" s="1390">
        <f>_xlfn.XLOOKUP(B35,'AJE.1B - F25'!A:A,'AJE.1B - F25'!F:F,0,0,1)</f>
        <v>0</v>
      </c>
      <c r="F35" s="1390"/>
      <c r="G35" s="219">
        <f t="shared" si="0"/>
        <v>0</v>
      </c>
      <c r="H35" s="506"/>
      <c r="I35" s="1394">
        <f>SUMIF('PL.1 - FY24'!M:M,B35,'PL.1 - FY24'!R:R)</f>
        <v>0</v>
      </c>
      <c r="J35" s="1394">
        <f>SUMIF('PL.1 - FY24'!B:B,B35,'PL.1 - FY24'!J:J)</f>
        <v>0</v>
      </c>
      <c r="K35" s="1390">
        <f>_xlfn.XLOOKUP(B35,'AJE.1B - F25'!A:A,'AJE.1B - F25'!M:M,0,0,1)</f>
        <v>0</v>
      </c>
      <c r="L35" s="1390"/>
      <c r="M35" s="219">
        <f t="shared" si="1"/>
        <v>0</v>
      </c>
      <c r="N35" s="178" t="str">
        <f>_xlfn.XLOOKUP($B35,COA!$B:$B,COA!$C:$C,0,0,1)</f>
        <v>General and administration</v>
      </c>
      <c r="O35" s="178" t="str">
        <f>_xlfn.XLOOKUP($B35,COA!$B:$B,COA!$D:$D,0,0,1)</f>
        <v>Office expenses</v>
      </c>
      <c r="P35" s="178" t="str">
        <f>_xlfn.XLOOKUP($B35,COA!$B:$B,COA!$E:$E,0,0,1)</f>
        <v>Accumulated deficit</v>
      </c>
      <c r="R35" s="85"/>
      <c r="S35" s="85"/>
      <c r="T35" s="85"/>
      <c r="U35" s="85"/>
      <c r="V35" s="85"/>
      <c r="W35" s="85"/>
      <c r="X35" s="85"/>
    </row>
    <row r="36" spans="1:24" x14ac:dyDescent="0.25">
      <c r="A36" s="1398"/>
      <c r="B36" s="1393" t="str">
        <f>COA!B126</f>
        <v>6011 Bank charges</v>
      </c>
      <c r="C36" s="1394">
        <f>SUMIF('PL.1 - FY24'!M:M,'IS - F25'!B36,'PL.1 - FY24'!O:O)</f>
        <v>375</v>
      </c>
      <c r="D36" s="1394">
        <f>SUMIF('PL.1 - FY24'!B:B,'IS - F25'!B36,'PL.1 - FY24'!F:F)</f>
        <v>-7.94</v>
      </c>
      <c r="E36" s="1390">
        <f>_xlfn.XLOOKUP(B36,'AJE.1B - F25'!A:A,'AJE.1B - F25'!F:F,0,0,1)</f>
        <v>0</v>
      </c>
      <c r="F36" s="1390"/>
      <c r="G36" s="219">
        <f t="shared" si="0"/>
        <v>367</v>
      </c>
      <c r="H36" s="506"/>
      <c r="I36" s="1394">
        <f>SUMIF('PL.1 - FY24'!M:M,B36,'PL.1 - FY24'!R:R)</f>
        <v>1600</v>
      </c>
      <c r="J36" s="1394">
        <f>SUMIF('PL.1 - FY24'!B:B,B36,'PL.1 - FY24'!J:J)</f>
        <v>680</v>
      </c>
      <c r="K36" s="1390">
        <f>_xlfn.XLOOKUP(B36,'AJE.1B - F25'!A:A,'AJE.1B - F25'!M:M,0,0,1)</f>
        <v>0</v>
      </c>
      <c r="L36" s="1390"/>
      <c r="M36" s="219">
        <f t="shared" si="1"/>
        <v>2280</v>
      </c>
      <c r="N36" s="178" t="str">
        <f>_xlfn.XLOOKUP($B36,COA!$B:$B,COA!$C:$C,0,0,1)</f>
        <v>General and administration</v>
      </c>
      <c r="O36" s="178" t="str">
        <f>_xlfn.XLOOKUP($B36,COA!$B:$B,COA!$D:$D,0,0,1)</f>
        <v>Bank fees</v>
      </c>
      <c r="P36" s="178" t="str">
        <f>_xlfn.XLOOKUP($B36,COA!$B:$B,COA!$E:$E,0,0,1)</f>
        <v>Accumulated deficit</v>
      </c>
      <c r="R36" s="85"/>
      <c r="S36" s="85"/>
      <c r="T36" s="85"/>
      <c r="U36" s="85"/>
      <c r="V36" s="85"/>
      <c r="W36" s="85"/>
      <c r="X36" s="85"/>
    </row>
    <row r="37" spans="1:24" x14ac:dyDescent="0.25">
      <c r="A37" s="1398"/>
      <c r="B37" s="1393" t="str">
        <f>COA!B127</f>
        <v>6012 Bad debts</v>
      </c>
      <c r="C37" s="1394">
        <f>SUMIF('PL.1 - FY24'!M:M,'IS - F25'!B37,'PL.1 - FY24'!O:O)</f>
        <v>0</v>
      </c>
      <c r="D37" s="1394">
        <f>SUMIF('PL.1 - FY24'!B:B,'IS - F25'!B37,'PL.1 - FY24'!F:F)</f>
        <v>0</v>
      </c>
      <c r="E37" s="1390">
        <f>_xlfn.XLOOKUP(B37,'AJE.1B - F25'!A:A,'AJE.1B - F25'!F:F,0,0,1)</f>
        <v>0</v>
      </c>
      <c r="F37" s="1390"/>
      <c r="G37" s="219">
        <f t="shared" si="0"/>
        <v>0</v>
      </c>
      <c r="H37" s="506"/>
      <c r="I37" s="1394">
        <f>SUMIF('PL.1 - FY24'!M:M,B37,'PL.1 - FY24'!R:R)</f>
        <v>0</v>
      </c>
      <c r="J37" s="1394">
        <f>SUMIF('PL.1 - FY24'!B:B,B37,'PL.1 - FY24'!J:J)</f>
        <v>0</v>
      </c>
      <c r="K37" s="1390">
        <f>_xlfn.XLOOKUP(B37,'AJE.1B - F25'!A:A,'AJE.1B - F25'!M:M,0,0,1)</f>
        <v>0</v>
      </c>
      <c r="L37" s="1390"/>
      <c r="M37" s="219">
        <f t="shared" si="1"/>
        <v>0</v>
      </c>
      <c r="N37" s="178" t="str">
        <f>_xlfn.XLOOKUP($B37,COA!$B:$B,COA!$C:$C,0,0,1)</f>
        <v>General and administration</v>
      </c>
      <c r="O37" s="178" t="str">
        <f>_xlfn.XLOOKUP($B37,COA!$B:$B,COA!$D:$D,0,0,1)</f>
        <v>Bad debt expense</v>
      </c>
      <c r="P37" s="178" t="str">
        <f>_xlfn.XLOOKUP($B37,COA!$B:$B,COA!$E:$E,0,0,1)</f>
        <v>Accumulated deficit</v>
      </c>
      <c r="R37" s="85"/>
      <c r="S37" s="85"/>
      <c r="T37" s="85"/>
      <c r="U37" s="85"/>
      <c r="V37" s="85"/>
      <c r="W37" s="85"/>
      <c r="X37" s="85"/>
    </row>
    <row r="38" spans="1:24" x14ac:dyDescent="0.25">
      <c r="A38" s="1398"/>
      <c r="B38" s="1393" t="str">
        <f>COA!B128</f>
        <v>6012 Bad Debt</v>
      </c>
      <c r="C38" s="1394">
        <f>SUMIF('PL.1 - FY24'!M:M,'IS - F25'!B38,'PL.1 - FY24'!O:O)</f>
        <v>0</v>
      </c>
      <c r="D38" s="1394">
        <f>SUMIF('PL.1 - FY24'!B:B,'IS - F25'!B38,'PL.1 - FY24'!F:F)</f>
        <v>0</v>
      </c>
      <c r="E38" s="1390">
        <f>_xlfn.XLOOKUP(B38,'AJE.1B - F25'!A:A,'AJE.1B - F25'!F:F,0,0,1)</f>
        <v>0</v>
      </c>
      <c r="F38" s="1390"/>
      <c r="G38" s="219">
        <f t="shared" si="0"/>
        <v>0</v>
      </c>
      <c r="H38" s="506"/>
      <c r="I38" s="1394">
        <f>SUMIF('PL.1 - FY24'!M:M,B38,'PL.1 - FY24'!R:R)</f>
        <v>0</v>
      </c>
      <c r="J38" s="1394">
        <f>SUMIF('PL.1 - FY24'!B:B,B38,'PL.1 - FY24'!J:J)</f>
        <v>0</v>
      </c>
      <c r="K38" s="1390">
        <f>_xlfn.XLOOKUP(B38,'AJE.1B - F25'!A:A,'AJE.1B - F25'!M:M,0,0,1)</f>
        <v>0</v>
      </c>
      <c r="L38" s="1390"/>
      <c r="M38" s="219">
        <f t="shared" si="1"/>
        <v>0</v>
      </c>
      <c r="N38" s="178" t="str">
        <f>_xlfn.XLOOKUP($B38,COA!$B:$B,COA!$C:$C,0,0,1)</f>
        <v>General and administration</v>
      </c>
      <c r="O38" s="178" t="str">
        <f>_xlfn.XLOOKUP($B38,COA!$B:$B,COA!$D:$D,0,0,1)</f>
        <v>Bad debt expense</v>
      </c>
      <c r="P38" s="178" t="str">
        <f>_xlfn.XLOOKUP($B38,COA!$B:$B,COA!$E:$E,0,0,1)</f>
        <v>Accumulated deficit</v>
      </c>
      <c r="R38" s="85"/>
      <c r="S38" s="85"/>
      <c r="T38" s="85"/>
      <c r="U38" s="85"/>
      <c r="V38" s="85"/>
      <c r="W38" s="85"/>
      <c r="X38" s="85"/>
    </row>
    <row r="39" spans="1:24" x14ac:dyDescent="0.25">
      <c r="A39" s="1398"/>
      <c r="B39" s="1393" t="str">
        <f>COA!B129</f>
        <v>6013 Interest expense</v>
      </c>
      <c r="C39" s="1394">
        <f>SUMIF('PL.1 - FY24'!M:M,'IS - F25'!B39,'PL.1 - FY24'!O:O)</f>
        <v>0</v>
      </c>
      <c r="D39" s="1394">
        <f>SUMIF('PL.1 - FY24'!B:B,'IS - F25'!B39,'PL.1 - FY24'!F:F)</f>
        <v>4.7699999999999996</v>
      </c>
      <c r="E39" s="1390">
        <f>_xlfn.XLOOKUP(B39,'AJE.1B - F25'!A:A,'AJE.1B - F25'!F:F,0,0,1)</f>
        <v>0</v>
      </c>
      <c r="F39" s="1390"/>
      <c r="G39" s="219">
        <f t="shared" si="0"/>
        <v>5</v>
      </c>
      <c r="H39" s="506"/>
      <c r="I39" s="1394">
        <f>SUMIF('PL.1 - FY24'!M:M,B39,'PL.1 - FY24'!R:R)</f>
        <v>1160.73</v>
      </c>
      <c r="J39" s="1394">
        <f>SUMIF('PL.1 - FY24'!B:B,B39,'PL.1 - FY24'!J:J)</f>
        <v>2987.38</v>
      </c>
      <c r="K39" s="1390">
        <f>_xlfn.XLOOKUP(B39,'AJE.1B - F25'!A:A,'AJE.1B - F25'!M:M,0,0,1)</f>
        <v>0</v>
      </c>
      <c r="L39" s="1390"/>
      <c r="M39" s="219">
        <f t="shared" si="1"/>
        <v>4148</v>
      </c>
      <c r="N39" s="178" t="str">
        <f>_xlfn.XLOOKUP($B39,COA!$B:$B,COA!$C:$C,0,0,1)</f>
        <v>Interest expense</v>
      </c>
      <c r="O39" s="178" t="str">
        <f>_xlfn.XLOOKUP($B39,COA!$B:$B,COA!$D:$D,0,0,1)</f>
        <v>Interest expense</v>
      </c>
      <c r="P39" s="178" t="str">
        <f>_xlfn.XLOOKUP($B39,COA!$B:$B,COA!$E:$E,0,0,1)</f>
        <v>Accumulated deficit</v>
      </c>
      <c r="R39" s="85"/>
      <c r="S39" s="85"/>
      <c r="T39" s="85"/>
      <c r="U39" s="85"/>
      <c r="V39" s="85"/>
      <c r="W39" s="85"/>
      <c r="X39" s="85"/>
    </row>
    <row r="40" spans="1:24" x14ac:dyDescent="0.25">
      <c r="A40" s="1398"/>
      <c r="B40" s="1393" t="str">
        <f>COA!B130</f>
        <v>6015 Accounting Fees</v>
      </c>
      <c r="C40" s="1394">
        <f>SUMIF('PL.1 - FY24'!M:M,'IS - F25'!B40,'PL.1 - FY24'!O:O)</f>
        <v>24845</v>
      </c>
      <c r="D40" s="1394">
        <f>SUMIF('PL.1 - FY24'!B:B,'IS - F25'!B40,'PL.1 - FY24'!F:F)</f>
        <v>0</v>
      </c>
      <c r="E40" s="1390">
        <f>_xlfn.XLOOKUP(B40,'AJE.1B - F25'!A:A,'AJE.1B - F25'!F:F,0,0,1)</f>
        <v>0</v>
      </c>
      <c r="F40" s="1390"/>
      <c r="G40" s="219">
        <f t="shared" si="0"/>
        <v>24845</v>
      </c>
      <c r="H40" s="506"/>
      <c r="I40" s="1394">
        <f>SUMIF('PL.1 - FY24'!M:M,B40,'PL.1 - FY24'!R:R)</f>
        <v>27477.5</v>
      </c>
      <c r="J40" s="1394">
        <f>SUMIF('PL.1 - FY24'!B:B,B40,'PL.1 - FY24'!J:J)</f>
        <v>0</v>
      </c>
      <c r="K40" s="1390">
        <f>_xlfn.XLOOKUP(B40,'AJE.1B - F25'!A:A,'AJE.1B - F25'!M:M,0,0,1)</f>
        <v>0</v>
      </c>
      <c r="L40" s="1390"/>
      <c r="M40" s="219">
        <f t="shared" si="1"/>
        <v>27478</v>
      </c>
      <c r="N40" s="178" t="str">
        <f>_xlfn.XLOOKUP($B40,COA!$B:$B,COA!$C:$C,0,0,1)</f>
        <v>General and administration</v>
      </c>
      <c r="O40" s="178" t="str">
        <f>_xlfn.XLOOKUP($B40,COA!$B:$B,COA!$D:$D,0,0,1)</f>
        <v>Professional fees</v>
      </c>
      <c r="P40" s="178" t="str">
        <f>_xlfn.XLOOKUP($B40,COA!$B:$B,COA!$E:$E,0,0,1)</f>
        <v>Accumulated deficit</v>
      </c>
      <c r="R40" s="85"/>
      <c r="S40" s="85"/>
      <c r="T40" s="85"/>
      <c r="U40" s="85"/>
      <c r="V40" s="85"/>
      <c r="W40" s="85"/>
      <c r="X40" s="85"/>
    </row>
    <row r="41" spans="1:24" x14ac:dyDescent="0.25">
      <c r="A41" s="1398"/>
      <c r="B41" s="1393" t="str">
        <f>COA!B131</f>
        <v>6015 Accounting &amp; Legal</v>
      </c>
      <c r="C41" s="1394">
        <f>SUMIF('PL.1 - FY24'!M:M,'IS - F25'!B41,'PL.1 - FY24'!O:O)</f>
        <v>0</v>
      </c>
      <c r="D41" s="1394">
        <f>SUMIF('PL.1 - FY24'!B:B,'IS - F25'!B41,'PL.1 - FY24'!F:F)</f>
        <v>29180</v>
      </c>
      <c r="E41" s="1390">
        <f>_xlfn.XLOOKUP(B41,'AJE.1B - F25'!A:A,'AJE.1B - F25'!F:F,0,0,1)</f>
        <v>0</v>
      </c>
      <c r="F41" s="1390"/>
      <c r="G41" s="219">
        <f t="shared" si="0"/>
        <v>29180</v>
      </c>
      <c r="H41" s="506"/>
      <c r="I41" s="1394">
        <f>SUMIF('PL.1 - FY24'!M:M,B41,'PL.1 - FY24'!R:R)</f>
        <v>0</v>
      </c>
      <c r="J41" s="1394">
        <f>SUMIF('PL.1 - FY24'!B:B,B41,'PL.1 - FY24'!J:J)</f>
        <v>89764.9</v>
      </c>
      <c r="K41" s="1390">
        <f>_xlfn.XLOOKUP(B41,'AJE.1B - F25'!A:A,'AJE.1B - F25'!M:M,0,0,1)</f>
        <v>0</v>
      </c>
      <c r="L41" s="1390"/>
      <c r="M41" s="219">
        <f t="shared" si="1"/>
        <v>89765</v>
      </c>
      <c r="N41" s="178" t="str">
        <f>_xlfn.XLOOKUP($B41,COA!$B:$B,COA!$C:$C,0,0,1)</f>
        <v>General and administration</v>
      </c>
      <c r="O41" s="178" t="str">
        <f>_xlfn.XLOOKUP($B41,COA!$B:$B,COA!$D:$D,0,0,1)</f>
        <v>Professional fees</v>
      </c>
      <c r="P41" s="178" t="str">
        <f>_xlfn.XLOOKUP($B41,COA!$B:$B,COA!$E:$E,0,0,1)</f>
        <v>Accumulated deficit</v>
      </c>
      <c r="R41" s="85"/>
      <c r="S41" s="85"/>
      <c r="T41" s="85"/>
      <c r="U41" s="85"/>
      <c r="V41" s="85"/>
      <c r="W41" s="85"/>
      <c r="X41" s="85"/>
    </row>
    <row r="42" spans="1:24" x14ac:dyDescent="0.25">
      <c r="A42" s="1398"/>
      <c r="B42" s="1393" t="str">
        <f>COA!B132</f>
        <v>6016 Legal and professional fees</v>
      </c>
      <c r="C42" s="1394">
        <f>SUMIF('PL.1 - FY24'!M:M,'IS - F25'!B42,'PL.1 - FY24'!O:O)</f>
        <v>0</v>
      </c>
      <c r="D42" s="1394">
        <f>SUMIF('PL.1 - FY24'!B:B,'IS - F25'!B42,'PL.1 - FY24'!F:F)</f>
        <v>0</v>
      </c>
      <c r="E42" s="1390">
        <f>_xlfn.XLOOKUP(B42,'AJE.1B - F25'!A:A,'AJE.1B - F25'!F:F,0,0,1)</f>
        <v>0</v>
      </c>
      <c r="F42" s="1390"/>
      <c r="G42" s="219">
        <f t="shared" si="0"/>
        <v>0</v>
      </c>
      <c r="H42" s="506"/>
      <c r="I42" s="1394">
        <f>SUMIF('PL.1 - FY24'!M:M,B42,'PL.1 - FY24'!R:R)</f>
        <v>54424.07</v>
      </c>
      <c r="J42" s="1394">
        <f>SUMIF('PL.1 - FY24'!B:B,B42,'PL.1 - FY24'!J:J)</f>
        <v>0</v>
      </c>
      <c r="K42" s="1390">
        <f>_xlfn.XLOOKUP(B42,'AJE.1B - F25'!A:A,'AJE.1B - F25'!M:M,0,0,1)</f>
        <v>0</v>
      </c>
      <c r="L42" s="1390"/>
      <c r="M42" s="219">
        <f t="shared" si="1"/>
        <v>54424</v>
      </c>
      <c r="N42" s="178" t="str">
        <f>_xlfn.XLOOKUP($B42,COA!$B:$B,COA!$C:$C,0,0,1)</f>
        <v>General and administration</v>
      </c>
      <c r="O42" s="178" t="str">
        <f>_xlfn.XLOOKUP($B42,COA!$B:$B,COA!$D:$D,0,0,1)</f>
        <v>Professional fees</v>
      </c>
      <c r="P42" s="178" t="str">
        <f>_xlfn.XLOOKUP($B42,COA!$B:$B,COA!$E:$E,0,0,1)</f>
        <v>Accumulated deficit</v>
      </c>
      <c r="R42" s="85"/>
      <c r="S42" s="85"/>
      <c r="T42" s="85"/>
      <c r="U42" s="85"/>
      <c r="V42" s="85"/>
      <c r="W42" s="85"/>
      <c r="X42" s="85"/>
    </row>
    <row r="43" spans="1:24" x14ac:dyDescent="0.25">
      <c r="A43" s="1398"/>
      <c r="B43" s="1393" t="str">
        <f>COA!B133</f>
        <v>6016 Consulting Expense</v>
      </c>
      <c r="C43" s="1394">
        <f>SUMIF('PL.1 - FY24'!M:M,'IS - F25'!B43,'PL.1 - FY24'!O:O)</f>
        <v>0</v>
      </c>
      <c r="D43" s="1394">
        <f>SUMIF('PL.1 - FY24'!B:B,'IS - F25'!B43,'PL.1 - FY24'!F:F)</f>
        <v>15000</v>
      </c>
      <c r="E43" s="1390">
        <f>_xlfn.XLOOKUP(B43,'AJE.1B - F25'!A:A,'AJE.1B - F25'!F:F,0,0,1)</f>
        <v>0</v>
      </c>
      <c r="F43" s="1390"/>
      <c r="G43" s="219">
        <f t="shared" si="0"/>
        <v>15000</v>
      </c>
      <c r="H43" s="506"/>
      <c r="I43" s="1394">
        <f>SUMIF('PL.1 - FY24'!M:M,B43,'PL.1 - FY24'!R:R)</f>
        <v>0</v>
      </c>
      <c r="J43" s="1394">
        <f>SUMIF('PL.1 - FY24'!B:B,B43,'PL.1 - FY24'!J:J)</f>
        <v>20000</v>
      </c>
      <c r="K43" s="1390">
        <f>_xlfn.XLOOKUP(B43,'AJE.1B - F25'!A:A,'AJE.1B - F25'!M:M,0,0,1)</f>
        <v>0</v>
      </c>
      <c r="L43" s="1390"/>
      <c r="M43" s="219">
        <f t="shared" si="1"/>
        <v>20000</v>
      </c>
      <c r="N43" s="178" t="str">
        <f>_xlfn.XLOOKUP($B43,COA!$B:$B,COA!$C:$C,0,0,1)</f>
        <v>General and administration</v>
      </c>
      <c r="O43" s="178" t="str">
        <f>_xlfn.XLOOKUP($B43,COA!$B:$B,COA!$D:$D,0,0,1)</f>
        <v>Consulting expense</v>
      </c>
      <c r="P43" s="178" t="str">
        <f>_xlfn.XLOOKUP($B43,COA!$B:$B,COA!$E:$E,0,0,1)</f>
        <v>Accumulated deficit</v>
      </c>
      <c r="R43" s="85"/>
      <c r="S43" s="85"/>
      <c r="T43" s="85"/>
      <c r="U43" s="85"/>
      <c r="V43" s="85"/>
      <c r="W43" s="85"/>
      <c r="X43" s="85"/>
    </row>
    <row r="44" spans="1:24" x14ac:dyDescent="0.25">
      <c r="A44" s="1398"/>
      <c r="B44" s="1393" t="str">
        <f>COA!B134</f>
        <v>6017 Consulting Fees</v>
      </c>
      <c r="C44" s="1394">
        <f>SUMIF('PL.1 - FY24'!M:M,'IS - F25'!B44,'PL.1 - FY24'!O:O)</f>
        <v>63800</v>
      </c>
      <c r="D44" s="1394">
        <f>SUMIF('PL.1 - FY24'!B:B,'IS - F25'!B44,'PL.1 - FY24'!F:F)</f>
        <v>0</v>
      </c>
      <c r="E44" s="1390">
        <f>_xlfn.XLOOKUP(B44,'AJE.1B - F25'!A:A,'AJE.1B - F25'!F:F,0,0,1)</f>
        <v>0</v>
      </c>
      <c r="F44" s="1390"/>
      <c r="G44" s="219">
        <f t="shared" si="0"/>
        <v>63800</v>
      </c>
      <c r="H44" s="506"/>
      <c r="I44" s="1394">
        <f>SUMIF('PL.1 - FY24'!M:M,B44,'PL.1 - FY24'!R:R)</f>
        <v>114140</v>
      </c>
      <c r="J44" s="1394">
        <f>SUMIF('PL.1 - FY24'!B:B,B44,'PL.1 - FY24'!J:J)</f>
        <v>0</v>
      </c>
      <c r="K44" s="1390">
        <f>_xlfn.XLOOKUP(B44,'AJE.1B - F25'!A:A,'AJE.1B - F25'!M:M,0,0,1)</f>
        <v>0</v>
      </c>
      <c r="L44" s="1390"/>
      <c r="M44" s="219">
        <f t="shared" si="1"/>
        <v>114140</v>
      </c>
      <c r="N44" s="178" t="str">
        <f>_xlfn.XLOOKUP($B44,COA!$B:$B,COA!$C:$C,0,0,1)</f>
        <v>General and administration</v>
      </c>
      <c r="O44" s="178" t="str">
        <f>_xlfn.XLOOKUP($B44,COA!$B:$B,COA!$D:$D,0,0,1)</f>
        <v>Consulting expense</v>
      </c>
      <c r="P44" s="178" t="str">
        <f>_xlfn.XLOOKUP($B44,COA!$B:$B,COA!$E:$E,0,0,1)</f>
        <v>Accumulated deficit</v>
      </c>
      <c r="R44" s="85"/>
      <c r="S44" s="85"/>
      <c r="T44" s="85"/>
      <c r="U44" s="85"/>
      <c r="V44" s="85"/>
      <c r="W44" s="85"/>
      <c r="X44" s="85"/>
    </row>
    <row r="45" spans="1:24" x14ac:dyDescent="0.25">
      <c r="A45" s="1398"/>
      <c r="B45" s="1393" t="str">
        <f>COA!B135</f>
        <v>6018 Dues and Subscription</v>
      </c>
      <c r="C45" s="1394">
        <f>SUMIF('PL.1 - FY24'!M:M,'IS - F25'!B45,'PL.1 - FY24'!O:O)</f>
        <v>0</v>
      </c>
      <c r="D45" s="1394">
        <f>SUMIF('PL.1 - FY24'!B:B,'IS - F25'!B45,'PL.1 - FY24'!F:F)</f>
        <v>190.84</v>
      </c>
      <c r="E45" s="1390">
        <f>_xlfn.XLOOKUP(B45,'AJE.1B - F25'!A:A,'AJE.1B - F25'!F:F,0,0,1)</f>
        <v>0</v>
      </c>
      <c r="F45" s="1390"/>
      <c r="G45" s="219">
        <f t="shared" ref="G45" si="2">ROUND(SUM(C45:F45),0)</f>
        <v>191</v>
      </c>
      <c r="H45" s="506"/>
      <c r="I45" s="1394">
        <f>SUMIF('PL.1 - FY24'!M:M,B45,'PL.1 - FY24'!R:R)</f>
        <v>0</v>
      </c>
      <c r="J45" s="1394">
        <f>SUMIF('PL.1 - FY24'!B:B,B45,'PL.1 - FY24'!J:J)</f>
        <v>-5.5600000000000023</v>
      </c>
      <c r="K45" s="1390">
        <f>_xlfn.XLOOKUP(B45,'AJE.1B - F25'!A:A,'AJE.1B - F25'!M:M,0,0,1)</f>
        <v>0</v>
      </c>
      <c r="L45" s="1390"/>
      <c r="M45" s="219">
        <f t="shared" ref="M45" si="3">ROUND(SUM(I45:L45),0)</f>
        <v>-6</v>
      </c>
      <c r="N45" s="178" t="str">
        <f>_xlfn.XLOOKUP($B45,COA!$B:$B,COA!$C:$C,0,0,1)</f>
        <v>General and administration</v>
      </c>
      <c r="O45" s="178" t="str">
        <f>_xlfn.XLOOKUP($B45,COA!$B:$B,COA!$D:$D,0,0,1)</f>
        <v>Dues, licenses, and permits</v>
      </c>
      <c r="P45" s="178" t="str">
        <f>_xlfn.XLOOKUP($B45,COA!$B:$B,COA!$E:$E,0,0,1)</f>
        <v>Accumulated deficit</v>
      </c>
      <c r="R45" s="85"/>
      <c r="S45" s="85"/>
      <c r="T45" s="85"/>
      <c r="U45" s="85"/>
      <c r="V45" s="85"/>
      <c r="W45" s="85"/>
      <c r="X45" s="85"/>
    </row>
    <row r="46" spans="1:24" x14ac:dyDescent="0.25">
      <c r="A46" s="1398"/>
      <c r="B46" s="1393" t="str">
        <f>COA!B136</f>
        <v>6020 Advertising &amp; Promotion</v>
      </c>
      <c r="C46" s="1394">
        <f>SUMIF('PL.1 - FY24'!M:M,'IS - F25'!B46,'PL.1 - FY24'!O:O)</f>
        <v>0</v>
      </c>
      <c r="D46" s="1394">
        <f>SUMIF('PL.1 - FY24'!B:B,'IS - F25'!B46,'PL.1 - FY24'!F:F)</f>
        <v>2407.4</v>
      </c>
      <c r="E46" s="1390">
        <f>_xlfn.XLOOKUP(B46,'AJE.1B - F25'!A:A,'AJE.1B - F25'!F:F,0,0,1)</f>
        <v>0</v>
      </c>
      <c r="F46" s="1390"/>
      <c r="G46" s="219">
        <f t="shared" si="0"/>
        <v>2407</v>
      </c>
      <c r="H46" s="506"/>
      <c r="I46" s="1394">
        <f>SUMIF('PL.1 - FY24'!M:M,B46,'PL.1 - FY24'!R:R)</f>
        <v>10306.75</v>
      </c>
      <c r="J46" s="1394">
        <f>SUMIF('PL.1 - FY24'!B:B,B46,'PL.1 - FY24'!J:J)</f>
        <v>9487.5499999999993</v>
      </c>
      <c r="K46" s="1390">
        <f>_xlfn.XLOOKUP(B46,'AJE.1B - F25'!A:A,'AJE.1B - F25'!M:M,0,0,1)</f>
        <v>0</v>
      </c>
      <c r="L46" s="1390"/>
      <c r="M46" s="219">
        <f t="shared" si="1"/>
        <v>19794</v>
      </c>
      <c r="N46" s="178" t="str">
        <f>_xlfn.XLOOKUP($B46,COA!$B:$B,COA!$C:$C,0,0,1)</f>
        <v>Sales and marketing</v>
      </c>
      <c r="O46" s="178" t="str">
        <f>_xlfn.XLOOKUP($B46,COA!$B:$B,COA!$D:$D,0,0,1)</f>
        <v>Advertising and marketing</v>
      </c>
      <c r="P46" s="178" t="str">
        <f>_xlfn.XLOOKUP($B46,COA!$B:$B,COA!$E:$E,0,0,1)</f>
        <v>Accumulated deficit</v>
      </c>
      <c r="R46" s="85"/>
      <c r="S46" s="85"/>
      <c r="T46" s="85"/>
      <c r="U46" s="85"/>
      <c r="V46" s="85"/>
      <c r="W46" s="85"/>
      <c r="X46" s="85"/>
    </row>
    <row r="47" spans="1:24" x14ac:dyDescent="0.25">
      <c r="A47" s="1398"/>
      <c r="B47" s="1393" t="str">
        <f>COA!B137</f>
        <v>6021 Tradeshows and conventions</v>
      </c>
      <c r="C47" s="1394">
        <f>SUMIF('PL.1 - FY24'!M:M,'IS - F25'!B47,'PL.1 - FY24'!O:O)</f>
        <v>0</v>
      </c>
      <c r="D47" s="1394">
        <f>SUMIF('PL.1 - FY24'!B:B,'IS - F25'!B47,'PL.1 - FY24'!F:F)</f>
        <v>0</v>
      </c>
      <c r="E47" s="1390">
        <f>_xlfn.XLOOKUP(B47,'AJE.1B - F25'!A:A,'AJE.1B - F25'!F:F,0,0,1)</f>
        <v>0</v>
      </c>
      <c r="F47" s="1390"/>
      <c r="G47" s="219">
        <f t="shared" si="0"/>
        <v>0</v>
      </c>
      <c r="H47" s="506"/>
      <c r="I47" s="1394">
        <f>SUMIF('PL.1 - FY24'!M:M,B47,'PL.1 - FY24'!R:R)</f>
        <v>0</v>
      </c>
      <c r="J47" s="1394">
        <f>SUMIF('PL.1 - FY24'!B:B,B47,'PL.1 - FY24'!J:J)</f>
        <v>1615.8</v>
      </c>
      <c r="K47" s="1390">
        <f>_xlfn.XLOOKUP(B47,'AJE.1B - F25'!A:A,'AJE.1B - F25'!M:M,0,0,1)</f>
        <v>0</v>
      </c>
      <c r="L47" s="1390"/>
      <c r="M47" s="219">
        <f t="shared" si="1"/>
        <v>1616</v>
      </c>
      <c r="N47" s="178" t="str">
        <f>_xlfn.XLOOKUP($B47,COA!$B:$B,COA!$C:$C,0,0,1)</f>
        <v>Sales and marketing</v>
      </c>
      <c r="O47" s="178" t="str">
        <f>_xlfn.XLOOKUP($B47,COA!$B:$B,COA!$D:$D,0,0,1)</f>
        <v>Advertising and marketing</v>
      </c>
      <c r="P47" s="178" t="str">
        <f>_xlfn.XLOOKUP($B47,COA!$B:$B,COA!$E:$E,0,0,1)</f>
        <v>Accumulated deficit</v>
      </c>
      <c r="R47" s="85"/>
      <c r="S47" s="85"/>
      <c r="T47" s="85"/>
      <c r="U47" s="85"/>
      <c r="V47" s="85"/>
      <c r="W47" s="85"/>
      <c r="X47" s="85"/>
    </row>
    <row r="48" spans="1:24" x14ac:dyDescent="0.25">
      <c r="A48" s="1398"/>
      <c r="B48" s="1393" t="str">
        <f>COA!B138</f>
        <v>6025 Dues and Subscriptions</v>
      </c>
      <c r="C48" s="1394">
        <f>SUMIF('PL.1 - FY24'!M:M,'IS - F25'!B48,'PL.1 - FY24'!O:O)</f>
        <v>0</v>
      </c>
      <c r="D48" s="1394">
        <f>SUMIF('PL.1 - FY24'!B:B,'IS - F25'!B48,'PL.1 - FY24'!F:F)</f>
        <v>0</v>
      </c>
      <c r="E48" s="1390">
        <f>_xlfn.XLOOKUP(B48,'AJE.1B - F25'!A:A,'AJE.1B - F25'!F:F,0,0,1)</f>
        <v>0</v>
      </c>
      <c r="F48" s="1390"/>
      <c r="G48" s="219">
        <f t="shared" si="0"/>
        <v>0</v>
      </c>
      <c r="H48" s="506"/>
      <c r="I48" s="1394">
        <f>SUMIF('PL.1 - FY24'!M:M,B48,'PL.1 - FY24'!R:R)</f>
        <v>1259.25</v>
      </c>
      <c r="J48" s="1394">
        <f>SUMIF('PL.1 - FY24'!B:B,B48,'PL.1 - FY24'!J:J)</f>
        <v>0</v>
      </c>
      <c r="K48" s="1390">
        <f>_xlfn.XLOOKUP(B48,'AJE.1B - F25'!A:A,'AJE.1B - F25'!M:M,0,0,1)</f>
        <v>0</v>
      </c>
      <c r="L48" s="1390"/>
      <c r="M48" s="219">
        <f t="shared" si="1"/>
        <v>1259</v>
      </c>
      <c r="N48" s="178" t="str">
        <f>_xlfn.XLOOKUP($B48,COA!$B:$B,COA!$C:$C,0,0,1)</f>
        <v>General and administration</v>
      </c>
      <c r="O48" s="178" t="str">
        <f>_xlfn.XLOOKUP($B48,COA!$B:$B,COA!$D:$D,0,0,1)</f>
        <v>Dues, licenses, and permits</v>
      </c>
      <c r="P48" s="178" t="str">
        <f>_xlfn.XLOOKUP($B48,COA!$B:$B,COA!$E:$E,0,0,1)</f>
        <v>Accumulated deficit</v>
      </c>
      <c r="R48" s="85"/>
      <c r="S48" s="85"/>
      <c r="T48" s="85"/>
      <c r="U48" s="85"/>
      <c r="V48" s="85"/>
      <c r="W48" s="85"/>
      <c r="X48" s="85"/>
    </row>
    <row r="49" spans="1:24" x14ac:dyDescent="0.25">
      <c r="A49" s="1398"/>
      <c r="B49" s="1393" t="str">
        <f>COA!B139</f>
        <v>6025 Automobile</v>
      </c>
      <c r="C49" s="1394">
        <f>SUMIF('PL.1 - FY24'!M:M,'IS - F25'!B49,'PL.1 - FY24'!O:O)</f>
        <v>0</v>
      </c>
      <c r="D49" s="1394">
        <f>SUMIF('PL.1 - FY24'!B:B,'IS - F25'!B49,'PL.1 - FY24'!F:F)</f>
        <v>0</v>
      </c>
      <c r="E49" s="1390">
        <f>_xlfn.XLOOKUP(B49,'AJE.1B - F25'!A:A,'AJE.1B - F25'!F:F,0,0,1)</f>
        <v>0</v>
      </c>
      <c r="F49" s="1390"/>
      <c r="G49" s="219">
        <f t="shared" si="0"/>
        <v>0</v>
      </c>
      <c r="H49" s="506"/>
      <c r="I49" s="1394">
        <f>SUMIF('PL.1 - FY24'!M:M,B49,'PL.1 - FY24'!R:R)</f>
        <v>0</v>
      </c>
      <c r="J49" s="1394">
        <f>SUMIF('PL.1 - FY24'!B:B,B49,'PL.1 - FY24'!J:J)</f>
        <v>0</v>
      </c>
      <c r="K49" s="1390">
        <f>_xlfn.XLOOKUP(B49,'AJE.1B - F25'!A:A,'AJE.1B - F25'!M:M,0,0,1)</f>
        <v>0</v>
      </c>
      <c r="L49" s="1390"/>
      <c r="M49" s="219">
        <f t="shared" si="1"/>
        <v>0</v>
      </c>
      <c r="N49" s="178" t="str">
        <f>_xlfn.XLOOKUP($B49,COA!$B:$B,COA!$C:$C,0,0,1)</f>
        <v>General and administration</v>
      </c>
      <c r="O49" s="178" t="str">
        <f>_xlfn.XLOOKUP($B49,COA!$B:$B,COA!$D:$D,0,0,1)</f>
        <v>Other miscellaneous</v>
      </c>
      <c r="P49" s="178" t="str">
        <f>_xlfn.XLOOKUP($B49,COA!$B:$B,COA!$E:$E,0,0,1)</f>
        <v>Accumulated deficit</v>
      </c>
      <c r="R49" s="85"/>
      <c r="S49" s="85"/>
      <c r="T49" s="85"/>
      <c r="U49" s="85"/>
      <c r="V49" s="85"/>
      <c r="W49" s="85"/>
      <c r="X49" s="85"/>
    </row>
    <row r="50" spans="1:24" x14ac:dyDescent="0.25">
      <c r="A50" s="1398"/>
      <c r="B50" s="1393" t="str">
        <f>COA!B140</f>
        <v>6026 Fuel / Industrial Gas</v>
      </c>
      <c r="C50" s="1394">
        <f>SUMIF('PL.1 - FY24'!M:M,'IS - F25'!B50,'PL.1 - FY24'!O:O)</f>
        <v>0</v>
      </c>
      <c r="D50" s="1394">
        <f>SUMIF('PL.1 - FY24'!B:B,'IS - F25'!B50,'PL.1 - FY24'!F:F)</f>
        <v>1394.57</v>
      </c>
      <c r="E50" s="1390">
        <f>_xlfn.XLOOKUP(B50,'AJE.1B - F25'!A:A,'AJE.1B - F25'!F:F,0,0,1)</f>
        <v>0</v>
      </c>
      <c r="F50" s="1390"/>
      <c r="G50" s="219">
        <f t="shared" si="0"/>
        <v>1395</v>
      </c>
      <c r="H50" s="506"/>
      <c r="I50" s="1394">
        <f>SUMIF('PL.1 - FY24'!M:M,B50,'PL.1 - FY24'!R:R)</f>
        <v>0</v>
      </c>
      <c r="J50" s="1394">
        <f>SUMIF('PL.1 - FY24'!B:B,B50,'PL.1 - FY24'!J:J)</f>
        <v>2698.49</v>
      </c>
      <c r="K50" s="1390">
        <f>_xlfn.XLOOKUP(B50,'AJE.1B - F25'!A:A,'AJE.1B - F25'!M:M,0,0,1)</f>
        <v>0</v>
      </c>
      <c r="L50" s="1390"/>
      <c r="M50" s="219">
        <f t="shared" si="1"/>
        <v>2698</v>
      </c>
      <c r="N50" s="178" t="str">
        <f>_xlfn.XLOOKUP($B50,COA!$B:$B,COA!$C:$C,0,0,1)</f>
        <v>General and administration</v>
      </c>
      <c r="O50" s="178" t="str">
        <f>_xlfn.XLOOKUP($B50,COA!$B:$B,COA!$D:$D,0,0,1)</f>
        <v>Other miscellaneous</v>
      </c>
      <c r="P50" s="178" t="str">
        <f>_xlfn.XLOOKUP($B50,COA!$B:$B,COA!$E:$E,0,0,1)</f>
        <v>Accumulated deficit</v>
      </c>
      <c r="R50" s="85"/>
      <c r="S50" s="85"/>
      <c r="T50" s="85"/>
      <c r="U50" s="85"/>
      <c r="V50" s="85"/>
      <c r="W50" s="85"/>
      <c r="X50" s="85"/>
    </row>
    <row r="51" spans="1:24" x14ac:dyDescent="0.25">
      <c r="A51" s="1398"/>
      <c r="B51" s="1393" t="str">
        <f>COA!B141</f>
        <v>6030 Communications</v>
      </c>
      <c r="C51" s="1394">
        <f>SUMIF('PL.1 - FY24'!M:M,'IS - F25'!B51,'PL.1 - FY24'!O:O)</f>
        <v>0</v>
      </c>
      <c r="D51" s="1394">
        <f>SUMIF('PL.1 - FY24'!B:B,'IS - F25'!B51,'PL.1 - FY24'!F:F)</f>
        <v>0</v>
      </c>
      <c r="E51" s="1390">
        <f>_xlfn.XLOOKUP(B51,'AJE.1B - F25'!A:A,'AJE.1B - F25'!F:F,0,0,1)</f>
        <v>0</v>
      </c>
      <c r="F51" s="1390"/>
      <c r="G51" s="219">
        <f t="shared" si="0"/>
        <v>0</v>
      </c>
      <c r="H51" s="506"/>
      <c r="I51" s="1394">
        <f>SUMIF('PL.1 - FY24'!M:M,B51,'PL.1 - FY24'!R:R)</f>
        <v>0</v>
      </c>
      <c r="J51" s="1394">
        <f>SUMIF('PL.1 - FY24'!B:B,B51,'PL.1 - FY24'!J:J)</f>
        <v>0</v>
      </c>
      <c r="K51" s="1390">
        <f>_xlfn.XLOOKUP(B51,'AJE.1B - F25'!A:A,'AJE.1B - F25'!M:M,0,0,1)</f>
        <v>0</v>
      </c>
      <c r="L51" s="1390"/>
      <c r="M51" s="219">
        <f t="shared" si="1"/>
        <v>0</v>
      </c>
      <c r="N51" s="178" t="str">
        <f>_xlfn.XLOOKUP($B51,COA!$B:$B,COA!$C:$C,0,0,1)</f>
        <v>General and administration</v>
      </c>
      <c r="O51" s="178" t="str">
        <f>_xlfn.XLOOKUP($B51,COA!$B:$B,COA!$D:$D,0,0,1)</f>
        <v>Communications</v>
      </c>
      <c r="P51" s="178" t="str">
        <f>_xlfn.XLOOKUP($B51,COA!$B:$B,COA!$E:$E,0,0,1)</f>
        <v>Accumulated deficit</v>
      </c>
      <c r="R51" s="85"/>
      <c r="S51" s="85"/>
      <c r="T51" s="85"/>
      <c r="U51" s="85"/>
      <c r="V51" s="85"/>
      <c r="W51" s="85"/>
      <c r="X51" s="85"/>
    </row>
    <row r="52" spans="1:24" x14ac:dyDescent="0.25">
      <c r="A52" s="1398"/>
      <c r="B52" s="1393" t="str">
        <f>COA!B142</f>
        <v>6031 IT Expense</v>
      </c>
      <c r="C52" s="1394">
        <f>SUMIF('PL.1 - FY24'!M:M,'IS - F25'!B52,'PL.1 - FY24'!O:O)</f>
        <v>0</v>
      </c>
      <c r="D52" s="1394">
        <f>SUMIF('PL.1 - FY24'!B:B,'IS - F25'!B52,'PL.1 - FY24'!F:F)</f>
        <v>735.04</v>
      </c>
      <c r="E52" s="1390">
        <f>_xlfn.XLOOKUP(B52,'AJE.1B - F25'!A:A,'AJE.1B - F25'!F:F,0,0,1)</f>
        <v>0</v>
      </c>
      <c r="F52" s="1390"/>
      <c r="G52" s="219">
        <f t="shared" si="0"/>
        <v>735</v>
      </c>
      <c r="H52" s="506"/>
      <c r="I52" s="1394">
        <f>SUMIF('PL.1 - FY24'!M:M,B52,'PL.1 - FY24'!R:R)</f>
        <v>0</v>
      </c>
      <c r="J52" s="1394">
        <f>SUMIF('PL.1 - FY24'!B:B,B52,'PL.1 - FY24'!J:J)</f>
        <v>2195.9900000000002</v>
      </c>
      <c r="K52" s="1390">
        <f>_xlfn.XLOOKUP(B52,'AJE.1B - F25'!A:A,'AJE.1B - F25'!M:M,0,0,1)</f>
        <v>0</v>
      </c>
      <c r="L52" s="1390"/>
      <c r="M52" s="219">
        <f t="shared" si="1"/>
        <v>2196</v>
      </c>
      <c r="N52" s="178" t="str">
        <f>_xlfn.XLOOKUP($B52,COA!$B:$B,COA!$C:$C,0,0,1)</f>
        <v>General and administration</v>
      </c>
      <c r="O52" s="178" t="str">
        <f>_xlfn.XLOOKUP($B52,COA!$B:$B,COA!$D:$D,0,0,1)</f>
        <v>Office expenses</v>
      </c>
      <c r="P52" s="178" t="str">
        <f>_xlfn.XLOOKUP($B52,COA!$B:$B,COA!$E:$E,0,0,1)</f>
        <v>Accumulated deficit</v>
      </c>
      <c r="R52" s="85"/>
      <c r="S52" s="85"/>
      <c r="T52" s="85"/>
      <c r="U52" s="85"/>
      <c r="V52" s="85"/>
      <c r="W52" s="85"/>
      <c r="X52" s="85"/>
    </row>
    <row r="53" spans="1:24" x14ac:dyDescent="0.25">
      <c r="A53" s="1398"/>
      <c r="B53" s="1393" t="str">
        <f>COA!B143</f>
        <v>6040 Meals and entertainment</v>
      </c>
      <c r="C53" s="1394">
        <f>SUMIF('PL.1 - FY24'!M:M,'IS - F25'!B53,'PL.1 - FY24'!O:O)</f>
        <v>0</v>
      </c>
      <c r="D53" s="1394">
        <f>SUMIF('PL.1 - FY24'!B:B,'IS - F25'!B53,'PL.1 - FY24'!F:F)</f>
        <v>619.24</v>
      </c>
      <c r="E53" s="1390">
        <f>_xlfn.XLOOKUP(B53,'AJE.1B - F25'!A:A,'AJE.1B - F25'!F:F,0,0,1)</f>
        <v>0</v>
      </c>
      <c r="F53" s="1390"/>
      <c r="G53" s="219">
        <f t="shared" si="0"/>
        <v>619</v>
      </c>
      <c r="H53" s="506"/>
      <c r="I53" s="1394">
        <f>SUMIF('PL.1 - FY24'!M:M,B53,'PL.1 - FY24'!R:R)</f>
        <v>89.21</v>
      </c>
      <c r="J53" s="1394">
        <f>SUMIF('PL.1 - FY24'!B:B,B53,'PL.1 - FY24'!J:J)</f>
        <v>2773.6899999999996</v>
      </c>
      <c r="K53" s="1390">
        <f>_xlfn.XLOOKUP(B53,'AJE.1B - F25'!A:A,'AJE.1B - F25'!M:M,0,0,1)</f>
        <v>0</v>
      </c>
      <c r="L53" s="1390"/>
      <c r="M53" s="219">
        <f t="shared" si="1"/>
        <v>2863</v>
      </c>
      <c r="N53" s="178" t="str">
        <f>_xlfn.XLOOKUP($B53,COA!$B:$B,COA!$C:$C,0,0,1)</f>
        <v>General and administration</v>
      </c>
      <c r="O53" s="178" t="str">
        <f>_xlfn.XLOOKUP($B53,COA!$B:$B,COA!$D:$D,0,0,1)</f>
        <v>Meals and entertainment</v>
      </c>
      <c r="P53" s="178" t="str">
        <f>_xlfn.XLOOKUP($B53,COA!$B:$B,COA!$E:$E,0,0,1)</f>
        <v>Accumulated deficit</v>
      </c>
      <c r="R53" s="85"/>
      <c r="S53" s="85"/>
      <c r="T53" s="85"/>
      <c r="U53" s="85"/>
      <c r="V53" s="85"/>
      <c r="W53" s="85"/>
      <c r="X53" s="85"/>
    </row>
    <row r="54" spans="1:24" x14ac:dyDescent="0.25">
      <c r="A54" s="1398"/>
      <c r="B54" s="1393" t="str">
        <f>COA!B144</f>
        <v>6041 Travel Meals</v>
      </c>
      <c r="C54" s="1394">
        <f>SUMIF('PL.1 - FY24'!M:M,'IS - F25'!B54,'PL.1 - FY24'!O:O)</f>
        <v>0</v>
      </c>
      <c r="D54" s="1394">
        <f>SUMIF('PL.1 - FY24'!B:B,'IS - F25'!B54,'PL.1 - FY24'!F:F)</f>
        <v>40.04</v>
      </c>
      <c r="E54" s="1390">
        <f>_xlfn.XLOOKUP(B54,'AJE.1B - F25'!A:A,'AJE.1B - F25'!F:F,0,0,1)</f>
        <v>0</v>
      </c>
      <c r="F54" s="1390"/>
      <c r="G54" s="219">
        <f t="shared" si="0"/>
        <v>40</v>
      </c>
      <c r="H54" s="506"/>
      <c r="I54" s="1394">
        <f>SUMIF('PL.1 - FY24'!M:M,B54,'PL.1 - FY24'!R:R)</f>
        <v>0</v>
      </c>
      <c r="J54" s="1394">
        <f>SUMIF('PL.1 - FY24'!B:B,B54,'PL.1 - FY24'!J:J)</f>
        <v>1422.04</v>
      </c>
      <c r="K54" s="1390">
        <f>_xlfn.XLOOKUP(B54,'AJE.1B - F25'!A:A,'AJE.1B - F25'!M:M,0,0,1)</f>
        <v>0</v>
      </c>
      <c r="L54" s="1390"/>
      <c r="M54" s="219">
        <f t="shared" si="1"/>
        <v>1422</v>
      </c>
      <c r="N54" s="178" t="str">
        <f>_xlfn.XLOOKUP($B54,COA!$B:$B,COA!$C:$C,0,0,1)</f>
        <v>General and administration</v>
      </c>
      <c r="O54" s="178" t="str">
        <f>_xlfn.XLOOKUP($B54,COA!$B:$B,COA!$D:$D,0,0,1)</f>
        <v>Travel expenses</v>
      </c>
      <c r="P54" s="178" t="str">
        <f>_xlfn.XLOOKUP($B54,COA!$B:$B,COA!$E:$E,0,0,1)</f>
        <v>Accumulated deficit</v>
      </c>
      <c r="R54" s="85"/>
      <c r="S54" s="85"/>
      <c r="T54" s="85"/>
      <c r="U54" s="85"/>
      <c r="V54" s="85"/>
      <c r="W54" s="85"/>
      <c r="X54" s="85"/>
    </row>
    <row r="55" spans="1:24" x14ac:dyDescent="0.25">
      <c r="A55" s="1398"/>
      <c r="B55" s="1393" t="str">
        <f>COA!B145</f>
        <v>6042 Travel</v>
      </c>
      <c r="C55" s="1394">
        <f>SUMIF('PL.1 - FY24'!M:M,'IS - F25'!B55,'PL.1 - FY24'!O:O)</f>
        <v>0</v>
      </c>
      <c r="D55" s="1394">
        <f>SUMIF('PL.1 - FY24'!B:B,'IS - F25'!B55,'PL.1 - FY24'!F:F)</f>
        <v>944.77</v>
      </c>
      <c r="E55" s="1390">
        <f>_xlfn.XLOOKUP(B55,'AJE.1B - F25'!A:A,'AJE.1B - F25'!F:F,0,0,1)</f>
        <v>0</v>
      </c>
      <c r="F55" s="1390"/>
      <c r="G55" s="219">
        <f t="shared" si="0"/>
        <v>945</v>
      </c>
      <c r="H55" s="506"/>
      <c r="I55" s="1394">
        <f>SUMIF('PL.1 - FY24'!M:M,B55,'PL.1 - FY24'!R:R)</f>
        <v>464.52</v>
      </c>
      <c r="J55" s="1394">
        <f>SUMIF('PL.1 - FY24'!B:B,B55,'PL.1 - FY24'!J:J)</f>
        <v>6371.2199999999993</v>
      </c>
      <c r="K55" s="1390">
        <f>_xlfn.XLOOKUP(B55,'AJE.1B - F25'!A:A,'AJE.1B - F25'!M:M,0,0,1)</f>
        <v>0</v>
      </c>
      <c r="L55" s="1390"/>
      <c r="M55" s="219">
        <f t="shared" si="1"/>
        <v>6836</v>
      </c>
      <c r="N55" s="178" t="str">
        <f>_xlfn.XLOOKUP($B55,COA!$B:$B,COA!$C:$C,0,0,1)</f>
        <v>General and administration</v>
      </c>
      <c r="O55" s="178" t="str">
        <f>_xlfn.XLOOKUP($B55,COA!$B:$B,COA!$D:$D,0,0,1)</f>
        <v>Travel expenses</v>
      </c>
      <c r="P55" s="178" t="str">
        <f>_xlfn.XLOOKUP($B55,COA!$B:$B,COA!$E:$E,0,0,1)</f>
        <v>Accumulated deficit</v>
      </c>
      <c r="R55" s="85"/>
      <c r="S55" s="85"/>
      <c r="T55" s="85"/>
      <c r="U55" s="85"/>
      <c r="V55" s="85"/>
      <c r="W55" s="85"/>
      <c r="X55" s="85"/>
    </row>
    <row r="56" spans="1:24" x14ac:dyDescent="0.25">
      <c r="A56" s="1398"/>
      <c r="B56" s="1393" t="str">
        <f>COA!B146</f>
        <v>6043 Transfer agent and regulatory expenses</v>
      </c>
      <c r="C56" s="1394">
        <f>SUMIF('PL.1 - FY24'!M:M,'IS - F25'!B56,'PL.1 - FY24'!O:O)</f>
        <v>5250</v>
      </c>
      <c r="D56" s="1394">
        <f>SUMIF('PL.1 - FY24'!B:B,'IS - F25'!B56,'PL.1 - FY24'!F:F)</f>
        <v>0</v>
      </c>
      <c r="E56" s="1390">
        <f>_xlfn.XLOOKUP(B56,'AJE.1B - F25'!A:A,'AJE.1B - F25'!F:F,0,0,1)</f>
        <v>0</v>
      </c>
      <c r="F56" s="1390"/>
      <c r="G56" s="219">
        <f t="shared" si="0"/>
        <v>5250</v>
      </c>
      <c r="H56" s="506"/>
      <c r="I56" s="1394">
        <f>SUMIF('PL.1 - FY24'!M:M,B56,'PL.1 - FY24'!R:R)</f>
        <v>10700</v>
      </c>
      <c r="J56" s="1394">
        <f>SUMIF('PL.1 - FY24'!B:B,B56,'PL.1 - FY24'!J:J)</f>
        <v>0</v>
      </c>
      <c r="K56" s="1390">
        <f>_xlfn.XLOOKUP(B56,'AJE.1B - F25'!A:A,'AJE.1B - F25'!M:M,0,0,1)</f>
        <v>0</v>
      </c>
      <c r="L56" s="1390"/>
      <c r="M56" s="219">
        <f t="shared" si="1"/>
        <v>10700</v>
      </c>
      <c r="N56" s="178" t="str">
        <f>_xlfn.XLOOKUP($B56,COA!$B:$B,COA!$C:$C,0,0,1)</f>
        <v>General and administration</v>
      </c>
      <c r="O56" s="178" t="str">
        <f>_xlfn.XLOOKUP($B56,COA!$B:$B,COA!$D:$D,0,0,1)</f>
        <v>Transfer agent and regulatory expenses</v>
      </c>
      <c r="P56" s="178" t="str">
        <f>_xlfn.XLOOKUP($B56,COA!$B:$B,COA!$E:$E,0,0,1)</f>
        <v>Accumulated deficit</v>
      </c>
      <c r="R56" s="85"/>
      <c r="S56" s="85"/>
      <c r="T56" s="85"/>
      <c r="U56" s="85"/>
      <c r="V56" s="85"/>
      <c r="W56" s="85"/>
      <c r="X56" s="85"/>
    </row>
    <row r="57" spans="1:24" x14ac:dyDescent="0.25">
      <c r="A57" s="1398"/>
      <c r="B57" s="1393" t="str">
        <f>COA!B147</f>
        <v>6050 Insurance</v>
      </c>
      <c r="C57" s="1394">
        <f>SUMIF('PL.1 - FY24'!M:M,'IS - F25'!B57,'PL.1 - FY24'!O:O)</f>
        <v>9696.08</v>
      </c>
      <c r="D57" s="1394">
        <f>SUMIF('PL.1 - FY24'!B:B,'IS - F25'!B57,'PL.1 - FY24'!F:F)</f>
        <v>0</v>
      </c>
      <c r="E57" s="1390">
        <f>_xlfn.XLOOKUP(B57,'AJE.1B - F25'!A:A,'AJE.1B - F25'!F:F,0,0,1)</f>
        <v>0</v>
      </c>
      <c r="F57" s="1390"/>
      <c r="G57" s="219">
        <f t="shared" si="0"/>
        <v>9696</v>
      </c>
      <c r="H57" s="506"/>
      <c r="I57" s="1394">
        <f>SUMIF('PL.1 - FY24'!M:M,B57,'PL.1 - FY24'!R:R)</f>
        <v>23784.32</v>
      </c>
      <c r="J57" s="1394">
        <f>SUMIF('PL.1 - FY24'!B:B,B57,'PL.1 - FY24'!J:J)</f>
        <v>145.29</v>
      </c>
      <c r="K57" s="1390">
        <f>_xlfn.XLOOKUP(B57,'AJE.1B - F25'!A:A,'AJE.1B - F25'!M:M,0,0,1)</f>
        <v>0</v>
      </c>
      <c r="L57" s="1390"/>
      <c r="M57" s="219">
        <f t="shared" si="1"/>
        <v>23930</v>
      </c>
      <c r="N57" s="178" t="str">
        <f>_xlfn.XLOOKUP($B57,COA!$B:$B,COA!$C:$C,0,0,1)</f>
        <v>General and administration</v>
      </c>
      <c r="O57" s="178" t="str">
        <f>_xlfn.XLOOKUP($B57,COA!$B:$B,COA!$D:$D,0,0,1)</f>
        <v>Insurance</v>
      </c>
      <c r="P57" s="178" t="str">
        <f>_xlfn.XLOOKUP($B57,COA!$B:$B,COA!$E:$E,0,0,1)</f>
        <v>Accumulated deficit</v>
      </c>
      <c r="R57" s="85"/>
      <c r="S57" s="85"/>
      <c r="T57" s="85"/>
      <c r="U57" s="85"/>
      <c r="V57" s="85"/>
      <c r="W57" s="85"/>
      <c r="X57" s="85"/>
    </row>
    <row r="58" spans="1:24" x14ac:dyDescent="0.25">
      <c r="A58" s="1398"/>
      <c r="B58" s="1393" t="str">
        <f>COA!B148</f>
        <v>6060 Office expenses</v>
      </c>
      <c r="C58" s="1394">
        <f>SUMIF('PL.1 - FY24'!M:M,'IS - F25'!B58,'PL.1 - FY24'!O:O)</f>
        <v>0</v>
      </c>
      <c r="D58" s="1394">
        <f>SUMIF('PL.1 - FY24'!B:B,'IS - F25'!B58,'PL.1 - FY24'!F:F)</f>
        <v>0</v>
      </c>
      <c r="E58" s="1390">
        <f>_xlfn.XLOOKUP(B58,'AJE.1B - F25'!A:A,'AJE.1B - F25'!F:F,0,0,1)</f>
        <v>0</v>
      </c>
      <c r="F58" s="1390"/>
      <c r="G58" s="219">
        <f t="shared" si="0"/>
        <v>0</v>
      </c>
      <c r="H58" s="506"/>
      <c r="I58" s="1394">
        <f>SUMIF('PL.1 - FY24'!M:M,B58,'PL.1 - FY24'!R:R)</f>
        <v>928.16000000000008</v>
      </c>
      <c r="J58" s="1394">
        <f>SUMIF('PL.1 - FY24'!B:B,B58,'PL.1 - FY24'!J:J)</f>
        <v>0</v>
      </c>
      <c r="K58" s="1390">
        <f>_xlfn.XLOOKUP(B58,'AJE.1B - F25'!A:A,'AJE.1B - F25'!M:M,0,0,1)</f>
        <v>0</v>
      </c>
      <c r="L58" s="1390"/>
      <c r="M58" s="219">
        <f t="shared" si="1"/>
        <v>928</v>
      </c>
      <c r="N58" s="178" t="str">
        <f>_xlfn.XLOOKUP($B58,COA!$B:$B,COA!$C:$C,0,0,1)</f>
        <v>General and administration</v>
      </c>
      <c r="O58" s="178" t="str">
        <f>_xlfn.XLOOKUP($B58,COA!$B:$B,COA!$D:$D,0,0,1)</f>
        <v>Office expenses</v>
      </c>
      <c r="P58" s="178" t="str">
        <f>_xlfn.XLOOKUP($B58,COA!$B:$B,COA!$E:$E,0,0,1)</f>
        <v>Accumulated deficit</v>
      </c>
      <c r="R58" s="85"/>
      <c r="S58" s="85"/>
      <c r="T58" s="85"/>
      <c r="U58" s="85"/>
      <c r="V58" s="85"/>
      <c r="W58" s="85"/>
      <c r="X58" s="85"/>
    </row>
    <row r="59" spans="1:24" x14ac:dyDescent="0.25">
      <c r="A59" s="1398"/>
      <c r="B59" s="1393" t="str">
        <f>COA!B149</f>
        <v>6060 Repairs and Maintenance</v>
      </c>
      <c r="C59" s="1394">
        <f>SUMIF('PL.1 - FY24'!M:M,'IS - F25'!B59,'PL.1 - FY24'!O:O)</f>
        <v>0</v>
      </c>
      <c r="D59" s="1394">
        <f>SUMIF('PL.1 - FY24'!B:B,'IS - F25'!B59,'PL.1 - FY24'!F:F)</f>
        <v>0</v>
      </c>
      <c r="E59" s="1390">
        <f>_xlfn.XLOOKUP(B59,'AJE.1B - F25'!A:A,'AJE.1B - F25'!F:F,0,0,1)</f>
        <v>0</v>
      </c>
      <c r="F59" s="1390"/>
      <c r="G59" s="219">
        <f t="shared" si="0"/>
        <v>0</v>
      </c>
      <c r="H59" s="506"/>
      <c r="I59" s="1394">
        <f>SUMIF('PL.1 - FY24'!M:M,B59,'PL.1 - FY24'!R:R)</f>
        <v>0</v>
      </c>
      <c r="J59" s="1394">
        <f>SUMIF('PL.1 - FY24'!B:B,B59,'PL.1 - FY24'!J:J)</f>
        <v>0</v>
      </c>
      <c r="K59" s="1390">
        <f>_xlfn.XLOOKUP(B59,'AJE.1B - F25'!A:A,'AJE.1B - F25'!M:M,0,0,1)</f>
        <v>0</v>
      </c>
      <c r="L59" s="1390"/>
      <c r="M59" s="219">
        <f t="shared" si="1"/>
        <v>0</v>
      </c>
      <c r="N59" s="178" t="str">
        <f>_xlfn.XLOOKUP($B59,COA!$B:$B,COA!$C:$C,0,0,1)</f>
        <v>General and administration</v>
      </c>
      <c r="O59" s="178" t="str">
        <f>_xlfn.XLOOKUP($B59,COA!$B:$B,COA!$D:$D,0,0,1)</f>
        <v>Repairs and maintenance</v>
      </c>
      <c r="P59" s="178" t="str">
        <f>_xlfn.XLOOKUP($B59,COA!$B:$B,COA!$E:$E,0,0,1)</f>
        <v>Accumulated deficit</v>
      </c>
      <c r="R59" s="85"/>
      <c r="S59" s="85"/>
      <c r="T59" s="85"/>
      <c r="U59" s="85"/>
      <c r="V59" s="85"/>
      <c r="W59" s="85"/>
      <c r="X59" s="85"/>
    </row>
    <row r="60" spans="1:24" x14ac:dyDescent="0.25">
      <c r="A60" s="1398"/>
      <c r="B60" s="1393" t="str">
        <f>COA!B150</f>
        <v>6061 Other general and administrative expenses</v>
      </c>
      <c r="C60" s="1394">
        <f>SUMIF('PL.1 - FY24'!M:M,'IS - F25'!B60,'PL.1 - FY24'!O:O)</f>
        <v>0</v>
      </c>
      <c r="D60" s="1394">
        <f>SUMIF('PL.1 - FY24'!B:B,'IS - F25'!B60,'PL.1 - FY24'!F:F)</f>
        <v>0</v>
      </c>
      <c r="E60" s="1390">
        <f>_xlfn.XLOOKUP(B60,'AJE.1B - F25'!A:A,'AJE.1B - F25'!F:F,0,0,1)</f>
        <v>0</v>
      </c>
      <c r="F60" s="1390"/>
      <c r="G60" s="219">
        <f t="shared" si="0"/>
        <v>0</v>
      </c>
      <c r="H60" s="506"/>
      <c r="I60" s="1394">
        <f>SUMIF('PL.1 - FY24'!M:M,B60,'PL.1 - FY24'!R:R)</f>
        <v>0</v>
      </c>
      <c r="J60" s="1394">
        <f>SUMIF('PL.1 - FY24'!B:B,B60,'PL.1 - FY24'!J:J)</f>
        <v>0</v>
      </c>
      <c r="K60" s="1390">
        <f>_xlfn.XLOOKUP(B60,'AJE.1B - F25'!A:A,'AJE.1B - F25'!M:M,0,0,1)</f>
        <v>0</v>
      </c>
      <c r="L60" s="1390"/>
      <c r="M60" s="219">
        <f t="shared" si="1"/>
        <v>0</v>
      </c>
      <c r="N60" s="178" t="str">
        <f>_xlfn.XLOOKUP($B60,COA!$B:$B,COA!$C:$C,0,0,1)</f>
        <v>General and administration</v>
      </c>
      <c r="O60" s="178" t="str">
        <f>_xlfn.XLOOKUP($B60,COA!$B:$B,COA!$D:$D,0,0,1)</f>
        <v>Other miscellaneous</v>
      </c>
      <c r="P60" s="178" t="str">
        <f>_xlfn.XLOOKUP($B60,COA!$B:$B,COA!$E:$E,0,0,1)</f>
        <v>Accumulated deficit</v>
      </c>
      <c r="R60" s="85"/>
      <c r="S60" s="85"/>
      <c r="T60" s="85"/>
      <c r="U60" s="85"/>
      <c r="V60" s="85"/>
      <c r="W60" s="85"/>
      <c r="X60" s="85"/>
    </row>
    <row r="61" spans="1:24" x14ac:dyDescent="0.25">
      <c r="A61" s="1398"/>
      <c r="B61" s="1393" t="str">
        <f>COA!B151</f>
        <v>6065 Rent</v>
      </c>
      <c r="C61" s="1394">
        <f>SUMIF('PL.1 - FY24'!M:M,'IS - F25'!B61,'PL.1 - FY24'!O:O)</f>
        <v>0</v>
      </c>
      <c r="D61" s="1394">
        <f>SUMIF('PL.1 - FY24'!B:B,'IS - F25'!B61,'PL.1 - FY24'!F:F)</f>
        <v>0</v>
      </c>
      <c r="E61" s="1390">
        <f>_xlfn.XLOOKUP(B61,'AJE.1B - F25'!A:A,'AJE.1B - F25'!F:F,0,0,1)</f>
        <v>0</v>
      </c>
      <c r="F61" s="1390"/>
      <c r="G61" s="219">
        <f t="shared" si="0"/>
        <v>0</v>
      </c>
      <c r="H61" s="420"/>
      <c r="I61" s="1394">
        <f>SUMIF('PL.1 - FY24'!M:M,B61,'PL.1 - FY24'!R:R)</f>
        <v>0</v>
      </c>
      <c r="J61" s="1394">
        <f>SUMIF('PL.1 - FY24'!B:B,B61,'PL.1 - FY24'!J:J)</f>
        <v>0</v>
      </c>
      <c r="K61" s="1390">
        <f>_xlfn.XLOOKUP(B61,'AJE.1B - F25'!A:A,'AJE.1B - F25'!M:M,0,0,1)</f>
        <v>0</v>
      </c>
      <c r="L61" s="1390"/>
      <c r="M61" s="219">
        <f t="shared" si="1"/>
        <v>0</v>
      </c>
      <c r="N61" s="178" t="str">
        <f>_xlfn.XLOOKUP($B61,COA!$B:$B,COA!$C:$C,0,0,1)</f>
        <v>General and administration</v>
      </c>
      <c r="O61" s="178" t="str">
        <f>_xlfn.XLOOKUP($B61,COA!$B:$B,COA!$D:$D,0,0,1)</f>
        <v>Rent</v>
      </c>
      <c r="P61" s="178" t="str">
        <f>_xlfn.XLOOKUP($B61,COA!$B:$B,COA!$E:$E,0,0,1)</f>
        <v>Accumulated deficit</v>
      </c>
      <c r="R61" s="85"/>
      <c r="S61" s="85"/>
      <c r="T61" s="85"/>
      <c r="U61" s="85"/>
      <c r="V61" s="85"/>
      <c r="W61" s="85"/>
      <c r="X61" s="85"/>
    </row>
    <row r="62" spans="1:24" x14ac:dyDescent="0.25">
      <c r="A62" s="1398"/>
      <c r="B62" s="1393" t="str">
        <f>COA!B152</f>
        <v>6066 Utilities</v>
      </c>
      <c r="C62" s="1394">
        <f>SUMIF('PL.1 - FY24'!M:M,'IS - F25'!B62,'PL.1 - FY24'!O:O)</f>
        <v>0</v>
      </c>
      <c r="D62" s="1394">
        <f>SUMIF('PL.1 - FY24'!B:B,'IS - F25'!B62,'PL.1 - FY24'!F:F)</f>
        <v>0</v>
      </c>
      <c r="E62" s="1390">
        <f>_xlfn.XLOOKUP(B62,'AJE.1B - F25'!A:A,'AJE.1B - F25'!F:F,0,0,1)</f>
        <v>0</v>
      </c>
      <c r="F62" s="1390"/>
      <c r="G62" s="219">
        <f t="shared" si="0"/>
        <v>0</v>
      </c>
      <c r="H62" s="420"/>
      <c r="I62" s="1394">
        <f>SUMIF('PL.1 - FY24'!M:M,B62,'PL.1 - FY24'!R:R)</f>
        <v>0</v>
      </c>
      <c r="J62" s="1394">
        <f>SUMIF('PL.1 - FY24'!B:B,B62,'PL.1 - FY24'!J:J)</f>
        <v>0</v>
      </c>
      <c r="K62" s="1390">
        <f>_xlfn.XLOOKUP(B62,'AJE.1B - F25'!A:A,'AJE.1B - F25'!M:M,0,0,1)</f>
        <v>0</v>
      </c>
      <c r="L62" s="1390"/>
      <c r="M62" s="219">
        <f t="shared" si="1"/>
        <v>0</v>
      </c>
      <c r="N62" s="178" t="str">
        <f>_xlfn.XLOOKUP($B62,COA!$B:$B,COA!$C:$C,0,0,1)</f>
        <v>General and administration</v>
      </c>
      <c r="O62" s="178" t="str">
        <f>_xlfn.XLOOKUP($B62,COA!$B:$B,COA!$D:$D,0,0,1)</f>
        <v>Utilities</v>
      </c>
      <c r="P62" s="178" t="str">
        <f>_xlfn.XLOOKUP($B62,COA!$B:$B,COA!$E:$E,0,0,1)</f>
        <v>Accumulated deficit</v>
      </c>
      <c r="R62" s="85"/>
      <c r="S62" s="85"/>
      <c r="T62" s="85"/>
      <c r="U62" s="85"/>
      <c r="V62" s="85"/>
      <c r="W62" s="85"/>
      <c r="X62" s="85"/>
    </row>
    <row r="63" spans="1:24" x14ac:dyDescent="0.25">
      <c r="A63" s="1398"/>
      <c r="B63" s="1393" t="str">
        <f>COA!B153</f>
        <v>6068 Shipping, Freight, and Delivery</v>
      </c>
      <c r="C63" s="1394">
        <f>SUMIF('PL.1 - FY24'!M:M,'IS - F25'!B63,'PL.1 - FY24'!O:O)</f>
        <v>0</v>
      </c>
      <c r="D63" s="1394">
        <f>SUMIF('PL.1 - FY24'!B:B,'IS - F25'!B63,'PL.1 - FY24'!F:F)</f>
        <v>5493.81</v>
      </c>
      <c r="E63" s="1390">
        <f>_xlfn.XLOOKUP(B63,'AJE.1B - F25'!A:A,'AJE.1B - F25'!F:F,0,0,1)</f>
        <v>0</v>
      </c>
      <c r="F63" s="1390"/>
      <c r="G63" s="219">
        <f t="shared" si="0"/>
        <v>5494</v>
      </c>
      <c r="H63" s="420"/>
      <c r="I63" s="1394">
        <f>SUMIF('PL.1 - FY24'!M:M,B63,'PL.1 - FY24'!R:R)</f>
        <v>0</v>
      </c>
      <c r="J63" s="1394">
        <f>SUMIF('PL.1 - FY24'!B:B,B63,'PL.1 - FY24'!J:J)</f>
        <v>11443.810000000001</v>
      </c>
      <c r="K63" s="1390">
        <f>_xlfn.XLOOKUP(B63,'AJE.1B - F25'!A:A,'AJE.1B - F25'!M:M,0,0,1)</f>
        <v>0</v>
      </c>
      <c r="L63" s="1390"/>
      <c r="M63" s="219">
        <f t="shared" si="1"/>
        <v>11444</v>
      </c>
      <c r="N63" s="178" t="str">
        <f>_xlfn.XLOOKUP($B63,COA!$B:$B,COA!$C:$C,0,0,1)</f>
        <v>General and administration</v>
      </c>
      <c r="O63" s="178" t="str">
        <f>_xlfn.XLOOKUP($B63,COA!$B:$B,COA!$D:$D,0,0,1)</f>
        <v>Shipping expense</v>
      </c>
      <c r="P63" s="178" t="str">
        <f>_xlfn.XLOOKUP($B63,COA!$B:$B,COA!$E:$E,0,0,1)</f>
        <v>Accumulated deficit</v>
      </c>
      <c r="R63" s="85"/>
      <c r="S63" s="85"/>
      <c r="T63" s="85"/>
      <c r="U63" s="85"/>
      <c r="V63" s="85"/>
      <c r="W63" s="85"/>
      <c r="X63" s="85"/>
    </row>
    <row r="64" spans="1:24" x14ac:dyDescent="0.25">
      <c r="A64" s="1398"/>
      <c r="B64" s="1393" t="str">
        <f>COA!B154</f>
        <v>6070 Office Supplies</v>
      </c>
      <c r="C64" s="1394">
        <f>SUMIF('PL.1 - FY24'!M:M,'IS - F25'!B64,'PL.1 - FY24'!O:O)</f>
        <v>0</v>
      </c>
      <c r="D64" s="1394">
        <f>SUMIF('PL.1 - FY24'!B:B,'IS - F25'!B64,'PL.1 - FY24'!F:F)</f>
        <v>-203.7</v>
      </c>
      <c r="E64" s="1390">
        <f>_xlfn.XLOOKUP(B64,'AJE.1B - F25'!A:A,'AJE.1B - F25'!F:F,0,0,1)</f>
        <v>0</v>
      </c>
      <c r="F64" s="1390"/>
      <c r="G64" s="219">
        <f t="shared" si="0"/>
        <v>-204</v>
      </c>
      <c r="H64" s="420"/>
      <c r="I64" s="1394">
        <f>SUMIF('PL.1 - FY24'!M:M,B64,'PL.1 - FY24'!R:R)</f>
        <v>0</v>
      </c>
      <c r="J64" s="1394">
        <f>SUMIF('PL.1 - FY24'!B:B,B64,'PL.1 - FY24'!J:J)</f>
        <v>20.990000000000009</v>
      </c>
      <c r="K64" s="1390">
        <f>_xlfn.XLOOKUP(B64,'AJE.1B - F25'!A:A,'AJE.1B - F25'!M:M,0,0,1)</f>
        <v>0</v>
      </c>
      <c r="L64" s="1390"/>
      <c r="M64" s="219">
        <f t="shared" si="1"/>
        <v>21</v>
      </c>
      <c r="N64" s="178" t="str">
        <f>_xlfn.XLOOKUP($B64,COA!$B:$B,COA!$C:$C,0,0,1)</f>
        <v>General and administration</v>
      </c>
      <c r="O64" s="178" t="str">
        <f>_xlfn.XLOOKUP($B64,COA!$B:$B,COA!$D:$D,0,0,1)</f>
        <v>Office expenses</v>
      </c>
      <c r="P64" s="178" t="str">
        <f>_xlfn.XLOOKUP($B64,COA!$B:$B,COA!$E:$E,0,0,1)</f>
        <v>Accumulated deficit</v>
      </c>
      <c r="R64" s="85"/>
      <c r="S64" s="85"/>
      <c r="T64" s="85"/>
      <c r="U64" s="85"/>
      <c r="V64" s="85"/>
      <c r="W64" s="85"/>
      <c r="X64" s="85"/>
    </row>
    <row r="65" spans="1:24" x14ac:dyDescent="0.25">
      <c r="A65" s="1398"/>
      <c r="B65" s="1393" t="str">
        <f>COA!B155</f>
        <v>6075 Minor shop tools</v>
      </c>
      <c r="C65" s="1394">
        <f>SUMIF('PL.1 - FY24'!M:M,'IS - F25'!B65,'PL.1 - FY24'!O:O)</f>
        <v>0</v>
      </c>
      <c r="D65" s="1394">
        <f>SUMIF('PL.1 - FY24'!B:B,'IS - F25'!B65,'PL.1 - FY24'!F:F)</f>
        <v>1028.5899999999999</v>
      </c>
      <c r="E65" s="1390">
        <f>_xlfn.XLOOKUP(B65,'AJE.1B - F25'!A:A,'AJE.1B - F25'!F:F,0,0,1)</f>
        <v>0</v>
      </c>
      <c r="F65" s="1390"/>
      <c r="G65" s="219">
        <f t="shared" si="0"/>
        <v>1029</v>
      </c>
      <c r="H65" s="420"/>
      <c r="I65" s="1394">
        <f>SUMIF('PL.1 - FY24'!M:M,B65,'PL.1 - FY24'!R:R)</f>
        <v>0</v>
      </c>
      <c r="J65" s="1394">
        <f>SUMIF('PL.1 - FY24'!B:B,B65,'PL.1 - FY24'!J:J)</f>
        <v>1028.5899999999999</v>
      </c>
      <c r="K65" s="1390">
        <f>_xlfn.XLOOKUP(B65,'AJE.1B - F25'!A:A,'AJE.1B - F25'!M:M,0,0,1)</f>
        <v>0</v>
      </c>
      <c r="L65" s="1390"/>
      <c r="M65" s="219">
        <f t="shared" si="1"/>
        <v>1029</v>
      </c>
      <c r="N65" s="178" t="str">
        <f>_xlfn.XLOOKUP($B65,COA!$B:$B,COA!$C:$C,0,0,1)</f>
        <v>General and administration</v>
      </c>
      <c r="O65" s="178" t="str">
        <f>_xlfn.XLOOKUP($B65,COA!$B:$B,COA!$D:$D,0,0,1)</f>
        <v>Shop supplies</v>
      </c>
      <c r="P65" s="178" t="str">
        <f>_xlfn.XLOOKUP($B65,COA!$B:$B,COA!$E:$E,0,0,1)</f>
        <v>Accumulated deficit</v>
      </c>
      <c r="R65" s="85"/>
      <c r="S65" s="85"/>
      <c r="T65" s="85"/>
      <c r="U65" s="85"/>
      <c r="V65" s="85"/>
      <c r="W65" s="85"/>
      <c r="X65" s="85"/>
    </row>
    <row r="66" spans="1:24" x14ac:dyDescent="0.25">
      <c r="A66" s="1398"/>
      <c r="B66" s="1393" t="str">
        <f>COA!B156</f>
        <v>6076 Disposal/Landfill</v>
      </c>
      <c r="C66" s="1394">
        <f>SUMIF('PL.1 - FY24'!M:M,'IS - F25'!B66,'PL.1 - FY24'!O:O)</f>
        <v>0</v>
      </c>
      <c r="D66" s="1394">
        <f>SUMIF('PL.1 - FY24'!B:B,'IS - F25'!B66,'PL.1 - FY24'!F:F)</f>
        <v>0</v>
      </c>
      <c r="E66" s="1390">
        <f>_xlfn.XLOOKUP(B66,'AJE.1B - F25'!A:A,'AJE.1B - F25'!F:F,0,0,1)</f>
        <v>0</v>
      </c>
      <c r="F66" s="1390"/>
      <c r="G66" s="219">
        <f t="shared" si="0"/>
        <v>0</v>
      </c>
      <c r="H66" s="420"/>
      <c r="I66" s="1394">
        <f>SUMIF('PL.1 - FY24'!M:M,B66,'PL.1 - FY24'!R:R)</f>
        <v>0</v>
      </c>
      <c r="J66" s="1394">
        <f>SUMIF('PL.1 - FY24'!B:B,B66,'PL.1 - FY24'!J:J)</f>
        <v>0</v>
      </c>
      <c r="K66" s="1390">
        <f>_xlfn.XLOOKUP(B66,'AJE.1B - F25'!A:A,'AJE.1B - F25'!M:M,0,0,1)</f>
        <v>0</v>
      </c>
      <c r="L66" s="1390"/>
      <c r="M66" s="219">
        <f t="shared" si="1"/>
        <v>0</v>
      </c>
      <c r="N66" s="178" t="str">
        <f>_xlfn.XLOOKUP($B66,COA!$B:$B,COA!$C:$C,0,0,1)</f>
        <v>General and administration</v>
      </c>
      <c r="O66" s="178" t="str">
        <f>_xlfn.XLOOKUP($B66,COA!$B:$B,COA!$D:$D,0,0,1)</f>
        <v>Other miscellaneous</v>
      </c>
      <c r="P66" s="178" t="str">
        <f>_xlfn.XLOOKUP($B66,COA!$B:$B,COA!$E:$E,0,0,1)</f>
        <v>Accumulated deficit</v>
      </c>
      <c r="R66" s="85"/>
      <c r="S66" s="85"/>
      <c r="T66" s="85"/>
      <c r="U66" s="85"/>
      <c r="V66" s="85"/>
      <c r="W66" s="85"/>
      <c r="X66" s="85"/>
    </row>
    <row r="67" spans="1:24" x14ac:dyDescent="0.25">
      <c r="A67" s="1398"/>
      <c r="B67" s="1393" t="str">
        <f>COA!B157</f>
        <v>6080 PST Expense (BC)</v>
      </c>
      <c r="C67" s="1394">
        <f>SUMIF('PL.1 - FY24'!M:M,'IS - F25'!B67,'PL.1 - FY24'!O:O)</f>
        <v>0</v>
      </c>
      <c r="D67" s="1394">
        <f>SUMIF('PL.1 - FY24'!B:B,'IS - F25'!B67,'PL.1 - FY24'!F:F)</f>
        <v>0</v>
      </c>
      <c r="E67" s="1390">
        <f>_xlfn.XLOOKUP(B67,'AJE.1B - F25'!A:A,'AJE.1B - F25'!F:F,0,0,1)</f>
        <v>0</v>
      </c>
      <c r="F67" s="1390"/>
      <c r="G67" s="219">
        <f t="shared" si="0"/>
        <v>0</v>
      </c>
      <c r="H67" s="420"/>
      <c r="I67" s="1394">
        <f>SUMIF('PL.1 - FY24'!M:M,B67,'PL.1 - FY24'!R:R)</f>
        <v>0</v>
      </c>
      <c r="J67" s="1394">
        <f>SUMIF('PL.1 - FY24'!B:B,B67,'PL.1 - FY24'!J:J)</f>
        <v>0</v>
      </c>
      <c r="K67" s="1390">
        <f>_xlfn.XLOOKUP(B67,'AJE.1B - F25'!A:A,'AJE.1B - F25'!M:M,0,0,1)</f>
        <v>0</v>
      </c>
      <c r="L67" s="1390"/>
      <c r="M67" s="219">
        <f t="shared" si="1"/>
        <v>0</v>
      </c>
      <c r="N67" s="178" t="str">
        <f>_xlfn.XLOOKUP($B67,COA!$B:$B,COA!$C:$C,0,0,1)</f>
        <v>General and administration</v>
      </c>
      <c r="O67" s="178" t="str">
        <f>_xlfn.XLOOKUP($B67,COA!$B:$B,COA!$D:$D,0,0,1)</f>
        <v>Taxes and licenses</v>
      </c>
      <c r="P67" s="178" t="str">
        <f>_xlfn.XLOOKUP($B67,COA!$B:$B,COA!$E:$E,0,0,1)</f>
        <v>Accumulated deficit</v>
      </c>
      <c r="R67" s="85"/>
      <c r="S67" s="85"/>
      <c r="T67" s="85"/>
      <c r="U67" s="85"/>
      <c r="V67" s="85"/>
      <c r="W67" s="85"/>
      <c r="X67" s="85"/>
    </row>
    <row r="68" spans="1:24" x14ac:dyDescent="0.25">
      <c r="A68" s="1398"/>
      <c r="B68" s="1393" t="str">
        <f>COA!B158</f>
        <v>6080 Shop and other supplies</v>
      </c>
      <c r="C68" s="1394">
        <f>SUMIF('PL.1 - FY24'!M:M,'IS - F25'!B68,'PL.1 - FY24'!O:O)</f>
        <v>0</v>
      </c>
      <c r="D68" s="1394">
        <f>SUMIF('PL.1 - FY24'!B:B,'IS - F25'!B68,'PL.1 - FY24'!F:F)</f>
        <v>1699.37</v>
      </c>
      <c r="E68" s="1390">
        <f>_xlfn.XLOOKUP(B68,'AJE.1B - F25'!A:A,'AJE.1B - F25'!F:F,0,0,1)</f>
        <v>0</v>
      </c>
      <c r="F68" s="1390"/>
      <c r="G68" s="219">
        <f t="shared" si="0"/>
        <v>1699</v>
      </c>
      <c r="H68" s="420"/>
      <c r="I68" s="1394">
        <f>SUMIF('PL.1 - FY24'!M:M,B68,'PL.1 - FY24'!R:R)</f>
        <v>0</v>
      </c>
      <c r="J68" s="1394">
        <f>SUMIF('PL.1 - FY24'!B:B,B68,'PL.1 - FY24'!J:J)</f>
        <v>2901.1899999999996</v>
      </c>
      <c r="K68" s="1390">
        <f>_xlfn.XLOOKUP(B68,'AJE.1B - F25'!A:A,'AJE.1B - F25'!M:M,0,0,1)</f>
        <v>0</v>
      </c>
      <c r="L68" s="1390"/>
      <c r="M68" s="219">
        <f t="shared" si="1"/>
        <v>2901</v>
      </c>
      <c r="N68" s="178" t="str">
        <f>_xlfn.XLOOKUP($B68,COA!$B:$B,COA!$C:$C,0,0,1)</f>
        <v>General and administration</v>
      </c>
      <c r="O68" s="178" t="str">
        <f>_xlfn.XLOOKUP($B68,COA!$B:$B,COA!$D:$D,0,0,1)</f>
        <v>Shop supplies</v>
      </c>
      <c r="P68" s="178" t="str">
        <f>_xlfn.XLOOKUP($B68,COA!$B:$B,COA!$E:$E,0,0,1)</f>
        <v>Accumulated deficit</v>
      </c>
      <c r="R68" s="85"/>
      <c r="S68" s="85"/>
      <c r="T68" s="85"/>
      <c r="U68" s="85"/>
      <c r="V68" s="85"/>
      <c r="W68" s="85"/>
      <c r="X68" s="85"/>
    </row>
    <row r="69" spans="1:24" x14ac:dyDescent="0.25">
      <c r="A69" s="1398"/>
      <c r="B69" s="1393" t="str">
        <f>COA!B159</f>
        <v>6085 Depreciation</v>
      </c>
      <c r="C69" s="1394">
        <f>SUMIF('PL.1 - FY24'!M:M,'IS - F25'!B69,'PL.1 - FY24'!O:O)</f>
        <v>0</v>
      </c>
      <c r="D69" s="1394">
        <f>SUMIF('PL.1 - FY24'!B:B,'IS - F25'!B69,'PL.1 - FY24'!F:F)</f>
        <v>509.01</v>
      </c>
      <c r="E69" s="1390">
        <f>_xlfn.XLOOKUP(B69,'AJE.1B - F25'!A:A,'AJE.1B - F25'!F:F,0,0,1)</f>
        <v>0</v>
      </c>
      <c r="F69" s="1390"/>
      <c r="G69" s="219">
        <f t="shared" si="0"/>
        <v>509</v>
      </c>
      <c r="H69" s="420"/>
      <c r="I69" s="1394">
        <f>SUMIF('PL.1 - FY24'!M:M,B69,'PL.1 - FY24'!R:R)</f>
        <v>0</v>
      </c>
      <c r="J69" s="1394">
        <f>SUMIF('PL.1 - FY24'!B:B,B69,'PL.1 - FY24'!J:J)</f>
        <v>948.31</v>
      </c>
      <c r="K69" s="1390">
        <f>_xlfn.XLOOKUP(B69,'AJE.1B - F25'!A:A,'AJE.1B - F25'!M:M,0,0,1)</f>
        <v>1256364</v>
      </c>
      <c r="L69" s="1390"/>
      <c r="M69" s="219">
        <f t="shared" si="1"/>
        <v>1257312</v>
      </c>
      <c r="N69" s="178" t="str">
        <f>_xlfn.XLOOKUP($B69,COA!$B:$B,COA!$C:$C,0,0,1)</f>
        <v>General and administration</v>
      </c>
      <c r="O69" s="178" t="str">
        <f>_xlfn.XLOOKUP($B69,COA!$B:$B,COA!$D:$D,0,0,1)</f>
        <v>Depreciation and amortization</v>
      </c>
      <c r="P69" s="178" t="str">
        <f>_xlfn.XLOOKUP($B69,COA!$B:$B,COA!$E:$E,0,0,1)</f>
        <v>Accumulated deficit</v>
      </c>
      <c r="R69" s="85"/>
      <c r="S69" s="85"/>
      <c r="T69" s="85"/>
      <c r="U69" s="85"/>
      <c r="V69" s="85"/>
      <c r="W69" s="85"/>
      <c r="X69" s="85"/>
    </row>
    <row r="70" spans="1:24" x14ac:dyDescent="0.25">
      <c r="A70" s="1398"/>
      <c r="B70" s="1393" t="str">
        <f>COA!B160</f>
        <v>6090 Corporate Tax Expense</v>
      </c>
      <c r="C70" s="1394">
        <f>SUMIF('PL.1 - FY24'!M:M,'IS - F25'!B70,'PL.1 - FY24'!O:O)</f>
        <v>0</v>
      </c>
      <c r="D70" s="1394">
        <f>SUMIF('PL.1 - FY24'!B:B,'IS - F25'!B70,'PL.1 - FY24'!F:F)</f>
        <v>0</v>
      </c>
      <c r="E70" s="1390">
        <f>_xlfn.XLOOKUP(B70,'AJE.1B - F25'!A:A,'AJE.1B - F25'!F:F,0,0,1)</f>
        <v>0</v>
      </c>
      <c r="F70" s="1390"/>
      <c r="G70" s="219">
        <f t="shared" si="0"/>
        <v>0</v>
      </c>
      <c r="H70" s="420"/>
      <c r="I70" s="1394">
        <f>SUMIF('PL.1 - FY24'!M:M,B70,'PL.1 - FY24'!R:R)</f>
        <v>0</v>
      </c>
      <c r="J70" s="1394">
        <f>SUMIF('PL.1 - FY24'!B:B,B70,'PL.1 - FY24'!J:J)</f>
        <v>0</v>
      </c>
      <c r="K70" s="1390">
        <f>_xlfn.XLOOKUP(B70,'AJE.1B - F25'!A:A,'AJE.1B - F25'!M:M,0,0,1)</f>
        <v>0</v>
      </c>
      <c r="L70" s="1390"/>
      <c r="M70" s="219">
        <f t="shared" si="1"/>
        <v>0</v>
      </c>
      <c r="N70" s="178" t="str">
        <f>_xlfn.XLOOKUP($B70,COA!$B:$B,COA!$C:$C,0,0,1)</f>
        <v>General and administration</v>
      </c>
      <c r="O70" s="178" t="str">
        <f>_xlfn.XLOOKUP($B70,COA!$B:$B,COA!$D:$D,0,0,1)</f>
        <v>Current tax recovery (expense)</v>
      </c>
      <c r="P70" s="178" t="str">
        <f>_xlfn.XLOOKUP($B70,COA!$B:$B,COA!$E:$E,0,0,1)</f>
        <v>Accumulated deficit</v>
      </c>
      <c r="R70" s="85"/>
      <c r="S70" s="85"/>
      <c r="T70" s="85"/>
      <c r="U70" s="85"/>
      <c r="V70" s="85"/>
      <c r="W70" s="85"/>
      <c r="X70" s="85"/>
    </row>
    <row r="71" spans="1:24" x14ac:dyDescent="0.25">
      <c r="A71" s="1398"/>
      <c r="B71" s="1393" t="str">
        <f>COA!B161</f>
        <v>6092 Penalties</v>
      </c>
      <c r="C71" s="1394">
        <f>SUMIF('PL.1 - FY24'!M:M,'IS - F25'!B71,'PL.1 - FY24'!O:O)</f>
        <v>0</v>
      </c>
      <c r="D71" s="1394">
        <f>SUMIF('PL.1 - FY24'!B:B,'IS - F25'!B71,'PL.1 - FY24'!F:F)</f>
        <v>0</v>
      </c>
      <c r="E71" s="1390">
        <f>_xlfn.XLOOKUP(B71,'AJE.1B - F25'!A:A,'AJE.1B - F25'!F:F,0,0,1)</f>
        <v>0</v>
      </c>
      <c r="F71" s="1390"/>
      <c r="G71" s="219">
        <f t="shared" si="0"/>
        <v>0</v>
      </c>
      <c r="H71" s="420"/>
      <c r="I71" s="1394">
        <f>SUMIF('PL.1 - FY24'!M:M,B71,'PL.1 - FY24'!R:R)</f>
        <v>0</v>
      </c>
      <c r="J71" s="1394">
        <f>SUMIF('PL.1 - FY24'!B:B,B71,'PL.1 - FY24'!J:J)</f>
        <v>0</v>
      </c>
      <c r="K71" s="1390">
        <f>_xlfn.XLOOKUP(B71,'AJE.1B - F25'!A:A,'AJE.1B - F25'!M:M,0,0,1)</f>
        <v>0</v>
      </c>
      <c r="L71" s="1390"/>
      <c r="M71" s="219">
        <f t="shared" si="1"/>
        <v>0</v>
      </c>
      <c r="N71" s="178" t="str">
        <f>_xlfn.XLOOKUP($B71,COA!$B:$B,COA!$C:$C,0,0,1)</f>
        <v>General and administration</v>
      </c>
      <c r="O71" s="178" t="str">
        <f>_xlfn.XLOOKUP($B71,COA!$B:$B,COA!$D:$D,0,0,1)</f>
        <v>Interest expense</v>
      </c>
      <c r="P71" s="178" t="str">
        <f>_xlfn.XLOOKUP($B71,COA!$B:$B,COA!$E:$E,0,0,1)</f>
        <v>Accumulated deficit</v>
      </c>
      <c r="R71" s="85"/>
      <c r="S71" s="85"/>
      <c r="T71" s="85"/>
      <c r="U71" s="85"/>
      <c r="V71" s="85"/>
      <c r="W71" s="85"/>
      <c r="X71" s="85"/>
    </row>
    <row r="72" spans="1:24" x14ac:dyDescent="0.25">
      <c r="A72" s="1398"/>
      <c r="B72" s="1393" t="str">
        <f>COA!B162</f>
        <v>6092 Penalities</v>
      </c>
      <c r="C72" s="1394">
        <f>SUMIF('PL.1 - FY24'!M:M,'IS - F25'!B72,'PL.1 - FY24'!O:O)</f>
        <v>0</v>
      </c>
      <c r="D72" s="1394">
        <f>SUMIF('PL.1 - FY24'!B:B,'IS - F25'!B72,'PL.1 - FY24'!F:F)</f>
        <v>0</v>
      </c>
      <c r="E72" s="1390">
        <f>_xlfn.XLOOKUP(B72,'AJE.1B - F25'!A:A,'AJE.1B - F25'!F:F,0,0,1)</f>
        <v>0</v>
      </c>
      <c r="F72" s="1390"/>
      <c r="G72" s="219">
        <f t="shared" ref="G72:G86" si="4">ROUND(SUM(C72:F72),0)</f>
        <v>0</v>
      </c>
      <c r="H72" s="420"/>
      <c r="I72" s="1394">
        <f>SUMIF('PL.1 - FY24'!M:M,B72,'PL.1 - FY24'!R:R)</f>
        <v>0</v>
      </c>
      <c r="J72" s="1394">
        <f>SUMIF('PL.1 - FY24'!B:B,B72,'PL.1 - FY24'!J:J)</f>
        <v>0</v>
      </c>
      <c r="K72" s="1390">
        <f>_xlfn.XLOOKUP(B72,'AJE.1B - F25'!A:A,'AJE.1B - F25'!M:M,0,0,1)</f>
        <v>0</v>
      </c>
      <c r="L72" s="1390"/>
      <c r="M72" s="219">
        <f t="shared" ref="M72:M86" si="5">ROUND(SUM(I72:L72),0)</f>
        <v>0</v>
      </c>
      <c r="N72" s="178" t="str">
        <f>_xlfn.XLOOKUP($B72,COA!$B:$B,COA!$C:$C,0,0,1)</f>
        <v>General and administration</v>
      </c>
      <c r="O72" s="178" t="str">
        <f>_xlfn.XLOOKUP($B72,COA!$B:$B,COA!$D:$D,0,0,1)</f>
        <v xml:space="preserve">Interest and penalties </v>
      </c>
      <c r="P72" s="178" t="str">
        <f>_xlfn.XLOOKUP($B72,COA!$B:$B,COA!$E:$E,0,0,1)</f>
        <v>Accumulated deficit</v>
      </c>
      <c r="R72" s="85"/>
      <c r="S72" s="85"/>
      <c r="T72" s="85"/>
      <c r="U72" s="85"/>
      <c r="V72" s="85"/>
      <c r="W72" s="85"/>
      <c r="X72" s="85"/>
    </row>
    <row r="73" spans="1:24" x14ac:dyDescent="0.25">
      <c r="A73" s="1398"/>
      <c r="B73" s="1393" t="str">
        <f>COA!B163</f>
        <v>6100 Listing expense</v>
      </c>
      <c r="C73" s="1394">
        <f>SUMIF('PL.1 - FY24'!M:M,'IS - F25'!B73,'PL.1 - FY24'!O:O)</f>
        <v>0</v>
      </c>
      <c r="D73" s="1394">
        <f>SUMIF('PL.1 - FY24'!B:B,'IS - F25'!B73,'PL.1 - FY24'!F:F)</f>
        <v>0</v>
      </c>
      <c r="E73" s="1390">
        <f>_xlfn.XLOOKUP(B73,'AJE.1B - F25'!A:A,'AJE.1B - F25'!F:F,0,0,1)</f>
        <v>0</v>
      </c>
      <c r="F73" s="1390"/>
      <c r="G73" s="219">
        <f t="shared" si="4"/>
        <v>0</v>
      </c>
      <c r="H73" s="420"/>
      <c r="I73" s="1394">
        <f>SUMIF('PL.1 - FY24'!M:M,B73,'PL.1 - FY24'!R:R)</f>
        <v>0</v>
      </c>
      <c r="J73" s="1394">
        <f>SUMIF('PL.1 - FY24'!B:B,B73,'PL.1 - FY24'!J:J)</f>
        <v>0</v>
      </c>
      <c r="K73" s="1390">
        <f>_xlfn.XLOOKUP(B73,'AJE.1B - F25'!A:A,'AJE.1B - F25'!M:M,0,0,1)</f>
        <v>0</v>
      </c>
      <c r="L73" s="1390"/>
      <c r="M73" s="219">
        <f t="shared" si="5"/>
        <v>0</v>
      </c>
      <c r="N73" s="178" t="str">
        <f>_xlfn.XLOOKUP($B73,COA!$B:$B,COA!$C:$C,0,0,1)</f>
        <v>General and administration</v>
      </c>
      <c r="O73" s="178" t="str">
        <f>_xlfn.XLOOKUP($B73,COA!$B:$B,COA!$D:$D,0,0,1)</f>
        <v>Listing expense</v>
      </c>
      <c r="P73" s="178" t="str">
        <f>_xlfn.XLOOKUP($B73,COA!$B:$B,COA!$E:$E,0,0,1)</f>
        <v>Accumulated deficit</v>
      </c>
      <c r="R73" s="85"/>
      <c r="S73" s="85"/>
      <c r="T73" s="85"/>
      <c r="U73" s="85"/>
      <c r="V73" s="85"/>
      <c r="W73" s="85"/>
      <c r="X73" s="85"/>
    </row>
    <row r="74" spans="1:24" x14ac:dyDescent="0.25">
      <c r="A74" s="1398"/>
      <c r="B74" s="1393" t="str">
        <f>COA!B164</f>
        <v>6300 Unapplied Cash Bill Payment Expense</v>
      </c>
      <c r="C74" s="1394">
        <f>SUMIF('PL.1 - FY24'!M:M,'IS - F25'!B74,'PL.1 - FY24'!O:O)</f>
        <v>0</v>
      </c>
      <c r="D74" s="1394">
        <f>SUMIF('PL.1 - FY24'!B:B,'IS - F25'!B74,'PL.1 - FY24'!F:F)</f>
        <v>0</v>
      </c>
      <c r="E74" s="1390">
        <f>_xlfn.XLOOKUP(B74,'AJE.1B - F25'!A:A,'AJE.1B - F25'!F:F,0,0,1)</f>
        <v>0</v>
      </c>
      <c r="F74" s="1390"/>
      <c r="G74" s="219">
        <f t="shared" si="4"/>
        <v>0</v>
      </c>
      <c r="H74" s="420"/>
      <c r="I74" s="1394">
        <f>SUMIF('PL.1 - FY24'!M:M,B74,'PL.1 - FY24'!R:R)</f>
        <v>0</v>
      </c>
      <c r="J74" s="1394">
        <f>SUMIF('PL.1 - FY24'!B:B,B74,'PL.1 - FY24'!J:J)</f>
        <v>0</v>
      </c>
      <c r="K74" s="1390">
        <f>_xlfn.XLOOKUP(B74,'AJE.1B - F25'!A:A,'AJE.1B - F25'!M:M,0,0,1)</f>
        <v>0</v>
      </c>
      <c r="L74" s="1390"/>
      <c r="M74" s="219">
        <f t="shared" si="5"/>
        <v>0</v>
      </c>
      <c r="N74" s="178" t="str">
        <f>_xlfn.XLOOKUP($B74,COA!$B:$B,COA!$C:$C,0,0,1)</f>
        <v>General and administration</v>
      </c>
      <c r="O74" s="178" t="str">
        <f>_xlfn.XLOOKUP($B74,COA!$B:$B,COA!$D:$D,0,0,1)</f>
        <v>Other miscellaneous</v>
      </c>
      <c r="P74" s="178" t="str">
        <f>_xlfn.XLOOKUP($B74,COA!$B:$B,COA!$E:$E,0,0,1)</f>
        <v>Accumulated deficit</v>
      </c>
      <c r="R74" s="85"/>
      <c r="S74" s="85"/>
      <c r="T74" s="85"/>
      <c r="U74" s="85"/>
      <c r="V74" s="85"/>
      <c r="W74" s="85"/>
      <c r="X74" s="85"/>
    </row>
    <row r="75" spans="1:24" x14ac:dyDescent="0.25">
      <c r="A75" s="1398"/>
      <c r="B75" s="1393" t="str">
        <f>COA!B167</f>
        <v>6997 Unapplied Cash Bill Payment Expense</v>
      </c>
      <c r="C75" s="1394">
        <f>SUMIF('PL.1 - FY24'!M:M,'IS - F25'!B75,'PL.1 - FY24'!O:O)</f>
        <v>0</v>
      </c>
      <c r="D75" s="1394">
        <f>SUMIF('PL.1 - FY24'!B:B,'IS - F25'!B75,'PL.1 - FY24'!F:F)</f>
        <v>0</v>
      </c>
      <c r="E75" s="1390">
        <f>_xlfn.XLOOKUP(B75,'AJE.1B - F25'!A:A,'AJE.1B - F25'!F:F,0,0,1)</f>
        <v>0</v>
      </c>
      <c r="F75" s="1390"/>
      <c r="G75" s="219">
        <f t="shared" si="4"/>
        <v>0</v>
      </c>
      <c r="H75" s="420"/>
      <c r="I75" s="1394">
        <f>SUMIF('PL.1 - FY24'!M:M,B75,'PL.1 - FY24'!R:R)</f>
        <v>0</v>
      </c>
      <c r="J75" s="1394">
        <f>SUMIF('PL.1 - FY24'!B:B,B75,'PL.1 - FY24'!J:J)</f>
        <v>0</v>
      </c>
      <c r="K75" s="1390">
        <f>_xlfn.XLOOKUP(B75,'AJE.1B - F25'!A:A,'AJE.1B - F25'!M:M,0,0,1)</f>
        <v>0</v>
      </c>
      <c r="L75" s="1390"/>
      <c r="M75" s="219">
        <f t="shared" si="5"/>
        <v>0</v>
      </c>
      <c r="N75" s="178" t="str">
        <f>_xlfn.XLOOKUP($B75,COA!$B:$B,COA!$C:$C,0,0,1)</f>
        <v>Other expenses</v>
      </c>
      <c r="O75" s="178" t="str">
        <f>_xlfn.XLOOKUP($B75,COA!$B:$B,COA!$D:$D,0,0,1)</f>
        <v>Other miscellaneous</v>
      </c>
      <c r="P75" s="178" t="str">
        <f>_xlfn.XLOOKUP($B75,COA!$B:$B,COA!$E:$E,0,0,1)</f>
        <v>Accumulated deficit</v>
      </c>
      <c r="R75" s="85"/>
      <c r="S75" s="85"/>
      <c r="T75" s="85"/>
      <c r="U75" s="85"/>
      <c r="V75" s="85"/>
      <c r="W75" s="85"/>
      <c r="X75" s="85"/>
    </row>
    <row r="76" spans="1:24" x14ac:dyDescent="0.25">
      <c r="A76" s="1398"/>
      <c r="B76" s="1393" t="str">
        <f>COA!B168</f>
        <v>6998 Uncategorized Expense</v>
      </c>
      <c r="C76" s="1394">
        <f>SUMIF('PL.1 - FY24'!M:M,'IS - F25'!B76,'PL.1 - FY24'!O:O)</f>
        <v>0</v>
      </c>
      <c r="D76" s="1394">
        <f>SUMIF('PL.1 - FY24'!B:B,'IS - F25'!B76,'PL.1 - FY24'!F:F)</f>
        <v>0</v>
      </c>
      <c r="E76" s="1390">
        <f>_xlfn.XLOOKUP(B76,'AJE.1B - F25'!A:A,'AJE.1B - F25'!F:F,0,0,1)</f>
        <v>0</v>
      </c>
      <c r="F76" s="1390"/>
      <c r="G76" s="219">
        <f t="shared" si="4"/>
        <v>0</v>
      </c>
      <c r="H76" s="420"/>
      <c r="I76" s="1394">
        <f>SUMIF('PL.1 - FY24'!M:M,B76,'PL.1 - FY24'!R:R)</f>
        <v>0</v>
      </c>
      <c r="J76" s="1394">
        <f>SUMIF('PL.1 - FY24'!B:B,B76,'PL.1 - FY24'!J:J)</f>
        <v>0</v>
      </c>
      <c r="K76" s="1390">
        <f>_xlfn.XLOOKUP(B76,'AJE.1B - F25'!A:A,'AJE.1B - F25'!M:M,0,0,1)</f>
        <v>0</v>
      </c>
      <c r="L76" s="1390"/>
      <c r="M76" s="219">
        <f t="shared" si="5"/>
        <v>0</v>
      </c>
      <c r="N76" s="178" t="str">
        <f>_xlfn.XLOOKUP($B76,COA!$B:$B,COA!$C:$C,0,0,1)</f>
        <v>General and administration</v>
      </c>
      <c r="O76" s="178" t="str">
        <f>_xlfn.XLOOKUP($B76,COA!$B:$B,COA!$D:$D,0,0,1)</f>
        <v>Other miscellaneous</v>
      </c>
      <c r="P76" s="178" t="str">
        <f>_xlfn.XLOOKUP($B76,COA!$B:$B,COA!$E:$E,0,0,1)</f>
        <v>Accumulated deficit</v>
      </c>
      <c r="R76" s="85"/>
      <c r="S76" s="85"/>
      <c r="T76" s="85"/>
      <c r="U76" s="85"/>
      <c r="V76" s="85"/>
      <c r="W76" s="85"/>
      <c r="X76" s="85"/>
    </row>
    <row r="77" spans="1:24" x14ac:dyDescent="0.25">
      <c r="A77" s="1398"/>
      <c r="B77" s="1393" t="str">
        <f>COA!B169</f>
        <v>6999 Miscellaneous</v>
      </c>
      <c r="C77" s="1394">
        <f>SUMIF('PL.1 - FY24'!M:M,'IS - F25'!B77,'PL.1 - FY24'!O:O)</f>
        <v>0</v>
      </c>
      <c r="D77" s="1394">
        <f>SUMIF('PL.1 - FY24'!B:B,'IS - F25'!B77,'PL.1 - FY24'!F:F)</f>
        <v>65</v>
      </c>
      <c r="E77" s="1390">
        <f>_xlfn.XLOOKUP(B77,'AJE.1B - F25'!A:A,'AJE.1B - F25'!F:F,0,0,1)</f>
        <v>0</v>
      </c>
      <c r="F77" s="1390"/>
      <c r="G77" s="219">
        <f t="shared" si="4"/>
        <v>65</v>
      </c>
      <c r="H77" s="420"/>
      <c r="I77" s="1394">
        <f>SUMIF('PL.1 - FY24'!M:M,B77,'PL.1 - FY24'!R:R)</f>
        <v>0</v>
      </c>
      <c r="J77" s="1394">
        <f>-SUMIF('PL.1 - FY24'!B:B,B77,'PL.1 - FY24'!J:J)</f>
        <v>-214.77</v>
      </c>
      <c r="K77" s="1390">
        <f>_xlfn.XLOOKUP(B77,'AJE.1B - F25'!A:A,'AJE.1B - F25'!M:M,0,0,1)</f>
        <v>0</v>
      </c>
      <c r="L77" s="1390">
        <v>1</v>
      </c>
      <c r="M77" s="219">
        <f t="shared" si="5"/>
        <v>-214</v>
      </c>
      <c r="N77" s="178" t="str">
        <f>_xlfn.XLOOKUP($B77,COA!$B:$B,COA!$C:$C,0,0,1)</f>
        <v>General and administration</v>
      </c>
      <c r="O77" s="178" t="str">
        <f>_xlfn.XLOOKUP($B77,COA!$B:$B,COA!$D:$D,0,0,1)</f>
        <v>Other miscellaneous</v>
      </c>
      <c r="P77" s="178" t="str">
        <f>_xlfn.XLOOKUP($B77,COA!$B:$B,COA!$E:$E,0,0,1)</f>
        <v>Accumulated deficit</v>
      </c>
      <c r="R77" s="85"/>
      <c r="S77" s="85"/>
      <c r="T77" s="85"/>
      <c r="U77" s="85"/>
      <c r="V77" s="85"/>
      <c r="W77" s="85"/>
      <c r="X77" s="85"/>
    </row>
    <row r="78" spans="1:24" x14ac:dyDescent="0.25">
      <c r="A78" s="1398"/>
      <c r="B78" s="1393" t="str">
        <f>COA!B170</f>
        <v>7000 Reconciliation Discrepancies</v>
      </c>
      <c r="C78" s="1394">
        <f>SUMIF('PL.1 - FY24'!M:M,'IS - F25'!B78,'PL.1 - FY24'!O:O)</f>
        <v>0</v>
      </c>
      <c r="D78" s="1394">
        <f>SUMIF('PL.1 - FY24'!B:B,'IS - F25'!B78,'PL.1 - FY24'!F:F)</f>
        <v>0</v>
      </c>
      <c r="E78" s="1390">
        <f>_xlfn.XLOOKUP(B78,'AJE.1B - F25'!A:A,'AJE.1B - F25'!F:F,0,0,1)</f>
        <v>0</v>
      </c>
      <c r="F78" s="1390">
        <f>'BS.1 - F25'!E167</f>
        <v>0</v>
      </c>
      <c r="G78" s="219">
        <f t="shared" si="4"/>
        <v>0</v>
      </c>
      <c r="H78" s="420"/>
      <c r="I78" s="1394">
        <f>SUMIF('PL.1 - FY24'!M:M,B78,'PL.1 - FY24'!R:R)</f>
        <v>0</v>
      </c>
      <c r="J78" s="1394">
        <f>SUMIF('PL.1 - FY24'!B:B,B78,'PL.1 - FY24'!J:J)</f>
        <v>0</v>
      </c>
      <c r="K78" s="1390">
        <f>_xlfn.XLOOKUP(B78,'AJE.1B - F25'!A:A,'AJE.1B - F25'!M:M,0,0,1)</f>
        <v>0</v>
      </c>
      <c r="L78" s="1390"/>
      <c r="M78" s="219">
        <f t="shared" si="5"/>
        <v>0</v>
      </c>
      <c r="N78" s="667" t="s">
        <v>235</v>
      </c>
      <c r="O78" s="667" t="str">
        <f>N78</f>
        <v xml:space="preserve">Other income </v>
      </c>
      <c r="P78" s="667" t="str">
        <f>_xlfn.XLOOKUP($B78,COA!$B:$B,COA!$E:$E,0,0,1)</f>
        <v>Accumulated deficit</v>
      </c>
      <c r="R78" s="85"/>
      <c r="S78" s="85"/>
      <c r="T78" s="85"/>
      <c r="U78" s="85"/>
      <c r="V78" s="85"/>
      <c r="W78" s="85"/>
      <c r="X78" s="85"/>
    </row>
    <row r="79" spans="1:24" x14ac:dyDescent="0.25">
      <c r="A79" s="1398"/>
      <c r="B79" s="1393" t="str">
        <f>COA!B171</f>
        <v>8000 Exchange Gain or Loss</v>
      </c>
      <c r="C79" s="1394">
        <f>SUMIF('PL.1 - FY24'!M:M,'IS - F25'!B79,'PL.1 - FY24'!O:O)</f>
        <v>0</v>
      </c>
      <c r="D79" s="1394">
        <f>SUMIF('PL.1 - FY24'!B:B,'IS - F25'!B79,'PL.1 - FY24'!F:F)</f>
        <v>47.92</v>
      </c>
      <c r="E79" s="1390">
        <f>_xlfn.XLOOKUP(B79,'AJE.1B - F25'!A:A,'AJE.1B - F25'!F:F,0,0,1)</f>
        <v>0</v>
      </c>
      <c r="F79" s="1390"/>
      <c r="G79" s="219">
        <f t="shared" si="4"/>
        <v>48</v>
      </c>
      <c r="H79" s="420"/>
      <c r="I79" s="1394">
        <f>SUMIF('PL.1 - FY24'!M:M,B79,'PL.1 - FY24'!R:R)</f>
        <v>0</v>
      </c>
      <c r="J79" s="1394">
        <f>SUMIF('PL.1 - FY24'!B:B,B79,'PL.1 - FY24'!J:J)</f>
        <v>201.26</v>
      </c>
      <c r="K79" s="1390">
        <f>_xlfn.XLOOKUP(B79,'AJE.1B - F25'!A:A,'AJE.1B - F25'!M:M,0,0,1)</f>
        <v>0</v>
      </c>
      <c r="L79" s="1390"/>
      <c r="M79" s="219">
        <f t="shared" si="5"/>
        <v>201</v>
      </c>
      <c r="N79" s="178" t="str">
        <f>_xlfn.XLOOKUP($B79,COA!$B:$B,COA!$C:$C,0,0,1)</f>
        <v>General and administration</v>
      </c>
      <c r="O79" s="178" t="str">
        <f>_xlfn.XLOOKUP($B79,COA!$B:$B,COA!$D:$D,0,0,1)</f>
        <v>Foreign exchange</v>
      </c>
      <c r="P79" s="178" t="str">
        <f>_xlfn.XLOOKUP($B79,COA!$B:$B,COA!$E:$E,0,0,1)</f>
        <v>Accumulated deficit</v>
      </c>
      <c r="R79" s="85"/>
      <c r="S79" s="85"/>
      <c r="T79" s="85"/>
      <c r="U79" s="85"/>
      <c r="V79" s="85"/>
      <c r="W79" s="85"/>
      <c r="X79" s="85"/>
    </row>
    <row r="80" spans="1:24" x14ac:dyDescent="0.25">
      <c r="A80" s="1398"/>
      <c r="B80" s="1393" t="str">
        <f>COA!B172</f>
        <v>IMP1 - Warranty expense</v>
      </c>
      <c r="C80" s="1394">
        <f>SUMIF('PL.1 - FY24'!M:M,'IS - F25'!B80,'PL.1 - FY24'!O:O)</f>
        <v>0</v>
      </c>
      <c r="D80" s="1394">
        <f>SUMIF('PL.1 - FY24'!B:B,'IS - F25'!B80,'PL.1 - FY24'!F:F)</f>
        <v>0</v>
      </c>
      <c r="E80" s="1390">
        <f>_xlfn.XLOOKUP(B80,'AJE.1B - F25'!A:A,'AJE.1B - F25'!F:F,0,0,1)</f>
        <v>0</v>
      </c>
      <c r="F80" s="1390"/>
      <c r="G80" s="219">
        <f t="shared" si="4"/>
        <v>0</v>
      </c>
      <c r="H80" s="420"/>
      <c r="I80" s="1394">
        <f>SUMIF('PL.1 - FY24'!M:M,B80,'PL.1 - FY24'!R:R)</f>
        <v>0</v>
      </c>
      <c r="J80" s="1394">
        <f>SUMIF('PL.1 - FY24'!B:B,B80,'PL.1 - FY24'!J:J)</f>
        <v>0</v>
      </c>
      <c r="K80" s="1390">
        <f>_xlfn.XLOOKUP(B80,'AJE.1B - F25'!A:A,'AJE.1B - F25'!M:M,0,0,1)</f>
        <v>0</v>
      </c>
      <c r="L80" s="1390"/>
      <c r="M80" s="219">
        <f t="shared" si="5"/>
        <v>0</v>
      </c>
      <c r="N80" s="178" t="str">
        <f>_xlfn.XLOOKUP($B80,COA!$B:$B,COA!$C:$C,0,0,1)</f>
        <v>General and administration</v>
      </c>
      <c r="O80" s="178" t="str">
        <f>_xlfn.XLOOKUP($B80,COA!$B:$B,COA!$D:$D,0,0,1)</f>
        <v>Warranty expense</v>
      </c>
      <c r="P80" s="178" t="str">
        <f>_xlfn.XLOOKUP($B80,COA!$B:$B,COA!$E:$E,0,0,1)</f>
        <v>Accumulated deficit</v>
      </c>
      <c r="R80" s="85"/>
      <c r="S80" s="85"/>
      <c r="T80" s="85"/>
      <c r="U80" s="85"/>
      <c r="V80" s="85"/>
      <c r="W80" s="85"/>
      <c r="X80" s="85"/>
    </row>
    <row r="81" spans="1:26" x14ac:dyDescent="0.25">
      <c r="A81" s="1398"/>
      <c r="B81" s="1393" t="str">
        <f>COA!B173</f>
        <v>IMP2 - Engineering expense</v>
      </c>
      <c r="C81" s="1394">
        <f>SUMIF('PL.1 - FY24'!M:M,'IS - F25'!B81,'PL.1 - FY24'!O:O)</f>
        <v>0</v>
      </c>
      <c r="D81" s="1394">
        <f>SUMIF('PL.1 - FY24'!B:B,'IS - F25'!B81,'PL.1 - FY24'!F:F)</f>
        <v>0</v>
      </c>
      <c r="E81" s="1390">
        <f>_xlfn.XLOOKUP(B81,'AJE.1B - F25'!A:A,'AJE.1B - F25'!F:F,0,0,1)</f>
        <v>0</v>
      </c>
      <c r="F81" s="1390"/>
      <c r="G81" s="219">
        <f t="shared" si="4"/>
        <v>0</v>
      </c>
      <c r="H81" s="420"/>
      <c r="I81" s="1394">
        <f>SUMIF('PL.1 - FY24'!M:M,B81,'PL.1 - FY24'!R:R)</f>
        <v>0</v>
      </c>
      <c r="J81" s="1394">
        <f>SUMIF('PL.1 - FY24'!B:B,B81,'PL.1 - FY24'!J:J)</f>
        <v>0</v>
      </c>
      <c r="K81" s="1390">
        <f>_xlfn.XLOOKUP(B81,'AJE.1B - F25'!A:A,'AJE.1B - F25'!M:M,0,0,1)</f>
        <v>0</v>
      </c>
      <c r="L81" s="1390"/>
      <c r="M81" s="219">
        <f t="shared" si="5"/>
        <v>0</v>
      </c>
      <c r="N81" s="178" t="str">
        <f>_xlfn.XLOOKUP($B81,COA!$B:$B,COA!$C:$C,0,0,1)</f>
        <v>General and administration</v>
      </c>
      <c r="O81" s="178" t="str">
        <f>_xlfn.XLOOKUP($B81,COA!$B:$B,COA!$D:$D,0,0,1)</f>
        <v>Engineering expense</v>
      </c>
      <c r="P81" s="178" t="str">
        <f>_xlfn.XLOOKUP($B81,COA!$B:$B,COA!$E:$E,0,0,1)</f>
        <v>Accumulated deficit</v>
      </c>
      <c r="R81" s="85"/>
      <c r="S81" s="85"/>
      <c r="T81" s="85"/>
      <c r="U81" s="85"/>
      <c r="V81" s="85"/>
      <c r="W81" s="85"/>
      <c r="X81" s="85"/>
    </row>
    <row r="82" spans="1:26" x14ac:dyDescent="0.25">
      <c r="A82" s="1398"/>
      <c r="B82" s="1393" t="str">
        <f>COA!B174</f>
        <v>IMP3 - Commission expense</v>
      </c>
      <c r="C82" s="1394">
        <f>SUMIF('PL.1 - FY24'!M:M,'IS - F25'!B82,'PL.1 - FY24'!O:O)</f>
        <v>0</v>
      </c>
      <c r="D82" s="1394">
        <f>SUMIF('PL.1 - FY24'!B:B,'IS - F25'!B82,'PL.1 - FY24'!F:F)</f>
        <v>0</v>
      </c>
      <c r="E82" s="1390">
        <f>_xlfn.XLOOKUP(B82,'AJE.1B - F25'!A:A,'AJE.1B - F25'!F:F,0,0,1)</f>
        <v>0</v>
      </c>
      <c r="F82" s="1390"/>
      <c r="G82" s="219">
        <f t="shared" si="4"/>
        <v>0</v>
      </c>
      <c r="H82" s="420"/>
      <c r="I82" s="1394">
        <f>SUMIF('PL.1 - FY24'!M:M,B82,'PL.1 - FY24'!R:R)</f>
        <v>0</v>
      </c>
      <c r="J82" s="1394">
        <f>SUMIF('PL.1 - FY24'!B:B,B82,'PL.1 - FY24'!J:J)</f>
        <v>0</v>
      </c>
      <c r="K82" s="1390">
        <f>_xlfn.XLOOKUP(B82,'AJE.1B - F25'!A:A,'AJE.1B - F25'!M:M,0,0,1)</f>
        <v>0</v>
      </c>
      <c r="L82" s="1390"/>
      <c r="M82" s="219">
        <f t="shared" si="5"/>
        <v>0</v>
      </c>
      <c r="N82" s="178" t="str">
        <f>_xlfn.XLOOKUP($B82,COA!$B:$B,COA!$C:$C,0,0,1)</f>
        <v>Cost of goods sold</v>
      </c>
      <c r="O82" s="178" t="str">
        <f>_xlfn.XLOOKUP($B82,COA!$B:$B,COA!$D:$D,0,0,1)</f>
        <v>Cost of goods sold</v>
      </c>
      <c r="P82" s="178" t="str">
        <f>_xlfn.XLOOKUP($B82,COA!$B:$B,COA!$E:$E,0,0,1)</f>
        <v>Accumulated deficit</v>
      </c>
      <c r="R82" s="85"/>
      <c r="S82" s="85"/>
      <c r="T82" s="85"/>
      <c r="U82" s="85"/>
      <c r="V82" s="85"/>
      <c r="W82" s="85"/>
      <c r="X82" s="85"/>
    </row>
    <row r="83" spans="1:26" x14ac:dyDescent="0.25">
      <c r="A83" s="1398"/>
      <c r="B83" s="1393" t="str">
        <f>COA!B175</f>
        <v>IMP4 - Warranty Liability</v>
      </c>
      <c r="C83" s="1394">
        <f>SUMIF('PL.1 - FY24'!M:M,'IS - F25'!B83,'PL.1 - FY24'!O:O)</f>
        <v>0</v>
      </c>
      <c r="D83" s="1394">
        <f>SUMIF('PL.1 - FY24'!B:B,'IS - F25'!B83,'PL.1 - FY24'!F:F)</f>
        <v>0</v>
      </c>
      <c r="E83" s="1390">
        <f>_xlfn.XLOOKUP(B83,'AJE.1B - F25'!A:A,'AJE.1B - F25'!F:F,0,0,1)</f>
        <v>0</v>
      </c>
      <c r="F83" s="1390"/>
      <c r="G83" s="219">
        <f t="shared" si="4"/>
        <v>0</v>
      </c>
      <c r="H83" s="420"/>
      <c r="I83" s="1394">
        <f>SUMIF('PL.1 - FY24'!M:M,B83,'PL.1 - FY24'!R:R)</f>
        <v>0</v>
      </c>
      <c r="J83" s="1394">
        <f>SUMIF('PL.1 - FY24'!B:B,B83,'PL.1 - FY24'!J:J)</f>
        <v>0</v>
      </c>
      <c r="K83" s="1390">
        <f>_xlfn.XLOOKUP(B83,'AJE.1B - F25'!A:A,'AJE.1B - F25'!M:M,0,0,1)</f>
        <v>0</v>
      </c>
      <c r="L83" s="1390"/>
      <c r="M83" s="219">
        <f t="shared" si="5"/>
        <v>0</v>
      </c>
      <c r="N83" s="178" t="str">
        <f>_xlfn.XLOOKUP($B83,COA!$B:$B,COA!$C:$C,0,0,1)</f>
        <v>Warranty liability</v>
      </c>
      <c r="O83" s="178" t="str">
        <f>_xlfn.XLOOKUP($B83,COA!$B:$B,COA!$D:$D,0,0,1)</f>
        <v>Warranty liability</v>
      </c>
      <c r="P83" s="178" t="str">
        <f>_xlfn.XLOOKUP($B83,COA!$B:$B,COA!$E:$E,0,0,1)</f>
        <v>Warranty liability</v>
      </c>
      <c r="R83" s="85"/>
      <c r="S83" s="85"/>
      <c r="T83" s="85"/>
      <c r="U83" s="85"/>
      <c r="V83" s="85"/>
      <c r="W83" s="85"/>
      <c r="X83" s="85"/>
    </row>
    <row r="84" spans="1:26" x14ac:dyDescent="0.25">
      <c r="A84" s="1398"/>
      <c r="B84" s="1393" t="str">
        <f>COA!B176</f>
        <v>IMP5 - R&amp;D</v>
      </c>
      <c r="C84" s="1394">
        <f>SUMIF('PL.1 - FY24'!M:M,'IS - F25'!B84,'PL.1 - FY24'!O:O)</f>
        <v>0</v>
      </c>
      <c r="D84" s="1394">
        <f>SUMIF('PL.1 - FY24'!B:B,'IS - F25'!B84,'PL.1 - FY24'!F:F)</f>
        <v>0</v>
      </c>
      <c r="E84" s="1390">
        <f>_xlfn.XLOOKUP(B84,'AJE.1B - F25'!A:A,'AJE.1B - F25'!F:F,0,0,1)</f>
        <v>0</v>
      </c>
      <c r="F84" s="1390"/>
      <c r="G84" s="219">
        <f t="shared" si="4"/>
        <v>0</v>
      </c>
      <c r="H84" s="420"/>
      <c r="I84" s="1394">
        <f>SUMIF('PL.1 - FY24'!M:M,B84,'PL.1 - FY24'!R:R)</f>
        <v>0</v>
      </c>
      <c r="J84" s="1394">
        <f>SUMIF('PL.1 - FY24'!B:B,B84,'PL.1 - FY24'!J:J)</f>
        <v>0</v>
      </c>
      <c r="K84" s="1390">
        <f>_xlfn.XLOOKUP(B84,'AJE.1B - F25'!A:A,'AJE.1B - F25'!M:M,0,0,1)</f>
        <v>0</v>
      </c>
      <c r="L84" s="1390"/>
      <c r="M84" s="219">
        <f t="shared" si="5"/>
        <v>0</v>
      </c>
      <c r="N84" s="178" t="str">
        <f>_xlfn.XLOOKUP($B84,COA!$B:$B,COA!$C:$C,0,0,1)</f>
        <v>General and administration</v>
      </c>
      <c r="O84" s="178" t="str">
        <f>_xlfn.XLOOKUP($B84,COA!$B:$B,COA!$D:$D,0,0,1)</f>
        <v>Other expenses</v>
      </c>
      <c r="P84" s="178" t="str">
        <f>_xlfn.XLOOKUP($B84,COA!$B:$B,COA!$E:$E,0,0,1)</f>
        <v>Accumulated deficit</v>
      </c>
      <c r="R84" s="85"/>
      <c r="S84" s="85"/>
      <c r="T84" s="85"/>
      <c r="U84" s="85"/>
      <c r="V84" s="85"/>
      <c r="W84" s="85"/>
      <c r="X84" s="85"/>
    </row>
    <row r="85" spans="1:26" x14ac:dyDescent="0.25">
      <c r="A85" s="1398"/>
      <c r="B85" s="1393" t="str">
        <f>COA!B177</f>
        <v>IMP6 - Acquisition costs</v>
      </c>
      <c r="C85" s="1394">
        <f>SUMIF('PL.1 - FY24'!M:M,'IS - F25'!B85,'PL.1 - FY24'!O:O)</f>
        <v>0</v>
      </c>
      <c r="D85" s="1394">
        <f>SUMIF('PL.1 - FY24'!B:B,'IS - F25'!B85,'PL.1 - FY24'!F:F)</f>
        <v>0</v>
      </c>
      <c r="E85" s="1390">
        <f>_xlfn.XLOOKUP(B85,'AJE.1B - F25'!A:A,'AJE.1B - F25'!F:F,0,0,1)</f>
        <v>0</v>
      </c>
      <c r="F85" s="1390"/>
      <c r="G85" s="219">
        <f t="shared" si="4"/>
        <v>0</v>
      </c>
      <c r="H85" s="420"/>
      <c r="I85" s="1394">
        <f>SUMIF('PL.1 - FY24'!M:M,B85,'PL.1 - FY24'!R:R)</f>
        <v>0</v>
      </c>
      <c r="J85" s="1394">
        <f>SUMIF('PL.1 - FY24'!B:B,B85,'PL.1 - FY24'!J:J)</f>
        <v>0</v>
      </c>
      <c r="K85" s="1390">
        <f>_xlfn.XLOOKUP(B85,'AJE.1B - F25'!A:A,'AJE.1B - F25'!M:M,0,0,1)</f>
        <v>0</v>
      </c>
      <c r="L85" s="1390"/>
      <c r="M85" s="219">
        <f t="shared" si="5"/>
        <v>0</v>
      </c>
      <c r="N85" s="178" t="str">
        <f>_xlfn.XLOOKUP($B85,COA!$B:$B,COA!$C:$C,0,0,1)</f>
        <v>General and administration</v>
      </c>
      <c r="O85" s="178" t="str">
        <f>_xlfn.XLOOKUP($B85,COA!$B:$B,COA!$D:$D,0,0,1)</f>
        <v>Acquisition expense</v>
      </c>
      <c r="P85" s="178" t="str">
        <f>_xlfn.XLOOKUP($B85,COA!$B:$B,COA!$E:$E,0,0,1)</f>
        <v>Accumulated deficit</v>
      </c>
      <c r="R85" s="85"/>
      <c r="S85" s="85"/>
      <c r="T85" s="85"/>
      <c r="U85" s="85"/>
      <c r="V85" s="85"/>
      <c r="W85" s="85"/>
      <c r="X85" s="85"/>
    </row>
    <row r="86" spans="1:26" x14ac:dyDescent="0.25">
      <c r="A86" s="1398"/>
      <c r="B86" s="1393" t="str">
        <f>COA!B178</f>
        <v>IMP9 - Share-based compensation</v>
      </c>
      <c r="C86" s="1394">
        <f>SUMIF('PL.1 - FY24'!M:M,'IS - F25'!B86,'PL.1 - FY24'!O:O)</f>
        <v>0</v>
      </c>
      <c r="D86" s="1394">
        <f>SUMIF('PL.1 - FY24'!B:B,'IS - F25'!B86,'PL.1 - FY24'!F:F)</f>
        <v>0</v>
      </c>
      <c r="E86" s="1390">
        <f>_xlfn.XLOOKUP(B86,'AJE.1B - F25'!A:A,'AJE.1B - F25'!F:F,0,0,1)</f>
        <v>0</v>
      </c>
      <c r="F86" s="1390"/>
      <c r="G86" s="219">
        <f t="shared" si="4"/>
        <v>0</v>
      </c>
      <c r="H86" s="420"/>
      <c r="I86" s="1394">
        <f>SUMIF('PL.1 - FY24'!M:M,B86,'PL.1 - FY24'!R:R)</f>
        <v>0</v>
      </c>
      <c r="J86" s="1394">
        <f>SUMIF('PL.1 - FY24'!B:B,B86,'PL.1 - FY24'!J:J)</f>
        <v>0</v>
      </c>
      <c r="K86" s="1390">
        <f>_xlfn.XLOOKUP(B86,'AJE.1B - F25'!A:A,'AJE.1B - F25'!M:M,0,0,1)</f>
        <v>0</v>
      </c>
      <c r="L86" s="1390"/>
      <c r="M86" s="219">
        <f t="shared" si="5"/>
        <v>0</v>
      </c>
      <c r="N86" s="178" t="str">
        <f>_xlfn.XLOOKUP($B86,COA!$B:$B,COA!$C:$C,0,0,1)</f>
        <v>General and administration</v>
      </c>
      <c r="O86" s="178" t="str">
        <f>_xlfn.XLOOKUP($B86,COA!$B:$B,COA!$D:$D,0,0,1)</f>
        <v>Share based compensation</v>
      </c>
      <c r="P86" s="178" t="str">
        <f>_xlfn.XLOOKUP($B86,COA!$B:$B,COA!$E:$E,0,0,1)</f>
        <v>Accumulated deficit</v>
      </c>
      <c r="R86" s="85"/>
      <c r="S86" s="85"/>
      <c r="T86" s="85"/>
      <c r="U86" s="85"/>
      <c r="V86" s="85"/>
      <c r="W86" s="85"/>
      <c r="X86" s="85"/>
    </row>
    <row r="87" spans="1:26" x14ac:dyDescent="0.25">
      <c r="A87" s="1398"/>
      <c r="B87" s="1393" t="str">
        <f>COA!B179</f>
        <v>6200 Accretion expense</v>
      </c>
      <c r="C87" s="1394">
        <f>SUMIF('PL.1 - FY24'!M:M,'IS - F25'!B87,'PL.1 - FY24'!O:O)</f>
        <v>0</v>
      </c>
      <c r="D87" s="1394">
        <f>SUMIF('PL.1 - FY24'!B:B,'IS - F25'!B87,'PL.1 - FY24'!F:F)</f>
        <v>0</v>
      </c>
      <c r="E87" s="1390">
        <f>_xlfn.XLOOKUP(B87,'AJE.1B - F25'!A:A,'AJE.1B - F25'!F:F,0,0,1)</f>
        <v>0</v>
      </c>
      <c r="F87" s="1390"/>
      <c r="G87" s="219">
        <f t="shared" ref="G87" si="6">ROUND(SUM(C87:F87),0)</f>
        <v>0</v>
      </c>
      <c r="H87" s="420"/>
      <c r="I87" s="1394">
        <f>SUMIF('PL.1 - FY24'!M:M,B87,'PL.1 - FY24'!R:R)</f>
        <v>0</v>
      </c>
      <c r="J87" s="1394">
        <f>SUMIF('PL.1 - FY24'!B:B,B87,'PL.1 - FY24'!J:J)</f>
        <v>0</v>
      </c>
      <c r="K87" s="1390">
        <f>_xlfn.XLOOKUP(B87,'AJE.1B - F25'!A:A,'AJE.1B - F25'!M:M,0,0,1)</f>
        <v>0</v>
      </c>
      <c r="L87" s="1390"/>
      <c r="M87" s="219">
        <f t="shared" ref="M87" si="7">ROUND(SUM(I87:L87),0)</f>
        <v>0</v>
      </c>
      <c r="N87" s="178" t="str">
        <f>_xlfn.XLOOKUP($B87,COA!$B:$B,COA!$C:$C,0,0,1)</f>
        <v>Net financial expenses</v>
      </c>
      <c r="O87" s="178" t="str">
        <f>_xlfn.XLOOKUP($B87,COA!$B:$B,COA!$D:$D,0,0,1)</f>
        <v>Net financial expenses</v>
      </c>
      <c r="P87" s="178" t="str">
        <f>_xlfn.XLOOKUP($B87,COA!$B:$B,COA!$E:$E,0,0,1)</f>
        <v>Accumulated deficit</v>
      </c>
      <c r="R87" s="85"/>
      <c r="S87" s="85"/>
      <c r="T87" s="85"/>
      <c r="U87" s="85"/>
      <c r="V87" s="85"/>
      <c r="W87" s="85"/>
      <c r="X87" s="85"/>
    </row>
    <row r="88" spans="1:26" x14ac:dyDescent="0.25">
      <c r="A88" s="1398"/>
      <c r="B88" s="1393"/>
      <c r="C88" s="1394"/>
      <c r="D88" s="1394"/>
      <c r="E88" s="1390"/>
      <c r="F88" s="1390"/>
      <c r="G88" s="219"/>
      <c r="H88" s="420"/>
      <c r="I88" s="1394"/>
      <c r="J88" s="1394"/>
      <c r="K88" s="1390"/>
      <c r="L88" s="1390"/>
      <c r="M88" s="219"/>
      <c r="N88" s="178"/>
      <c r="O88" s="178"/>
      <c r="P88" s="178"/>
      <c r="R88" s="85"/>
      <c r="S88" s="85"/>
      <c r="T88" s="85"/>
      <c r="U88" s="85"/>
      <c r="V88" s="85"/>
      <c r="W88" s="85"/>
      <c r="X88" s="85"/>
    </row>
    <row r="89" spans="1:26" ht="12.6" thickBot="1" x14ac:dyDescent="0.35">
      <c r="A89" s="48" t="s">
        <v>0</v>
      </c>
      <c r="B89" s="48"/>
      <c r="C89" s="422">
        <f>SUM(C7:C88)</f>
        <v>103966.08</v>
      </c>
      <c r="D89" s="422">
        <f>SUM(D7:D88)</f>
        <v>91238.099999999991</v>
      </c>
      <c r="E89" s="49">
        <f>SUM(E7:E88)</f>
        <v>0</v>
      </c>
      <c r="F89" s="49">
        <f>SUM(F7:F88)</f>
        <v>0</v>
      </c>
      <c r="G89" s="49">
        <f>SUM(G7:G88)</f>
        <v>195204</v>
      </c>
      <c r="H89" s="420"/>
      <c r="I89" s="422">
        <f>SUM(I7:I88)</f>
        <v>246334.50999999998</v>
      </c>
      <c r="J89" s="422">
        <f>SUM(J7:J88)</f>
        <v>159318.05000000002</v>
      </c>
      <c r="K89" s="422">
        <f>SUM(K7:K88)</f>
        <v>1256364</v>
      </c>
      <c r="L89" s="422">
        <f>SUM(L7:L88)</f>
        <v>1</v>
      </c>
      <c r="M89" s="422">
        <f>SUM(M7:M88)</f>
        <v>1662017</v>
      </c>
      <c r="N89" s="180"/>
      <c r="O89" s="48"/>
      <c r="P89" s="48"/>
      <c r="Q89" s="19"/>
      <c r="R89" s="87"/>
      <c r="S89" s="87"/>
      <c r="T89" s="87"/>
      <c r="U89" s="87"/>
      <c r="V89" s="87"/>
      <c r="W89" s="85"/>
      <c r="X89" s="85"/>
    </row>
    <row r="90" spans="1:26" ht="12.6" thickTop="1" x14ac:dyDescent="0.3">
      <c r="C90" s="19"/>
      <c r="D90" s="19"/>
      <c r="E90" s="19"/>
      <c r="F90" s="19"/>
      <c r="G90" s="19"/>
      <c r="H90" s="420"/>
      <c r="I90" s="419"/>
      <c r="J90" s="419"/>
      <c r="K90" s="419"/>
      <c r="L90" s="419"/>
      <c r="M90" s="419"/>
      <c r="N90" s="181"/>
      <c r="O90" s="19"/>
      <c r="P90" s="19"/>
      <c r="Q90" s="19"/>
      <c r="R90" s="87"/>
      <c r="S90" s="87"/>
      <c r="T90" s="87"/>
      <c r="U90" s="87"/>
      <c r="V90" s="87"/>
      <c r="W90" s="85"/>
      <c r="X90" s="85"/>
    </row>
    <row r="91" spans="1:26" x14ac:dyDescent="0.25">
      <c r="A91" s="75"/>
      <c r="B91" s="423" t="s">
        <v>266</v>
      </c>
      <c r="C91" s="537">
        <f>C89</f>
        <v>103966.08</v>
      </c>
      <c r="D91" s="537">
        <f>D89</f>
        <v>91238.099999999991</v>
      </c>
      <c r="G91" s="537">
        <f>G89</f>
        <v>195204</v>
      </c>
      <c r="H91" s="420"/>
      <c r="I91" s="947">
        <f>I89</f>
        <v>246334.50999999998</v>
      </c>
      <c r="J91" s="947">
        <f>J89</f>
        <v>159318.05000000002</v>
      </c>
      <c r="K91" s="948"/>
      <c r="L91" s="569"/>
      <c r="M91" s="537">
        <f>M89</f>
        <v>1662017</v>
      </c>
      <c r="N91" s="186"/>
      <c r="R91" s="85"/>
      <c r="S91" s="85"/>
      <c r="T91" s="85"/>
      <c r="U91" s="85"/>
      <c r="V91" s="85"/>
      <c r="W91" s="85"/>
      <c r="X91" s="85"/>
      <c r="Z91" s="89" t="s">
        <v>19</v>
      </c>
    </row>
    <row r="92" spans="1:26" x14ac:dyDescent="0.3">
      <c r="B92" s="510" t="s">
        <v>401</v>
      </c>
      <c r="C92" s="975">
        <f>'PL.1 - FY24'!O20+C91</f>
        <v>0</v>
      </c>
      <c r="D92" s="946">
        <f>'PL.1 - FY24'!F50+D91</f>
        <v>0</v>
      </c>
      <c r="E92" s="19"/>
      <c r="G92" s="536">
        <f>G91+'PL.1 - FY24'!F50+'PL.1 - FY24'!O20-E89</f>
        <v>-0.17999999999301508</v>
      </c>
      <c r="H92" s="420"/>
      <c r="I92" s="949">
        <f>I91+'PL.1 - FY24'!R20</f>
        <v>0</v>
      </c>
      <c r="J92" s="946">
        <f>J91+'PL.1 - FY24'!J50</f>
        <v>-0.32000000000698492</v>
      </c>
      <c r="K92" s="419"/>
      <c r="M92" s="536">
        <f>M91+'PL.1 - FY24'!J50+'PL.1 - FY24'!R20-K89</f>
        <v>0.11999999987892807</v>
      </c>
      <c r="N92" s="182"/>
      <c r="R92" s="64">
        <v>44202</v>
      </c>
      <c r="S92" s="45">
        <v>0</v>
      </c>
      <c r="T92" s="45">
        <v>0</v>
      </c>
      <c r="U92" s="45">
        <v>0</v>
      </c>
      <c r="V92" s="45">
        <v>0</v>
      </c>
      <c r="W92" s="45">
        <v>0</v>
      </c>
      <c r="X92" s="45">
        <v>0</v>
      </c>
      <c r="Z92" s="88">
        <f>SUM(S92:X92)</f>
        <v>0</v>
      </c>
    </row>
    <row r="93" spans="1:26" x14ac:dyDescent="0.3">
      <c r="H93" s="420"/>
      <c r="I93" s="419"/>
      <c r="J93" s="419"/>
      <c r="K93" s="419"/>
      <c r="L93" s="419"/>
      <c r="M93" s="419"/>
      <c r="R93" s="64">
        <f>B2</f>
        <v>45838</v>
      </c>
      <c r="S93" s="45">
        <f>SUMIF($N:$N,S6,$G:$G)</f>
        <v>0</v>
      </c>
      <c r="T93" s="45">
        <f>SUMIF($N:$N,T6,$G:$G)</f>
        <v>0</v>
      </c>
      <c r="U93" s="45">
        <f>SUMIF($N:$N,U6,$G:$G)</f>
        <v>0</v>
      </c>
      <c r="V93" s="45">
        <f>SUMIF($N:$N,V6,$G:$G)</f>
        <v>0</v>
      </c>
      <c r="W93" s="45">
        <f>SUMIF($N:$N,W6,$G:$G)</f>
        <v>0</v>
      </c>
      <c r="X93" s="45"/>
      <c r="Z93" s="88">
        <f>SUM(S93:X93)</f>
        <v>0</v>
      </c>
    </row>
    <row r="94" spans="1:26" ht="12.6" thickBot="1" x14ac:dyDescent="0.35">
      <c r="B94" s="423" t="s">
        <v>1272</v>
      </c>
      <c r="G94" s="1026">
        <f>SUMIF(N:N,"General and administration",G:G)</f>
        <v>160703</v>
      </c>
      <c r="H94" s="420"/>
      <c r="I94" s="419"/>
      <c r="J94" s="419"/>
      <c r="K94" s="419"/>
      <c r="L94" s="419"/>
      <c r="M94" s="1026">
        <f>SUMIF(N:N,"General and administration",M:M)</f>
        <v>1633607</v>
      </c>
      <c r="R94" s="56" t="s">
        <v>18</v>
      </c>
      <c r="S94" s="59">
        <f t="shared" ref="S94:X94" si="8">S93-S92</f>
        <v>0</v>
      </c>
      <c r="T94" s="59">
        <f t="shared" si="8"/>
        <v>0</v>
      </c>
      <c r="U94" s="59">
        <f t="shared" si="8"/>
        <v>0</v>
      </c>
      <c r="V94" s="59">
        <f t="shared" si="8"/>
        <v>0</v>
      </c>
      <c r="W94" s="59">
        <f t="shared" si="8"/>
        <v>0</v>
      </c>
      <c r="X94" s="59">
        <f t="shared" si="8"/>
        <v>0</v>
      </c>
    </row>
    <row r="95" spans="1:26" ht="14.1" customHeight="1" x14ac:dyDescent="0.3">
      <c r="A95" s="77"/>
      <c r="B95" s="423" t="s">
        <v>1271</v>
      </c>
      <c r="G95" s="1027">
        <f>SUMIF(N:N,"Sales and marketing",G:G)</f>
        <v>2407</v>
      </c>
      <c r="H95" s="420"/>
      <c r="I95" s="419"/>
      <c r="J95" s="419"/>
      <c r="K95" s="419"/>
      <c r="L95" s="419"/>
      <c r="M95" s="1027">
        <f>SUMIF(N:N,"Sales and marketing",M:M)</f>
        <v>21410</v>
      </c>
      <c r="R95" s="50"/>
      <c r="S95" s="57"/>
      <c r="T95" s="58"/>
      <c r="U95" s="58"/>
      <c r="V95" s="58"/>
      <c r="W95" s="58"/>
      <c r="X95" s="58"/>
    </row>
    <row r="96" spans="1:26" x14ac:dyDescent="0.3">
      <c r="A96" s="77"/>
      <c r="B96" s="423" t="s">
        <v>71</v>
      </c>
      <c r="G96" s="925">
        <f>SUBTOTAL(9,G94:G95)</f>
        <v>163110</v>
      </c>
      <c r="H96" s="420"/>
      <c r="I96" s="419"/>
      <c r="J96" s="419"/>
      <c r="K96" s="419"/>
      <c r="L96" s="419"/>
      <c r="M96" s="925">
        <f>SUBTOTAL(9,M94:M95)</f>
        <v>1655017</v>
      </c>
      <c r="R96" s="69" t="s">
        <v>9</v>
      </c>
      <c r="S96" s="55"/>
      <c r="T96" s="51"/>
      <c r="U96" s="51"/>
      <c r="V96" s="51"/>
      <c r="W96" s="51"/>
      <c r="X96" s="51"/>
    </row>
    <row r="97" spans="1:24" x14ac:dyDescent="0.3">
      <c r="A97" s="77"/>
      <c r="B97" s="510"/>
      <c r="C97" s="1028"/>
      <c r="D97" s="1028"/>
      <c r="G97" s="975"/>
      <c r="H97" s="420"/>
      <c r="I97" s="419"/>
      <c r="J97" s="419"/>
      <c r="K97" s="419"/>
      <c r="L97" s="419"/>
      <c r="M97" s="419"/>
      <c r="R97" s="53" t="s">
        <v>274</v>
      </c>
      <c r="S97" s="55">
        <f>ROUND(SUM(T97:X97),0)</f>
        <v>0</v>
      </c>
      <c r="T97" s="51"/>
      <c r="U97" s="51"/>
      <c r="V97" s="51"/>
      <c r="W97" s="51"/>
      <c r="X97" s="51">
        <f>-X93</f>
        <v>0</v>
      </c>
    </row>
    <row r="98" spans="1:24" x14ac:dyDescent="0.3">
      <c r="A98" s="77"/>
      <c r="G98" s="78"/>
      <c r="H98" s="420"/>
      <c r="I98" s="419"/>
      <c r="J98" s="419"/>
      <c r="K98" s="419"/>
      <c r="L98" s="419"/>
      <c r="M98" s="419"/>
      <c r="R98" s="53"/>
      <c r="S98" s="55"/>
      <c r="T98" s="51"/>
      <c r="U98" s="51"/>
      <c r="V98" s="51"/>
      <c r="W98" s="51"/>
      <c r="X98" s="51"/>
    </row>
    <row r="99" spans="1:24" x14ac:dyDescent="0.3">
      <c r="G99" s="78"/>
      <c r="H99" s="420"/>
      <c r="I99" s="419"/>
      <c r="J99" s="419"/>
      <c r="K99" s="419"/>
      <c r="L99" s="419"/>
      <c r="M99" s="419"/>
      <c r="R99" s="69" t="s">
        <v>46</v>
      </c>
      <c r="S99" s="55"/>
      <c r="T99" s="51"/>
      <c r="U99" s="51"/>
      <c r="V99" s="51"/>
      <c r="W99" s="51"/>
      <c r="X99" s="51"/>
    </row>
    <row r="100" spans="1:24" x14ac:dyDescent="0.3">
      <c r="G100" s="78"/>
      <c r="H100" s="420"/>
      <c r="I100" s="419"/>
      <c r="J100" s="419"/>
      <c r="K100" s="419"/>
      <c r="L100" s="419"/>
      <c r="M100" s="419"/>
      <c r="R100" s="53" t="s">
        <v>43</v>
      </c>
      <c r="S100" s="55">
        <f t="shared" ref="S100:S105" si="9">ROUND(SUM(T100:X100),0)</f>
        <v>0</v>
      </c>
      <c r="T100" s="51"/>
      <c r="U100" s="51"/>
      <c r="V100" s="51"/>
      <c r="W100" s="51"/>
      <c r="X100" s="51"/>
    </row>
    <row r="101" spans="1:24" x14ac:dyDescent="0.3">
      <c r="G101" s="78"/>
      <c r="H101" s="420"/>
      <c r="I101" s="419"/>
      <c r="J101" s="419"/>
      <c r="K101" s="419"/>
      <c r="L101" s="419"/>
      <c r="M101" s="419"/>
      <c r="R101" s="53" t="s">
        <v>2</v>
      </c>
      <c r="S101" s="55">
        <f t="shared" si="9"/>
        <v>0</v>
      </c>
      <c r="T101" s="51"/>
      <c r="U101" s="51"/>
      <c r="V101" s="51"/>
      <c r="W101" s="51"/>
      <c r="X101" s="51"/>
    </row>
    <row r="102" spans="1:24" x14ac:dyDescent="0.3">
      <c r="G102" s="78"/>
      <c r="H102" s="420"/>
      <c r="I102" s="419"/>
      <c r="J102" s="419"/>
      <c r="K102" s="419"/>
      <c r="L102" s="419"/>
      <c r="M102" s="419"/>
      <c r="R102" s="53" t="s">
        <v>24</v>
      </c>
      <c r="S102" s="55">
        <f t="shared" si="9"/>
        <v>0</v>
      </c>
      <c r="T102" s="51"/>
      <c r="U102" s="51"/>
      <c r="V102" s="51"/>
      <c r="W102" s="51"/>
      <c r="X102" s="51"/>
    </row>
    <row r="103" spans="1:24" x14ac:dyDescent="0.3">
      <c r="G103" s="78"/>
      <c r="H103" s="420"/>
      <c r="I103" s="419"/>
      <c r="J103" s="419"/>
      <c r="K103" s="419"/>
      <c r="L103" s="419"/>
      <c r="M103" s="419"/>
      <c r="R103" s="53" t="s">
        <v>21</v>
      </c>
      <c r="S103" s="55">
        <f t="shared" si="9"/>
        <v>0</v>
      </c>
      <c r="T103" s="51"/>
      <c r="U103" s="51"/>
      <c r="V103" s="51"/>
      <c r="W103" s="51"/>
      <c r="X103" s="51"/>
    </row>
    <row r="104" spans="1:24" x14ac:dyDescent="0.3">
      <c r="G104" s="78"/>
      <c r="H104" s="420"/>
      <c r="I104" s="419"/>
      <c r="J104" s="419"/>
      <c r="K104" s="419"/>
      <c r="L104" s="419"/>
      <c r="M104" s="419"/>
      <c r="R104" s="53" t="s">
        <v>7</v>
      </c>
      <c r="S104" s="55">
        <f t="shared" si="9"/>
        <v>0</v>
      </c>
      <c r="T104" s="51"/>
      <c r="U104" s="51"/>
      <c r="V104" s="51"/>
      <c r="W104" s="51"/>
      <c r="X104" s="51"/>
    </row>
    <row r="105" spans="1:24" x14ac:dyDescent="0.3">
      <c r="G105" s="78"/>
      <c r="H105" s="420"/>
      <c r="I105" s="419"/>
      <c r="J105" s="419"/>
      <c r="K105" s="419"/>
      <c r="L105" s="419"/>
      <c r="M105" s="419"/>
      <c r="R105" s="53" t="s">
        <v>47</v>
      </c>
      <c r="S105" s="55">
        <f t="shared" si="9"/>
        <v>0</v>
      </c>
      <c r="T105" s="51"/>
      <c r="U105" s="51"/>
      <c r="V105" s="51"/>
      <c r="W105" s="51"/>
      <c r="X105" s="51"/>
    </row>
    <row r="106" spans="1:24" x14ac:dyDescent="0.3">
      <c r="G106" s="78"/>
      <c r="H106" s="420"/>
      <c r="I106" s="419"/>
      <c r="J106" s="419"/>
      <c r="K106" s="419"/>
      <c r="L106" s="419"/>
      <c r="M106" s="419"/>
      <c r="R106" s="53"/>
      <c r="S106" s="55"/>
      <c r="T106" s="51"/>
      <c r="U106" s="51"/>
      <c r="V106" s="51"/>
      <c r="W106" s="51"/>
      <c r="X106" s="51"/>
    </row>
    <row r="107" spans="1:24" x14ac:dyDescent="0.3">
      <c r="G107" s="78"/>
      <c r="H107" s="420"/>
      <c r="I107" s="419"/>
      <c r="J107" s="419"/>
      <c r="K107" s="419"/>
      <c r="L107" s="419"/>
      <c r="M107" s="419"/>
      <c r="R107" s="53"/>
      <c r="S107" s="55"/>
      <c r="T107" s="51"/>
      <c r="U107" s="51"/>
      <c r="V107" s="51"/>
      <c r="W107" s="51"/>
      <c r="X107" s="51"/>
    </row>
    <row r="108" spans="1:24" x14ac:dyDescent="0.3">
      <c r="G108" s="78"/>
      <c r="H108" s="420"/>
      <c r="I108" s="419"/>
      <c r="J108" s="419"/>
      <c r="K108" s="419"/>
      <c r="L108" s="419"/>
      <c r="M108" s="419"/>
      <c r="R108" s="70" t="s">
        <v>52</v>
      </c>
      <c r="S108" s="55"/>
      <c r="T108" s="51"/>
      <c r="U108" s="51"/>
      <c r="V108" s="51"/>
      <c r="W108" s="51"/>
      <c r="X108" s="51"/>
    </row>
    <row r="109" spans="1:24" x14ac:dyDescent="0.3">
      <c r="G109" s="78"/>
      <c r="H109" s="420"/>
      <c r="I109" s="419"/>
      <c r="J109" s="419"/>
      <c r="K109" s="419"/>
      <c r="L109" s="419"/>
      <c r="M109" s="419"/>
      <c r="R109" s="53" t="s">
        <v>15</v>
      </c>
      <c r="S109" s="55">
        <f t="shared" ref="S109:S115" si="10">ROUND(SUM(T109:X109),0)</f>
        <v>0</v>
      </c>
      <c r="T109" s="51"/>
      <c r="U109" s="51"/>
      <c r="V109" s="51"/>
      <c r="W109" s="51"/>
      <c r="X109" s="51"/>
    </row>
    <row r="110" spans="1:24" x14ac:dyDescent="0.3">
      <c r="G110" s="78"/>
      <c r="H110" s="420"/>
      <c r="I110" s="419"/>
      <c r="J110" s="419"/>
      <c r="K110" s="419"/>
      <c r="L110" s="419"/>
      <c r="M110" s="419"/>
      <c r="R110" s="53" t="s">
        <v>22</v>
      </c>
      <c r="S110" s="55">
        <f t="shared" si="10"/>
        <v>0</v>
      </c>
      <c r="T110" s="51"/>
      <c r="U110" s="51"/>
      <c r="V110" s="51"/>
      <c r="W110" s="51"/>
      <c r="X110" s="51"/>
    </row>
    <row r="111" spans="1:24" x14ac:dyDescent="0.3">
      <c r="H111" s="420"/>
      <c r="I111" s="419"/>
      <c r="J111" s="419"/>
      <c r="K111" s="419"/>
      <c r="L111" s="419"/>
      <c r="M111" s="419"/>
      <c r="R111" s="53" t="s">
        <v>29</v>
      </c>
      <c r="S111" s="55">
        <f t="shared" si="10"/>
        <v>0</v>
      </c>
      <c r="T111" s="51"/>
      <c r="U111" s="51"/>
      <c r="V111" s="51"/>
      <c r="W111" s="51"/>
      <c r="X111" s="51"/>
    </row>
    <row r="112" spans="1:24" x14ac:dyDescent="0.3">
      <c r="H112" s="420"/>
      <c r="I112" s="419"/>
      <c r="J112" s="419"/>
      <c r="K112" s="419"/>
      <c r="L112" s="419"/>
      <c r="M112" s="419"/>
      <c r="R112" s="53" t="s">
        <v>3</v>
      </c>
      <c r="S112" s="55">
        <f t="shared" si="10"/>
        <v>0</v>
      </c>
      <c r="T112" s="51"/>
      <c r="U112" s="51"/>
      <c r="V112" s="51"/>
      <c r="W112" s="51"/>
      <c r="X112" s="51"/>
    </row>
    <row r="113" spans="8:24" x14ac:dyDescent="0.3">
      <c r="H113" s="420"/>
      <c r="I113" s="419"/>
      <c r="J113" s="419"/>
      <c r="K113" s="419"/>
      <c r="L113" s="419"/>
      <c r="M113" s="419"/>
      <c r="R113" s="53" t="s">
        <v>4</v>
      </c>
      <c r="S113" s="55">
        <f t="shared" si="10"/>
        <v>0</v>
      </c>
      <c r="T113" s="51"/>
      <c r="U113" s="51"/>
      <c r="V113" s="51"/>
      <c r="W113" s="51"/>
      <c r="X113" s="51"/>
    </row>
    <row r="114" spans="8:24" x14ac:dyDescent="0.3">
      <c r="H114" s="420"/>
      <c r="I114" s="419"/>
      <c r="J114" s="419"/>
      <c r="K114" s="419"/>
      <c r="L114" s="419"/>
      <c r="M114" s="419"/>
      <c r="R114" s="53" t="s">
        <v>74</v>
      </c>
      <c r="S114" s="55">
        <f t="shared" si="10"/>
        <v>0</v>
      </c>
      <c r="T114" s="51"/>
      <c r="U114" s="51"/>
      <c r="V114" s="51"/>
      <c r="W114" s="51"/>
      <c r="X114" s="51"/>
    </row>
    <row r="115" spans="8:24" x14ac:dyDescent="0.3">
      <c r="H115" s="420"/>
      <c r="I115" s="419"/>
      <c r="J115" s="419"/>
      <c r="K115" s="419"/>
      <c r="L115" s="419"/>
      <c r="M115" s="419"/>
      <c r="R115" s="53" t="s">
        <v>50</v>
      </c>
      <c r="S115" s="55">
        <f t="shared" si="10"/>
        <v>0</v>
      </c>
      <c r="T115" s="51"/>
      <c r="U115" s="51"/>
      <c r="V115" s="51"/>
      <c r="W115" s="51"/>
      <c r="X115" s="51"/>
    </row>
    <row r="116" spans="8:24" ht="12.6" thickBot="1" x14ac:dyDescent="0.35">
      <c r="H116" s="420"/>
      <c r="I116" s="419"/>
      <c r="J116" s="419"/>
      <c r="K116" s="419"/>
      <c r="L116" s="419"/>
      <c r="M116" s="419"/>
      <c r="R116" s="67" t="s">
        <v>51</v>
      </c>
      <c r="S116" s="281">
        <f>SUM(S97:S115)</f>
        <v>0</v>
      </c>
      <c r="T116" s="51"/>
      <c r="U116" s="51"/>
      <c r="V116" s="51"/>
      <c r="W116" s="51"/>
      <c r="X116" s="51"/>
    </row>
    <row r="117" spans="8:24" x14ac:dyDescent="0.3">
      <c r="H117" s="420"/>
      <c r="I117" s="419"/>
      <c r="J117" s="419"/>
      <c r="K117" s="419"/>
      <c r="L117" s="419"/>
      <c r="M117" s="419"/>
      <c r="R117" s="60"/>
      <c r="S117" s="61"/>
      <c r="T117" s="51"/>
      <c r="U117" s="51"/>
      <c r="V117" s="51"/>
      <c r="W117" s="51"/>
      <c r="X117" s="51"/>
    </row>
    <row r="118" spans="8:24" x14ac:dyDescent="0.3">
      <c r="H118" s="420"/>
      <c r="I118" s="419"/>
      <c r="J118" s="419"/>
      <c r="K118" s="419"/>
      <c r="L118" s="419"/>
      <c r="M118" s="419"/>
      <c r="R118" s="69" t="s">
        <v>12</v>
      </c>
      <c r="S118" s="55"/>
      <c r="T118" s="51"/>
      <c r="U118" s="51"/>
      <c r="V118" s="51"/>
      <c r="W118" s="51"/>
      <c r="X118" s="51"/>
    </row>
    <row r="119" spans="8:24" x14ac:dyDescent="0.3">
      <c r="H119" s="420"/>
      <c r="I119" s="419"/>
      <c r="J119" s="419"/>
      <c r="K119" s="419"/>
      <c r="L119" s="419"/>
      <c r="M119" s="419"/>
      <c r="R119" s="53" t="s">
        <v>57</v>
      </c>
      <c r="S119" s="55">
        <f>ROUND(SUM(T119:X119),0)</f>
        <v>0</v>
      </c>
      <c r="T119" s="51"/>
      <c r="U119" s="51"/>
      <c r="V119" s="51"/>
      <c r="W119" s="51"/>
      <c r="X119" s="51"/>
    </row>
    <row r="120" spans="8:24" x14ac:dyDescent="0.3">
      <c r="H120" s="420"/>
      <c r="I120" s="419"/>
      <c r="J120" s="419"/>
      <c r="K120" s="419"/>
      <c r="L120" s="419"/>
      <c r="M120" s="419"/>
      <c r="R120" s="53" t="s">
        <v>58</v>
      </c>
      <c r="S120" s="55">
        <f>ROUND(SUM(T120:X120),0)</f>
        <v>0</v>
      </c>
      <c r="T120" s="51"/>
      <c r="U120" s="51"/>
      <c r="V120" s="51"/>
      <c r="W120" s="51"/>
      <c r="X120" s="51"/>
    </row>
    <row r="121" spans="8:24" x14ac:dyDescent="0.3">
      <c r="H121" s="420"/>
      <c r="I121" s="419"/>
      <c r="J121" s="419"/>
      <c r="K121" s="419"/>
      <c r="L121" s="419"/>
      <c r="M121" s="419"/>
      <c r="R121" s="53" t="s">
        <v>83</v>
      </c>
      <c r="S121" s="55">
        <f>ROUND(SUM(T121:X121),0)</f>
        <v>0</v>
      </c>
      <c r="T121" s="51"/>
      <c r="U121" s="51"/>
      <c r="V121" s="51"/>
      <c r="W121" s="51"/>
      <c r="X121" s="51"/>
    </row>
    <row r="122" spans="8:24" x14ac:dyDescent="0.3">
      <c r="H122" s="420"/>
      <c r="I122" s="419"/>
      <c r="J122" s="419"/>
      <c r="K122" s="419"/>
      <c r="L122" s="419"/>
      <c r="M122" s="419"/>
      <c r="R122" s="53"/>
      <c r="S122" s="55"/>
      <c r="T122" s="51"/>
      <c r="U122" s="51"/>
      <c r="V122" s="51"/>
      <c r="W122" s="51"/>
      <c r="X122" s="51"/>
    </row>
    <row r="123" spans="8:24" ht="12.6" thickBot="1" x14ac:dyDescent="0.35">
      <c r="H123" s="420"/>
      <c r="I123" s="419"/>
      <c r="J123" s="419"/>
      <c r="K123" s="419"/>
      <c r="L123" s="419"/>
      <c r="M123" s="419"/>
      <c r="R123" s="67" t="s">
        <v>122</v>
      </c>
      <c r="S123" s="68">
        <f>SUM(S119:S122)</f>
        <v>0</v>
      </c>
      <c r="T123" s="51"/>
      <c r="U123" s="51"/>
      <c r="V123" s="51"/>
      <c r="W123" s="51"/>
      <c r="X123" s="51"/>
    </row>
    <row r="124" spans="8:24" x14ac:dyDescent="0.3">
      <c r="H124" s="420"/>
      <c r="I124" s="419"/>
      <c r="J124" s="419"/>
      <c r="K124" s="419"/>
      <c r="L124" s="419"/>
      <c r="M124" s="419"/>
      <c r="R124" s="60"/>
      <c r="S124" s="61"/>
      <c r="T124" s="51"/>
      <c r="U124" s="51"/>
      <c r="V124" s="51"/>
      <c r="W124" s="51"/>
      <c r="X124" s="51"/>
    </row>
    <row r="125" spans="8:24" x14ac:dyDescent="0.3">
      <c r="H125" s="420"/>
      <c r="I125" s="419"/>
      <c r="J125" s="419"/>
      <c r="K125" s="419"/>
      <c r="L125" s="419"/>
      <c r="M125" s="419"/>
      <c r="R125" s="69" t="s">
        <v>14</v>
      </c>
      <c r="S125" s="55"/>
      <c r="T125" s="51"/>
      <c r="U125" s="51"/>
      <c r="V125" s="51"/>
      <c r="W125" s="51"/>
      <c r="X125" s="51"/>
    </row>
    <row r="126" spans="8:24" x14ac:dyDescent="0.3">
      <c r="H126" s="420"/>
      <c r="I126" s="419"/>
      <c r="J126" s="419"/>
      <c r="K126" s="419"/>
      <c r="L126" s="419"/>
      <c r="M126" s="419"/>
      <c r="R126" s="53" t="s">
        <v>329</v>
      </c>
      <c r="S126" s="55">
        <f t="shared" ref="S126:S137" si="11">ROUND(SUM(T126:X126),0)</f>
        <v>0</v>
      </c>
      <c r="T126" s="51"/>
      <c r="U126" s="51">
        <f>-U93</f>
        <v>0</v>
      </c>
      <c r="V126" s="51">
        <f>-V94</f>
        <v>0</v>
      </c>
      <c r="W126" s="51"/>
      <c r="X126" s="51"/>
    </row>
    <row r="127" spans="8:24" x14ac:dyDescent="0.3">
      <c r="H127" s="420"/>
      <c r="I127" s="419"/>
      <c r="J127" s="419"/>
      <c r="K127" s="419"/>
      <c r="L127" s="419"/>
      <c r="M127" s="419"/>
      <c r="R127" s="53" t="s">
        <v>53</v>
      </c>
      <c r="S127" s="55">
        <f t="shared" si="11"/>
        <v>0</v>
      </c>
      <c r="T127" s="51"/>
      <c r="U127" s="51"/>
      <c r="V127" s="51"/>
      <c r="W127" s="51"/>
      <c r="X127" s="51"/>
    </row>
    <row r="128" spans="8:24" x14ac:dyDescent="0.3">
      <c r="H128" s="420"/>
      <c r="I128" s="419"/>
      <c r="J128" s="419"/>
      <c r="K128" s="419"/>
      <c r="L128" s="419"/>
      <c r="M128" s="419"/>
      <c r="R128" s="53" t="s">
        <v>54</v>
      </c>
      <c r="S128" s="55">
        <f t="shared" si="11"/>
        <v>0</v>
      </c>
      <c r="T128" s="51"/>
      <c r="U128" s="51"/>
      <c r="V128" s="51"/>
      <c r="W128" s="51"/>
      <c r="X128" s="51"/>
    </row>
    <row r="129" spans="8:26" x14ac:dyDescent="0.3">
      <c r="H129" s="420"/>
      <c r="I129" s="419"/>
      <c r="J129" s="419"/>
      <c r="K129" s="419"/>
      <c r="L129" s="419"/>
      <c r="M129" s="419"/>
      <c r="R129" s="53" t="s">
        <v>49</v>
      </c>
      <c r="S129" s="55">
        <f t="shared" si="11"/>
        <v>0</v>
      </c>
      <c r="T129" s="51"/>
      <c r="U129" s="51"/>
      <c r="V129" s="51"/>
      <c r="W129" s="51"/>
      <c r="X129" s="51"/>
    </row>
    <row r="130" spans="8:26" x14ac:dyDescent="0.3">
      <c r="H130" s="420"/>
      <c r="I130" s="419"/>
      <c r="J130" s="419"/>
      <c r="K130" s="419"/>
      <c r="L130" s="419"/>
      <c r="M130" s="419"/>
      <c r="R130" s="53" t="s">
        <v>55</v>
      </c>
      <c r="S130" s="55">
        <f t="shared" si="11"/>
        <v>0</v>
      </c>
      <c r="T130" s="51"/>
      <c r="U130" s="51"/>
      <c r="V130" s="51"/>
      <c r="W130" s="51"/>
      <c r="X130" s="51"/>
      <c r="Z130" s="73"/>
    </row>
    <row r="131" spans="8:26" x14ac:dyDescent="0.3">
      <c r="H131" s="420"/>
      <c r="I131" s="419"/>
      <c r="J131" s="419"/>
      <c r="K131" s="419"/>
      <c r="L131" s="419"/>
      <c r="M131" s="419"/>
      <c r="R131" s="53" t="s">
        <v>84</v>
      </c>
      <c r="S131" s="55">
        <f t="shared" si="11"/>
        <v>0</v>
      </c>
      <c r="T131" s="51"/>
      <c r="U131" s="51"/>
      <c r="V131" s="51"/>
      <c r="W131" s="51"/>
      <c r="X131" s="51"/>
      <c r="Z131" s="73"/>
    </row>
    <row r="132" spans="8:26" x14ac:dyDescent="0.3">
      <c r="H132" s="420"/>
      <c r="I132" s="419"/>
      <c r="J132" s="419"/>
      <c r="K132" s="419"/>
      <c r="L132" s="419"/>
      <c r="M132" s="419"/>
      <c r="R132" s="53" t="s">
        <v>56</v>
      </c>
      <c r="S132" s="55">
        <f t="shared" si="11"/>
        <v>0</v>
      </c>
      <c r="T132" s="51"/>
      <c r="U132" s="51"/>
      <c r="V132" s="51"/>
      <c r="W132" s="51"/>
      <c r="X132" s="51"/>
    </row>
    <row r="133" spans="8:26" x14ac:dyDescent="0.3">
      <c r="H133" s="420"/>
      <c r="I133" s="419"/>
      <c r="J133" s="419"/>
      <c r="K133" s="419"/>
      <c r="L133" s="419"/>
      <c r="M133" s="419"/>
      <c r="R133" s="53" t="s">
        <v>60</v>
      </c>
      <c r="S133" s="55">
        <f t="shared" si="11"/>
        <v>0</v>
      </c>
      <c r="T133" s="51"/>
      <c r="U133" s="51"/>
      <c r="V133" s="51"/>
      <c r="W133" s="51"/>
      <c r="X133" s="51"/>
    </row>
    <row r="134" spans="8:26" x14ac:dyDescent="0.3">
      <c r="H134" s="420"/>
      <c r="I134" s="419"/>
      <c r="J134" s="419"/>
      <c r="K134" s="419"/>
      <c r="L134" s="419"/>
      <c r="M134" s="419"/>
      <c r="R134" s="53" t="s">
        <v>59</v>
      </c>
      <c r="S134" s="55">
        <f t="shared" si="11"/>
        <v>0</v>
      </c>
      <c r="T134" s="51"/>
      <c r="U134" s="51"/>
      <c r="V134" s="51"/>
      <c r="W134" s="51"/>
      <c r="X134" s="51"/>
    </row>
    <row r="135" spans="8:26" x14ac:dyDescent="0.3">
      <c r="H135" s="420"/>
      <c r="I135" s="419"/>
      <c r="J135" s="419"/>
      <c r="K135" s="419"/>
      <c r="L135" s="419"/>
      <c r="M135" s="419"/>
      <c r="R135" s="53" t="s">
        <v>48</v>
      </c>
      <c r="S135" s="55">
        <f t="shared" si="11"/>
        <v>0</v>
      </c>
      <c r="T135" s="51"/>
      <c r="U135" s="51"/>
      <c r="V135" s="51"/>
      <c r="W135" s="51"/>
      <c r="X135" s="51"/>
    </row>
    <row r="136" spans="8:26" x14ac:dyDescent="0.3">
      <c r="H136" s="420"/>
      <c r="I136" s="419"/>
      <c r="J136" s="419"/>
      <c r="K136" s="419"/>
      <c r="L136" s="419"/>
      <c r="M136" s="419"/>
      <c r="R136" s="53" t="s">
        <v>61</v>
      </c>
      <c r="S136" s="55">
        <f t="shared" si="11"/>
        <v>0</v>
      </c>
      <c r="T136" s="51"/>
      <c r="U136" s="51"/>
      <c r="V136" s="51"/>
      <c r="W136" s="51"/>
      <c r="X136" s="51"/>
    </row>
    <row r="137" spans="8:26" x14ac:dyDescent="0.3">
      <c r="H137" s="420"/>
      <c r="I137" s="419"/>
      <c r="J137" s="419"/>
      <c r="K137" s="419"/>
      <c r="L137" s="419"/>
      <c r="M137" s="419"/>
      <c r="R137" s="213" t="s">
        <v>271</v>
      </c>
      <c r="S137" s="55">
        <f t="shared" si="11"/>
        <v>0</v>
      </c>
      <c r="T137" s="51"/>
      <c r="U137" s="51"/>
      <c r="V137" s="51"/>
      <c r="W137" s="51"/>
      <c r="X137" s="51"/>
    </row>
    <row r="138" spans="8:26" ht="12.6" thickBot="1" x14ac:dyDescent="0.35">
      <c r="H138" s="420"/>
      <c r="I138" s="419"/>
      <c r="J138" s="419"/>
      <c r="K138" s="419"/>
      <c r="L138" s="419"/>
      <c r="M138" s="419"/>
      <c r="R138" s="67" t="s">
        <v>121</v>
      </c>
      <c r="S138" s="281">
        <f>SUM(S126:S136)</f>
        <v>0</v>
      </c>
      <c r="T138" s="51"/>
      <c r="U138" s="51"/>
      <c r="V138" s="51"/>
      <c r="W138" s="51"/>
      <c r="X138" s="51"/>
    </row>
    <row r="139" spans="8:26" x14ac:dyDescent="0.3">
      <c r="H139" s="420"/>
      <c r="I139" s="419"/>
      <c r="J139" s="419"/>
      <c r="K139" s="419"/>
      <c r="L139" s="419"/>
      <c r="M139" s="419"/>
      <c r="R139" s="60"/>
      <c r="S139" s="57"/>
      <c r="T139" s="51"/>
      <c r="U139" s="51"/>
      <c r="V139" s="51"/>
      <c r="W139" s="51"/>
      <c r="X139" s="51"/>
    </row>
    <row r="140" spans="8:26" x14ac:dyDescent="0.3">
      <c r="H140" s="420"/>
      <c r="I140" s="419"/>
      <c r="J140" s="419"/>
      <c r="K140" s="419"/>
      <c r="L140" s="419"/>
      <c r="M140" s="419"/>
      <c r="R140" s="69" t="s">
        <v>63</v>
      </c>
      <c r="S140" s="55"/>
      <c r="T140" s="51"/>
      <c r="U140" s="51"/>
      <c r="V140" s="51"/>
      <c r="W140" s="51"/>
      <c r="X140" s="51"/>
    </row>
    <row r="141" spans="8:26" x14ac:dyDescent="0.3">
      <c r="H141" s="420"/>
      <c r="I141" s="419"/>
      <c r="J141" s="419"/>
      <c r="K141" s="419"/>
      <c r="L141" s="419"/>
      <c r="M141" s="419"/>
      <c r="R141" s="53" t="s">
        <v>64</v>
      </c>
      <c r="S141" s="55">
        <f>ROUND(SUM(T141:X141),0)</f>
        <v>0</v>
      </c>
      <c r="T141" s="51"/>
      <c r="U141" s="51"/>
      <c r="V141" s="51"/>
      <c r="W141" s="51"/>
      <c r="X141" s="51"/>
    </row>
    <row r="142" spans="8:26" x14ac:dyDescent="0.3">
      <c r="H142" s="420"/>
      <c r="I142" s="419"/>
      <c r="J142" s="419"/>
      <c r="K142" s="419"/>
      <c r="L142" s="419"/>
      <c r="M142" s="419"/>
      <c r="R142" s="54"/>
      <c r="S142" s="55"/>
      <c r="T142" s="51"/>
      <c r="U142" s="51"/>
      <c r="V142" s="51"/>
      <c r="W142" s="51"/>
      <c r="X142" s="51"/>
    </row>
    <row r="143" spans="8:26" x14ac:dyDescent="0.3">
      <c r="H143" s="420"/>
      <c r="I143" s="419"/>
      <c r="J143" s="419"/>
      <c r="K143" s="419"/>
      <c r="L143" s="419"/>
      <c r="M143" s="419"/>
      <c r="R143" s="54"/>
      <c r="S143" s="55"/>
      <c r="T143" s="51"/>
      <c r="U143" s="51"/>
      <c r="V143" s="51"/>
      <c r="W143" s="51"/>
      <c r="X143" s="51"/>
    </row>
    <row r="144" spans="8:26" x14ac:dyDescent="0.3">
      <c r="H144" s="420"/>
      <c r="I144" s="419"/>
      <c r="J144" s="419"/>
      <c r="K144" s="419"/>
      <c r="L144" s="419"/>
      <c r="M144" s="419"/>
      <c r="R144" s="53"/>
      <c r="S144" s="55"/>
      <c r="T144" s="51"/>
      <c r="U144" s="51"/>
      <c r="V144" s="51"/>
      <c r="W144" s="51"/>
      <c r="X144" s="51"/>
    </row>
    <row r="145" spans="8:27" ht="12.6" thickBot="1" x14ac:dyDescent="0.35">
      <c r="H145" s="420"/>
      <c r="I145" s="419"/>
      <c r="J145" s="419"/>
      <c r="K145" s="419"/>
      <c r="L145" s="419"/>
      <c r="M145" s="419"/>
      <c r="R145" s="62" t="s">
        <v>20</v>
      </c>
      <c r="S145" s="281">
        <f>SUM(S116,S123,S138)</f>
        <v>0</v>
      </c>
      <c r="T145" s="51"/>
      <c r="U145" s="51"/>
      <c r="V145" s="51"/>
      <c r="W145" s="51"/>
      <c r="X145" s="51"/>
    </row>
    <row r="146" spans="8:27" x14ac:dyDescent="0.3">
      <c r="H146" s="420"/>
      <c r="I146" s="419"/>
      <c r="J146" s="419"/>
      <c r="K146" s="419"/>
      <c r="L146" s="419"/>
      <c r="M146" s="419"/>
      <c r="R146" s="60" t="s">
        <v>118</v>
      </c>
      <c r="S146" s="55">
        <f>ROUND(SUM(T146:X146),0)</f>
        <v>0</v>
      </c>
      <c r="T146" s="51"/>
      <c r="U146" s="51"/>
      <c r="V146" s="51"/>
      <c r="W146" s="51"/>
      <c r="X146" s="51"/>
      <c r="AA146" s="18" t="s">
        <v>125</v>
      </c>
    </row>
    <row r="147" spans="8:27" x14ac:dyDescent="0.3">
      <c r="H147" s="420"/>
      <c r="I147" s="419"/>
      <c r="J147" s="419"/>
      <c r="K147" s="419"/>
      <c r="L147" s="419"/>
      <c r="M147" s="419"/>
      <c r="R147" s="52" t="s">
        <v>67</v>
      </c>
      <c r="S147" s="55" t="e">
        <f>#REF!</f>
        <v>#REF!</v>
      </c>
      <c r="T147" s="51"/>
      <c r="U147" s="51"/>
      <c r="V147" s="51"/>
      <c r="W147" s="51"/>
      <c r="X147" s="51"/>
    </row>
    <row r="148" spans="8:27" ht="12.6" thickBot="1" x14ac:dyDescent="0.35">
      <c r="H148" s="420"/>
      <c r="I148" s="419"/>
      <c r="J148" s="419"/>
      <c r="K148" s="419"/>
      <c r="L148" s="419"/>
      <c r="M148" s="419"/>
      <c r="R148" s="48" t="s">
        <v>66</v>
      </c>
      <c r="S148" s="49" t="e">
        <f>S147+S145+S146</f>
        <v>#REF!</v>
      </c>
      <c r="T148" s="49">
        <f t="shared" ref="T148:X148" si="12">ROUND(SUM(T94:T147),0)</f>
        <v>0</v>
      </c>
      <c r="U148" s="49">
        <f t="shared" si="12"/>
        <v>0</v>
      </c>
      <c r="V148" s="49">
        <f t="shared" si="12"/>
        <v>0</v>
      </c>
      <c r="W148" s="49">
        <f t="shared" si="12"/>
        <v>0</v>
      </c>
      <c r="X148" s="49">
        <f t="shared" si="12"/>
        <v>0</v>
      </c>
    </row>
    <row r="149" spans="8:27" ht="12.6" thickTop="1" x14ac:dyDescent="0.3">
      <c r="H149" s="420"/>
      <c r="I149" s="419"/>
      <c r="J149" s="419"/>
      <c r="K149" s="419"/>
      <c r="L149" s="419"/>
      <c r="M149" s="419"/>
    </row>
    <row r="150" spans="8:27" ht="12.6" thickBot="1" x14ac:dyDescent="0.35">
      <c r="H150" s="420"/>
      <c r="I150" s="419"/>
      <c r="J150" s="419"/>
      <c r="K150" s="419"/>
      <c r="L150" s="419"/>
      <c r="M150" s="419"/>
      <c r="R150" s="65" t="s">
        <v>19</v>
      </c>
      <c r="S150" s="66" t="e">
        <f>S148-S93</f>
        <v>#REF!</v>
      </c>
    </row>
    <row r="151" spans="8:27" ht="12.6" thickTop="1" x14ac:dyDescent="0.3"/>
  </sheetData>
  <autoFilter ref="B6:P89" xr:uid="{4B1E5117-391A-4E36-BBFC-AF407B5A3CF1}"/>
  <phoneticPr fontId="42" type="noConversion"/>
  <hyperlinks>
    <hyperlink ref="C3" location="'PL.1 - FY24'!A1" display="PL.1" xr:uid="{9597F8C2-68D4-4040-A085-FCAC1C24F6E0}"/>
    <hyperlink ref="E3" location="'AJE.1B - PL Q1''24'!A1" display="AJE.1B" xr:uid="{29D6B012-029B-45A1-8CEA-389D5658D2D7}"/>
    <hyperlink ref="K3" location="'AJE.1B - PL Q1''24'!A1" display="AJE.1B" xr:uid="{1EB38E0E-D7EB-4B34-ACC0-EC3181491F2B}"/>
    <hyperlink ref="D3" location="'PL.1 - FY24'!A1" display="PL.1" xr:uid="{CEE1700A-D592-41C2-B815-11AA63EF4500}"/>
    <hyperlink ref="J3" location="'PL.1 - FY24'!A1" display="PL.1" xr:uid="{011E7BF4-C946-4D4F-B3E3-B5513929D045}"/>
    <hyperlink ref="I3" location="'PL.1 - FY24'!A1" display="PL.1" xr:uid="{2DB429C2-61C4-46CF-BD67-25320C406C69}"/>
  </hyperlink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B529-80AA-4800-B334-38C76CF95232}">
  <sheetPr filterMode="1">
    <tabColor rgb="FF00FFFF"/>
  </sheetPr>
  <dimension ref="A1:AE252"/>
  <sheetViews>
    <sheetView workbookViewId="0"/>
  </sheetViews>
  <sheetFormatPr defaultColWidth="8.88671875" defaultRowHeight="12" outlineLevelRow="1" outlineLevelCol="1" x14ac:dyDescent="0.3"/>
  <cols>
    <col min="1" max="1" width="45" style="16" bestFit="1" customWidth="1"/>
    <col min="2" max="3" width="13.5546875" style="16" customWidth="1"/>
    <col min="4" max="4" width="14.6640625" style="16" customWidth="1"/>
    <col min="5" max="5" width="14.109375" style="16" customWidth="1"/>
    <col min="6" max="6" width="16.6640625" style="16" customWidth="1"/>
    <col min="7" max="7" width="32.109375" style="183" bestFit="1" customWidth="1"/>
    <col min="8" max="8" width="32.109375" style="16" customWidth="1"/>
    <col min="9" max="9" width="32.109375" style="16" bestFit="1" customWidth="1"/>
    <col min="10" max="10" width="3" style="16" customWidth="1"/>
    <col min="11" max="11" width="64" style="16" customWidth="1"/>
    <col min="12" max="16" width="15" style="16" customWidth="1"/>
    <col min="17" max="17" width="15" style="16" hidden="1" customWidth="1" outlineLevel="1"/>
    <col min="18" max="18" width="15" style="16" customWidth="1" collapsed="1"/>
    <col min="19" max="21" width="15" style="16" customWidth="1"/>
    <col min="22" max="22" width="15" style="16" hidden="1" customWidth="1" outlineLevel="1"/>
    <col min="23" max="23" width="15" style="16" customWidth="1" collapsed="1"/>
    <col min="24" max="29" width="15" style="16" customWidth="1"/>
    <col min="30" max="30" width="4.88671875" style="16" customWidth="1"/>
    <col min="31" max="31" width="9.77734375" style="16" bestFit="1" customWidth="1"/>
    <col min="32" max="16384" width="8.88671875" style="16"/>
  </cols>
  <sheetData>
    <row r="1" spans="1:29" ht="25.2" x14ac:dyDescent="0.3">
      <c r="A1" s="44" t="s">
        <v>496</v>
      </c>
      <c r="F1" s="71"/>
      <c r="G1" s="176"/>
      <c r="H1" s="19"/>
      <c r="I1" s="19"/>
    </row>
    <row r="2" spans="1:29" ht="21" x14ac:dyDescent="0.25">
      <c r="A2" s="511">
        <f>priorperiod_end_date</f>
        <v>45473</v>
      </c>
      <c r="B2" s="131"/>
      <c r="C2" s="131"/>
      <c r="F2" s="71"/>
      <c r="G2" s="664" t="s">
        <v>501</v>
      </c>
      <c r="H2" s="19"/>
      <c r="I2" s="19"/>
      <c r="K2" s="212"/>
      <c r="L2" s="211"/>
      <c r="M2" s="211"/>
      <c r="N2" s="211"/>
      <c r="O2" s="211"/>
      <c r="P2" s="211"/>
      <c r="Q2" s="211"/>
      <c r="R2" s="211"/>
      <c r="S2" s="211"/>
    </row>
    <row r="3" spans="1:29" ht="21" x14ac:dyDescent="0.25">
      <c r="A3" s="153"/>
      <c r="F3" s="71"/>
      <c r="G3" s="718"/>
      <c r="H3" s="531"/>
      <c r="I3" s="531"/>
      <c r="K3" s="212"/>
      <c r="L3" s="211"/>
      <c r="M3" s="211"/>
      <c r="N3" s="211"/>
      <c r="O3" s="211"/>
      <c r="P3" s="211"/>
      <c r="Q3" s="211"/>
      <c r="R3" s="211"/>
      <c r="S3" s="211"/>
    </row>
    <row r="4" spans="1:29" x14ac:dyDescent="0.25">
      <c r="A4" s="186" t="s">
        <v>266</v>
      </c>
      <c r="B4" s="76">
        <f>SUM(B96:B181)</f>
        <v>225911.64999999997</v>
      </c>
      <c r="C4" s="76" t="e">
        <f>SUM(C96:C181)</f>
        <v>#REF!</v>
      </c>
      <c r="D4" s="76">
        <f>SUM(D96:D181)</f>
        <v>1204016</v>
      </c>
      <c r="F4" s="76" t="e">
        <f>SUM(F96:F181)</f>
        <v>#REF!</v>
      </c>
      <c r="G4" s="718"/>
      <c r="H4" s="531"/>
      <c r="I4" s="531"/>
      <c r="K4" s="212"/>
      <c r="L4" s="211"/>
      <c r="M4" s="211"/>
      <c r="N4" s="211"/>
      <c r="O4" s="211"/>
      <c r="P4" s="211"/>
      <c r="Q4" s="211"/>
      <c r="R4" s="211"/>
      <c r="S4" s="211"/>
    </row>
    <row r="5" spans="1:29" ht="18" customHeight="1" x14ac:dyDescent="0.3">
      <c r="A5" s="153"/>
      <c r="B5" s="1454" t="s">
        <v>2202</v>
      </c>
      <c r="C5" s="1454" t="s">
        <v>2202</v>
      </c>
      <c r="D5" s="1460" t="s">
        <v>2203</v>
      </c>
      <c r="F5" s="71"/>
      <c r="G5" s="718"/>
      <c r="H5" s="531"/>
      <c r="I5" s="531"/>
      <c r="K5" s="212"/>
      <c r="L5" s="211">
        <v>101</v>
      </c>
      <c r="M5" s="211">
        <f>L5+1</f>
        <v>102</v>
      </c>
      <c r="N5" s="211">
        <f t="shared" ref="N5:AC6" si="0">M5+1</f>
        <v>103</v>
      </c>
      <c r="O5" s="211">
        <f t="shared" si="0"/>
        <v>104</v>
      </c>
      <c r="P5" s="211">
        <f t="shared" si="0"/>
        <v>105</v>
      </c>
      <c r="Q5" s="211">
        <f t="shared" si="0"/>
        <v>106</v>
      </c>
      <c r="R5" s="211">
        <f t="shared" si="0"/>
        <v>107</v>
      </c>
      <c r="S5" s="211">
        <f t="shared" si="0"/>
        <v>108</v>
      </c>
      <c r="T5" s="211">
        <f t="shared" si="0"/>
        <v>109</v>
      </c>
      <c r="U5" s="211">
        <f t="shared" si="0"/>
        <v>110</v>
      </c>
      <c r="V5" s="211">
        <f t="shared" si="0"/>
        <v>111</v>
      </c>
      <c r="W5" s="211">
        <f t="shared" si="0"/>
        <v>112</v>
      </c>
      <c r="X5" s="211">
        <f t="shared" si="0"/>
        <v>113</v>
      </c>
      <c r="Y5" s="211">
        <f t="shared" si="0"/>
        <v>114</v>
      </c>
      <c r="Z5" s="211">
        <f t="shared" si="0"/>
        <v>115</v>
      </c>
      <c r="AA5" s="211">
        <f t="shared" si="0"/>
        <v>116</v>
      </c>
      <c r="AB5" s="211">
        <f t="shared" si="0"/>
        <v>117</v>
      </c>
      <c r="AC5" s="211">
        <f t="shared" si="0"/>
        <v>118</v>
      </c>
    </row>
    <row r="6" spans="1:29" s="143" customFormat="1" ht="19.5" customHeight="1" x14ac:dyDescent="0.3">
      <c r="B6" s="916" t="s">
        <v>638</v>
      </c>
      <c r="C6" s="916" t="s">
        <v>639</v>
      </c>
      <c r="D6" s="916" t="s">
        <v>646</v>
      </c>
      <c r="E6" s="184"/>
      <c r="G6" s="177"/>
      <c r="K6" s="212"/>
      <c r="L6" s="211">
        <v>201</v>
      </c>
      <c r="M6" s="211">
        <f>L6+1</f>
        <v>202</v>
      </c>
      <c r="N6" s="211">
        <f t="shared" si="0"/>
        <v>203</v>
      </c>
      <c r="O6" s="211">
        <f t="shared" si="0"/>
        <v>204</v>
      </c>
      <c r="P6" s="211">
        <f t="shared" si="0"/>
        <v>205</v>
      </c>
      <c r="Q6" s="211">
        <f t="shared" si="0"/>
        <v>206</v>
      </c>
      <c r="R6" s="211">
        <f t="shared" si="0"/>
        <v>207</v>
      </c>
      <c r="S6" s="211">
        <f t="shared" si="0"/>
        <v>208</v>
      </c>
      <c r="T6" s="211">
        <f t="shared" si="0"/>
        <v>209</v>
      </c>
      <c r="U6" s="211">
        <f t="shared" si="0"/>
        <v>210</v>
      </c>
      <c r="V6" s="211">
        <f t="shared" si="0"/>
        <v>211</v>
      </c>
      <c r="W6" s="211">
        <f t="shared" si="0"/>
        <v>212</v>
      </c>
      <c r="X6" s="211">
        <f t="shared" si="0"/>
        <v>213</v>
      </c>
      <c r="Y6" s="211">
        <f t="shared" si="0"/>
        <v>214</v>
      </c>
      <c r="Z6" s="211">
        <f t="shared" si="0"/>
        <v>215</v>
      </c>
      <c r="AA6" s="211">
        <f t="shared" si="0"/>
        <v>216</v>
      </c>
      <c r="AB6" s="211">
        <f t="shared" si="0"/>
        <v>217</v>
      </c>
      <c r="AC6" s="211">
        <f t="shared" si="0"/>
        <v>218</v>
      </c>
    </row>
    <row r="7" spans="1:29" ht="36.6" thickBot="1" x14ac:dyDescent="0.3">
      <c r="A7" s="719" t="s">
        <v>250</v>
      </c>
      <c r="B7" s="914" t="str">
        <f>TEXT(A2,"MMMM DD, YYYY")</f>
        <v>June 30, 2024</v>
      </c>
      <c r="C7" s="914" t="str">
        <f>TEXT(A2,"MMMM DD, YYYY")</f>
        <v>June 30, 2024</v>
      </c>
      <c r="D7" s="720" t="s">
        <v>376</v>
      </c>
      <c r="E7" s="720" t="s">
        <v>265</v>
      </c>
      <c r="F7" s="730" t="str">
        <f>"Adjusted Bal - "&amp;TEXT($A$2,"MMMM DD, YYYY")</f>
        <v>Adjusted Bal - June 30, 2024</v>
      </c>
      <c r="G7" s="666" t="s">
        <v>1</v>
      </c>
      <c r="H7" s="666" t="s">
        <v>40</v>
      </c>
      <c r="I7" s="666" t="s">
        <v>45</v>
      </c>
      <c r="K7" s="46"/>
      <c r="L7" s="126" t="str">
        <f>_xlfn.XLOOKUP(L6,FS.1!$T:$T,FS.1!$A:$A,0,0,1)</f>
        <v>Cash</v>
      </c>
      <c r="M7" s="126" t="str">
        <f>_xlfn.XLOOKUP(M6,FS.1!$T:$T,FS.1!$A:$A,0,0,1)</f>
        <v>Receivables</v>
      </c>
      <c r="N7" s="126" t="str">
        <f>_xlfn.XLOOKUP(N6,FS.1!$T:$T,FS.1!$A:$A,0,0,1)</f>
        <v>Prepaid expenses</v>
      </c>
      <c r="O7" s="126" t="str">
        <f>_xlfn.XLOOKUP(O6,FS.1!$T:$T,FS.1!$A:$A,0,0,1)</f>
        <v>Sales tax receivable</v>
      </c>
      <c r="P7" s="126" t="str">
        <f>_xlfn.XLOOKUP(P6,FS.1!$T:$T,FS.1!$A:$A,0,0,1)</f>
        <v>Inventory</v>
      </c>
      <c r="Q7" s="126" t="str">
        <f>_xlfn.XLOOKUP(Q6,FS.1!$T:$T,FS.1!$A:$A,0,0,1)</f>
        <v>Due from related parties</v>
      </c>
      <c r="R7" s="126" t="str">
        <f>_xlfn.XLOOKUP(R6,FS.1!$T:$T,FS.1!$A:$A,0,0,1)</f>
        <v>Current portion of loan receivable</v>
      </c>
      <c r="S7" s="126" t="str">
        <f>_xlfn.XLOOKUP(S6,FS.1!$T:$T,FS.1!$A:$A,0,0,1)</f>
        <v>Equipment</v>
      </c>
      <c r="T7" s="126" t="str">
        <f>_xlfn.XLOOKUP(T6,FS.1!$T:$T,FS.1!$A:$A,0,0,1)</f>
        <v>Intangible assets</v>
      </c>
      <c r="U7" s="126" t="str">
        <f>_xlfn.XLOOKUP(U6,FS.1!$T:$T,FS.1!$A:$A,0,0,1)</f>
        <v>Accounts payables and accrued liabilities</v>
      </c>
      <c r="V7" s="126" t="str">
        <f>_xlfn.XLOOKUP(V6,FS.1!$T:$T,FS.1!$A:$A,0,0,1)</f>
        <v>Warranty liability</v>
      </c>
      <c r="W7" s="126" t="str">
        <f>_xlfn.XLOOKUP(W6,FS.1!$T:$T,FS.1!$A:$A,0,0,1)</f>
        <v>Convertible debt</v>
      </c>
      <c r="X7" s="126" t="str">
        <f>_xlfn.XLOOKUP(X6,FS.1!$T:$T,FS.1!$A:$A,0,0,1)</f>
        <v>Derivative liability</v>
      </c>
      <c r="Y7" s="126" t="str">
        <f>_xlfn.XLOOKUP(Y6,FS.1!$T:$T,FS.1!$A:$A,0,0,1)</f>
        <v>Income tax payable</v>
      </c>
      <c r="Z7" s="126" t="str">
        <f>_xlfn.XLOOKUP(Z6,FS.1!$T:$T,FS.1!$A:$A,0,0,1)</f>
        <v>Due to related parties</v>
      </c>
      <c r="AA7" s="126" t="str">
        <f>_xlfn.XLOOKUP(AA6,FS.1!$T:$T,FS.1!$A:$A,0,0,1)</f>
        <v>Share capital</v>
      </c>
      <c r="AB7" s="126" t="str">
        <f>_xlfn.XLOOKUP(AB6,FS.1!$T:$T,FS.1!$A:$A,0,0,1)</f>
        <v>Contributed surplus</v>
      </c>
      <c r="AC7" s="126" t="str">
        <f>_xlfn.XLOOKUP(AC6,FS.1!$T:$T,FS.1!$A:$A,0,0,1)</f>
        <v>Accumulated deficit</v>
      </c>
    </row>
    <row r="8" spans="1:29" hidden="1" outlineLevel="1" x14ac:dyDescent="0.25">
      <c r="A8" s="1389" t="str">
        <f>COA!B5</f>
        <v>1000 Chequing - 5002829</v>
      </c>
      <c r="B8" s="1390">
        <f>_xlfn.XLOOKUP(A8,'TB.2 - F24'!A:A,'TB.2 - F24'!D:D,0,0,1)</f>
        <v>1444.77</v>
      </c>
      <c r="C8" s="1390">
        <f>_xlfn.XLOOKUP(A8,'TB.2 - F24'!A:A,'TB.2 - F24'!J:J,0,0,1)</f>
        <v>0</v>
      </c>
      <c r="D8" s="1390">
        <f>_xlfn.XLOOKUP(A8,'AJE.2 - F24'!A:A,'AJE.2 - F24'!F:F,0,0,1)</f>
        <v>0</v>
      </c>
      <c r="E8" s="1390"/>
      <c r="F8" s="665">
        <f t="shared" ref="F8:F39" si="1">ROUND(SUM(B8:E8),0)</f>
        <v>1445</v>
      </c>
      <c r="G8" s="185" t="str">
        <f>_xlfn.XLOOKUP($A8,COA!$B:$B,COA!$C:$C,0,0,1)</f>
        <v>Cash</v>
      </c>
      <c r="H8" s="178" t="str">
        <f>_xlfn.XLOOKUP($A8,COA!$B:$B,COA!$D:$D,0,0,1)</f>
        <v>Cash</v>
      </c>
      <c r="I8" s="178" t="str">
        <f>_xlfn.XLOOKUP($A8,COA!$B:$B,COA!$E:$E,0,0,1)</f>
        <v>Cash</v>
      </c>
      <c r="K8" s="85" t="str">
        <f>I8</f>
        <v>Cash</v>
      </c>
      <c r="L8" s="85"/>
      <c r="M8" s="85"/>
      <c r="N8" s="85"/>
      <c r="O8" s="85"/>
      <c r="P8" s="85"/>
      <c r="Q8" s="85"/>
      <c r="R8" s="85"/>
      <c r="S8" s="85"/>
      <c r="T8" s="85"/>
      <c r="U8" s="85"/>
      <c r="V8" s="85"/>
      <c r="W8" s="85"/>
      <c r="X8" s="85"/>
      <c r="Y8" s="85"/>
      <c r="Z8" s="85"/>
      <c r="AA8" s="85"/>
      <c r="AB8" s="85"/>
      <c r="AC8" s="85"/>
    </row>
    <row r="9" spans="1:29" hidden="1" outlineLevel="1" x14ac:dyDescent="0.25">
      <c r="A9" s="1389" t="str">
        <f>COA!B6</f>
        <v>1000 Undeposited Funds</v>
      </c>
      <c r="B9" s="1390">
        <f>_xlfn.XLOOKUP(A9,'TB.2 - F24'!A:A,'TB.2 - F24'!D:D,0,0,1)</f>
        <v>0</v>
      </c>
      <c r="C9" s="1390">
        <f>_xlfn.XLOOKUP(A9,'TB.2 - F24'!A:A,'TB.2 - F24'!J:J,0,0,1)</f>
        <v>0</v>
      </c>
      <c r="D9" s="1390">
        <f>_xlfn.XLOOKUP(A9,'AJE.2 - F24'!A:A,'AJE.2 - F24'!F:F,0,0,1)</f>
        <v>0</v>
      </c>
      <c r="E9" s="1390"/>
      <c r="F9" s="665">
        <f t="shared" si="1"/>
        <v>0</v>
      </c>
      <c r="G9" s="185" t="str">
        <f>_xlfn.XLOOKUP($A9,COA!$B:$B,COA!$C:$C,0,0,1)</f>
        <v>Cash</v>
      </c>
      <c r="H9" s="178" t="str">
        <f>_xlfn.XLOOKUP($A9,COA!$B:$B,COA!$D:$D,0,0,1)</f>
        <v>Cash</v>
      </c>
      <c r="I9" s="178" t="str">
        <f>_xlfn.XLOOKUP($A9,COA!$B:$B,COA!$E:$E,0,0,1)</f>
        <v>Cash</v>
      </c>
      <c r="K9" s="85" t="str">
        <f t="shared" ref="K9:K72" si="2">I9</f>
        <v>Cash</v>
      </c>
      <c r="L9" s="85"/>
      <c r="M9" s="85"/>
      <c r="N9" s="85"/>
      <c r="O9" s="85"/>
      <c r="P9" s="85"/>
      <c r="Q9" s="85"/>
      <c r="R9" s="85"/>
      <c r="S9" s="85"/>
      <c r="T9" s="85"/>
      <c r="U9" s="85"/>
      <c r="V9" s="85"/>
      <c r="W9" s="85"/>
      <c r="X9" s="85"/>
      <c r="Y9" s="85"/>
      <c r="Z9" s="85"/>
      <c r="AA9" s="85"/>
      <c r="AB9" s="85"/>
      <c r="AC9" s="85"/>
    </row>
    <row r="10" spans="1:29" hidden="1" outlineLevel="1" x14ac:dyDescent="0.25">
      <c r="A10" s="1389" t="str">
        <f>COA!B7</f>
        <v>1001 Petty Cash</v>
      </c>
      <c r="B10" s="1390">
        <f>_xlfn.XLOOKUP(A10,'TB.2 - F24'!A:A,'TB.2 - F24'!D:D,0,0,1)</f>
        <v>0</v>
      </c>
      <c r="C10" s="1390">
        <f>_xlfn.XLOOKUP(A10,'TB.2 - F24'!A:A,'TB.2 - F24'!J:J,0,0,1)</f>
        <v>0</v>
      </c>
      <c r="D10" s="1390">
        <f>_xlfn.XLOOKUP(A10,'AJE.2 - F24'!A:A,'AJE.2 - F24'!F:F,0,0,1)</f>
        <v>0</v>
      </c>
      <c r="E10" s="1390"/>
      <c r="F10" s="665">
        <f t="shared" si="1"/>
        <v>0</v>
      </c>
      <c r="G10" s="185" t="str">
        <f>_xlfn.XLOOKUP($A10,COA!$B:$B,COA!$C:$C,0,0,1)</f>
        <v>Cash</v>
      </c>
      <c r="H10" s="178" t="str">
        <f>_xlfn.XLOOKUP($A10,COA!$B:$B,COA!$D:$D,0,0,1)</f>
        <v>Cash</v>
      </c>
      <c r="I10" s="178" t="str">
        <f>_xlfn.XLOOKUP($A10,COA!$B:$B,COA!$E:$E,0,0,1)</f>
        <v>Cash</v>
      </c>
      <c r="K10" s="85" t="str">
        <f t="shared" si="2"/>
        <v>Cash</v>
      </c>
      <c r="L10" s="85"/>
      <c r="M10" s="85"/>
      <c r="N10" s="85"/>
      <c r="O10" s="85"/>
      <c r="P10" s="85"/>
      <c r="Q10" s="85"/>
      <c r="R10" s="85"/>
      <c r="S10" s="85"/>
      <c r="T10" s="85"/>
      <c r="U10" s="85"/>
      <c r="V10" s="85"/>
      <c r="W10" s="85"/>
      <c r="X10" s="85"/>
      <c r="Y10" s="85"/>
      <c r="Z10" s="85"/>
      <c r="AA10" s="85"/>
      <c r="AB10" s="85"/>
      <c r="AC10" s="85"/>
    </row>
    <row r="11" spans="1:29" hidden="1" outlineLevel="1" x14ac:dyDescent="0.25">
      <c r="A11" s="1389" t="str">
        <f>COA!B8</f>
        <v>1002 TD - Chequing 1869</v>
      </c>
      <c r="B11" s="1390">
        <f>_xlfn.XLOOKUP(A11,'TB.2 - F24'!A:A,'TB.2 - F24'!D:D,0,0,1)</f>
        <v>0</v>
      </c>
      <c r="C11" s="1390">
        <f>_xlfn.XLOOKUP(A11,'TB.2 - F24'!A:A,'TB.2 - F24'!J:J,0,0,1)</f>
        <v>6106.19</v>
      </c>
      <c r="D11" s="1390">
        <f>_xlfn.XLOOKUP(A11,'AJE.2 - F24'!A:A,'AJE.2 - F24'!F:F,0,0,1)</f>
        <v>0</v>
      </c>
      <c r="E11" s="1390"/>
      <c r="F11" s="665">
        <f t="shared" si="1"/>
        <v>6106</v>
      </c>
      <c r="G11" s="185" t="str">
        <f>_xlfn.XLOOKUP($A11,COA!$B:$B,COA!$C:$C,0,0,1)</f>
        <v>Cash</v>
      </c>
      <c r="H11" s="178" t="str">
        <f>_xlfn.XLOOKUP($A11,COA!$B:$B,COA!$D:$D,0,0,1)</f>
        <v>Cash</v>
      </c>
      <c r="I11" s="178" t="str">
        <f>_xlfn.XLOOKUP($A11,COA!$B:$B,COA!$E:$E,0,0,1)</f>
        <v>Cash</v>
      </c>
      <c r="K11" s="85" t="str">
        <f t="shared" si="2"/>
        <v>Cash</v>
      </c>
      <c r="L11" s="85"/>
      <c r="M11" s="85"/>
      <c r="N11" s="85"/>
      <c r="O11" s="85"/>
      <c r="P11" s="85"/>
      <c r="Q11" s="85"/>
      <c r="R11" s="85"/>
      <c r="S11" s="85"/>
      <c r="T11" s="85"/>
      <c r="U11" s="85"/>
      <c r="V11" s="85"/>
      <c r="W11" s="85"/>
      <c r="X11" s="85"/>
      <c r="Y11" s="85"/>
      <c r="Z11" s="85"/>
      <c r="AA11" s="85"/>
      <c r="AB11" s="85"/>
      <c r="AC11" s="85"/>
    </row>
    <row r="12" spans="1:29" hidden="1" outlineLevel="1" x14ac:dyDescent="0.25">
      <c r="A12" s="1389" t="str">
        <f>COA!B9</f>
        <v>1003 TD - Savings 2407</v>
      </c>
      <c r="B12" s="1390">
        <f>_xlfn.XLOOKUP(A12,'TB.2 - F24'!A:A,'TB.2 - F24'!D:D,0,0,1)</f>
        <v>0</v>
      </c>
      <c r="C12" s="1390">
        <f>_xlfn.XLOOKUP(A12,'TB.2 - F24'!A:A,'TB.2 - F24'!J:J,0,0,1)</f>
        <v>1015.28</v>
      </c>
      <c r="D12" s="1390">
        <f>_xlfn.XLOOKUP(A12,'AJE.2 - F24'!A:A,'AJE.2 - F24'!F:F,0,0,1)</f>
        <v>0</v>
      </c>
      <c r="E12" s="1390"/>
      <c r="F12" s="665">
        <f t="shared" si="1"/>
        <v>1015</v>
      </c>
      <c r="G12" s="185" t="str">
        <f>_xlfn.XLOOKUP($A12,COA!$B:$B,COA!$C:$C,0,0,1)</f>
        <v>Cash</v>
      </c>
      <c r="H12" s="178" t="str">
        <f>_xlfn.XLOOKUP($A12,COA!$B:$B,COA!$D:$D,0,0,1)</f>
        <v>Cash</v>
      </c>
      <c r="I12" s="178" t="str">
        <f>_xlfn.XLOOKUP($A12,COA!$B:$B,COA!$E:$E,0,0,1)</f>
        <v>Cash</v>
      </c>
      <c r="K12" s="85" t="str">
        <f t="shared" si="2"/>
        <v>Cash</v>
      </c>
      <c r="L12" s="85"/>
      <c r="M12" s="85"/>
      <c r="N12" s="85"/>
      <c r="O12" s="85"/>
      <c r="P12" s="85"/>
      <c r="Q12" s="85"/>
      <c r="R12" s="85"/>
      <c r="S12" s="85"/>
      <c r="T12" s="85"/>
      <c r="U12" s="85"/>
      <c r="V12" s="85"/>
      <c r="W12" s="85"/>
      <c r="X12" s="85"/>
      <c r="Y12" s="85"/>
      <c r="Z12" s="85"/>
      <c r="AA12" s="85"/>
      <c r="AB12" s="85"/>
      <c r="AC12" s="85"/>
    </row>
    <row r="13" spans="1:29" hidden="1" outlineLevel="1" x14ac:dyDescent="0.25">
      <c r="A13" s="1389" t="str">
        <f>COA!B10</f>
        <v>1004 TD - Visa 7692</v>
      </c>
      <c r="B13" s="1390">
        <f>_xlfn.XLOOKUP(A13,'TB.2 - F24'!A:A,'TB.2 - F24'!D:D,0,0,1)</f>
        <v>0</v>
      </c>
      <c r="C13" s="1390">
        <f>_xlfn.XLOOKUP(A13,'TB.2 - F24'!A:A,'TB.2 - F24'!J:J,0,0,1)</f>
        <v>-3204.85</v>
      </c>
      <c r="D13" s="1390">
        <f>_xlfn.XLOOKUP(A13,'AJE.2 - F24'!A:A,'AJE.2 - F24'!F:F,0,0,1)</f>
        <v>0</v>
      </c>
      <c r="E13" s="1390"/>
      <c r="F13" s="219">
        <f t="shared" si="1"/>
        <v>-3205</v>
      </c>
      <c r="G13" s="178" t="str">
        <f>_xlfn.XLOOKUP($A13,COA!$B:$B,COA!$C:$C,0,0,1)</f>
        <v>Cash</v>
      </c>
      <c r="H13" s="178" t="str">
        <f>_xlfn.XLOOKUP($A13,COA!$B:$B,COA!$D:$D,0,0,1)</f>
        <v>Cash</v>
      </c>
      <c r="I13" s="178" t="str">
        <f>_xlfn.XLOOKUP($A13,COA!$B:$B,COA!$E:$E,0,0,1)</f>
        <v>Cash</v>
      </c>
      <c r="K13" s="85" t="str">
        <f t="shared" si="2"/>
        <v>Cash</v>
      </c>
      <c r="L13" s="85"/>
      <c r="M13" s="85"/>
      <c r="N13" s="85"/>
      <c r="O13" s="85"/>
      <c r="P13" s="85"/>
      <c r="Q13" s="85"/>
      <c r="R13" s="85"/>
      <c r="S13" s="85"/>
      <c r="T13" s="85"/>
      <c r="U13" s="85"/>
      <c r="V13" s="85"/>
      <c r="W13" s="85"/>
      <c r="X13" s="85"/>
      <c r="Y13" s="85"/>
      <c r="Z13" s="85"/>
      <c r="AA13" s="85"/>
      <c r="AB13" s="85"/>
      <c r="AC13" s="85"/>
    </row>
    <row r="14" spans="1:29" hidden="1" outlineLevel="1" x14ac:dyDescent="0.25">
      <c r="A14" s="1389" t="str">
        <f>COA!B11</f>
        <v>1005 Undeposited Funds</v>
      </c>
      <c r="B14" s="1390">
        <f>_xlfn.XLOOKUP(A14,'TB.2 - F24'!A:A,'TB.2 - F24'!D:D,0,0,1)</f>
        <v>0</v>
      </c>
      <c r="C14" s="1390">
        <f>_xlfn.XLOOKUP(A14,'TB.2 - F24'!A:A,'TB.2 - F24'!J:J,0,0,1)</f>
        <v>0</v>
      </c>
      <c r="D14" s="1390">
        <f>_xlfn.XLOOKUP(A14,'AJE.2 - F24'!A:A,'AJE.2 - F24'!F:F,0,0,1)</f>
        <v>0</v>
      </c>
      <c r="E14" s="1390"/>
      <c r="F14" s="219">
        <f t="shared" si="1"/>
        <v>0</v>
      </c>
      <c r="G14" s="178" t="str">
        <f>_xlfn.XLOOKUP($A14,COA!$B:$B,COA!$C:$C,0,0,1)</f>
        <v>Cash</v>
      </c>
      <c r="H14" s="178" t="str">
        <f>_xlfn.XLOOKUP($A14,COA!$B:$B,COA!$D:$D,0,0,1)</f>
        <v>Cash</v>
      </c>
      <c r="I14" s="178" t="str">
        <f>_xlfn.XLOOKUP($A14,COA!$B:$B,COA!$E:$E,0,0,1)</f>
        <v>Cash</v>
      </c>
      <c r="K14" s="85" t="str">
        <f t="shared" si="2"/>
        <v>Cash</v>
      </c>
      <c r="L14" s="85"/>
      <c r="M14" s="85"/>
      <c r="N14" s="85"/>
      <c r="O14" s="85"/>
      <c r="P14" s="85"/>
      <c r="Q14" s="85"/>
      <c r="R14" s="85"/>
      <c r="S14" s="85"/>
      <c r="T14" s="85"/>
      <c r="U14" s="85"/>
      <c r="V14" s="85"/>
      <c r="W14" s="85"/>
      <c r="X14" s="85"/>
      <c r="Y14" s="85"/>
      <c r="Z14" s="85"/>
      <c r="AA14" s="85"/>
      <c r="AB14" s="85"/>
      <c r="AC14" s="85"/>
    </row>
    <row r="15" spans="1:29" hidden="1" outlineLevel="1" x14ac:dyDescent="0.25">
      <c r="A15" s="1389" t="str">
        <f>COA!B12</f>
        <v>1005 Interior Savings - 5224</v>
      </c>
      <c r="B15" s="1390">
        <f>_xlfn.XLOOKUP(A15,'TB.2 - F24'!A:A,'TB.2 - F24'!D:D,0,0,1)</f>
        <v>0</v>
      </c>
      <c r="C15" s="1390">
        <f>_xlfn.XLOOKUP(A15,'TB.2 - F24'!A:A,'TB.2 - F24'!J:J,0,0,1)</f>
        <v>242.6</v>
      </c>
      <c r="D15" s="1390">
        <f>_xlfn.XLOOKUP(A15,'AJE.2 - F24'!A:A,'AJE.2 - F24'!F:F,0,0,1)</f>
        <v>0</v>
      </c>
      <c r="E15" s="1390"/>
      <c r="F15" s="219">
        <f t="shared" si="1"/>
        <v>243</v>
      </c>
      <c r="G15" s="178" t="str">
        <f>_xlfn.XLOOKUP($A15,COA!$B:$B,COA!$C:$C,0,0,1)</f>
        <v>Cash</v>
      </c>
      <c r="H15" s="178" t="str">
        <f>_xlfn.XLOOKUP($A15,COA!$B:$B,COA!$D:$D,0,0,1)</f>
        <v>Cash</v>
      </c>
      <c r="I15" s="178" t="str">
        <f>_xlfn.XLOOKUP($A15,COA!$B:$B,COA!$E:$E,0,0,1)</f>
        <v>Cash</v>
      </c>
      <c r="K15" s="85" t="str">
        <f t="shared" si="2"/>
        <v>Cash</v>
      </c>
      <c r="L15" s="85"/>
      <c r="M15" s="85"/>
      <c r="N15" s="85"/>
      <c r="O15" s="85"/>
      <c r="P15" s="85"/>
      <c r="Q15" s="85"/>
      <c r="R15" s="85"/>
      <c r="S15" s="85"/>
      <c r="T15" s="85"/>
      <c r="U15" s="85"/>
      <c r="V15" s="85"/>
      <c r="W15" s="85"/>
      <c r="X15" s="85"/>
      <c r="Y15" s="85"/>
      <c r="Z15" s="85"/>
      <c r="AA15" s="85"/>
      <c r="AB15" s="85"/>
      <c r="AC15" s="85"/>
    </row>
    <row r="16" spans="1:29" hidden="1" outlineLevel="1" x14ac:dyDescent="0.25">
      <c r="A16" s="1389" t="str">
        <f>COA!B13</f>
        <v>1006 Interior Savings - Member Shares 5182</v>
      </c>
      <c r="B16" s="1390">
        <f>_xlfn.XLOOKUP(A16,'TB.2 - F24'!A:A,'TB.2 - F24'!D:D,0,0,1)</f>
        <v>0</v>
      </c>
      <c r="C16" s="1390">
        <f>_xlfn.XLOOKUP(A16,'TB.2 - F24'!A:A,'TB.2 - F24'!J:J,0,0,1)</f>
        <v>6.04</v>
      </c>
      <c r="D16" s="1390">
        <f>_xlfn.XLOOKUP(A16,'AJE.2 - F24'!A:A,'AJE.2 - F24'!F:F,0,0,1)</f>
        <v>0</v>
      </c>
      <c r="E16" s="1390"/>
      <c r="F16" s="219">
        <f t="shared" si="1"/>
        <v>6</v>
      </c>
      <c r="G16" s="178" t="str">
        <f>_xlfn.XLOOKUP($A16,COA!$B:$B,COA!$C:$C,0,0,1)</f>
        <v>Cash</v>
      </c>
      <c r="H16" s="178" t="str">
        <f>_xlfn.XLOOKUP($A16,COA!$B:$B,COA!$D:$D,0,0,1)</f>
        <v>Cash</v>
      </c>
      <c r="I16" s="178" t="str">
        <f>_xlfn.XLOOKUP($A16,COA!$B:$B,COA!$E:$E,0,0,1)</f>
        <v>Cash</v>
      </c>
      <c r="K16" s="85" t="str">
        <f t="shared" si="2"/>
        <v>Cash</v>
      </c>
      <c r="L16" s="85"/>
      <c r="M16" s="85"/>
      <c r="N16" s="85"/>
      <c r="O16" s="85"/>
      <c r="P16" s="85"/>
      <c r="Q16" s="85"/>
      <c r="R16" s="85"/>
      <c r="S16" s="85"/>
      <c r="T16" s="85"/>
      <c r="U16" s="85"/>
      <c r="V16" s="85"/>
      <c r="W16" s="85"/>
      <c r="X16" s="85"/>
      <c r="Y16" s="85"/>
      <c r="Z16" s="85"/>
      <c r="AA16" s="85"/>
      <c r="AB16" s="85"/>
      <c r="AC16" s="85"/>
    </row>
    <row r="17" spans="1:29" hidden="1" outlineLevel="1" x14ac:dyDescent="0.25">
      <c r="A17" s="1389" t="str">
        <f>COA!B14</f>
        <v>1010 Bank - suspense</v>
      </c>
      <c r="B17" s="1390">
        <f>_xlfn.XLOOKUP(A17,'TB.2 - F24'!A:A,'TB.2 - F24'!D:D,0,0,1)</f>
        <v>0</v>
      </c>
      <c r="C17" s="1390">
        <f>_xlfn.XLOOKUP(A17,'TB.2 - F24'!A:A,'TB.2 - F24'!J:J,0,0,1)</f>
        <v>-5.5</v>
      </c>
      <c r="D17" s="1390">
        <f>_xlfn.XLOOKUP(A17,'AJE.2 - F24'!A:A,'AJE.2 - F24'!F:F,0,0,1)</f>
        <v>0</v>
      </c>
      <c r="E17" s="1390"/>
      <c r="F17" s="219">
        <f t="shared" si="1"/>
        <v>-6</v>
      </c>
      <c r="G17" s="178" t="str">
        <f>_xlfn.XLOOKUP($A17,COA!$B:$B,COA!$C:$C,0,0,1)</f>
        <v>Cash</v>
      </c>
      <c r="H17" s="178" t="str">
        <f>_xlfn.XLOOKUP($A17,COA!$B:$B,COA!$D:$D,0,0,1)</f>
        <v>Cash</v>
      </c>
      <c r="I17" s="178" t="str">
        <f>_xlfn.XLOOKUP($A17,COA!$B:$B,COA!$E:$E,0,0,1)</f>
        <v>Cash</v>
      </c>
      <c r="K17" s="85" t="str">
        <f t="shared" si="2"/>
        <v>Cash</v>
      </c>
      <c r="L17" s="85"/>
      <c r="M17" s="85"/>
      <c r="N17" s="85"/>
      <c r="O17" s="85"/>
      <c r="P17" s="85"/>
      <c r="Q17" s="85"/>
      <c r="R17" s="85"/>
      <c r="S17" s="85"/>
      <c r="T17" s="85"/>
      <c r="U17" s="85"/>
      <c r="V17" s="85"/>
      <c r="W17" s="85"/>
      <c r="X17" s="85"/>
      <c r="Y17" s="85"/>
      <c r="Z17" s="85"/>
      <c r="AA17" s="85"/>
      <c r="AB17" s="85"/>
      <c r="AC17" s="85"/>
    </row>
    <row r="18" spans="1:29" hidden="1" outlineLevel="1" x14ac:dyDescent="0.25">
      <c r="A18" s="1389" t="str">
        <f>COA!B15</f>
        <v>1100 Accounts Receivable (A/R)</v>
      </c>
      <c r="B18" s="1390">
        <f>_xlfn.XLOOKUP(A18,'TB.2 - F24'!A:A,'TB.2 - F24'!D:D,0,0,1)</f>
        <v>0</v>
      </c>
      <c r="C18" s="1390">
        <f>_xlfn.XLOOKUP(A18,'TB.2 - F24'!A:A,'TB.2 - F24'!J:J,0,0,1)</f>
        <v>0</v>
      </c>
      <c r="D18" s="1390">
        <f>_xlfn.XLOOKUP(A18,'AJE.2 - F24'!A:A,'AJE.2 - F24'!F:F,0,0,1)</f>
        <v>0</v>
      </c>
      <c r="E18" s="1390"/>
      <c r="F18" s="219">
        <f t="shared" si="1"/>
        <v>0</v>
      </c>
      <c r="G18" s="178" t="str">
        <f>_xlfn.XLOOKUP($A18,COA!$B:$B,COA!$C:$C,0,0,1)</f>
        <v>Receivables</v>
      </c>
      <c r="H18" s="178" t="str">
        <f>_xlfn.XLOOKUP($A18,COA!$B:$B,COA!$D:$D,0,0,1)</f>
        <v>Receivables</v>
      </c>
      <c r="I18" s="178" t="str">
        <f>_xlfn.XLOOKUP($A18,COA!$B:$B,COA!$E:$E,0,0,1)</f>
        <v>Receivables</v>
      </c>
      <c r="K18" s="85" t="str">
        <f t="shared" si="2"/>
        <v>Receivables</v>
      </c>
      <c r="L18" s="85"/>
      <c r="M18" s="85"/>
      <c r="N18" s="85"/>
      <c r="O18" s="85"/>
      <c r="P18" s="85"/>
      <c r="Q18" s="85"/>
      <c r="R18" s="85"/>
      <c r="S18" s="85"/>
      <c r="T18" s="85"/>
      <c r="U18" s="85"/>
      <c r="V18" s="85"/>
      <c r="W18" s="85"/>
      <c r="X18" s="85"/>
      <c r="Y18" s="85"/>
      <c r="Z18" s="85"/>
      <c r="AA18" s="85"/>
      <c r="AB18" s="85"/>
      <c r="AC18" s="85"/>
    </row>
    <row r="19" spans="1:29" hidden="1" outlineLevel="1" x14ac:dyDescent="0.25">
      <c r="A19" s="1389" t="str">
        <f>COA!B16</f>
        <v>1100 Accounts Receivable</v>
      </c>
      <c r="B19" s="1390">
        <f>_xlfn.XLOOKUP(A19,'TB.2 - F24'!A:A,'TB.2 - F24'!D:D,0,0,1)</f>
        <v>0</v>
      </c>
      <c r="C19" s="1390">
        <f>_xlfn.XLOOKUP(A19,'TB.2 - F24'!A:A,'TB.2 - F24'!J:J,0,0,1)</f>
        <v>0</v>
      </c>
      <c r="D19" s="1390">
        <f>_xlfn.XLOOKUP(A19,'AJE.2 - F24'!A:A,'AJE.2 - F24'!F:F,0,0,1)</f>
        <v>0</v>
      </c>
      <c r="E19" s="1390"/>
      <c r="F19" s="219">
        <f t="shared" si="1"/>
        <v>0</v>
      </c>
      <c r="G19" s="178" t="str">
        <f>_xlfn.XLOOKUP($A19,COA!$B:$B,COA!$C:$C,0,0,1)</f>
        <v>Receivables</v>
      </c>
      <c r="H19" s="178" t="str">
        <f>_xlfn.XLOOKUP($A19,COA!$B:$B,COA!$D:$D,0,0,1)</f>
        <v>Receivables</v>
      </c>
      <c r="I19" s="178" t="str">
        <f>_xlfn.XLOOKUP($A19,COA!$B:$B,COA!$E:$E,0,0,1)</f>
        <v>Receivables</v>
      </c>
      <c r="K19" s="85" t="str">
        <f t="shared" si="2"/>
        <v>Receivables</v>
      </c>
      <c r="L19" s="85"/>
      <c r="M19" s="85"/>
      <c r="N19" s="85"/>
      <c r="O19" s="85"/>
      <c r="P19" s="85"/>
      <c r="Q19" s="85"/>
      <c r="R19" s="85"/>
      <c r="S19" s="85"/>
      <c r="T19" s="85"/>
      <c r="U19" s="85"/>
      <c r="V19" s="85"/>
      <c r="W19" s="85"/>
      <c r="X19" s="85"/>
      <c r="Y19" s="85"/>
      <c r="Z19" s="85"/>
      <c r="AA19" s="85"/>
      <c r="AB19" s="85"/>
      <c r="AC19" s="85"/>
    </row>
    <row r="20" spans="1:29" hidden="1" outlineLevel="1" x14ac:dyDescent="0.25">
      <c r="A20" s="1389" t="str">
        <f>COA!B17</f>
        <v>1120 Work in progress inventory</v>
      </c>
      <c r="B20" s="1390">
        <f>_xlfn.XLOOKUP(A20,'TB.2 - F24'!A:A,'TB.2 - F24'!D:D,0,0,1)</f>
        <v>0</v>
      </c>
      <c r="C20" s="1390">
        <f>_xlfn.XLOOKUP(A20,'TB.2 - F24'!A:A,'TB.2 - F24'!J:J,0,0,1)</f>
        <v>452364.03</v>
      </c>
      <c r="D20" s="1390">
        <f>_xlfn.XLOOKUP(A20,'AJE.2 - F24'!A:A,'AJE.2 - F24'!F:F,0,0,1)</f>
        <v>0</v>
      </c>
      <c r="E20" s="1390"/>
      <c r="F20" s="219">
        <f t="shared" si="1"/>
        <v>452364</v>
      </c>
      <c r="G20" s="178" t="str">
        <f>_xlfn.XLOOKUP($A20,COA!$B:$B,COA!$C:$C,0,0,1)</f>
        <v>Inventory</v>
      </c>
      <c r="H20" s="178" t="str">
        <f>_xlfn.XLOOKUP($A20,COA!$B:$B,COA!$D:$D,0,0,1)</f>
        <v>Inventory</v>
      </c>
      <c r="I20" s="178" t="str">
        <f>_xlfn.XLOOKUP($A20,COA!$B:$B,COA!$E:$E,0,0,1)</f>
        <v>Inventory</v>
      </c>
      <c r="K20" s="85" t="str">
        <f t="shared" si="2"/>
        <v>Inventory</v>
      </c>
      <c r="L20" s="85"/>
      <c r="M20" s="85"/>
      <c r="N20" s="85"/>
      <c r="O20" s="85"/>
      <c r="P20" s="85"/>
      <c r="Q20" s="85"/>
      <c r="R20" s="85"/>
      <c r="S20" s="85"/>
      <c r="T20" s="85"/>
      <c r="U20" s="85"/>
      <c r="V20" s="85"/>
      <c r="W20" s="85"/>
      <c r="X20" s="85"/>
      <c r="Y20" s="85"/>
      <c r="Z20" s="85"/>
      <c r="AA20" s="85"/>
      <c r="AB20" s="85"/>
      <c r="AC20" s="85"/>
    </row>
    <row r="21" spans="1:29" hidden="1" outlineLevel="1" x14ac:dyDescent="0.25">
      <c r="A21" s="1389" t="str">
        <f>COA!B18</f>
        <v>1020 Prepaid expenses</v>
      </c>
      <c r="B21" s="1390">
        <f>_xlfn.XLOOKUP(A21,'TB.2 - F24'!A:A,'TB.2 - F24'!D:D,0,0,1)</f>
        <v>0</v>
      </c>
      <c r="C21" s="1390">
        <f>_xlfn.XLOOKUP(A21,'TB.2 - F24'!A:A,'TB.2 - F24'!J:J,0,0,1)</f>
        <v>0</v>
      </c>
      <c r="D21" s="1390">
        <f>_xlfn.XLOOKUP(A21,'AJE.2 - F24'!A:A,'AJE.2 - F24'!F:F,0,0,1)</f>
        <v>0</v>
      </c>
      <c r="E21" s="1390"/>
      <c r="F21" s="219">
        <f t="shared" si="1"/>
        <v>0</v>
      </c>
      <c r="G21" s="178" t="str">
        <f>_xlfn.XLOOKUP($A21,COA!$B:$B,COA!$C:$C,0,0,1)</f>
        <v>Prepaid expenses</v>
      </c>
      <c r="H21" s="178" t="str">
        <f>_xlfn.XLOOKUP($A21,COA!$B:$B,COA!$D:$D,0,0,1)</f>
        <v>Prepaid expenses</v>
      </c>
      <c r="I21" s="178" t="str">
        <f>_xlfn.XLOOKUP($A21,COA!$B:$B,COA!$E:$E,0,0,1)</f>
        <v>Prepaid expenses</v>
      </c>
      <c r="K21" s="85" t="str">
        <f t="shared" si="2"/>
        <v>Prepaid expenses</v>
      </c>
      <c r="L21" s="85"/>
      <c r="M21" s="85"/>
      <c r="N21" s="85"/>
      <c r="O21" s="85"/>
      <c r="P21" s="85"/>
      <c r="Q21" s="85"/>
      <c r="R21" s="85"/>
      <c r="S21" s="85"/>
      <c r="T21" s="85"/>
      <c r="U21" s="85"/>
      <c r="V21" s="85"/>
      <c r="W21" s="85"/>
      <c r="X21" s="85"/>
      <c r="Y21" s="85"/>
      <c r="Z21" s="85"/>
      <c r="AA21" s="85"/>
      <c r="AB21" s="85"/>
      <c r="AC21" s="85"/>
    </row>
    <row r="22" spans="1:29" hidden="1" outlineLevel="1" x14ac:dyDescent="0.25">
      <c r="A22" s="1389" t="str">
        <f>COA!B19</f>
        <v>1200 Prepaid expenses</v>
      </c>
      <c r="B22" s="1390">
        <f>_xlfn.XLOOKUP(A22,'TB.2 - F24'!A:A,'TB.2 - F24'!D:D,0,0,1)</f>
        <v>0</v>
      </c>
      <c r="C22" s="1390">
        <f>_xlfn.XLOOKUP(A22,'TB.2 - F24'!A:A,'TB.2 - F24'!J:J,0,0,1)</f>
        <v>0</v>
      </c>
      <c r="D22" s="1390">
        <f>_xlfn.XLOOKUP(A22,'AJE.2 - F24'!A:A,'AJE.2 - F24'!F:F,0,0,1)</f>
        <v>0</v>
      </c>
      <c r="E22" s="1390"/>
      <c r="F22" s="219">
        <f t="shared" si="1"/>
        <v>0</v>
      </c>
      <c r="G22" s="178" t="str">
        <f>_xlfn.XLOOKUP($A22,COA!$B:$B,COA!$C:$C,0,0,1)</f>
        <v>Prepaid expenses</v>
      </c>
      <c r="H22" s="178" t="str">
        <f>_xlfn.XLOOKUP($A22,COA!$B:$B,COA!$D:$D,0,0,1)</f>
        <v>Prepaid expenses</v>
      </c>
      <c r="I22" s="178" t="str">
        <f>_xlfn.XLOOKUP($A22,COA!$B:$B,COA!$E:$E,0,0,1)</f>
        <v>Prepaid expenses</v>
      </c>
      <c r="K22" s="85" t="str">
        <f t="shared" si="2"/>
        <v>Prepaid expenses</v>
      </c>
      <c r="L22" s="85"/>
      <c r="M22" s="85"/>
      <c r="N22" s="85"/>
      <c r="O22" s="85"/>
      <c r="P22" s="85"/>
      <c r="Q22" s="85"/>
      <c r="R22" s="85"/>
      <c r="S22" s="85"/>
      <c r="T22" s="85"/>
      <c r="U22" s="85"/>
      <c r="V22" s="85"/>
      <c r="W22" s="85"/>
      <c r="X22" s="85"/>
      <c r="Y22" s="85"/>
      <c r="Z22" s="85"/>
      <c r="AA22" s="85"/>
      <c r="AB22" s="85"/>
      <c r="AC22" s="85"/>
    </row>
    <row r="23" spans="1:29" hidden="1" outlineLevel="1" x14ac:dyDescent="0.25">
      <c r="A23" s="1389" t="str">
        <f>COA!B20</f>
        <v>1300 Current portion of loan receivable</v>
      </c>
      <c r="B23" s="1390">
        <f>_xlfn.XLOOKUP(A23,'TB.2 - F24'!A:A,'TB.2 - F24'!D:D,0,0,1)</f>
        <v>556400</v>
      </c>
      <c r="C23" s="1390">
        <f>_xlfn.XLOOKUP(A23,'TB.2 - F24'!A:A,'TB.2 - F24'!J:J,0,0,1)</f>
        <v>0</v>
      </c>
      <c r="D23" s="1390">
        <f>_xlfn.XLOOKUP(A23,'AJE.2 - F24'!A:A,'AJE.2 - F24'!F:F,0,0,1)</f>
        <v>0</v>
      </c>
      <c r="E23" s="1390"/>
      <c r="F23" s="219">
        <f t="shared" si="1"/>
        <v>556400</v>
      </c>
      <c r="G23" s="667" t="s">
        <v>644</v>
      </c>
      <c r="H23" s="667" t="str">
        <f>G23</f>
        <v>Intercompany</v>
      </c>
      <c r="I23" s="667" t="str">
        <f>H23</f>
        <v>Intercompany</v>
      </c>
      <c r="K23" s="85" t="str">
        <f t="shared" si="2"/>
        <v>Intercompany</v>
      </c>
      <c r="L23" s="85"/>
      <c r="M23" s="85"/>
      <c r="N23" s="85"/>
      <c r="O23" s="85"/>
      <c r="P23" s="85"/>
      <c r="Q23" s="85"/>
      <c r="R23" s="85"/>
      <c r="S23" s="85"/>
      <c r="T23" s="85"/>
      <c r="U23" s="85"/>
      <c r="V23" s="85"/>
      <c r="W23" s="85"/>
      <c r="X23" s="85"/>
      <c r="Y23" s="85"/>
      <c r="Z23" s="85"/>
      <c r="AA23" s="85"/>
      <c r="AB23" s="85"/>
      <c r="AC23" s="85"/>
    </row>
    <row r="24" spans="1:29" hidden="1" outlineLevel="1" x14ac:dyDescent="0.25">
      <c r="A24" s="1389" t="str">
        <f>COA!B21</f>
        <v>1400 Other current assets</v>
      </c>
      <c r="B24" s="1390">
        <f>_xlfn.XLOOKUP(A24,'TB.2 - F24'!A:A,'TB.2 - F24'!D:D,0,0,1)</f>
        <v>0</v>
      </c>
      <c r="C24" s="1390">
        <f>_xlfn.XLOOKUP(A24,'TB.2 - F24'!A:A,'TB.2 - F24'!J:J,0,0,1)</f>
        <v>0</v>
      </c>
      <c r="D24" s="1390">
        <f>_xlfn.XLOOKUP(A24,'AJE.2 - F24'!A:A,'AJE.2 - F24'!F:F,0,0,1)</f>
        <v>0</v>
      </c>
      <c r="E24" s="1390"/>
      <c r="F24" s="219">
        <f t="shared" si="1"/>
        <v>0</v>
      </c>
      <c r="G24" s="178" t="str">
        <f>_xlfn.XLOOKUP($A24,COA!$B:$B,COA!$C:$C,0,0,1)</f>
        <v>Other current assets</v>
      </c>
      <c r="H24" s="178" t="str">
        <f>_xlfn.XLOOKUP($A24,COA!$B:$B,COA!$D:$D,0,0,1)</f>
        <v>Other current assets</v>
      </c>
      <c r="I24" s="178" t="str">
        <f>_xlfn.XLOOKUP($A24,COA!$B:$B,COA!$E:$E,0,0,1)</f>
        <v>Other current assets</v>
      </c>
      <c r="K24" s="85" t="str">
        <f t="shared" si="2"/>
        <v>Other current assets</v>
      </c>
      <c r="L24" s="85"/>
      <c r="M24" s="85"/>
      <c r="N24" s="85"/>
      <c r="O24" s="85"/>
      <c r="P24" s="85"/>
      <c r="Q24" s="85"/>
      <c r="R24" s="85"/>
      <c r="S24" s="85"/>
      <c r="T24" s="85"/>
      <c r="U24" s="85"/>
      <c r="V24" s="85"/>
      <c r="W24" s="85"/>
      <c r="X24" s="85"/>
      <c r="Y24" s="85"/>
      <c r="Z24" s="85"/>
      <c r="AA24" s="85"/>
      <c r="AB24" s="85"/>
      <c r="AC24" s="85"/>
    </row>
    <row r="25" spans="1:29" hidden="1" outlineLevel="1" x14ac:dyDescent="0.25">
      <c r="A25" s="1389" t="str">
        <f>COA!B22</f>
        <v>1420 Intangible assets</v>
      </c>
      <c r="B25" s="1390">
        <f>_xlfn.XLOOKUP(A25,'TB.2 - F24'!A:A,'TB.2 - F24'!D:D,0,0,1)</f>
        <v>450000</v>
      </c>
      <c r="C25" s="1390">
        <f>_xlfn.XLOOKUP(A25,'TB.2 - F24'!A:A,'TB.2 - F24'!J:J,0,0,1)</f>
        <v>0</v>
      </c>
      <c r="D25" s="1390">
        <f>_xlfn.XLOOKUP(A25,'AJE.2 - F24'!A:A,'AJE.2 - F24'!F:F,0,0,1)</f>
        <v>6281822</v>
      </c>
      <c r="E25" s="1390"/>
      <c r="F25" s="219">
        <f t="shared" si="1"/>
        <v>6731822</v>
      </c>
      <c r="G25" s="178" t="str">
        <f>_xlfn.XLOOKUP($A25,COA!$B:$B,COA!$C:$C,0,0,1)</f>
        <v>Intangible assets</v>
      </c>
      <c r="H25" s="178" t="str">
        <f>_xlfn.XLOOKUP($A25,COA!$B:$B,COA!$D:$D,0,0,1)</f>
        <v>Intangible assets</v>
      </c>
      <c r="I25" s="178" t="str">
        <f>_xlfn.XLOOKUP($A25,COA!$B:$B,COA!$E:$E,0,0,1)</f>
        <v>Intangible assets</v>
      </c>
      <c r="K25" s="85" t="str">
        <f t="shared" si="2"/>
        <v>Intangible assets</v>
      </c>
      <c r="L25" s="85"/>
      <c r="M25" s="85"/>
      <c r="N25" s="85"/>
      <c r="O25" s="85"/>
      <c r="P25" s="85"/>
      <c r="Q25" s="85"/>
      <c r="R25" s="85"/>
      <c r="S25" s="85"/>
      <c r="T25" s="85"/>
      <c r="U25" s="85"/>
      <c r="V25" s="85"/>
      <c r="W25" s="85"/>
      <c r="X25" s="85"/>
      <c r="Y25" s="85"/>
      <c r="Z25" s="85"/>
      <c r="AA25" s="85"/>
      <c r="AB25" s="85"/>
      <c r="AC25" s="85"/>
    </row>
    <row r="26" spans="1:29" hidden="1" outlineLevel="1" x14ac:dyDescent="0.25">
      <c r="A26" s="1389" t="str">
        <f>COA!B23</f>
        <v>1421 Accumulated amortization</v>
      </c>
      <c r="B26" s="1390">
        <f>_xlfn.XLOOKUP(A26,'TB.2 - F24'!A:A,'TB.2 - F24'!D:D,0,0,1)</f>
        <v>0</v>
      </c>
      <c r="C26" s="1390">
        <f>_xlfn.XLOOKUP(A26,'TB.2 - F24'!A:A,'TB.2 - F24'!J:J,0,0,1)</f>
        <v>0</v>
      </c>
      <c r="D26" s="1390">
        <f>_xlfn.XLOOKUP(A26,'AJE.2 - F24'!A:A,'AJE.2 - F24'!F:F,0,0,1)</f>
        <v>-1204016</v>
      </c>
      <c r="E26" s="1390"/>
      <c r="F26" s="219">
        <f t="shared" si="1"/>
        <v>-1204016</v>
      </c>
      <c r="G26" s="178" t="str">
        <f>_xlfn.XLOOKUP($A26,COA!$B:$B,COA!$C:$C,0,0,1)</f>
        <v>Intangible assets</v>
      </c>
      <c r="H26" s="178" t="str">
        <f>_xlfn.XLOOKUP($A26,COA!$B:$B,COA!$D:$D,0,0,1)</f>
        <v>Intangible assets</v>
      </c>
      <c r="I26" s="178" t="str">
        <f>_xlfn.XLOOKUP($A26,COA!$B:$B,COA!$E:$E,0,0,1)</f>
        <v>Intangible assets</v>
      </c>
      <c r="K26" s="85" t="str">
        <f t="shared" si="2"/>
        <v>Intangible assets</v>
      </c>
      <c r="L26" s="85"/>
      <c r="M26" s="85"/>
      <c r="N26" s="85"/>
      <c r="O26" s="85"/>
      <c r="P26" s="85"/>
      <c r="Q26" s="85"/>
      <c r="R26" s="85"/>
      <c r="S26" s="85"/>
      <c r="T26" s="85"/>
      <c r="U26" s="85"/>
      <c r="V26" s="85"/>
      <c r="W26" s="85"/>
      <c r="X26" s="85"/>
      <c r="Y26" s="85"/>
      <c r="Z26" s="85"/>
      <c r="AA26" s="85"/>
      <c r="AB26" s="85"/>
      <c r="AC26" s="85"/>
    </row>
    <row r="27" spans="1:29" hidden="1" outlineLevel="1" x14ac:dyDescent="0.25">
      <c r="A27" s="1389" t="str">
        <f>COA!B24</f>
        <v>1500 Payroll Advances Receivable</v>
      </c>
      <c r="B27" s="1390">
        <f>_xlfn.XLOOKUP(A27,'TB.2 - F24'!A:A,'TB.2 - F24'!D:D,0,0,1)</f>
        <v>0</v>
      </c>
      <c r="C27" s="1390">
        <f>_xlfn.XLOOKUP(A27,'TB.2 - F24'!A:A,'TB.2 - F24'!J:J,0,0,1)</f>
        <v>0</v>
      </c>
      <c r="D27" s="1390">
        <f>_xlfn.XLOOKUP(A27,'AJE.2 - F24'!A:A,'AJE.2 - F24'!F:F,0,0,1)</f>
        <v>0</v>
      </c>
      <c r="E27" s="1390"/>
      <c r="F27" s="219">
        <f t="shared" si="1"/>
        <v>0</v>
      </c>
      <c r="G27" s="178" t="str">
        <f>_xlfn.XLOOKUP($A27,COA!$B:$B,COA!$C:$C,0,0,1)</f>
        <v>Receivables</v>
      </c>
      <c r="H27" s="178" t="str">
        <f>_xlfn.XLOOKUP($A27,COA!$B:$B,COA!$D:$D,0,0,1)</f>
        <v>Receivables</v>
      </c>
      <c r="I27" s="178" t="str">
        <f>_xlfn.XLOOKUP($A27,COA!$B:$B,COA!$E:$E,0,0,1)</f>
        <v>Receivables</v>
      </c>
      <c r="K27" s="85" t="str">
        <f t="shared" si="2"/>
        <v>Receivables</v>
      </c>
      <c r="L27" s="85"/>
      <c r="M27" s="85"/>
      <c r="N27" s="85"/>
      <c r="O27" s="85"/>
      <c r="P27" s="85"/>
      <c r="Q27" s="85"/>
      <c r="R27" s="85"/>
      <c r="S27" s="85"/>
      <c r="T27" s="85"/>
      <c r="U27" s="85"/>
      <c r="V27" s="85"/>
      <c r="W27" s="85"/>
      <c r="X27" s="85"/>
      <c r="Y27" s="85"/>
      <c r="Z27" s="85"/>
      <c r="AA27" s="85"/>
      <c r="AB27" s="85"/>
      <c r="AC27" s="85"/>
    </row>
    <row r="28" spans="1:29" hidden="1" outlineLevel="1" x14ac:dyDescent="0.25">
      <c r="A28" s="1389" t="str">
        <f>COA!B25</f>
        <v>1500 Intercompany - Due from Hallor Industries Inc.</v>
      </c>
      <c r="B28" s="1390">
        <f>_xlfn.XLOOKUP(A28,'TB.2 - F24'!A:A,'TB.2 - F24'!D:D,0,0,1)</f>
        <v>192352.91</v>
      </c>
      <c r="C28" s="1390">
        <f>_xlfn.XLOOKUP(A28,'TB.2 - F24'!A:A,'TB.2 - F24'!J:J,0,0,1)</f>
        <v>0</v>
      </c>
      <c r="D28" s="1390">
        <f>_xlfn.XLOOKUP(A28,'AJE.2 - F24'!A:A,'AJE.2 - F24'!F:F,0,0,1)</f>
        <v>0</v>
      </c>
      <c r="E28" s="1390">
        <v>26</v>
      </c>
      <c r="F28" s="219">
        <f t="shared" si="1"/>
        <v>192379</v>
      </c>
      <c r="G28" s="178" t="str">
        <f>_xlfn.XLOOKUP($A28,COA!$B:$B,COA!$C:$C,0,0,1)</f>
        <v>Intercompany</v>
      </c>
      <c r="H28" s="178" t="str">
        <f>_xlfn.XLOOKUP($A28,COA!$B:$B,COA!$D:$D,0,0,1)</f>
        <v>Intercompany</v>
      </c>
      <c r="I28" s="178" t="str">
        <f>_xlfn.XLOOKUP($A28,COA!$B:$B,COA!$E:$E,0,0,1)</f>
        <v>Intercompany</v>
      </c>
      <c r="K28" s="85" t="str">
        <f t="shared" si="2"/>
        <v>Intercompany</v>
      </c>
      <c r="L28" s="85"/>
      <c r="M28" s="85"/>
      <c r="N28" s="85"/>
      <c r="O28" s="85"/>
      <c r="P28" s="85"/>
      <c r="Q28" s="85"/>
      <c r="R28" s="85"/>
      <c r="S28" s="85"/>
      <c r="T28" s="85"/>
      <c r="U28" s="85"/>
      <c r="V28" s="85"/>
      <c r="W28" s="85"/>
      <c r="X28" s="85"/>
      <c r="Y28" s="85"/>
      <c r="Z28" s="85"/>
      <c r="AA28" s="85"/>
      <c r="AB28" s="85"/>
      <c r="AC28" s="85"/>
    </row>
    <row r="29" spans="1:29" hidden="1" outlineLevel="1" x14ac:dyDescent="0.25">
      <c r="A29" s="1389" t="str">
        <f>COA!B26</f>
        <v>1600 Investment in Hallor Industries</v>
      </c>
      <c r="B29" s="1390">
        <f>_xlfn.XLOOKUP(A29,'TB.2 - F24'!A:A,'TB.2 - F24'!D:D,0,0,1)</f>
        <v>6000000</v>
      </c>
      <c r="C29" s="1390">
        <f>_xlfn.XLOOKUP(A29,'TB.2 - F24'!A:A,'TB.2 - F24'!J:J,0,0,1)</f>
        <v>0</v>
      </c>
      <c r="D29" s="1390">
        <f>_xlfn.XLOOKUP(A29,'AJE.2 - F24'!A:A,'AJE.2 - F24'!F:F,0,0,1)</f>
        <v>-6000000</v>
      </c>
      <c r="E29" s="1390"/>
      <c r="F29" s="219">
        <f t="shared" si="1"/>
        <v>0</v>
      </c>
      <c r="G29" s="178" t="str">
        <f>_xlfn.XLOOKUP($A29,COA!$B:$B,COA!$C:$C,0,0,1)</f>
        <v>Investment in subsidiary</v>
      </c>
      <c r="H29" s="178" t="str">
        <f>_xlfn.XLOOKUP($A29,COA!$B:$B,COA!$D:$D,0,0,1)</f>
        <v>Investment in subsidiary</v>
      </c>
      <c r="I29" s="178" t="str">
        <f>_xlfn.XLOOKUP($A29,COA!$B:$B,COA!$E:$E,0,0,1)</f>
        <v>Investment in subsidiary</v>
      </c>
      <c r="K29" s="85" t="str">
        <f t="shared" si="2"/>
        <v>Investment in subsidiary</v>
      </c>
      <c r="L29" s="85"/>
      <c r="M29" s="85"/>
      <c r="N29" s="85"/>
      <c r="O29" s="85"/>
      <c r="P29" s="85"/>
      <c r="Q29" s="85"/>
      <c r="R29" s="85"/>
      <c r="S29" s="85"/>
      <c r="T29" s="85"/>
      <c r="U29" s="85"/>
      <c r="V29" s="85"/>
      <c r="W29" s="85"/>
      <c r="X29" s="85"/>
      <c r="Y29" s="85"/>
      <c r="Z29" s="85"/>
      <c r="AA29" s="85"/>
      <c r="AB29" s="85"/>
      <c r="AC29" s="85"/>
    </row>
    <row r="30" spans="1:29" hidden="1" outlineLevel="1" x14ac:dyDescent="0.25">
      <c r="A30" s="1389" t="str">
        <f>COA!B27</f>
        <v>1800 Computer Equipment</v>
      </c>
      <c r="B30" s="1390">
        <f>_xlfn.XLOOKUP(A30,'TB.2 - F24'!A:A,'TB.2 - F24'!D:D,0,0,1)</f>
        <v>0</v>
      </c>
      <c r="C30" s="1390">
        <f>_xlfn.XLOOKUP(A30,'TB.2 - F24'!A:A,'TB.2 - F24'!J:J,0,0,1)</f>
        <v>0</v>
      </c>
      <c r="D30" s="1390">
        <f>_xlfn.XLOOKUP(A30,'AJE.2 - F24'!A:A,'AJE.2 - F24'!F:F,0,0,1)</f>
        <v>0</v>
      </c>
      <c r="E30" s="1390"/>
      <c r="F30" s="219">
        <f t="shared" si="1"/>
        <v>0</v>
      </c>
      <c r="G30" s="178" t="str">
        <f>_xlfn.XLOOKUP($A30,COA!$B:$B,COA!$C:$C,0,0,1)</f>
        <v>Equipment</v>
      </c>
      <c r="H30" s="178" t="str">
        <f>_xlfn.XLOOKUP($A30,COA!$B:$B,COA!$D:$D,0,0,1)</f>
        <v>Equipment</v>
      </c>
      <c r="I30" s="178" t="str">
        <f>_xlfn.XLOOKUP($A30,COA!$B:$B,COA!$E:$E,0,0,1)</f>
        <v>Equipment</v>
      </c>
      <c r="K30" s="85" t="str">
        <f t="shared" si="2"/>
        <v>Equipment</v>
      </c>
      <c r="L30" s="85"/>
      <c r="M30" s="85"/>
      <c r="N30" s="85"/>
      <c r="O30" s="85"/>
      <c r="P30" s="85"/>
      <c r="Q30" s="85"/>
      <c r="R30" s="85"/>
      <c r="S30" s="85"/>
      <c r="T30" s="85"/>
      <c r="U30" s="85"/>
      <c r="V30" s="85"/>
      <c r="W30" s="85"/>
      <c r="X30" s="85"/>
      <c r="Y30" s="85"/>
      <c r="Z30" s="85"/>
      <c r="AA30" s="85"/>
      <c r="AB30" s="85"/>
      <c r="AC30" s="85"/>
    </row>
    <row r="31" spans="1:29" hidden="1" outlineLevel="1" x14ac:dyDescent="0.25">
      <c r="A31" s="1389" t="str">
        <f>COA!B28</f>
        <v>1801 Computer Equipment:Accumulated Depreciation</v>
      </c>
      <c r="B31" s="1390">
        <f>_xlfn.XLOOKUP(A31,'TB.2 - F24'!A:A,'TB.2 - F24'!D:D,0,0,1)</f>
        <v>0</v>
      </c>
      <c r="C31" s="1390">
        <f>_xlfn.XLOOKUP(A31,'TB.2 - F24'!A:A,'TB.2 - F24'!J:J,0,0,1)</f>
        <v>0</v>
      </c>
      <c r="D31" s="1390">
        <f>_xlfn.XLOOKUP(A31,'AJE.2 - F24'!A:A,'AJE.2 - F24'!F:F,0,0,1)</f>
        <v>0</v>
      </c>
      <c r="E31" s="1390"/>
      <c r="F31" s="219">
        <f t="shared" si="1"/>
        <v>0</v>
      </c>
      <c r="G31" s="178" t="str">
        <f>_xlfn.XLOOKUP($A31,COA!$B:$B,COA!$C:$C,0,0,1)</f>
        <v>Equipment</v>
      </c>
      <c r="H31" s="178" t="str">
        <f>_xlfn.XLOOKUP($A31,COA!$B:$B,COA!$D:$D,0,0,1)</f>
        <v>Equipment</v>
      </c>
      <c r="I31" s="178" t="str">
        <f>_xlfn.XLOOKUP($A31,COA!$B:$B,COA!$E:$E,0,0,1)</f>
        <v>Equipment</v>
      </c>
      <c r="K31" s="85" t="str">
        <f t="shared" si="2"/>
        <v>Equipment</v>
      </c>
      <c r="L31" s="85"/>
      <c r="M31" s="85"/>
      <c r="N31" s="85"/>
      <c r="O31" s="85"/>
      <c r="P31" s="85"/>
      <c r="Q31" s="85"/>
      <c r="R31" s="85"/>
      <c r="S31" s="85"/>
      <c r="T31" s="85"/>
      <c r="U31" s="85"/>
      <c r="V31" s="85"/>
      <c r="W31" s="85"/>
      <c r="X31" s="85"/>
      <c r="Y31" s="85"/>
      <c r="Z31" s="85"/>
      <c r="AA31" s="85"/>
      <c r="AB31" s="85"/>
      <c r="AC31" s="85"/>
    </row>
    <row r="32" spans="1:29" hidden="1" outlineLevel="1" x14ac:dyDescent="0.25">
      <c r="A32" s="1389" t="str">
        <f>COA!B29</f>
        <v>1810 Office Furniture</v>
      </c>
      <c r="B32" s="1390">
        <f>_xlfn.XLOOKUP(A32,'TB.2 - F24'!A:A,'TB.2 - F24'!D:D,0,0,1)</f>
        <v>0</v>
      </c>
      <c r="C32" s="1390">
        <f>_xlfn.XLOOKUP(A32,'TB.2 - F24'!A:A,'TB.2 - F24'!J:J,0,0,1)</f>
        <v>0</v>
      </c>
      <c r="D32" s="1390">
        <f>_xlfn.XLOOKUP(A32,'AJE.2 - F24'!A:A,'AJE.2 - F24'!F:F,0,0,1)</f>
        <v>0</v>
      </c>
      <c r="E32" s="1390"/>
      <c r="F32" s="219">
        <f t="shared" si="1"/>
        <v>0</v>
      </c>
      <c r="G32" s="178" t="str">
        <f>_xlfn.XLOOKUP($A32,COA!$B:$B,COA!$C:$C,0,0,1)</f>
        <v>Equipment</v>
      </c>
      <c r="H32" s="178" t="str">
        <f>_xlfn.XLOOKUP($A32,COA!$B:$B,COA!$D:$D,0,0,1)</f>
        <v>Equipment</v>
      </c>
      <c r="I32" s="178" t="str">
        <f>_xlfn.XLOOKUP($A32,COA!$B:$B,COA!$E:$E,0,0,1)</f>
        <v>Equipment</v>
      </c>
      <c r="K32" s="85" t="str">
        <f t="shared" si="2"/>
        <v>Equipment</v>
      </c>
      <c r="L32" s="85"/>
      <c r="M32" s="85"/>
      <c r="N32" s="85"/>
      <c r="O32" s="85"/>
      <c r="P32" s="85"/>
      <c r="Q32" s="85"/>
      <c r="R32" s="85"/>
      <c r="S32" s="85"/>
      <c r="T32" s="85"/>
      <c r="U32" s="85"/>
      <c r="V32" s="85"/>
      <c r="W32" s="85"/>
      <c r="X32" s="85"/>
      <c r="Y32" s="85"/>
      <c r="Z32" s="85"/>
      <c r="AA32" s="85"/>
      <c r="AB32" s="85"/>
      <c r="AC32" s="85"/>
    </row>
    <row r="33" spans="1:29" hidden="1" outlineLevel="1" x14ac:dyDescent="0.25">
      <c r="A33" s="1389" t="str">
        <f>COA!B30</f>
        <v>1811 Office Furniture:Accumulated Depreciation</v>
      </c>
      <c r="B33" s="1390">
        <f>_xlfn.XLOOKUP(A33,'TB.2 - F24'!A:A,'TB.2 - F24'!D:D,0,0,1)</f>
        <v>0</v>
      </c>
      <c r="C33" s="1390">
        <f>_xlfn.XLOOKUP(A33,'TB.2 - F24'!A:A,'TB.2 - F24'!J:J,0,0,1)</f>
        <v>0</v>
      </c>
      <c r="D33" s="1390">
        <f>_xlfn.XLOOKUP(A33,'AJE.2 - F24'!A:A,'AJE.2 - F24'!F:F,0,0,1)</f>
        <v>0</v>
      </c>
      <c r="E33" s="1390"/>
      <c r="F33" s="219">
        <f t="shared" si="1"/>
        <v>0</v>
      </c>
      <c r="G33" s="178" t="str">
        <f>_xlfn.XLOOKUP($A33,COA!$B:$B,COA!$C:$C,0,0,1)</f>
        <v>Equipment</v>
      </c>
      <c r="H33" s="178" t="str">
        <f>_xlfn.XLOOKUP($A33,COA!$B:$B,COA!$D:$D,0,0,1)</f>
        <v>Equipment</v>
      </c>
      <c r="I33" s="178" t="str">
        <f>_xlfn.XLOOKUP($A33,COA!$B:$B,COA!$E:$E,0,0,1)</f>
        <v>Equipment</v>
      </c>
      <c r="K33" s="85" t="str">
        <f t="shared" si="2"/>
        <v>Equipment</v>
      </c>
      <c r="L33" s="85"/>
      <c r="M33" s="85"/>
      <c r="N33" s="85"/>
      <c r="O33" s="85"/>
      <c r="P33" s="85"/>
      <c r="Q33" s="85"/>
      <c r="R33" s="85"/>
      <c r="S33" s="85"/>
      <c r="T33" s="85"/>
      <c r="U33" s="85"/>
      <c r="V33" s="85"/>
      <c r="W33" s="85"/>
      <c r="X33" s="85"/>
      <c r="Y33" s="85"/>
      <c r="Z33" s="85"/>
      <c r="AA33" s="85"/>
      <c r="AB33" s="85"/>
      <c r="AC33" s="85"/>
    </row>
    <row r="34" spans="1:29" hidden="1" outlineLevel="1" x14ac:dyDescent="0.25">
      <c r="A34" s="1389" t="str">
        <f>COA!B31</f>
        <v>1900 Shop Equipment</v>
      </c>
      <c r="B34" s="1390">
        <f>_xlfn.XLOOKUP(A34,'TB.2 - F24'!A:A,'TB.2 - F24'!D:D,0,0,1)</f>
        <v>0</v>
      </c>
      <c r="C34" s="1390">
        <f>_xlfn.XLOOKUP(A34,'TB.2 - F24'!A:A,'TB.2 - F24'!J:J,0,0,1)</f>
        <v>6288.98</v>
      </c>
      <c r="D34" s="1390">
        <f>_xlfn.XLOOKUP(A34,'AJE.2 - F24'!A:A,'AJE.2 - F24'!F:F,0,0,1)</f>
        <v>0</v>
      </c>
      <c r="E34" s="1390"/>
      <c r="F34" s="219">
        <f t="shared" si="1"/>
        <v>6289</v>
      </c>
      <c r="G34" s="178" t="str">
        <f>_xlfn.XLOOKUP($A34,COA!$B:$B,COA!$C:$C,0,0,1)</f>
        <v>Equipment</v>
      </c>
      <c r="H34" s="178" t="str">
        <f>_xlfn.XLOOKUP($A34,COA!$B:$B,COA!$D:$D,0,0,1)</f>
        <v>Equipment</v>
      </c>
      <c r="I34" s="178" t="str">
        <f>_xlfn.XLOOKUP($A34,COA!$B:$B,COA!$E:$E,0,0,1)</f>
        <v>Equipment</v>
      </c>
      <c r="K34" s="85" t="str">
        <f t="shared" si="2"/>
        <v>Equipment</v>
      </c>
      <c r="L34" s="85"/>
      <c r="M34" s="85"/>
      <c r="N34" s="85"/>
      <c r="O34" s="85"/>
      <c r="P34" s="85"/>
      <c r="Q34" s="85"/>
      <c r="R34" s="85"/>
      <c r="S34" s="85"/>
      <c r="T34" s="85"/>
      <c r="U34" s="85"/>
      <c r="V34" s="85"/>
      <c r="W34" s="85"/>
      <c r="X34" s="85"/>
      <c r="Y34" s="85"/>
      <c r="Z34" s="85"/>
      <c r="AA34" s="85"/>
      <c r="AB34" s="85"/>
      <c r="AC34" s="85"/>
    </row>
    <row r="35" spans="1:29" hidden="1" outlineLevel="1" x14ac:dyDescent="0.25">
      <c r="A35" s="1389" t="str">
        <f>COA!B32</f>
        <v>1901 Shop Equipment:Accum deprec - shop equipment</v>
      </c>
      <c r="B35" s="1390">
        <f>_xlfn.XLOOKUP(A35,'TB.2 - F24'!A:A,'TB.2 - F24'!D:D,0,0,1)</f>
        <v>0</v>
      </c>
      <c r="C35" s="1390">
        <f>_xlfn.XLOOKUP(A35,'TB.2 - F24'!A:A,'TB.2 - F24'!J:J,0,0,1)</f>
        <v>-948.31</v>
      </c>
      <c r="D35" s="1390">
        <f>_xlfn.XLOOKUP(A35,'AJE.2 - F24'!A:A,'AJE.2 - F24'!F:F,0,0,1)</f>
        <v>0</v>
      </c>
      <c r="E35" s="1390"/>
      <c r="F35" s="219">
        <f t="shared" si="1"/>
        <v>-948</v>
      </c>
      <c r="G35" s="178" t="str">
        <f>_xlfn.XLOOKUP($A35,COA!$B:$B,COA!$C:$C,0,0,1)</f>
        <v>Equipment</v>
      </c>
      <c r="H35" s="178" t="str">
        <f>_xlfn.XLOOKUP($A35,COA!$B:$B,COA!$D:$D,0,0,1)</f>
        <v>Equipment</v>
      </c>
      <c r="I35" s="178" t="str">
        <f>_xlfn.XLOOKUP($A35,COA!$B:$B,COA!$E:$E,0,0,1)</f>
        <v>Equipment</v>
      </c>
      <c r="K35" s="85" t="str">
        <f t="shared" si="2"/>
        <v>Equipment</v>
      </c>
      <c r="L35" s="85"/>
      <c r="M35" s="85"/>
      <c r="N35" s="85"/>
      <c r="O35" s="85"/>
      <c r="P35" s="85"/>
      <c r="Q35" s="85"/>
      <c r="R35" s="85"/>
      <c r="S35" s="85"/>
      <c r="T35" s="85"/>
      <c r="U35" s="85"/>
      <c r="V35" s="85"/>
      <c r="W35" s="85"/>
      <c r="X35" s="85"/>
      <c r="Y35" s="85"/>
      <c r="Z35" s="85"/>
      <c r="AA35" s="85"/>
      <c r="AB35" s="85"/>
      <c r="AC35" s="85"/>
    </row>
    <row r="36" spans="1:29" hidden="1" outlineLevel="1" x14ac:dyDescent="0.25">
      <c r="A36" s="1389" t="str">
        <f>COA!B33</f>
        <v>1999 Uncategorized Asset</v>
      </c>
      <c r="B36" s="1390">
        <f>_xlfn.XLOOKUP(A36,'TB.2 - F24'!A:A,'TB.2 - F24'!D:D,0,0,1)</f>
        <v>0</v>
      </c>
      <c r="C36" s="1390">
        <f>_xlfn.XLOOKUP(A36,'TB.2 - F24'!A:A,'TB.2 - F24'!J:J,0,0,1)</f>
        <v>0</v>
      </c>
      <c r="D36" s="1390">
        <f>_xlfn.XLOOKUP(A36,'AJE.2 - F24'!A:A,'AJE.2 - F24'!F:F,0,0,1)</f>
        <v>0</v>
      </c>
      <c r="E36" s="1390"/>
      <c r="F36" s="219">
        <f t="shared" si="1"/>
        <v>0</v>
      </c>
      <c r="G36" s="178" t="str">
        <f>_xlfn.XLOOKUP($A36,COA!$B:$B,COA!$C:$C,0,0,1)</f>
        <v>Other current assets</v>
      </c>
      <c r="H36" s="178" t="str">
        <f>_xlfn.XLOOKUP($A36,COA!$B:$B,COA!$D:$D,0,0,1)</f>
        <v>Other current assets</v>
      </c>
      <c r="I36" s="178" t="str">
        <f>_xlfn.XLOOKUP($A36,COA!$B:$B,COA!$E:$E,0,0,1)</f>
        <v>Other current assets</v>
      </c>
      <c r="K36" s="85" t="str">
        <f t="shared" si="2"/>
        <v>Other current assets</v>
      </c>
      <c r="L36" s="85"/>
      <c r="M36" s="85"/>
      <c r="N36" s="85"/>
      <c r="O36" s="85"/>
      <c r="P36" s="85"/>
      <c r="Q36" s="85"/>
      <c r="R36" s="85"/>
      <c r="S36" s="85"/>
      <c r="T36" s="85"/>
      <c r="U36" s="85"/>
      <c r="V36" s="85"/>
      <c r="W36" s="85"/>
      <c r="X36" s="85"/>
      <c r="Y36" s="85"/>
      <c r="Z36" s="85"/>
      <c r="AA36" s="85"/>
      <c r="AB36" s="85"/>
      <c r="AC36" s="85"/>
    </row>
    <row r="37" spans="1:29" hidden="1" outlineLevel="1" x14ac:dyDescent="0.25">
      <c r="A37" s="1389" t="str">
        <f>COA!B34</f>
        <v>2000 Accounts Payable (A/P)</v>
      </c>
      <c r="B37" s="1390">
        <f>_xlfn.XLOOKUP(A37,'TB.2 - F24'!A:A,'TB.2 - F24'!D:D,0,0,1)</f>
        <v>-128133.35</v>
      </c>
      <c r="C37" s="1390">
        <f>_xlfn.XLOOKUP(A37,'TB.2 - F24'!A:A,'TB.2 - F24'!J:J,0,0,1)</f>
        <v>0</v>
      </c>
      <c r="D37" s="1390">
        <f>_xlfn.XLOOKUP(A37,'AJE.2 - F24'!A:A,'AJE.2 - F24'!F:F,0,0,1)</f>
        <v>0</v>
      </c>
      <c r="E37" s="1390"/>
      <c r="F37" s="219">
        <f t="shared" si="1"/>
        <v>-128133</v>
      </c>
      <c r="G37" s="178" t="str">
        <f>_xlfn.XLOOKUP($A37,COA!$B:$B,COA!$C:$C,0,0,1)</f>
        <v>Accounts payables and accrued liabilities</v>
      </c>
      <c r="H37" s="178" t="str">
        <f>_xlfn.XLOOKUP($A37,COA!$B:$B,COA!$D:$D,0,0,1)</f>
        <v>Accounts payables and accrued liabilities</v>
      </c>
      <c r="I37" s="178" t="str">
        <f>_xlfn.XLOOKUP($A37,COA!$B:$B,COA!$E:$E,0,0,1)</f>
        <v>Accounts payables and accrued liabilities</v>
      </c>
      <c r="K37" s="85" t="str">
        <f t="shared" si="2"/>
        <v>Accounts payables and accrued liabilities</v>
      </c>
      <c r="L37" s="85"/>
      <c r="M37" s="85"/>
      <c r="N37" s="85"/>
      <c r="O37" s="85"/>
      <c r="P37" s="85"/>
      <c r="Q37" s="85"/>
      <c r="R37" s="85"/>
      <c r="S37" s="85"/>
      <c r="T37" s="85"/>
      <c r="U37" s="85"/>
      <c r="V37" s="85"/>
      <c r="W37" s="85"/>
      <c r="X37" s="85"/>
      <c r="Y37" s="85"/>
      <c r="Z37" s="85"/>
      <c r="AA37" s="85"/>
      <c r="AB37" s="85"/>
      <c r="AC37" s="85"/>
    </row>
    <row r="38" spans="1:29" hidden="1" outlineLevel="1" x14ac:dyDescent="0.25">
      <c r="A38" s="1389" t="str">
        <f>COA!B35</f>
        <v>2000 Accounts Payable</v>
      </c>
      <c r="B38" s="1390">
        <f>_xlfn.XLOOKUP(A38,'TB.2 - F24'!A:A,'TB.2 - F24'!D:D,0,0,1)</f>
        <v>0</v>
      </c>
      <c r="C38" s="1390">
        <f>_xlfn.XLOOKUP(A38,'TB.2 - F24'!A:A,'TB.2 - F24'!J:J,0,0,1)</f>
        <v>-108032.58</v>
      </c>
      <c r="D38" s="1390">
        <f>_xlfn.XLOOKUP(A38,'AJE.2 - F24'!A:A,'AJE.2 - F24'!F:F,0,0,1)</f>
        <v>0</v>
      </c>
      <c r="E38" s="1390"/>
      <c r="F38" s="219">
        <f t="shared" si="1"/>
        <v>-108033</v>
      </c>
      <c r="G38" s="178" t="str">
        <f>_xlfn.XLOOKUP($A38,COA!$B:$B,COA!$C:$C,0,0,1)</f>
        <v>Accounts payables and accrued liabilities</v>
      </c>
      <c r="H38" s="178" t="str">
        <f>_xlfn.XLOOKUP($A38,COA!$B:$B,COA!$D:$D,0,0,1)</f>
        <v>Accounts payables and accrued liabilities</v>
      </c>
      <c r="I38" s="178" t="str">
        <f>_xlfn.XLOOKUP($A38,COA!$B:$B,COA!$E:$E,0,0,1)</f>
        <v>Accounts payables and accrued liabilities</v>
      </c>
      <c r="K38" s="85" t="str">
        <f t="shared" si="2"/>
        <v>Accounts payables and accrued liabilities</v>
      </c>
      <c r="L38" s="85"/>
      <c r="M38" s="85"/>
      <c r="N38" s="85"/>
      <c r="O38" s="85"/>
      <c r="P38" s="85"/>
      <c r="Q38" s="85"/>
      <c r="R38" s="85"/>
      <c r="S38" s="85"/>
      <c r="T38" s="85"/>
      <c r="U38" s="85"/>
      <c r="V38" s="85"/>
      <c r="W38" s="85"/>
      <c r="X38" s="85"/>
      <c r="Y38" s="85"/>
      <c r="Z38" s="85"/>
      <c r="AA38" s="85"/>
      <c r="AB38" s="85"/>
      <c r="AC38" s="85"/>
    </row>
    <row r="39" spans="1:29" hidden="1" outlineLevel="1" x14ac:dyDescent="0.25">
      <c r="A39" s="1389" t="str">
        <f>COA!B36</f>
        <v>2001 Accounts Payable (A/P) - USD</v>
      </c>
      <c r="B39" s="1390">
        <f>_xlfn.XLOOKUP(A39,'TB.2 - F24'!A:A,'TB.2 - F24'!D:D,0,0,1)</f>
        <v>0</v>
      </c>
      <c r="C39" s="1390">
        <f>_xlfn.XLOOKUP(A39,'TB.2 - F24'!A:A,'TB.2 - F24'!J:J,0,0,1)</f>
        <v>-0.01</v>
      </c>
      <c r="D39" s="1390">
        <f>_xlfn.XLOOKUP(A39,'AJE.2 - F24'!A:A,'AJE.2 - F24'!F:F,0,0,1)</f>
        <v>0</v>
      </c>
      <c r="E39" s="1390"/>
      <c r="F39" s="219">
        <f t="shared" si="1"/>
        <v>0</v>
      </c>
      <c r="G39" s="178" t="str">
        <f>_xlfn.XLOOKUP($A39,COA!$B:$B,COA!$C:$C,0,0,1)</f>
        <v>Accounts payables and accrued liabilities</v>
      </c>
      <c r="H39" s="178" t="str">
        <f>_xlfn.XLOOKUP($A39,COA!$B:$B,COA!$D:$D,0,0,1)</f>
        <v>Accounts payables and accrued liabilities</v>
      </c>
      <c r="I39" s="178" t="str">
        <f>_xlfn.XLOOKUP($A39,COA!$B:$B,COA!$E:$E,0,0,1)</f>
        <v>Accounts payables and accrued liabilities</v>
      </c>
      <c r="K39" s="85" t="str">
        <f t="shared" si="2"/>
        <v>Accounts payables and accrued liabilities</v>
      </c>
      <c r="L39" s="85"/>
      <c r="M39" s="85"/>
      <c r="N39" s="85"/>
      <c r="O39" s="85"/>
      <c r="P39" s="85"/>
      <c r="Q39" s="85"/>
      <c r="R39" s="85"/>
      <c r="S39" s="85"/>
      <c r="T39" s="85"/>
      <c r="U39" s="85"/>
      <c r="V39" s="85"/>
      <c r="W39" s="85"/>
      <c r="X39" s="85"/>
      <c r="Y39" s="85"/>
      <c r="Z39" s="85"/>
      <c r="AA39" s="85"/>
      <c r="AB39" s="85"/>
      <c r="AC39" s="85"/>
    </row>
    <row r="40" spans="1:29" hidden="1" outlineLevel="1" x14ac:dyDescent="0.25">
      <c r="A40" s="1389" t="str">
        <f>COA!B37</f>
        <v>2010 Accrued Liabilities</v>
      </c>
      <c r="B40" s="1390">
        <f>_xlfn.XLOOKUP(A40,'TB.2 - F24'!A:A,'TB.2 - F24'!D:D,0,0,1)</f>
        <v>0</v>
      </c>
      <c r="C40" s="1390">
        <f>_xlfn.XLOOKUP(A40,'TB.2 - F24'!A:A,'TB.2 - F24'!J:J,0,0,1)</f>
        <v>-60000</v>
      </c>
      <c r="D40" s="1390">
        <f>_xlfn.XLOOKUP(A40,'AJE.2 - F24'!A:A,'AJE.2 - F24'!F:F,0,0,1)</f>
        <v>0</v>
      </c>
      <c r="E40" s="1390"/>
      <c r="F40" s="219">
        <f t="shared" ref="F40:F71" si="3">ROUND(SUM(B40:E40),0)</f>
        <v>-60000</v>
      </c>
      <c r="G40" s="178" t="str">
        <f>_xlfn.XLOOKUP($A40,COA!$B:$B,COA!$C:$C,0,0,1)</f>
        <v>Accounts payables and accrued liabilities</v>
      </c>
      <c r="H40" s="178" t="str">
        <f>_xlfn.XLOOKUP($A40,COA!$B:$B,COA!$D:$D,0,0,1)</f>
        <v>Accounts payables and accrued liabilities</v>
      </c>
      <c r="I40" s="178" t="str">
        <f>_xlfn.XLOOKUP($A40,COA!$B:$B,COA!$E:$E,0,0,1)</f>
        <v>Accounts payables and accrued liabilities</v>
      </c>
      <c r="K40" s="85" t="str">
        <f t="shared" si="2"/>
        <v>Accounts payables and accrued liabilities</v>
      </c>
      <c r="L40" s="85"/>
      <c r="M40" s="85"/>
      <c r="N40" s="85"/>
      <c r="O40" s="85"/>
      <c r="P40" s="85"/>
      <c r="Q40" s="85"/>
      <c r="R40" s="85"/>
      <c r="S40" s="85"/>
      <c r="T40" s="85"/>
      <c r="U40" s="85"/>
      <c r="V40" s="85"/>
      <c r="W40" s="85"/>
      <c r="X40" s="85"/>
      <c r="Y40" s="85"/>
      <c r="Z40" s="85"/>
      <c r="AA40" s="85"/>
      <c r="AB40" s="85"/>
      <c r="AC40" s="85"/>
    </row>
    <row r="41" spans="1:29" hidden="1" outlineLevel="1" x14ac:dyDescent="0.25">
      <c r="A41" s="1389" t="str">
        <f>COA!B38</f>
        <v>2030 Cutomer prepayments</v>
      </c>
      <c r="B41" s="1390">
        <f>_xlfn.XLOOKUP(A41,'TB.2 - F24'!A:A,'TB.2 - F24'!D:D,0,0,1)</f>
        <v>0</v>
      </c>
      <c r="C41" s="1390">
        <f>_xlfn.XLOOKUP(A41,'TB.2 - F24'!A:A,'TB.2 - F24'!J:J,0,0,1)</f>
        <v>0</v>
      </c>
      <c r="D41" s="1390">
        <f>_xlfn.XLOOKUP(A41,'AJE.2 - F24'!A:A,'AJE.2 - F24'!F:F,0,0,1)</f>
        <v>0</v>
      </c>
      <c r="E41" s="1390"/>
      <c r="F41" s="219">
        <f t="shared" si="3"/>
        <v>0</v>
      </c>
      <c r="G41" s="178" t="str">
        <f>_xlfn.XLOOKUP($A41,COA!$B:$B,COA!$C:$C,0,0,1)</f>
        <v>Deferred revenue</v>
      </c>
      <c r="H41" s="178" t="str">
        <f>_xlfn.XLOOKUP($A41,COA!$B:$B,COA!$D:$D,0,0,1)</f>
        <v>Deferred revenue</v>
      </c>
      <c r="I41" s="178" t="str">
        <f>_xlfn.XLOOKUP($A41,COA!$B:$B,COA!$E:$E,0,0,1)</f>
        <v>Deferred revenue</v>
      </c>
      <c r="K41" s="85" t="str">
        <f t="shared" si="2"/>
        <v>Deferred revenue</v>
      </c>
      <c r="L41" s="85"/>
      <c r="M41" s="85"/>
      <c r="N41" s="85"/>
      <c r="O41" s="85"/>
      <c r="P41" s="85"/>
      <c r="Q41" s="85"/>
      <c r="R41" s="85"/>
      <c r="S41" s="85"/>
      <c r="T41" s="85"/>
      <c r="U41" s="85"/>
      <c r="V41" s="85"/>
      <c r="W41" s="85"/>
      <c r="X41" s="85"/>
      <c r="Y41" s="85"/>
      <c r="Z41" s="85"/>
      <c r="AA41" s="85"/>
      <c r="AB41" s="85"/>
      <c r="AC41" s="85"/>
    </row>
    <row r="42" spans="1:29" hidden="1" outlineLevel="1" x14ac:dyDescent="0.25">
      <c r="A42" s="1389" t="str">
        <f>COA!B41</f>
        <v>2100 Accrued Liabilities</v>
      </c>
      <c r="B42" s="1390">
        <f>_xlfn.XLOOKUP(A42,'TB.2 - F24'!A:A,'TB.2 - F24'!D:D,0,0,1)</f>
        <v>-53625</v>
      </c>
      <c r="C42" s="1390">
        <f>_xlfn.XLOOKUP(A42,'TB.2 - F24'!A:A,'TB.2 - F24'!J:J,0,0,1)</f>
        <v>0</v>
      </c>
      <c r="D42" s="1390">
        <f>_xlfn.XLOOKUP(A42,'AJE.2 - F24'!A:A,'AJE.2 - F24'!F:F,0,0,1)</f>
        <v>0</v>
      </c>
      <c r="E42" s="1390">
        <f>-E93</f>
        <v>0</v>
      </c>
      <c r="F42" s="219">
        <f t="shared" si="3"/>
        <v>-53625</v>
      </c>
      <c r="G42" s="178" t="str">
        <f>_xlfn.XLOOKUP($A42,COA!$B:$B,COA!$C:$C,0,0,1)</f>
        <v>Accounts payables and accrued liabilities</v>
      </c>
      <c r="H42" s="178" t="str">
        <f>_xlfn.XLOOKUP($A42,COA!$B:$B,COA!$D:$D,0,0,1)</f>
        <v>Accounts payables and accrued liabilities</v>
      </c>
      <c r="I42" s="178" t="str">
        <f>_xlfn.XLOOKUP($A42,COA!$B:$B,COA!$E:$E,0,0,1)</f>
        <v>Accounts payables and accrued liabilities</v>
      </c>
      <c r="K42" s="85" t="str">
        <f t="shared" si="2"/>
        <v>Accounts payables and accrued liabilities</v>
      </c>
      <c r="L42" s="85"/>
      <c r="M42" s="85"/>
      <c r="N42" s="85"/>
      <c r="O42" s="85"/>
      <c r="P42" s="85"/>
      <c r="Q42" s="85"/>
      <c r="R42" s="85"/>
      <c r="S42" s="85"/>
      <c r="T42" s="85"/>
      <c r="U42" s="85"/>
      <c r="V42" s="85"/>
      <c r="W42" s="85"/>
      <c r="X42" s="85"/>
      <c r="Y42" s="85"/>
      <c r="Z42" s="85"/>
      <c r="AA42" s="85"/>
      <c r="AB42" s="85"/>
      <c r="AC42" s="85"/>
    </row>
    <row r="43" spans="1:29" hidden="1" outlineLevel="1" x14ac:dyDescent="0.25">
      <c r="A43" s="1389" t="str">
        <f>COA!B42</f>
        <v>2100 Payroll Liabilities</v>
      </c>
      <c r="B43" s="1390">
        <f>_xlfn.XLOOKUP(A43,'TB.2 - F24'!A:A,'TB.2 - F24'!D:D,0,0,1)</f>
        <v>0</v>
      </c>
      <c r="C43" s="1390">
        <f>_xlfn.XLOOKUP(A43,'TB.2 - F24'!A:A,'TB.2 - F24'!J:J,0,0,1)</f>
        <v>0</v>
      </c>
      <c r="D43" s="1390">
        <f>_xlfn.XLOOKUP(A43,'AJE.2 - F24'!A:A,'AJE.2 - F24'!F:F,0,0,1)</f>
        <v>0</v>
      </c>
      <c r="E43" s="1390"/>
      <c r="F43" s="219">
        <f t="shared" si="3"/>
        <v>0</v>
      </c>
      <c r="G43" s="178" t="str">
        <f>_xlfn.XLOOKUP($A43,COA!$B:$B,COA!$C:$C,0,0,1)</f>
        <v>Payroll liabilities</v>
      </c>
      <c r="H43" s="178" t="str">
        <f>_xlfn.XLOOKUP($A43,COA!$B:$B,COA!$D:$D,0,0,1)</f>
        <v>Payroll liabilities</v>
      </c>
      <c r="I43" s="178" t="str">
        <f>_xlfn.XLOOKUP($A43,COA!$B:$B,COA!$E:$E,0,0,1)</f>
        <v>Payroll liabilities</v>
      </c>
      <c r="K43" s="85" t="str">
        <f t="shared" si="2"/>
        <v>Payroll liabilities</v>
      </c>
      <c r="L43" s="85"/>
      <c r="M43" s="85"/>
      <c r="N43" s="85"/>
      <c r="O43" s="85"/>
      <c r="P43" s="85"/>
      <c r="Q43" s="85"/>
      <c r="R43" s="85"/>
      <c r="S43" s="85"/>
      <c r="T43" s="85"/>
      <c r="U43" s="85"/>
      <c r="V43" s="85"/>
      <c r="W43" s="85"/>
      <c r="X43" s="85"/>
      <c r="Y43" s="85"/>
      <c r="Z43" s="85"/>
      <c r="AA43" s="85"/>
      <c r="AB43" s="85"/>
      <c r="AC43" s="85"/>
    </row>
    <row r="44" spans="1:29" hidden="1" outlineLevel="1" x14ac:dyDescent="0.25">
      <c r="A44" s="1389" t="str">
        <f>COA!B43</f>
        <v>2110 Payroll Liabilities:Payroll Taxes</v>
      </c>
      <c r="B44" s="1390">
        <f>_xlfn.XLOOKUP(A44,'TB.2 - F24'!A:A,'TB.2 - F24'!D:D,0,0,1)</f>
        <v>0</v>
      </c>
      <c r="C44" s="1390">
        <f>_xlfn.XLOOKUP(A44,'TB.2 - F24'!A:A,'TB.2 - F24'!J:J,0,0,1)</f>
        <v>0</v>
      </c>
      <c r="D44" s="1390">
        <f>_xlfn.XLOOKUP(A44,'AJE.2 - F24'!A:A,'AJE.2 - F24'!F:F,0,0,1)</f>
        <v>0</v>
      </c>
      <c r="E44" s="1390"/>
      <c r="F44" s="219">
        <f t="shared" si="3"/>
        <v>0</v>
      </c>
      <c r="G44" s="178" t="str">
        <f>_xlfn.XLOOKUP($A44,COA!$B:$B,COA!$C:$C,0,0,1)</f>
        <v>Payroll liabilities</v>
      </c>
      <c r="H44" s="178" t="str">
        <f>_xlfn.XLOOKUP($A44,COA!$B:$B,COA!$D:$D,0,0,1)</f>
        <v>Payroll liabilities</v>
      </c>
      <c r="I44" s="178" t="str">
        <f>_xlfn.XLOOKUP($A44,COA!$B:$B,COA!$E:$E,0,0,1)</f>
        <v>Payroll liabilities</v>
      </c>
      <c r="K44" s="85" t="str">
        <f t="shared" si="2"/>
        <v>Payroll liabilities</v>
      </c>
      <c r="L44" s="85"/>
      <c r="M44" s="85"/>
      <c r="N44" s="85"/>
      <c r="O44" s="85"/>
      <c r="P44" s="85"/>
      <c r="Q44" s="85"/>
      <c r="R44" s="85"/>
      <c r="S44" s="85"/>
      <c r="T44" s="85"/>
      <c r="U44" s="85"/>
      <c r="V44" s="85"/>
      <c r="W44" s="85"/>
      <c r="X44" s="85"/>
      <c r="Y44" s="85"/>
      <c r="Z44" s="85"/>
      <c r="AA44" s="85"/>
      <c r="AB44" s="85"/>
      <c r="AC44" s="85"/>
    </row>
    <row r="45" spans="1:29" hidden="1" outlineLevel="1" x14ac:dyDescent="0.25">
      <c r="A45" s="1389" t="str">
        <f>COA!B44</f>
        <v>2120 Payroll Liabilities:Vacation Pay Due</v>
      </c>
      <c r="B45" s="1390">
        <f>_xlfn.XLOOKUP(A45,'TB.2 - F24'!A:A,'TB.2 - F24'!D:D,0,0,1)</f>
        <v>0</v>
      </c>
      <c r="C45" s="1390">
        <f>_xlfn.XLOOKUP(A45,'TB.2 - F24'!A:A,'TB.2 - F24'!J:J,0,0,1)</f>
        <v>0</v>
      </c>
      <c r="D45" s="1390">
        <f>_xlfn.XLOOKUP(A45,'AJE.2 - F24'!A:A,'AJE.2 - F24'!F:F,0,0,1)</f>
        <v>0</v>
      </c>
      <c r="E45" s="1390"/>
      <c r="F45" s="219">
        <f t="shared" si="3"/>
        <v>0</v>
      </c>
      <c r="G45" s="178" t="str">
        <f>_xlfn.XLOOKUP($A45,COA!$B:$B,COA!$C:$C,0,0,1)</f>
        <v>Payroll liabilities</v>
      </c>
      <c r="H45" s="178" t="str">
        <f>_xlfn.XLOOKUP($A45,COA!$B:$B,COA!$D:$D,0,0,1)</f>
        <v>Payroll liabilities</v>
      </c>
      <c r="I45" s="178" t="str">
        <f>_xlfn.XLOOKUP($A45,COA!$B:$B,COA!$E:$E,0,0,1)</f>
        <v>Payroll liabilities</v>
      </c>
      <c r="K45" s="85" t="str">
        <f t="shared" si="2"/>
        <v>Payroll liabilities</v>
      </c>
      <c r="L45" s="85"/>
      <c r="M45" s="85"/>
      <c r="N45" s="85"/>
      <c r="O45" s="85"/>
      <c r="P45" s="85"/>
      <c r="Q45" s="85"/>
      <c r="R45" s="85"/>
      <c r="S45" s="85"/>
      <c r="T45" s="85"/>
      <c r="U45" s="85"/>
      <c r="V45" s="85"/>
      <c r="W45" s="85"/>
      <c r="X45" s="85"/>
      <c r="Y45" s="85"/>
      <c r="Z45" s="85"/>
      <c r="AA45" s="85"/>
      <c r="AB45" s="85"/>
      <c r="AC45" s="85"/>
    </row>
    <row r="46" spans="1:29" hidden="1" outlineLevel="1" x14ac:dyDescent="0.25">
      <c r="A46" s="1389" t="str">
        <f>COA!B45</f>
        <v>2130 Payroll Liabilities:WCB to be paid/(refunded)</v>
      </c>
      <c r="B46" s="1390">
        <f>_xlfn.XLOOKUP(A46,'TB.2 - F24'!A:A,'TB.2 - F24'!D:D,0,0,1)</f>
        <v>0</v>
      </c>
      <c r="C46" s="1390">
        <f>_xlfn.XLOOKUP(A46,'TB.2 - F24'!A:A,'TB.2 - F24'!J:J,0,0,1)</f>
        <v>0</v>
      </c>
      <c r="D46" s="1390">
        <f>_xlfn.XLOOKUP(A46,'AJE.2 - F24'!A:A,'AJE.2 - F24'!F:F,0,0,1)</f>
        <v>0</v>
      </c>
      <c r="E46" s="1390"/>
      <c r="F46" s="219">
        <f t="shared" si="3"/>
        <v>0</v>
      </c>
      <c r="G46" s="178" t="str">
        <f>_xlfn.XLOOKUP($A46,COA!$B:$B,COA!$C:$C,0,0,1)</f>
        <v>Payroll liabilities</v>
      </c>
      <c r="H46" s="178" t="str">
        <f>_xlfn.XLOOKUP($A46,COA!$B:$B,COA!$D:$D,0,0,1)</f>
        <v>Sales tax receivable</v>
      </c>
      <c r="I46" s="178" t="str">
        <f>_xlfn.XLOOKUP($A46,COA!$B:$B,COA!$E:$E,0,0,1)</f>
        <v>Payroll liabilities</v>
      </c>
      <c r="K46" s="85" t="str">
        <f t="shared" si="2"/>
        <v>Payroll liabilities</v>
      </c>
      <c r="L46" s="85"/>
      <c r="M46" s="85"/>
      <c r="N46" s="85"/>
      <c r="O46" s="85"/>
      <c r="P46" s="85"/>
      <c r="Q46" s="85"/>
      <c r="R46" s="85"/>
      <c r="S46" s="85"/>
      <c r="T46" s="85"/>
      <c r="U46" s="85"/>
      <c r="V46" s="85"/>
      <c r="W46" s="85"/>
      <c r="X46" s="85"/>
      <c r="Y46" s="85"/>
      <c r="Z46" s="85"/>
      <c r="AA46" s="85"/>
      <c r="AB46" s="85"/>
      <c r="AC46" s="85"/>
    </row>
    <row r="47" spans="1:29" hidden="1" outlineLevel="1" x14ac:dyDescent="0.25">
      <c r="A47" s="1389" t="str">
        <f>COA!B46</f>
        <v>2140 Payroll Liabilities:Vacation Pay Payable</v>
      </c>
      <c r="B47" s="1390">
        <f>_xlfn.XLOOKUP(A47,'TB.2 - F24'!A:A,'TB.2 - F24'!D:D,0,0,1)</f>
        <v>0</v>
      </c>
      <c r="C47" s="1390">
        <f>_xlfn.XLOOKUP(A47,'TB.2 - F24'!A:A,'TB.2 - F24'!J:J,0,0,1)</f>
        <v>0</v>
      </c>
      <c r="D47" s="1390">
        <f>_xlfn.XLOOKUP(A47,'AJE.2 - F24'!A:A,'AJE.2 - F24'!F:F,0,0,1)</f>
        <v>0</v>
      </c>
      <c r="E47" s="1390"/>
      <c r="F47" s="219">
        <f t="shared" si="3"/>
        <v>0</v>
      </c>
      <c r="G47" s="178" t="str">
        <f>_xlfn.XLOOKUP($A47,COA!$B:$B,COA!$C:$C,0,0,1)</f>
        <v>Payroll liabilities</v>
      </c>
      <c r="H47" s="178" t="str">
        <f>_xlfn.XLOOKUP($A47,COA!$B:$B,COA!$D:$D,0,0,1)</f>
        <v>Sales tax receivable</v>
      </c>
      <c r="I47" s="178" t="str">
        <f>_xlfn.XLOOKUP($A47,COA!$B:$B,COA!$E:$E,0,0,1)</f>
        <v>Payroll liabilities</v>
      </c>
      <c r="K47" s="85" t="str">
        <f t="shared" si="2"/>
        <v>Payroll liabilities</v>
      </c>
      <c r="L47" s="85"/>
      <c r="M47" s="85"/>
      <c r="N47" s="85"/>
      <c r="O47" s="85"/>
      <c r="P47" s="85"/>
      <c r="Q47" s="85"/>
      <c r="R47" s="85"/>
      <c r="S47" s="85"/>
      <c r="T47" s="85"/>
      <c r="U47" s="85"/>
      <c r="V47" s="85"/>
      <c r="W47" s="85"/>
      <c r="X47" s="85"/>
      <c r="Y47" s="85"/>
      <c r="Z47" s="85"/>
      <c r="AA47" s="85"/>
      <c r="AB47" s="85"/>
      <c r="AC47" s="85"/>
    </row>
    <row r="48" spans="1:29" hidden="1" outlineLevel="1" x14ac:dyDescent="0.25">
      <c r="A48" s="1389" t="str">
        <f>COA!B47</f>
        <v>2200 PST Payable (BC)</v>
      </c>
      <c r="B48" s="1390">
        <f>_xlfn.XLOOKUP(A48,'TB.2 - F24'!A:A,'TB.2 - F24'!D:D,0,0,1)</f>
        <v>0</v>
      </c>
      <c r="C48" s="1390">
        <f>_xlfn.XLOOKUP(A48,'TB.2 - F24'!A:A,'TB.2 - F24'!J:J,0,0,1)</f>
        <v>0</v>
      </c>
      <c r="D48" s="1390">
        <f>_xlfn.XLOOKUP(A48,'AJE.2 - F24'!A:A,'AJE.2 - F24'!F:F,0,0,1)</f>
        <v>0</v>
      </c>
      <c r="E48" s="1390"/>
      <c r="F48" s="219">
        <f t="shared" si="3"/>
        <v>0</v>
      </c>
      <c r="G48" s="178" t="str">
        <f>_xlfn.XLOOKUP($A48,COA!$B:$B,COA!$C:$C,0,0,1)</f>
        <v>Sales tax payable</v>
      </c>
      <c r="H48" s="178" t="str">
        <f>_xlfn.XLOOKUP($A48,COA!$B:$B,COA!$D:$D,0,0,1)</f>
        <v>Sales tax payable</v>
      </c>
      <c r="I48" s="178" t="str">
        <f>_xlfn.XLOOKUP($A48,COA!$B:$B,COA!$E:$E,0,0,1)</f>
        <v>Sales tax payable</v>
      </c>
      <c r="K48" s="85" t="str">
        <f t="shared" si="2"/>
        <v>Sales tax payable</v>
      </c>
      <c r="L48" s="85"/>
      <c r="M48" s="85"/>
      <c r="N48" s="85"/>
      <c r="O48" s="85"/>
      <c r="P48" s="85"/>
      <c r="Q48" s="85"/>
      <c r="R48" s="85"/>
      <c r="S48" s="85"/>
      <c r="T48" s="85"/>
      <c r="U48" s="85"/>
      <c r="V48" s="85"/>
      <c r="W48" s="85"/>
      <c r="X48" s="85"/>
      <c r="Y48" s="85"/>
      <c r="Z48" s="85"/>
      <c r="AA48" s="85"/>
      <c r="AB48" s="85"/>
      <c r="AC48" s="85"/>
    </row>
    <row r="49" spans="1:29" hidden="1" outlineLevel="1" x14ac:dyDescent="0.25">
      <c r="A49" s="1389" t="str">
        <f>COA!B48</f>
        <v>2200 GST Payable/(Refund)</v>
      </c>
      <c r="B49" s="1390">
        <f>_xlfn.XLOOKUP(A49,'TB.2 - F24'!A:A,'TB.2 - F24'!D:D,0,0,1)</f>
        <v>0</v>
      </c>
      <c r="C49" s="1390">
        <f>_xlfn.XLOOKUP(A49,'TB.2 - F24'!A:A,'TB.2 - F24'!J:J,0,0,1)</f>
        <v>0</v>
      </c>
      <c r="D49" s="1390">
        <f>_xlfn.XLOOKUP(A49,'AJE.2 - F24'!A:A,'AJE.2 - F24'!F:F,0,0,1)</f>
        <v>0</v>
      </c>
      <c r="E49" s="1390"/>
      <c r="F49" s="219">
        <f t="shared" si="3"/>
        <v>0</v>
      </c>
      <c r="G49" s="178" t="str">
        <f>_xlfn.XLOOKUP($A49,COA!$B:$B,COA!$C:$C,0,0,1)</f>
        <v>Sales tax receivable</v>
      </c>
      <c r="H49" s="178" t="str">
        <f>_xlfn.XLOOKUP($A49,COA!$B:$B,COA!$D:$D,0,0,1)</f>
        <v>Sales tax receivable</v>
      </c>
      <c r="I49" s="178" t="str">
        <f>_xlfn.XLOOKUP($A49,COA!$B:$B,COA!$E:$E,0,0,1)</f>
        <v>Sales tax receivable</v>
      </c>
      <c r="K49" s="85" t="str">
        <f t="shared" si="2"/>
        <v>Sales tax receivable</v>
      </c>
      <c r="L49" s="85"/>
      <c r="M49" s="85"/>
      <c r="N49" s="85"/>
      <c r="O49" s="85"/>
      <c r="P49" s="85"/>
      <c r="Q49" s="85"/>
      <c r="R49" s="85"/>
      <c r="S49" s="85"/>
      <c r="T49" s="85"/>
      <c r="U49" s="85"/>
      <c r="V49" s="85"/>
      <c r="W49" s="85"/>
      <c r="X49" s="85"/>
      <c r="Y49" s="85"/>
      <c r="Z49" s="85"/>
      <c r="AA49" s="85"/>
      <c r="AB49" s="85"/>
      <c r="AC49" s="85"/>
    </row>
    <row r="50" spans="1:29" hidden="1" outlineLevel="1" x14ac:dyDescent="0.25">
      <c r="A50" s="1389" t="str">
        <f>COA!B49</f>
        <v>2201 PST Suspense (BC)</v>
      </c>
      <c r="B50" s="1390">
        <f>_xlfn.XLOOKUP(A50,'TB.2 - F24'!A:A,'TB.2 - F24'!D:D,0,0,1)</f>
        <v>0</v>
      </c>
      <c r="C50" s="1390">
        <f>_xlfn.XLOOKUP(A50,'TB.2 - F24'!A:A,'TB.2 - F24'!J:J,0,0,1)</f>
        <v>0</v>
      </c>
      <c r="D50" s="1390">
        <f>_xlfn.XLOOKUP(A50,'AJE.2 - F24'!A:A,'AJE.2 - F24'!F:F,0,0,1)</f>
        <v>0</v>
      </c>
      <c r="E50" s="1390"/>
      <c r="F50" s="219">
        <f t="shared" si="3"/>
        <v>0</v>
      </c>
      <c r="G50" s="178" t="str">
        <f>_xlfn.XLOOKUP($A50,COA!$B:$B,COA!$C:$C,0,0,1)</f>
        <v>Sales tax payable</v>
      </c>
      <c r="H50" s="178" t="str">
        <f>_xlfn.XLOOKUP($A50,COA!$B:$B,COA!$D:$D,0,0,1)</f>
        <v>Sales tax payable</v>
      </c>
      <c r="I50" s="178" t="str">
        <f>_xlfn.XLOOKUP($A50,COA!$B:$B,COA!$E:$E,0,0,1)</f>
        <v>Sales tax payable</v>
      </c>
      <c r="K50" s="85" t="str">
        <f t="shared" si="2"/>
        <v>Sales tax payable</v>
      </c>
      <c r="L50" s="85"/>
      <c r="M50" s="85"/>
      <c r="N50" s="85"/>
      <c r="O50" s="85"/>
      <c r="P50" s="85"/>
      <c r="Q50" s="85"/>
      <c r="R50" s="85"/>
      <c r="S50" s="85"/>
      <c r="T50" s="85"/>
      <c r="U50" s="85"/>
      <c r="V50" s="85"/>
      <c r="W50" s="85"/>
      <c r="X50" s="85"/>
      <c r="Y50" s="85"/>
      <c r="Z50" s="85"/>
      <c r="AA50" s="85"/>
      <c r="AB50" s="85"/>
      <c r="AC50" s="85"/>
    </row>
    <row r="51" spans="1:29" hidden="1" outlineLevel="1" x14ac:dyDescent="0.25">
      <c r="A51" s="1389" t="str">
        <f>COA!B50</f>
        <v>2210 GST Payable/(Refund):GST Paid on Purchases</v>
      </c>
      <c r="B51" s="1390">
        <f>_xlfn.XLOOKUP(A51,'TB.2 - F24'!A:A,'TB.2 - F24'!D:D,0,0,1)</f>
        <v>0</v>
      </c>
      <c r="C51" s="1390">
        <f>_xlfn.XLOOKUP(A51,'TB.2 - F24'!A:A,'TB.2 - F24'!J:J,0,0,1)</f>
        <v>0</v>
      </c>
      <c r="D51" s="1390">
        <f>_xlfn.XLOOKUP(A51,'AJE.2 - F24'!A:A,'AJE.2 - F24'!F:F,0,0,1)</f>
        <v>0</v>
      </c>
      <c r="E51" s="1390"/>
      <c r="F51" s="219">
        <f t="shared" si="3"/>
        <v>0</v>
      </c>
      <c r="G51" s="667" t="s">
        <v>22</v>
      </c>
      <c r="H51" s="667" t="str">
        <f>G51</f>
        <v>Receivables</v>
      </c>
      <c r="I51" s="667" t="str">
        <f>H51</f>
        <v>Receivables</v>
      </c>
      <c r="K51" s="85" t="str">
        <f t="shared" si="2"/>
        <v>Receivables</v>
      </c>
      <c r="L51" s="85"/>
      <c r="M51" s="85"/>
      <c r="N51" s="85"/>
      <c r="O51" s="85"/>
      <c r="P51" s="85"/>
      <c r="Q51" s="85"/>
      <c r="R51" s="85"/>
      <c r="S51" s="85"/>
      <c r="T51" s="85"/>
      <c r="U51" s="85"/>
      <c r="V51" s="85"/>
      <c r="W51" s="85"/>
      <c r="X51" s="85"/>
      <c r="Y51" s="85"/>
      <c r="Z51" s="85"/>
      <c r="AA51" s="85"/>
      <c r="AB51" s="85"/>
      <c r="AC51" s="85"/>
    </row>
    <row r="52" spans="1:29" hidden="1" outlineLevel="1" x14ac:dyDescent="0.25">
      <c r="A52" s="1389" t="str">
        <f>COA!B51</f>
        <v>2220 GST Payable/(Refund):GST Collected on Sales</v>
      </c>
      <c r="B52" s="1390">
        <f>_xlfn.XLOOKUP(A52,'TB.2 - F24'!A:A,'TB.2 - F24'!D:D,0,0,1)</f>
        <v>0</v>
      </c>
      <c r="C52" s="1390">
        <f>_xlfn.XLOOKUP(A52,'TB.2 - F24'!A:A,'TB.2 - F24'!J:J,0,0,1)</f>
        <v>9322.07</v>
      </c>
      <c r="D52" s="1390">
        <f>_xlfn.XLOOKUP(A52,'AJE.2 - F24'!A:A,'AJE.2 - F24'!F:F,0,0,1)</f>
        <v>0</v>
      </c>
      <c r="E52" s="1390"/>
      <c r="F52" s="219">
        <f t="shared" si="3"/>
        <v>9322</v>
      </c>
      <c r="G52" s="178" t="str">
        <f>_xlfn.XLOOKUP($A52,COA!$B:$B,COA!$C:$C,0,0,1)</f>
        <v>Sales tax receivable</v>
      </c>
      <c r="H52" s="178" t="str">
        <f>_xlfn.XLOOKUP($A52,COA!$B:$B,COA!$D:$D,0,0,1)</f>
        <v>Sales tax receivable</v>
      </c>
      <c r="I52" s="178" t="str">
        <f>_xlfn.XLOOKUP($A52,COA!$B:$B,COA!$E:$E,0,0,1)</f>
        <v>Sales tax receivable</v>
      </c>
      <c r="K52" s="85" t="str">
        <f t="shared" si="2"/>
        <v>Sales tax receivable</v>
      </c>
      <c r="L52" s="85"/>
      <c r="M52" s="85"/>
      <c r="N52" s="85"/>
      <c r="O52" s="85"/>
      <c r="P52" s="85"/>
      <c r="Q52" s="85"/>
      <c r="R52" s="85"/>
      <c r="S52" s="85"/>
      <c r="T52" s="85"/>
      <c r="U52" s="85"/>
      <c r="V52" s="85"/>
      <c r="W52" s="85"/>
      <c r="X52" s="85"/>
      <c r="Y52" s="85"/>
      <c r="Z52" s="85"/>
      <c r="AA52" s="85"/>
      <c r="AB52" s="85"/>
      <c r="AC52" s="85"/>
    </row>
    <row r="53" spans="1:29" hidden="1" outlineLevel="1" x14ac:dyDescent="0.25">
      <c r="A53" s="1389" t="str">
        <f>COA!B52</f>
        <v>2210 GST/HST Payable</v>
      </c>
      <c r="B53" s="1390">
        <f>_xlfn.XLOOKUP(A53,'TB.2 - F24'!A:A,'TB.2 - F24'!D:D,0,0,1)</f>
        <v>20440.38</v>
      </c>
      <c r="C53" s="1390">
        <f>_xlfn.XLOOKUP(A53,'TB.2 - F24'!A:A,'TB.2 - F24'!J:J,0,0,1)</f>
        <v>0</v>
      </c>
      <c r="D53" s="1390">
        <f>_xlfn.XLOOKUP(A53,'AJE.2 - F24'!A:A,'AJE.2 - F24'!F:F,0,0,1)</f>
        <v>0</v>
      </c>
      <c r="E53" s="1390"/>
      <c r="F53" s="219">
        <f t="shared" si="3"/>
        <v>20440</v>
      </c>
      <c r="G53" s="667" t="s">
        <v>618</v>
      </c>
      <c r="H53" s="667" t="str">
        <f>G53</f>
        <v>Sales tax receivable</v>
      </c>
      <c r="I53" s="667" t="str">
        <f>H53</f>
        <v>Sales tax receivable</v>
      </c>
      <c r="K53" s="85" t="str">
        <f t="shared" si="2"/>
        <v>Sales tax receivable</v>
      </c>
      <c r="L53" s="85"/>
      <c r="M53" s="85"/>
      <c r="N53" s="85"/>
      <c r="O53" s="85"/>
      <c r="P53" s="85"/>
      <c r="Q53" s="85"/>
      <c r="R53" s="85"/>
      <c r="S53" s="85"/>
      <c r="T53" s="85"/>
      <c r="U53" s="85"/>
      <c r="V53" s="85"/>
      <c r="W53" s="85"/>
      <c r="X53" s="85"/>
      <c r="Y53" s="85"/>
      <c r="Z53" s="85"/>
      <c r="AA53" s="85"/>
      <c r="AB53" s="85"/>
      <c r="AC53" s="85"/>
    </row>
    <row r="54" spans="1:29" hidden="1" outlineLevel="1" x14ac:dyDescent="0.25">
      <c r="A54" s="1389" t="str">
        <f>COA!B53</f>
        <v>2230 GST Payable/(Refund):GST to Paid/(refunded)</v>
      </c>
      <c r="B54" s="1390">
        <f>_xlfn.XLOOKUP(A54,'TB.2 - F24'!A:A,'TB.2 - F24'!D:D,0,0,1)</f>
        <v>0</v>
      </c>
      <c r="C54" s="1390">
        <f>_xlfn.XLOOKUP(A54,'TB.2 - F24'!A:A,'TB.2 - F24'!J:J,0,0,1)</f>
        <v>389.61</v>
      </c>
      <c r="D54" s="1390">
        <f>_xlfn.XLOOKUP(A54,'AJE.2 - F24'!A:A,'AJE.2 - F24'!F:F,0,0,1)</f>
        <v>0</v>
      </c>
      <c r="E54" s="1390"/>
      <c r="F54" s="219">
        <f t="shared" si="3"/>
        <v>390</v>
      </c>
      <c r="G54" s="178" t="str">
        <f>_xlfn.XLOOKUP($A54,COA!$B:$B,COA!$C:$C,0,0,1)</f>
        <v>Sales tax receivable</v>
      </c>
      <c r="H54" s="178" t="str">
        <f>_xlfn.XLOOKUP($A54,COA!$B:$B,COA!$D:$D,0,0,1)</f>
        <v>Sales tax receivable</v>
      </c>
      <c r="I54" s="178" t="str">
        <f>_xlfn.XLOOKUP($A54,COA!$B:$B,COA!$E:$E,0,0,1)</f>
        <v>Sales tax receivable</v>
      </c>
      <c r="K54" s="85" t="str">
        <f t="shared" si="2"/>
        <v>Sales tax receivable</v>
      </c>
      <c r="L54" s="85"/>
      <c r="M54" s="85"/>
      <c r="N54" s="85"/>
      <c r="O54" s="85"/>
      <c r="P54" s="85"/>
      <c r="Q54" s="85"/>
      <c r="R54" s="85"/>
      <c r="S54" s="85"/>
      <c r="T54" s="85"/>
      <c r="U54" s="85"/>
      <c r="V54" s="85"/>
      <c r="W54" s="85"/>
      <c r="X54" s="85"/>
      <c r="Y54" s="85"/>
      <c r="Z54" s="85"/>
      <c r="AA54" s="85"/>
      <c r="AB54" s="85"/>
      <c r="AC54" s="85"/>
    </row>
    <row r="55" spans="1:29" hidden="1" outlineLevel="1" x14ac:dyDescent="0.25">
      <c r="A55" s="1389" t="str">
        <f>COA!B54</f>
        <v>2211 GST/HST Suspense</v>
      </c>
      <c r="B55" s="1390">
        <f>_xlfn.XLOOKUP(A55,'TB.2 - F24'!A:A,'TB.2 - F24'!D:D,0,0,1)</f>
        <v>0</v>
      </c>
      <c r="C55" s="1390">
        <f>_xlfn.XLOOKUP(A55,'TB.2 - F24'!A:A,'TB.2 - F24'!J:J,0,0,1)</f>
        <v>0</v>
      </c>
      <c r="D55" s="1390">
        <f>_xlfn.XLOOKUP(A55,'AJE.2 - F24'!A:A,'AJE.2 - F24'!F:F,0,0,1)</f>
        <v>0</v>
      </c>
      <c r="E55" s="1390"/>
      <c r="F55" s="219">
        <f t="shared" si="3"/>
        <v>0</v>
      </c>
      <c r="G55" s="178" t="str">
        <f>_xlfn.XLOOKUP($A55,COA!$B:$B,COA!$C:$C,0,0,1)</f>
        <v>Sales tax payable</v>
      </c>
      <c r="H55" s="178" t="str">
        <f>_xlfn.XLOOKUP($A55,COA!$B:$B,COA!$D:$D,0,0,1)</f>
        <v>Sales tax payable</v>
      </c>
      <c r="I55" s="178" t="str">
        <f>_xlfn.XLOOKUP($A55,COA!$B:$B,COA!$E:$E,0,0,1)</f>
        <v>Sales tax payable</v>
      </c>
      <c r="K55" s="85" t="str">
        <f t="shared" si="2"/>
        <v>Sales tax payable</v>
      </c>
      <c r="L55" s="85"/>
      <c r="M55" s="85"/>
      <c r="N55" s="85"/>
      <c r="O55" s="85"/>
      <c r="P55" s="85"/>
      <c r="Q55" s="85"/>
      <c r="R55" s="85"/>
      <c r="S55" s="85"/>
      <c r="T55" s="85"/>
      <c r="U55" s="85"/>
      <c r="V55" s="85"/>
      <c r="W55" s="85"/>
      <c r="X55" s="85"/>
      <c r="Y55" s="85"/>
      <c r="Z55" s="85"/>
      <c r="AA55" s="85"/>
      <c r="AB55" s="85"/>
      <c r="AC55" s="85"/>
    </row>
    <row r="56" spans="1:29" hidden="1" outlineLevel="1" x14ac:dyDescent="0.25">
      <c r="A56" s="1389" t="str">
        <f>COA!B55</f>
        <v>2201 GST and HST Suspense</v>
      </c>
      <c r="B56" s="1390">
        <f>_xlfn.XLOOKUP(A56,'TB.2 - F24'!A:A,'TB.2 - F24'!D:D,0,0,1)</f>
        <v>0</v>
      </c>
      <c r="C56" s="1390">
        <f>_xlfn.XLOOKUP(A56,'TB.2 - F24'!A:A,'TB.2 - F24'!J:J,0,0,1)</f>
        <v>0</v>
      </c>
      <c r="D56" s="1390">
        <f>_xlfn.XLOOKUP(A56,'AJE.2 - F24'!A:A,'AJE.2 - F24'!F:F,0,0,1)</f>
        <v>0</v>
      </c>
      <c r="E56" s="1390"/>
      <c r="F56" s="219">
        <f t="shared" si="3"/>
        <v>0</v>
      </c>
      <c r="G56" s="178" t="str">
        <f>_xlfn.XLOOKUP($A56,COA!$B:$B,COA!$C:$C,0,0,1)</f>
        <v>Sales tax receivable</v>
      </c>
      <c r="H56" s="178" t="str">
        <f>_xlfn.XLOOKUP($A56,COA!$B:$B,COA!$D:$D,0,0,1)</f>
        <v>Sales tax receivable</v>
      </c>
      <c r="I56" s="178" t="str">
        <f>_xlfn.XLOOKUP($A56,COA!$B:$B,COA!$E:$E,0,0,1)</f>
        <v>Sales tax receivable</v>
      </c>
      <c r="K56" s="85" t="str">
        <f t="shared" si="2"/>
        <v>Sales tax receivable</v>
      </c>
      <c r="L56" s="85"/>
      <c r="M56" s="85"/>
      <c r="N56" s="85"/>
      <c r="O56" s="85"/>
      <c r="P56" s="85"/>
      <c r="Q56" s="85"/>
      <c r="R56" s="85"/>
      <c r="S56" s="85"/>
      <c r="T56" s="85"/>
      <c r="U56" s="85"/>
      <c r="V56" s="85"/>
      <c r="W56" s="85"/>
      <c r="X56" s="85"/>
      <c r="Y56" s="85"/>
      <c r="Z56" s="85"/>
      <c r="AA56" s="85"/>
      <c r="AB56" s="85"/>
      <c r="AC56" s="85"/>
    </row>
    <row r="57" spans="1:29" hidden="1" outlineLevel="1" x14ac:dyDescent="0.25">
      <c r="A57" s="1389" t="str">
        <f>COA!B56</f>
        <v>2202 Receiver General Suspense</v>
      </c>
      <c r="B57" s="1390">
        <f>_xlfn.XLOOKUP(A57,'TB.2 - F24'!A:A,'TB.2 - F24'!D:D,0,0,1)</f>
        <v>0</v>
      </c>
      <c r="C57" s="1390">
        <f>_xlfn.XLOOKUP(A57,'TB.2 - F24'!A:A,'TB.2 - F24'!J:J,0,0,1)</f>
        <v>395.6</v>
      </c>
      <c r="D57" s="1390">
        <f>_xlfn.XLOOKUP(A57,'AJE.2 - F24'!A:A,'AJE.2 - F24'!F:F,0,0,1)</f>
        <v>0</v>
      </c>
      <c r="E57" s="1390"/>
      <c r="F57" s="219">
        <f t="shared" si="3"/>
        <v>396</v>
      </c>
      <c r="G57" s="178" t="str">
        <f>_xlfn.XLOOKUP($A57,COA!$B:$B,COA!$C:$C,0,0,1)</f>
        <v>Sales tax receivable</v>
      </c>
      <c r="H57" s="178" t="str">
        <f>_xlfn.XLOOKUP($A57,COA!$B:$B,COA!$D:$D,0,0,1)</f>
        <v>Sales tax receivable</v>
      </c>
      <c r="I57" s="178" t="str">
        <f>_xlfn.XLOOKUP($A57,COA!$B:$B,COA!$E:$E,0,0,1)</f>
        <v>Sales tax receivable</v>
      </c>
      <c r="K57" s="85" t="str">
        <f t="shared" si="2"/>
        <v>Sales tax receivable</v>
      </c>
      <c r="L57" s="85"/>
      <c r="M57" s="85"/>
      <c r="N57" s="85"/>
      <c r="O57" s="85"/>
      <c r="P57" s="85"/>
      <c r="Q57" s="85"/>
      <c r="R57" s="85"/>
      <c r="S57" s="85"/>
      <c r="T57" s="85"/>
      <c r="U57" s="85"/>
      <c r="V57" s="85"/>
      <c r="W57" s="85"/>
      <c r="X57" s="85"/>
      <c r="Y57" s="85"/>
      <c r="Z57" s="85"/>
      <c r="AA57" s="85"/>
      <c r="AB57" s="85"/>
      <c r="AC57" s="85"/>
    </row>
    <row r="58" spans="1:29" hidden="1" outlineLevel="1" x14ac:dyDescent="0.25">
      <c r="A58" s="1389" t="str">
        <f>COA!B57</f>
        <v>2280 PST Payable</v>
      </c>
      <c r="B58" s="1390">
        <f>_xlfn.XLOOKUP(A58,'TB.2 - F24'!A:A,'TB.2 - F24'!D:D,0,0,1)</f>
        <v>0</v>
      </c>
      <c r="C58" s="1390">
        <f>_xlfn.XLOOKUP(A58,'TB.2 - F24'!A:A,'TB.2 - F24'!J:J,0,0,1)</f>
        <v>0</v>
      </c>
      <c r="D58" s="1390">
        <f>_xlfn.XLOOKUP(A58,'AJE.2 - F24'!A:A,'AJE.2 - F24'!F:F,0,0,1)</f>
        <v>0</v>
      </c>
      <c r="E58" s="1390"/>
      <c r="F58" s="219">
        <f t="shared" si="3"/>
        <v>0</v>
      </c>
      <c r="G58" s="178" t="str">
        <f>_xlfn.XLOOKUP($A58,COA!$B:$B,COA!$C:$C,0,0,1)</f>
        <v>Sales tax payable</v>
      </c>
      <c r="H58" s="178" t="str">
        <f>_xlfn.XLOOKUP($A58,COA!$B:$B,COA!$D:$D,0,0,1)</f>
        <v>Sales tax payable</v>
      </c>
      <c r="I58" s="178" t="str">
        <f>_xlfn.XLOOKUP($A58,COA!$B:$B,COA!$E:$E,0,0,1)</f>
        <v>Sales tax payable</v>
      </c>
      <c r="K58" s="85" t="str">
        <f t="shared" si="2"/>
        <v>Sales tax payable</v>
      </c>
      <c r="L58" s="85"/>
      <c r="M58" s="85"/>
      <c r="N58" s="85"/>
      <c r="O58" s="85"/>
      <c r="P58" s="85"/>
      <c r="Q58" s="85"/>
      <c r="R58" s="85"/>
      <c r="S58" s="85"/>
      <c r="T58" s="85"/>
      <c r="U58" s="85"/>
      <c r="V58" s="85"/>
      <c r="W58" s="85"/>
      <c r="X58" s="85"/>
      <c r="Y58" s="85"/>
      <c r="Z58" s="85"/>
      <c r="AA58" s="85"/>
      <c r="AB58" s="85"/>
      <c r="AC58" s="85"/>
    </row>
    <row r="59" spans="1:29" hidden="1" outlineLevel="1" x14ac:dyDescent="0.25">
      <c r="A59" s="1389" t="str">
        <f>COA!B58</f>
        <v>2240 PST Payable:PST Collected on Sales</v>
      </c>
      <c r="B59" s="1390">
        <f>_xlfn.XLOOKUP(A59,'TB.2 - F24'!A:A,'TB.2 - F24'!D:D,0,0,1)</f>
        <v>0</v>
      </c>
      <c r="C59" s="1390">
        <f>_xlfn.XLOOKUP(A59,'TB.2 - F24'!A:A,'TB.2 - F24'!J:J,0,0,1)</f>
        <v>0</v>
      </c>
      <c r="D59" s="1390">
        <f>_xlfn.XLOOKUP(A59,'AJE.2 - F24'!A:A,'AJE.2 - F24'!F:F,0,0,1)</f>
        <v>0</v>
      </c>
      <c r="E59" s="1390"/>
      <c r="F59" s="219">
        <f t="shared" si="3"/>
        <v>0</v>
      </c>
      <c r="G59" s="178" t="str">
        <f>_xlfn.XLOOKUP($A59,COA!$B:$B,COA!$C:$C,0,0,1)</f>
        <v>Sales tax payable</v>
      </c>
      <c r="H59" s="178" t="str">
        <f>_xlfn.XLOOKUP($A59,COA!$B:$B,COA!$D:$D,0,0,1)</f>
        <v>Sales tax payable</v>
      </c>
      <c r="I59" s="178" t="str">
        <f>_xlfn.XLOOKUP($A59,COA!$B:$B,COA!$E:$E,0,0,1)</f>
        <v>Sales tax payable</v>
      </c>
      <c r="K59" s="85" t="str">
        <f t="shared" si="2"/>
        <v>Sales tax payable</v>
      </c>
      <c r="L59" s="85"/>
      <c r="M59" s="85"/>
      <c r="N59" s="85"/>
      <c r="O59" s="85"/>
      <c r="P59" s="85"/>
      <c r="Q59" s="85"/>
      <c r="R59" s="85"/>
      <c r="S59" s="85"/>
      <c r="T59" s="85"/>
      <c r="U59" s="85"/>
      <c r="V59" s="85"/>
      <c r="W59" s="85"/>
      <c r="X59" s="85"/>
      <c r="Y59" s="85"/>
      <c r="Z59" s="85"/>
      <c r="AA59" s="85"/>
      <c r="AB59" s="85"/>
      <c r="AC59" s="85"/>
    </row>
    <row r="60" spans="1:29" hidden="1" outlineLevel="1" x14ac:dyDescent="0.25">
      <c r="A60" s="1389" t="str">
        <f>COA!B59</f>
        <v>2245 PST Payable:PST Payable</v>
      </c>
      <c r="B60" s="1390">
        <f>_xlfn.XLOOKUP(A60,'TB.2 - F24'!A:A,'TB.2 - F24'!D:D,0,0,1)</f>
        <v>0</v>
      </c>
      <c r="C60" s="1390">
        <f>_xlfn.XLOOKUP(A60,'TB.2 - F24'!A:A,'TB.2 - F24'!J:J,0,0,1)</f>
        <v>0</v>
      </c>
      <c r="D60" s="1390">
        <f>_xlfn.XLOOKUP(A60,'AJE.2 - F24'!A:A,'AJE.2 - F24'!F:F,0,0,1)</f>
        <v>0</v>
      </c>
      <c r="E60" s="1390"/>
      <c r="F60" s="219">
        <f t="shared" si="3"/>
        <v>0</v>
      </c>
      <c r="G60" s="178" t="str">
        <f>_xlfn.XLOOKUP($A60,COA!$B:$B,COA!$C:$C,0,0,1)</f>
        <v>Sales tax payable</v>
      </c>
      <c r="H60" s="178" t="str">
        <f>_xlfn.XLOOKUP($A60,COA!$B:$B,COA!$D:$D,0,0,1)</f>
        <v>Sales tax payable</v>
      </c>
      <c r="I60" s="178" t="str">
        <f>_xlfn.XLOOKUP($A60,COA!$B:$B,COA!$E:$E,0,0,1)</f>
        <v>Sales tax payable</v>
      </c>
      <c r="K60" s="85" t="str">
        <f t="shared" si="2"/>
        <v>Sales tax payable</v>
      </c>
      <c r="L60" s="87"/>
      <c r="M60" s="87"/>
      <c r="N60" s="87"/>
      <c r="O60" s="87"/>
      <c r="P60" s="85"/>
      <c r="Q60" s="85"/>
      <c r="R60" s="85"/>
      <c r="S60" s="85"/>
      <c r="T60" s="85"/>
      <c r="U60" s="85"/>
      <c r="V60" s="85"/>
      <c r="W60" s="85"/>
      <c r="X60" s="85"/>
      <c r="Y60" s="85"/>
      <c r="Z60" s="85"/>
      <c r="AA60" s="85"/>
      <c r="AB60" s="85"/>
      <c r="AC60" s="85"/>
    </row>
    <row r="61" spans="1:29" hidden="1" outlineLevel="1" x14ac:dyDescent="0.25">
      <c r="A61" s="1389" t="str">
        <f>COA!B60</f>
        <v>2300 Corporate Tax Payable</v>
      </c>
      <c r="B61" s="1390">
        <f>_xlfn.XLOOKUP(A61,'TB.2 - F24'!A:A,'TB.2 - F24'!D:D,0,0,1)</f>
        <v>0</v>
      </c>
      <c r="C61" s="1390">
        <f>_xlfn.XLOOKUP(A61,'TB.2 - F24'!A:A,'TB.2 - F24'!J:J,0,0,1)</f>
        <v>-98.09</v>
      </c>
      <c r="D61" s="1390">
        <f>_xlfn.XLOOKUP(A61,'AJE.2 - F24'!A:A,'AJE.2 - F24'!F:F,0,0,1)</f>
        <v>0</v>
      </c>
      <c r="E61" s="1390"/>
      <c r="F61" s="219">
        <f t="shared" si="3"/>
        <v>-98</v>
      </c>
      <c r="G61" s="667" t="s">
        <v>618</v>
      </c>
      <c r="H61" s="667" t="str">
        <f>G61</f>
        <v>Sales tax receivable</v>
      </c>
      <c r="I61" s="667" t="str">
        <f>H61</f>
        <v>Sales tax receivable</v>
      </c>
      <c r="K61" s="85" t="str">
        <f t="shared" si="2"/>
        <v>Sales tax receivable</v>
      </c>
      <c r="L61" s="87"/>
      <c r="M61" s="87"/>
      <c r="N61" s="87"/>
      <c r="O61" s="87"/>
      <c r="P61" s="85"/>
      <c r="Q61" s="85"/>
      <c r="R61" s="85"/>
      <c r="S61" s="85"/>
      <c r="T61" s="85"/>
      <c r="U61" s="85"/>
      <c r="V61" s="85"/>
      <c r="W61" s="85"/>
      <c r="X61" s="85"/>
      <c r="Y61" s="85"/>
      <c r="Z61" s="85"/>
      <c r="AA61" s="85"/>
      <c r="AB61" s="85"/>
      <c r="AC61" s="85"/>
    </row>
    <row r="62" spans="1:29" hidden="1" outlineLevel="1" x14ac:dyDescent="0.25">
      <c r="A62" s="1389" t="str">
        <f>COA!B61</f>
        <v>2500 Due to/(from) related parties</v>
      </c>
      <c r="B62" s="1390">
        <f>_xlfn.XLOOKUP(A62,'TB.2 - F24'!A:A,'TB.2 - F24'!D:D,0,0,1)</f>
        <v>-937.65</v>
      </c>
      <c r="C62" s="1390">
        <f>_xlfn.XLOOKUP(A62,'TB.2 - F24'!A:A,'TB.2 - F24'!J:J,0,0,1)</f>
        <v>0</v>
      </c>
      <c r="D62" s="1390">
        <f>_xlfn.XLOOKUP(A62,'AJE.2 - F24'!A:A,'AJE.2 - F24'!F:F,0,0,1)</f>
        <v>0</v>
      </c>
      <c r="E62" s="1390"/>
      <c r="F62" s="219">
        <f t="shared" si="3"/>
        <v>-938</v>
      </c>
      <c r="G62" s="667" t="s">
        <v>100</v>
      </c>
      <c r="H62" s="667" t="str">
        <f>G62</f>
        <v>Due to related parties</v>
      </c>
      <c r="I62" s="667" t="str">
        <f>H62</f>
        <v>Due to related parties</v>
      </c>
      <c r="K62" s="85" t="str">
        <f t="shared" si="2"/>
        <v>Due to related parties</v>
      </c>
      <c r="L62" s="87"/>
      <c r="M62" s="87"/>
      <c r="N62" s="87"/>
      <c r="O62" s="87"/>
      <c r="P62" s="85"/>
      <c r="Q62" s="85"/>
      <c r="R62" s="85"/>
      <c r="S62" s="85"/>
      <c r="T62" s="85"/>
      <c r="U62" s="85"/>
      <c r="V62" s="85"/>
      <c r="W62" s="85"/>
      <c r="X62" s="85"/>
      <c r="Y62" s="85"/>
      <c r="Z62" s="85"/>
      <c r="AA62" s="85"/>
      <c r="AB62" s="85"/>
      <c r="AC62" s="85"/>
    </row>
    <row r="63" spans="1:29" hidden="1" outlineLevel="1" x14ac:dyDescent="0.25">
      <c r="A63" s="1389" t="str">
        <f>COA!B62</f>
        <v>2501 Due to/(from) related parties:Due To/From SAK2</v>
      </c>
      <c r="B63" s="1390">
        <f>_xlfn.XLOOKUP(A63,'TB.2 - F24'!A:A,'TB.2 - F24'!D:D,0,0,1)</f>
        <v>0</v>
      </c>
      <c r="C63" s="1390">
        <f>_xlfn.XLOOKUP(A63,'TB.2 - F24'!A:A,'TB.2 - F24'!J:J,0,0,1)</f>
        <v>0</v>
      </c>
      <c r="D63" s="1390">
        <f>_xlfn.XLOOKUP(A63,'AJE.2 - F24'!A:A,'AJE.2 - F24'!F:F,0,0,1)</f>
        <v>0</v>
      </c>
      <c r="E63" s="1390"/>
      <c r="F63" s="219">
        <f t="shared" si="3"/>
        <v>0</v>
      </c>
      <c r="G63" s="178" t="str">
        <f>_xlfn.XLOOKUP($A63,COA!$B:$B,COA!$C:$C,0,0,1)</f>
        <v>Due from related parties</v>
      </c>
      <c r="H63" s="178" t="str">
        <f>_xlfn.XLOOKUP($A63,COA!$B:$B,COA!$D:$D,0,0,1)</f>
        <v>Due from related parties</v>
      </c>
      <c r="I63" s="178" t="str">
        <f>_xlfn.XLOOKUP($A63,COA!$B:$B,COA!$E:$E,0,0,1)</f>
        <v>Due from related parties</v>
      </c>
      <c r="K63" s="85" t="str">
        <f t="shared" si="2"/>
        <v>Due from related parties</v>
      </c>
      <c r="L63" s="87"/>
      <c r="M63" s="87"/>
      <c r="N63" s="87"/>
      <c r="O63" s="87"/>
      <c r="P63" s="85"/>
      <c r="Q63" s="85"/>
      <c r="R63" s="85"/>
      <c r="S63" s="85"/>
      <c r="T63" s="85"/>
      <c r="U63" s="85"/>
      <c r="V63" s="85"/>
      <c r="W63" s="85"/>
      <c r="X63" s="85"/>
      <c r="Y63" s="85"/>
      <c r="Z63" s="85"/>
      <c r="AA63" s="85"/>
      <c r="AB63" s="85"/>
      <c r="AC63" s="85"/>
    </row>
    <row r="64" spans="1:29" hidden="1" outlineLevel="1" x14ac:dyDescent="0.25">
      <c r="A64" s="1389" t="str">
        <f>COA!B63</f>
        <v>2502 Due to/(from) related parties:Due To/From SAK6</v>
      </c>
      <c r="B64" s="1390">
        <f>_xlfn.XLOOKUP(A64,'TB.2 - F24'!A:A,'TB.2 - F24'!D:D,0,0,1)</f>
        <v>-900</v>
      </c>
      <c r="C64" s="1390">
        <f>_xlfn.XLOOKUP(A64,'TB.2 - F24'!A:A,'TB.2 - F24'!J:J,0,0,1)</f>
        <v>0</v>
      </c>
      <c r="D64" s="1390">
        <f>_xlfn.XLOOKUP(A64,'AJE.2 - F24'!A:A,'AJE.2 - F24'!F:F,0,0,1)</f>
        <v>0</v>
      </c>
      <c r="E64" s="1390"/>
      <c r="F64" s="219">
        <f t="shared" si="3"/>
        <v>-900</v>
      </c>
      <c r="G64" s="667" t="s">
        <v>100</v>
      </c>
      <c r="H64" s="667" t="str">
        <f>G64</f>
        <v>Due to related parties</v>
      </c>
      <c r="I64" s="667" t="str">
        <f>H64</f>
        <v>Due to related parties</v>
      </c>
      <c r="K64" s="85" t="str">
        <f t="shared" si="2"/>
        <v>Due to related parties</v>
      </c>
      <c r="L64" s="87"/>
      <c r="M64" s="87"/>
      <c r="N64" s="87"/>
      <c r="O64" s="87"/>
      <c r="P64" s="85"/>
      <c r="Q64" s="85"/>
      <c r="R64" s="85"/>
      <c r="S64" s="85"/>
      <c r="T64" s="85"/>
      <c r="U64" s="85"/>
      <c r="V64" s="85"/>
      <c r="W64" s="85"/>
      <c r="X64" s="85"/>
      <c r="Y64" s="85"/>
      <c r="Z64" s="85"/>
      <c r="AA64" s="85"/>
      <c r="AB64" s="85"/>
      <c r="AC64" s="85"/>
    </row>
    <row r="65" spans="1:29" hidden="1" outlineLevel="1" x14ac:dyDescent="0.25">
      <c r="A65" s="1389" t="str">
        <f>COA!B64</f>
        <v>2503 Due to/(from) related parties:Due To/From UpCapital</v>
      </c>
      <c r="B65" s="1390">
        <f>_xlfn.XLOOKUP(A65,'TB.2 - F24'!A:A,'TB.2 - F24'!D:D,0,0,1)</f>
        <v>0</v>
      </c>
      <c r="C65" s="1390">
        <f>_xlfn.XLOOKUP(A65,'TB.2 - F24'!A:A,'TB.2 - F24'!J:J,0,0,1)</f>
        <v>0</v>
      </c>
      <c r="D65" s="1390">
        <f>_xlfn.XLOOKUP(A65,'AJE.2 - F24'!A:A,'AJE.2 - F24'!F:F,0,0,1)</f>
        <v>0</v>
      </c>
      <c r="E65" s="1390"/>
      <c r="F65" s="219">
        <f t="shared" si="3"/>
        <v>0</v>
      </c>
      <c r="G65" s="178" t="str">
        <f>_xlfn.XLOOKUP($A65,COA!$B:$B,COA!$C:$C,0,0,1)</f>
        <v>Due from related parties</v>
      </c>
      <c r="H65" s="178" t="str">
        <f>_xlfn.XLOOKUP($A65,COA!$B:$B,COA!$D:$D,0,0,1)</f>
        <v>Due from related parties</v>
      </c>
      <c r="I65" s="178" t="str">
        <f>_xlfn.XLOOKUP($A65,COA!$B:$B,COA!$E:$E,0,0,1)</f>
        <v>Due from related parties</v>
      </c>
      <c r="K65" s="85" t="str">
        <f t="shared" si="2"/>
        <v>Due from related parties</v>
      </c>
      <c r="L65" s="87"/>
      <c r="M65" s="87"/>
      <c r="N65" s="87"/>
      <c r="O65" s="87"/>
      <c r="P65" s="85"/>
      <c r="Q65" s="85"/>
      <c r="R65" s="85"/>
      <c r="S65" s="85"/>
      <c r="T65" s="85"/>
      <c r="U65" s="85"/>
      <c r="V65" s="85"/>
      <c r="W65" s="85"/>
      <c r="X65" s="85"/>
      <c r="Y65" s="85"/>
      <c r="Z65" s="85"/>
      <c r="AA65" s="85"/>
      <c r="AB65" s="85"/>
      <c r="AC65" s="85"/>
    </row>
    <row r="66" spans="1:29" hidden="1" outlineLevel="1" x14ac:dyDescent="0.25">
      <c r="A66" s="1389" t="str">
        <f>COA!B65</f>
        <v>2504 Due to/(from) related parties:Shareholder's Loan</v>
      </c>
      <c r="B66" s="1390">
        <f>_xlfn.XLOOKUP(A66,'TB.2 - F24'!A:A,'TB.2 - F24'!D:D,0,0,1)</f>
        <v>0</v>
      </c>
      <c r="C66" s="1390">
        <f>_xlfn.XLOOKUP(A66,'TB.2 - F24'!A:A,'TB.2 - F24'!J:J,0,0,1)</f>
        <v>0</v>
      </c>
      <c r="D66" s="1390">
        <f>_xlfn.XLOOKUP(A66,'AJE.2 - F24'!A:A,'AJE.2 - F24'!F:F,0,0,1)</f>
        <v>0</v>
      </c>
      <c r="E66" s="1390"/>
      <c r="F66" s="219">
        <f t="shared" si="3"/>
        <v>0</v>
      </c>
      <c r="G66" s="178" t="str">
        <f>_xlfn.XLOOKUP($A66,COA!$B:$B,COA!$C:$C,0,0,1)</f>
        <v>Due from related parties</v>
      </c>
      <c r="H66" s="178" t="str">
        <f>_xlfn.XLOOKUP($A66,COA!$B:$B,COA!$D:$D,0,0,1)</f>
        <v>Due from related parties</v>
      </c>
      <c r="I66" s="178" t="str">
        <f>_xlfn.XLOOKUP($A66,COA!$B:$B,COA!$E:$E,0,0,1)</f>
        <v>Due from related parties</v>
      </c>
      <c r="K66" s="85" t="str">
        <f t="shared" si="2"/>
        <v>Due from related parties</v>
      </c>
      <c r="L66" s="87"/>
      <c r="M66" s="87"/>
      <c r="N66" s="87"/>
      <c r="O66" s="87"/>
      <c r="P66" s="85"/>
      <c r="Q66" s="85"/>
      <c r="R66" s="85"/>
      <c r="S66" s="85"/>
      <c r="T66" s="85"/>
      <c r="U66" s="85"/>
      <c r="V66" s="85"/>
      <c r="W66" s="85"/>
      <c r="X66" s="85"/>
      <c r="Y66" s="85"/>
      <c r="Z66" s="85"/>
      <c r="AA66" s="85"/>
      <c r="AB66" s="85"/>
      <c r="AC66" s="85"/>
    </row>
    <row r="67" spans="1:29" hidden="1" outlineLevel="1" x14ac:dyDescent="0.25">
      <c r="A67" s="1389" t="str">
        <f>COA!B66</f>
        <v>2600 Current portion of loans and borrowings</v>
      </c>
      <c r="B67" s="1390">
        <f>_xlfn.XLOOKUP(A67,'TB.2 - F24'!A:A,'TB.2 - F24'!D:D,0,0,1)</f>
        <v>0</v>
      </c>
      <c r="C67" s="1390">
        <f>_xlfn.XLOOKUP(A67,'TB.2 - F24'!A:A,'TB.2 - F24'!J:J,0,0,1)</f>
        <v>0</v>
      </c>
      <c r="D67" s="1390">
        <f>_xlfn.XLOOKUP(A67,'AJE.2 - F24'!A:A,'AJE.2 - F24'!F:F,0,0,1)</f>
        <v>0</v>
      </c>
      <c r="E67" s="1390"/>
      <c r="F67" s="219">
        <f t="shared" si="3"/>
        <v>0</v>
      </c>
      <c r="G67" s="178" t="str">
        <f>_xlfn.XLOOKUP($A67,COA!$B:$B,COA!$C:$C,0,0,1)</f>
        <v xml:space="preserve">Current portion of loans and borrowings </v>
      </c>
      <c r="H67" s="178" t="str">
        <f>_xlfn.XLOOKUP($A67,COA!$B:$B,COA!$D:$D,0,0,1)</f>
        <v xml:space="preserve">Current portion of loans and borrowings </v>
      </c>
      <c r="I67" s="178" t="str">
        <f>_xlfn.XLOOKUP($A67,COA!$B:$B,COA!$E:$E,0,0,1)</f>
        <v xml:space="preserve">Current portion of loans and borrowings </v>
      </c>
      <c r="K67" s="85" t="str">
        <f t="shared" si="2"/>
        <v xml:space="preserve">Current portion of loans and borrowings </v>
      </c>
      <c r="L67" s="87"/>
      <c r="M67" s="87"/>
      <c r="N67" s="87"/>
      <c r="O67" s="87"/>
      <c r="P67" s="85"/>
      <c r="Q67" s="85"/>
      <c r="R67" s="85"/>
      <c r="S67" s="85"/>
      <c r="T67" s="85"/>
      <c r="U67" s="85"/>
      <c r="V67" s="85"/>
      <c r="W67" s="85"/>
      <c r="X67" s="85"/>
      <c r="Y67" s="85"/>
      <c r="Z67" s="85"/>
      <c r="AA67" s="85"/>
      <c r="AB67" s="85"/>
      <c r="AC67" s="85"/>
    </row>
    <row r="68" spans="1:29" hidden="1" outlineLevel="1" x14ac:dyDescent="0.25">
      <c r="A68" s="1389" t="str">
        <f>COA!B67</f>
        <v>2600 Due to RPT - Diane Halston</v>
      </c>
      <c r="B68" s="1390">
        <f>_xlfn.XLOOKUP(A68,'TB.2 - F24'!A:A,'TB.2 - F24'!D:D,0,0,1)</f>
        <v>0</v>
      </c>
      <c r="C68" s="1390">
        <f>_xlfn.XLOOKUP(A68,'TB.2 - F24'!A:A,'TB.2 - F24'!J:J,0,0,1)</f>
        <v>0</v>
      </c>
      <c r="D68" s="1390">
        <f>_xlfn.XLOOKUP(A68,'AJE.2 - F24'!A:A,'AJE.2 - F24'!F:F,0,0,1)</f>
        <v>0</v>
      </c>
      <c r="E68" s="1390"/>
      <c r="F68" s="219">
        <f t="shared" si="3"/>
        <v>0</v>
      </c>
      <c r="G68" s="178" t="str">
        <f>_xlfn.XLOOKUP($A68,COA!$B:$B,COA!$C:$C,0,0,1)</f>
        <v>Due to related parties</v>
      </c>
      <c r="H68" s="178" t="str">
        <f>_xlfn.XLOOKUP($A68,COA!$B:$B,COA!$D:$D,0,0,1)</f>
        <v>Due to related parties</v>
      </c>
      <c r="I68" s="178" t="str">
        <f>_xlfn.XLOOKUP($A68,COA!$B:$B,COA!$E:$E,0,0,1)</f>
        <v>Due to related parties</v>
      </c>
      <c r="K68" s="85" t="str">
        <f t="shared" si="2"/>
        <v>Due to related parties</v>
      </c>
      <c r="L68" s="87"/>
      <c r="M68" s="87"/>
      <c r="N68" s="87"/>
      <c r="O68" s="87"/>
      <c r="P68" s="85"/>
      <c r="Q68" s="85"/>
      <c r="R68" s="85"/>
      <c r="S68" s="85"/>
      <c r="T68" s="85"/>
      <c r="U68" s="85"/>
      <c r="V68" s="85"/>
      <c r="W68" s="85"/>
      <c r="X68" s="85"/>
      <c r="Y68" s="85"/>
      <c r="Z68" s="85"/>
      <c r="AA68" s="85"/>
      <c r="AB68" s="85"/>
      <c r="AC68" s="85"/>
    </row>
    <row r="69" spans="1:29" hidden="1" outlineLevel="1" x14ac:dyDescent="0.25">
      <c r="A69" s="1389" t="str">
        <f>COA!B68</f>
        <v>2601 Due to RPT - Brett Halston</v>
      </c>
      <c r="B69" s="1390">
        <f>_xlfn.XLOOKUP(A69,'TB.2 - F24'!A:A,'TB.2 - F24'!D:D,0,0,1)</f>
        <v>0</v>
      </c>
      <c r="C69" s="1390">
        <f>_xlfn.XLOOKUP(A69,'TB.2 - F24'!A:A,'TB.2 - F24'!J:J,0,0,1)</f>
        <v>0</v>
      </c>
      <c r="D69" s="1390">
        <f>_xlfn.XLOOKUP(A69,'AJE.2 - F24'!A:A,'AJE.2 - F24'!F:F,0,0,1)</f>
        <v>0</v>
      </c>
      <c r="E69" s="1390"/>
      <c r="F69" s="219">
        <f t="shared" si="3"/>
        <v>0</v>
      </c>
      <c r="G69" s="178" t="str">
        <f>_xlfn.XLOOKUP($A69,COA!$B:$B,COA!$C:$C,0,0,1)</f>
        <v>Due to related parties</v>
      </c>
      <c r="H69" s="178" t="str">
        <f>_xlfn.XLOOKUP($A69,COA!$B:$B,COA!$D:$D,0,0,1)</f>
        <v>Due to related parties</v>
      </c>
      <c r="I69" s="178" t="str">
        <f>_xlfn.XLOOKUP($A69,COA!$B:$B,COA!$E:$E,0,0,1)</f>
        <v>Due to related parties</v>
      </c>
      <c r="K69" s="85" t="str">
        <f t="shared" si="2"/>
        <v>Due to related parties</v>
      </c>
      <c r="L69" s="87"/>
      <c r="M69" s="87"/>
      <c r="N69" s="87"/>
      <c r="O69" s="87"/>
      <c r="P69" s="85"/>
      <c r="Q69" s="85"/>
      <c r="R69" s="85"/>
      <c r="S69" s="85"/>
      <c r="T69" s="85"/>
      <c r="U69" s="85"/>
      <c r="V69" s="85"/>
      <c r="W69" s="85"/>
      <c r="X69" s="85"/>
      <c r="Y69" s="85"/>
      <c r="Z69" s="85"/>
      <c r="AA69" s="85"/>
      <c r="AB69" s="85"/>
      <c r="AC69" s="85"/>
    </row>
    <row r="70" spans="1:29" hidden="1" outlineLevel="1" x14ac:dyDescent="0.25">
      <c r="A70" s="1389" t="str">
        <f>COA!B69</f>
        <v>2602 Due to RPT - Keith Halston</v>
      </c>
      <c r="B70" s="1390">
        <f>_xlfn.XLOOKUP(A70,'TB.2 - F24'!A:A,'TB.2 - F24'!D:D,0,0,1)</f>
        <v>0</v>
      </c>
      <c r="C70" s="1390">
        <f>_xlfn.XLOOKUP(A70,'TB.2 - F24'!A:A,'TB.2 - F24'!J:J,0,0,1)</f>
        <v>0</v>
      </c>
      <c r="D70" s="1390">
        <f>_xlfn.XLOOKUP(A70,'AJE.2 - F24'!A:A,'AJE.2 - F24'!F:F,0,0,1)</f>
        <v>0</v>
      </c>
      <c r="E70" s="1390"/>
      <c r="F70" s="219">
        <f t="shared" si="3"/>
        <v>0</v>
      </c>
      <c r="G70" s="178" t="str">
        <f>_xlfn.XLOOKUP($A70,COA!$B:$B,COA!$C:$C,0,0,1)</f>
        <v>Due to related parties</v>
      </c>
      <c r="H70" s="178" t="str">
        <f>_xlfn.XLOOKUP($A70,COA!$B:$B,COA!$D:$D,0,0,1)</f>
        <v>Due to related parties</v>
      </c>
      <c r="I70" s="178" t="str">
        <f>_xlfn.XLOOKUP($A70,COA!$B:$B,COA!$E:$E,0,0,1)</f>
        <v>Due to related parties</v>
      </c>
      <c r="K70" s="85" t="str">
        <f t="shared" si="2"/>
        <v>Due to related parties</v>
      </c>
      <c r="L70" s="87"/>
      <c r="M70" s="87"/>
      <c r="N70" s="87"/>
      <c r="O70" s="87"/>
      <c r="P70" s="85"/>
      <c r="Q70" s="85"/>
      <c r="R70" s="85"/>
      <c r="S70" s="85"/>
      <c r="T70" s="85"/>
      <c r="U70" s="85"/>
      <c r="V70" s="85"/>
      <c r="W70" s="85"/>
      <c r="X70" s="85"/>
      <c r="Y70" s="85"/>
      <c r="Z70" s="85"/>
      <c r="AA70" s="85"/>
      <c r="AB70" s="85"/>
      <c r="AC70" s="85"/>
    </row>
    <row r="71" spans="1:29" hidden="1" outlineLevel="1" x14ac:dyDescent="0.25">
      <c r="A71" s="1389" t="str">
        <f>COA!B70</f>
        <v>2650 Loans and borrowings</v>
      </c>
      <c r="B71" s="1390">
        <f>_xlfn.XLOOKUP(A71,'TB.2 - F24'!A:A,'TB.2 - F24'!D:D,0,0,1)</f>
        <v>0</v>
      </c>
      <c r="C71" s="1390">
        <f>_xlfn.XLOOKUP(A71,'TB.2 - F24'!A:A,'TB.2 - F24'!J:J,0,0,1)</f>
        <v>0</v>
      </c>
      <c r="D71" s="1390">
        <f>_xlfn.XLOOKUP(A71,'AJE.2 - F24'!A:A,'AJE.2 - F24'!F:F,0,0,1)</f>
        <v>0</v>
      </c>
      <c r="E71" s="1390"/>
      <c r="F71" s="219">
        <f t="shared" si="3"/>
        <v>0</v>
      </c>
      <c r="G71" s="178" t="str">
        <f>_xlfn.XLOOKUP($A71,COA!$B:$B,COA!$C:$C,0,0,1)</f>
        <v>Loans and borrowings</v>
      </c>
      <c r="H71" s="178" t="str">
        <f>_xlfn.XLOOKUP($A71,COA!$B:$B,COA!$D:$D,0,0,1)</f>
        <v>Loans and borrowings</v>
      </c>
      <c r="I71" s="178" t="str">
        <f>_xlfn.XLOOKUP($A71,COA!$B:$B,COA!$E:$E,0,0,1)</f>
        <v>Loans and borrowings</v>
      </c>
      <c r="K71" s="85" t="str">
        <f t="shared" si="2"/>
        <v>Loans and borrowings</v>
      </c>
      <c r="L71" s="87"/>
      <c r="M71" s="87"/>
      <c r="N71" s="87"/>
      <c r="O71" s="87"/>
      <c r="P71" s="85"/>
      <c r="Q71" s="85"/>
      <c r="R71" s="85"/>
      <c r="S71" s="85"/>
      <c r="T71" s="85"/>
      <c r="U71" s="85"/>
      <c r="V71" s="85"/>
      <c r="W71" s="85"/>
      <c r="X71" s="85"/>
      <c r="Y71" s="85"/>
      <c r="Z71" s="85"/>
      <c r="AA71" s="85"/>
      <c r="AB71" s="85"/>
      <c r="AC71" s="85"/>
    </row>
    <row r="72" spans="1:29" hidden="1" outlineLevel="1" x14ac:dyDescent="0.25">
      <c r="A72" s="1389" t="str">
        <f>COA!B71</f>
        <v>2650 Loan Payable - current</v>
      </c>
      <c r="B72" s="1390">
        <f>_xlfn.XLOOKUP(A72,'TB.2 - F24'!A:A,'TB.2 - F24'!D:D,0,0,1)</f>
        <v>0</v>
      </c>
      <c r="C72" s="1390">
        <f>_xlfn.XLOOKUP(A72,'TB.2 - F24'!A:A,'TB.2 - F24'!J:J,0,0,1)</f>
        <v>-556400</v>
      </c>
      <c r="D72" s="1390">
        <f>_xlfn.XLOOKUP(A72,'AJE.2 - F24'!A:A,'AJE.2 - F24'!F:F,0,0,1)</f>
        <v>0</v>
      </c>
      <c r="E72" s="1390"/>
      <c r="F72" s="219">
        <f t="shared" ref="F72:F103" si="4">ROUND(SUM(B72:E72),0)</f>
        <v>-556400</v>
      </c>
      <c r="G72" s="667" t="s">
        <v>644</v>
      </c>
      <c r="H72" s="667" t="str">
        <f>G72</f>
        <v>Intercompany</v>
      </c>
      <c r="I72" s="667" t="str">
        <f>H72</f>
        <v>Intercompany</v>
      </c>
      <c r="K72" s="85" t="str">
        <f t="shared" si="2"/>
        <v>Intercompany</v>
      </c>
      <c r="L72" s="87"/>
      <c r="M72" s="87"/>
      <c r="N72" s="87"/>
      <c r="O72" s="87"/>
      <c r="P72" s="85"/>
      <c r="Q72" s="85"/>
      <c r="R72" s="85"/>
      <c r="S72" s="85"/>
      <c r="T72" s="85"/>
      <c r="U72" s="85"/>
      <c r="V72" s="85"/>
      <c r="W72" s="85"/>
      <c r="X72" s="85"/>
      <c r="Y72" s="85"/>
      <c r="Z72" s="85"/>
      <c r="AA72" s="85"/>
      <c r="AB72" s="85"/>
      <c r="AC72" s="85"/>
    </row>
    <row r="73" spans="1:29" hidden="1" outlineLevel="1" x14ac:dyDescent="0.25">
      <c r="A73" s="1389" t="str">
        <f>COA!B72</f>
        <v>2651 Loan Payable - non-current</v>
      </c>
      <c r="B73" s="1390">
        <f>_xlfn.XLOOKUP(A73,'TB.2 - F24'!A:A,'TB.2 - F24'!D:D,0,0,1)</f>
        <v>0</v>
      </c>
      <c r="C73" s="1390">
        <f>_xlfn.XLOOKUP(A73,'TB.2 - F24'!A:A,'TB.2 - F24'!J:J,0,0,1)</f>
        <v>0</v>
      </c>
      <c r="D73" s="1390">
        <f>_xlfn.XLOOKUP(A73,'AJE.2 - F24'!A:A,'AJE.2 - F24'!F:F,0,0,1)</f>
        <v>0</v>
      </c>
      <c r="E73" s="1390"/>
      <c r="F73" s="219">
        <f t="shared" si="4"/>
        <v>0</v>
      </c>
      <c r="G73" s="178" t="str">
        <f>_xlfn.XLOOKUP($A73,COA!$B:$B,COA!$C:$C,0,0,1)</f>
        <v>Loans and borrowings</v>
      </c>
      <c r="H73" s="178" t="str">
        <f>_xlfn.XLOOKUP($A73,COA!$B:$B,COA!$D:$D,0,0,1)</f>
        <v>Loans and borrowings</v>
      </c>
      <c r="I73" s="178" t="str">
        <f>_xlfn.XLOOKUP($A73,COA!$B:$B,COA!$E:$E,0,0,1)</f>
        <v>Loans and borrowings</v>
      </c>
      <c r="K73" s="85" t="str">
        <f t="shared" ref="K73:K136" si="5">I73</f>
        <v>Loans and borrowings</v>
      </c>
      <c r="L73" s="87"/>
      <c r="M73" s="87"/>
      <c r="N73" s="87"/>
      <c r="O73" s="87"/>
      <c r="P73" s="85"/>
      <c r="Q73" s="85"/>
      <c r="R73" s="85"/>
      <c r="S73" s="85"/>
      <c r="T73" s="85"/>
      <c r="U73" s="85"/>
      <c r="V73" s="85"/>
      <c r="W73" s="85"/>
      <c r="X73" s="85"/>
      <c r="Y73" s="85"/>
      <c r="Z73" s="85"/>
      <c r="AA73" s="85"/>
      <c r="AB73" s="85"/>
      <c r="AC73" s="85"/>
    </row>
    <row r="74" spans="1:29" hidden="1" outlineLevel="1" x14ac:dyDescent="0.25">
      <c r="A74" s="1389" t="str">
        <f>COA!B73</f>
        <v>2700 Share subscription payable</v>
      </c>
      <c r="B74" s="1390">
        <f>_xlfn.XLOOKUP(A74,'TB.2 - F24'!A:A,'TB.2 - F24'!D:D,0,0,1)</f>
        <v>0</v>
      </c>
      <c r="C74" s="1390">
        <f>_xlfn.XLOOKUP(A74,'TB.2 - F24'!A:A,'TB.2 - F24'!J:J,0,0,1)</f>
        <v>0</v>
      </c>
      <c r="D74" s="1390">
        <f>_xlfn.XLOOKUP(A74,'AJE.2 - F24'!A:A,'AJE.2 - F24'!F:F,0,0,1)</f>
        <v>0</v>
      </c>
      <c r="E74" s="1390"/>
      <c r="F74" s="219">
        <f t="shared" si="4"/>
        <v>0</v>
      </c>
      <c r="G74" s="178" t="str">
        <f>_xlfn.XLOOKUP($A74,COA!$B:$B,COA!$C:$C,0,0,1)</f>
        <v>Share subscription payable</v>
      </c>
      <c r="H74" s="178" t="str">
        <f>_xlfn.XLOOKUP($A74,COA!$B:$B,COA!$D:$D,0,0,1)</f>
        <v>Share subscription payable</v>
      </c>
      <c r="I74" s="178" t="str">
        <f>_xlfn.XLOOKUP($A74,COA!$B:$B,COA!$E:$E,0,0,1)</f>
        <v>Share subscription payable</v>
      </c>
      <c r="K74" s="85" t="str">
        <f t="shared" si="5"/>
        <v>Share subscription payable</v>
      </c>
      <c r="L74" s="87"/>
      <c r="M74" s="87"/>
      <c r="N74" s="87"/>
      <c r="O74" s="87"/>
      <c r="P74" s="85"/>
      <c r="Q74" s="85"/>
      <c r="R74" s="85"/>
      <c r="S74" s="85"/>
      <c r="T74" s="85"/>
      <c r="U74" s="85"/>
      <c r="V74" s="85"/>
      <c r="W74" s="85"/>
      <c r="X74" s="85"/>
      <c r="Y74" s="85"/>
      <c r="Z74" s="85"/>
      <c r="AA74" s="85"/>
      <c r="AB74" s="85"/>
      <c r="AC74" s="85"/>
    </row>
    <row r="75" spans="1:29" hidden="1" outlineLevel="1" x14ac:dyDescent="0.25">
      <c r="A75" s="1389" t="str">
        <f>COA!B74</f>
        <v>2700 Due to Shareholders</v>
      </c>
      <c r="B75" s="1390">
        <f>_xlfn.XLOOKUP(A75,'TB.2 - F24'!A:A,'TB.2 - F24'!D:D,0,0,1)</f>
        <v>0</v>
      </c>
      <c r="C75" s="1390">
        <f>_xlfn.XLOOKUP(A75,'TB.2 - F24'!A:A,'TB.2 - F24'!J:J,0,0,1)</f>
        <v>0</v>
      </c>
      <c r="D75" s="1390">
        <f>_xlfn.XLOOKUP(A75,'AJE.2 - F24'!A:A,'AJE.2 - F24'!F:F,0,0,1)</f>
        <v>0</v>
      </c>
      <c r="E75" s="1390"/>
      <c r="F75" s="219">
        <f t="shared" si="4"/>
        <v>0</v>
      </c>
      <c r="G75" s="178" t="str">
        <f>_xlfn.XLOOKUP($A75,COA!$B:$B,COA!$C:$C,0,0,1)</f>
        <v>Due to related parties</v>
      </c>
      <c r="H75" s="178" t="str">
        <f>_xlfn.XLOOKUP($A75,COA!$B:$B,COA!$D:$D,0,0,1)</f>
        <v>Due to related parties</v>
      </c>
      <c r="I75" s="178" t="str">
        <f>_xlfn.XLOOKUP($A75,COA!$B:$B,COA!$E:$E,0,0,1)</f>
        <v>Due to related parties</v>
      </c>
      <c r="K75" s="85" t="str">
        <f t="shared" si="5"/>
        <v>Due to related parties</v>
      </c>
      <c r="L75" s="87"/>
      <c r="M75" s="87"/>
      <c r="N75" s="87"/>
      <c r="O75" s="87"/>
      <c r="P75" s="85"/>
      <c r="Q75" s="85"/>
      <c r="R75" s="85"/>
      <c r="S75" s="85"/>
      <c r="T75" s="85"/>
      <c r="U75" s="85"/>
      <c r="V75" s="85"/>
      <c r="W75" s="85"/>
      <c r="X75" s="85"/>
      <c r="Y75" s="85"/>
      <c r="Z75" s="85"/>
      <c r="AA75" s="85"/>
      <c r="AB75" s="85"/>
      <c r="AC75" s="85"/>
    </row>
    <row r="76" spans="1:29" hidden="1" outlineLevel="1" x14ac:dyDescent="0.25">
      <c r="A76" s="1389" t="str">
        <f>COA!B75</f>
        <v>2705 Due to Shareholders:Due to SH - James Taylor</v>
      </c>
      <c r="B76" s="1390">
        <f>_xlfn.XLOOKUP(A76,'TB.2 - F24'!A:A,'TB.2 - F24'!D:D,0,0,1)</f>
        <v>0</v>
      </c>
      <c r="C76" s="1390">
        <f>_xlfn.XLOOKUP(A76,'TB.2 - F24'!A:A,'TB.2 - F24'!J:J,0,0,1)</f>
        <v>0</v>
      </c>
      <c r="D76" s="1390">
        <f>_xlfn.XLOOKUP(A76,'AJE.2 - F24'!A:A,'AJE.2 - F24'!F:F,0,0,1)</f>
        <v>0</v>
      </c>
      <c r="E76" s="1390"/>
      <c r="F76" s="219">
        <f t="shared" si="4"/>
        <v>0</v>
      </c>
      <c r="G76" s="178" t="str">
        <f>_xlfn.XLOOKUP($A76,COA!$B:$B,COA!$C:$C,0,0,1)</f>
        <v>Due to related parties</v>
      </c>
      <c r="H76" s="178" t="str">
        <f>_xlfn.XLOOKUP($A76,COA!$B:$B,COA!$D:$D,0,0,1)</f>
        <v>Due to related parties</v>
      </c>
      <c r="I76" s="178" t="str">
        <f>_xlfn.XLOOKUP($A76,COA!$B:$B,COA!$E:$E,0,0,1)</f>
        <v>Due to related parties</v>
      </c>
      <c r="K76" s="85" t="str">
        <f t="shared" si="5"/>
        <v>Due to related parties</v>
      </c>
      <c r="L76" s="87"/>
      <c r="M76" s="87"/>
      <c r="N76" s="87"/>
      <c r="O76" s="87"/>
      <c r="P76" s="85"/>
      <c r="Q76" s="85"/>
      <c r="R76" s="85"/>
      <c r="S76" s="85"/>
      <c r="T76" s="85"/>
      <c r="U76" s="85"/>
      <c r="V76" s="85"/>
      <c r="W76" s="85"/>
      <c r="X76" s="85"/>
      <c r="Y76" s="85"/>
      <c r="Z76" s="85"/>
      <c r="AA76" s="85"/>
      <c r="AB76" s="85"/>
      <c r="AC76" s="85"/>
    </row>
    <row r="77" spans="1:29" hidden="1" outlineLevel="1" x14ac:dyDescent="0.25">
      <c r="A77" s="1389" t="str">
        <f>COA!B76</f>
        <v>2706 Due to Shareholders:Due to SH - Keith Halston</v>
      </c>
      <c r="B77" s="1390">
        <f>_xlfn.XLOOKUP(A77,'TB.2 - F24'!A:A,'TB.2 - F24'!D:D,0,0,1)</f>
        <v>0</v>
      </c>
      <c r="C77" s="1390">
        <f>_xlfn.XLOOKUP(A77,'TB.2 - F24'!A:A,'TB.2 - F24'!J:J,0,0,1)</f>
        <v>0</v>
      </c>
      <c r="D77" s="1390">
        <f>_xlfn.XLOOKUP(A77,'AJE.2 - F24'!A:A,'AJE.2 - F24'!F:F,0,0,1)</f>
        <v>0</v>
      </c>
      <c r="E77" s="1390"/>
      <c r="F77" s="219">
        <f t="shared" si="4"/>
        <v>0</v>
      </c>
      <c r="G77" s="178" t="str">
        <f>_xlfn.XLOOKUP($A77,COA!$B:$B,COA!$C:$C,0,0,1)</f>
        <v>Due to related parties</v>
      </c>
      <c r="H77" s="178" t="str">
        <f>_xlfn.XLOOKUP($A77,COA!$B:$B,COA!$D:$D,0,0,1)</f>
        <v>Due to related parties</v>
      </c>
      <c r="I77" s="178" t="str">
        <f>_xlfn.XLOOKUP($A77,COA!$B:$B,COA!$E:$E,0,0,1)</f>
        <v>Due to related parties</v>
      </c>
      <c r="K77" s="85" t="str">
        <f t="shared" si="5"/>
        <v>Due to related parties</v>
      </c>
      <c r="L77" s="87"/>
      <c r="M77" s="87"/>
      <c r="N77" s="87"/>
      <c r="O77" s="87"/>
      <c r="P77" s="85"/>
      <c r="Q77" s="85"/>
      <c r="R77" s="85"/>
      <c r="S77" s="85"/>
      <c r="T77" s="85"/>
      <c r="U77" s="85"/>
      <c r="V77" s="85"/>
      <c r="W77" s="85"/>
      <c r="X77" s="85"/>
      <c r="Y77" s="85"/>
      <c r="Z77" s="85"/>
      <c r="AA77" s="85"/>
      <c r="AB77" s="85"/>
      <c r="AC77" s="85"/>
    </row>
    <row r="78" spans="1:29" hidden="1" outlineLevel="1" x14ac:dyDescent="0.25">
      <c r="A78" s="1389" t="str">
        <f>COA!B77</f>
        <v>2800 Current portion - convertible debt</v>
      </c>
      <c r="B78" s="1390">
        <f>_xlfn.XLOOKUP(A78,'TB.2 - F24'!A:A,'TB.2 - F24'!D:D,0,0,1)</f>
        <v>-174938.14</v>
      </c>
      <c r="C78" s="1390">
        <f>_xlfn.XLOOKUP(A78,'TB.2 - F24'!A:A,'TB.2 - F24'!J:J,0,0,1)</f>
        <v>0</v>
      </c>
      <c r="D78" s="1390">
        <f>_xlfn.XLOOKUP(A78,'AJE.2 - F24'!A:A,'AJE.2 - F24'!F:F,0,0,1)</f>
        <v>0</v>
      </c>
      <c r="E78" s="1390"/>
      <c r="F78" s="219">
        <f t="shared" si="4"/>
        <v>-174938</v>
      </c>
      <c r="G78" s="178" t="str">
        <f>_xlfn.XLOOKUP($A78,COA!$B:$B,COA!$C:$C,0,0,1)</f>
        <v>Convertible debt</v>
      </c>
      <c r="H78" s="178" t="str">
        <f>_xlfn.XLOOKUP($A78,COA!$B:$B,COA!$D:$D,0,0,1)</f>
        <v>Convertible debt</v>
      </c>
      <c r="I78" s="178" t="str">
        <f>_xlfn.XLOOKUP($A78,COA!$B:$B,COA!$E:$E,0,0,1)</f>
        <v>Convertible debt</v>
      </c>
      <c r="K78" s="85" t="str">
        <f t="shared" si="5"/>
        <v>Convertible debt</v>
      </c>
      <c r="L78" s="87"/>
      <c r="M78" s="87"/>
      <c r="N78" s="87"/>
      <c r="O78" s="87"/>
      <c r="P78" s="85"/>
      <c r="Q78" s="85"/>
      <c r="R78" s="85"/>
      <c r="S78" s="85"/>
      <c r="T78" s="85"/>
      <c r="U78" s="85"/>
      <c r="V78" s="85"/>
      <c r="W78" s="85"/>
      <c r="X78" s="85"/>
      <c r="Y78" s="85"/>
      <c r="Z78" s="85"/>
      <c r="AA78" s="85"/>
      <c r="AB78" s="85"/>
      <c r="AC78" s="85"/>
    </row>
    <row r="79" spans="1:29" hidden="1" outlineLevel="1" x14ac:dyDescent="0.25">
      <c r="A79" s="1389" t="str">
        <f>COA!B78</f>
        <v>2801 long-term portion - convertible debt</v>
      </c>
      <c r="B79" s="1390">
        <f>_xlfn.XLOOKUP(A79,'TB.2 - F24'!A:A,'TB.2 - F24'!D:D,0,0,1)</f>
        <v>0</v>
      </c>
      <c r="C79" s="1390">
        <f>_xlfn.XLOOKUP(A79,'TB.2 - F24'!A:A,'TB.2 - F24'!J:J,0,0,1)</f>
        <v>0</v>
      </c>
      <c r="D79" s="1390">
        <f>_xlfn.XLOOKUP(A79,'AJE.2 - F24'!A:A,'AJE.2 - F24'!F:F,0,0,1)</f>
        <v>0</v>
      </c>
      <c r="E79" s="1390"/>
      <c r="F79" s="219">
        <f t="shared" si="4"/>
        <v>0</v>
      </c>
      <c r="G79" s="178" t="str">
        <f>_xlfn.XLOOKUP($A79,COA!$B:$B,COA!$C:$C,0,0,1)</f>
        <v>Convertible debt</v>
      </c>
      <c r="H79" s="178" t="str">
        <f>_xlfn.XLOOKUP($A79,COA!$B:$B,COA!$D:$D,0,0,1)</f>
        <v>Convertible debt</v>
      </c>
      <c r="I79" s="178" t="str">
        <f>_xlfn.XLOOKUP($A79,COA!$B:$B,COA!$E:$E,0,0,1)</f>
        <v>Convertible debt</v>
      </c>
      <c r="K79" s="85" t="str">
        <f t="shared" si="5"/>
        <v>Convertible debt</v>
      </c>
      <c r="L79" s="87"/>
      <c r="M79" s="87"/>
      <c r="N79" s="87"/>
      <c r="O79" s="87"/>
      <c r="P79" s="85"/>
      <c r="Q79" s="85"/>
      <c r="R79" s="85"/>
      <c r="S79" s="85"/>
      <c r="T79" s="85"/>
      <c r="U79" s="85"/>
      <c r="V79" s="85"/>
      <c r="W79" s="85"/>
      <c r="X79" s="85"/>
      <c r="Y79" s="85"/>
      <c r="Z79" s="85"/>
      <c r="AA79" s="85"/>
      <c r="AB79" s="85"/>
      <c r="AC79" s="85"/>
    </row>
    <row r="80" spans="1:29" hidden="1" outlineLevel="1" x14ac:dyDescent="0.25">
      <c r="A80" s="1389" t="str">
        <f>COA!B79</f>
        <v>2802 Derivative liability</v>
      </c>
      <c r="B80" s="1390">
        <f>_xlfn.XLOOKUP(A80,'TB.2 - F24'!A:A,'TB.2 - F24'!D:D,0,0,1)</f>
        <v>0</v>
      </c>
      <c r="C80" s="1390">
        <f>_xlfn.XLOOKUP(A80,'TB.2 - F24'!A:A,'TB.2 - F24'!J:J,0,0,1)</f>
        <v>0</v>
      </c>
      <c r="D80" s="1390">
        <f>_xlfn.XLOOKUP(A80,'AJE.2 - F24'!A:A,'AJE.2 - F24'!F:F,0,0,1)</f>
        <v>0</v>
      </c>
      <c r="E80" s="1390"/>
      <c r="F80" s="219">
        <f t="shared" si="4"/>
        <v>0</v>
      </c>
      <c r="G80" s="178" t="str">
        <f>_xlfn.XLOOKUP($A80,COA!$B:$B,COA!$C:$C,0,0,1)</f>
        <v>Derivative liability</v>
      </c>
      <c r="H80" s="178" t="str">
        <f>_xlfn.XLOOKUP($A80,COA!$B:$B,COA!$D:$D,0,0,1)</f>
        <v>Derivative liability</v>
      </c>
      <c r="I80" s="178" t="str">
        <f>_xlfn.XLOOKUP($A80,COA!$B:$B,COA!$E:$E,0,0,1)</f>
        <v>Derivative liability</v>
      </c>
      <c r="K80" s="85" t="str">
        <f t="shared" si="5"/>
        <v>Derivative liability</v>
      </c>
      <c r="L80" s="87"/>
      <c r="M80" s="87"/>
      <c r="N80" s="87"/>
      <c r="O80" s="87"/>
      <c r="P80" s="85"/>
      <c r="Q80" s="85"/>
      <c r="R80" s="85"/>
      <c r="S80" s="85"/>
      <c r="T80" s="85"/>
      <c r="U80" s="85"/>
      <c r="V80" s="85"/>
      <c r="W80" s="85"/>
      <c r="X80" s="85"/>
      <c r="Y80" s="85"/>
      <c r="Z80" s="85"/>
      <c r="AA80" s="85"/>
      <c r="AB80" s="85"/>
      <c r="AC80" s="85"/>
    </row>
    <row r="81" spans="1:29" hidden="1" outlineLevel="1" x14ac:dyDescent="0.25">
      <c r="A81" s="1389" t="str">
        <f>COA!B80</f>
        <v>2803 Accrued loan interest</v>
      </c>
      <c r="B81" s="1390">
        <f>_xlfn.XLOOKUP(A81,'TB.2 - F24'!A:A,'TB.2 - F24'!D:D,0,0,1)</f>
        <v>-29639</v>
      </c>
      <c r="C81" s="1390">
        <f>_xlfn.XLOOKUP(A81,'TB.2 - F24'!A:A,'TB.2 - F24'!J:J,0,0,1)</f>
        <v>0</v>
      </c>
      <c r="D81" s="1390">
        <f>_xlfn.XLOOKUP(A81,'AJE.2 - F24'!A:A,'AJE.2 - F24'!F:F,0,0,1)</f>
        <v>0</v>
      </c>
      <c r="E81" s="1390"/>
      <c r="F81" s="219">
        <f t="shared" si="4"/>
        <v>-29639</v>
      </c>
      <c r="G81" s="178" t="str">
        <f>_xlfn.XLOOKUP($A81,COA!$B:$B,COA!$C:$C,0,0,1)</f>
        <v>Convertible debt</v>
      </c>
      <c r="H81" s="178" t="str">
        <f>_xlfn.XLOOKUP($A81,COA!$B:$B,COA!$D:$D,0,0,1)</f>
        <v>Convertible debt</v>
      </c>
      <c r="I81" s="178" t="str">
        <f>_xlfn.XLOOKUP($A81,COA!$B:$B,COA!$E:$E,0,0,1)</f>
        <v>Convertible debt</v>
      </c>
      <c r="K81" s="85" t="str">
        <f t="shared" si="5"/>
        <v>Convertible debt</v>
      </c>
      <c r="L81" s="87"/>
      <c r="M81" s="87"/>
      <c r="N81" s="87"/>
      <c r="O81" s="87"/>
      <c r="P81" s="85"/>
      <c r="Q81" s="85"/>
      <c r="R81" s="85"/>
      <c r="S81" s="85"/>
      <c r="T81" s="85"/>
      <c r="U81" s="85"/>
      <c r="V81" s="85"/>
      <c r="W81" s="85"/>
      <c r="X81" s="85"/>
      <c r="Y81" s="85"/>
      <c r="Z81" s="85"/>
      <c r="AA81" s="85"/>
      <c r="AB81" s="85"/>
      <c r="AC81" s="85"/>
    </row>
    <row r="82" spans="1:29" hidden="1" outlineLevel="1" x14ac:dyDescent="0.25">
      <c r="A82" s="1389" t="str">
        <f>COA!B81</f>
        <v>2900 Intercompany - due to Hallor Group Inc.</v>
      </c>
      <c r="B82" s="1390">
        <f>_xlfn.XLOOKUP(A82,'TB.2 - F24'!A:A,'TB.2 - F24'!D:D,0,0,1)</f>
        <v>0</v>
      </c>
      <c r="C82" s="1390">
        <f>_xlfn.XLOOKUP(A82,'TB.2 - F24'!A:A,'TB.2 - F24'!J:J,0,0,1)</f>
        <v>-192378.78</v>
      </c>
      <c r="D82" s="1390">
        <f>_xlfn.XLOOKUP(A82,'AJE.2 - F24'!A:A,'AJE.2 - F24'!F:F,0,0,1)</f>
        <v>0</v>
      </c>
      <c r="E82" s="1390"/>
      <c r="F82" s="219">
        <f t="shared" si="4"/>
        <v>-192379</v>
      </c>
      <c r="G82" s="178" t="str">
        <f>_xlfn.XLOOKUP($A82,COA!$B:$B,COA!$C:$C,0,0,1)</f>
        <v>Intercompany</v>
      </c>
      <c r="H82" s="178" t="str">
        <f>_xlfn.XLOOKUP($A82,COA!$B:$B,COA!$D:$D,0,0,1)</f>
        <v>Intercompany</v>
      </c>
      <c r="I82" s="178" t="str">
        <f>_xlfn.XLOOKUP($A82,COA!$B:$B,COA!$E:$E,0,0,1)</f>
        <v>Intercompany</v>
      </c>
      <c r="K82" s="85" t="str">
        <f t="shared" si="5"/>
        <v>Intercompany</v>
      </c>
      <c r="L82" s="87"/>
      <c r="M82" s="87"/>
      <c r="N82" s="87"/>
      <c r="O82" s="87"/>
      <c r="P82" s="85"/>
      <c r="Q82" s="85"/>
      <c r="R82" s="85"/>
      <c r="S82" s="85"/>
      <c r="T82" s="85"/>
      <c r="U82" s="85"/>
      <c r="V82" s="85"/>
      <c r="W82" s="85"/>
      <c r="X82" s="85"/>
      <c r="Y82" s="85"/>
      <c r="Z82" s="85"/>
      <c r="AA82" s="85"/>
      <c r="AB82" s="85"/>
      <c r="AC82" s="85"/>
    </row>
    <row r="83" spans="1:29" hidden="1" outlineLevel="1" x14ac:dyDescent="0.25">
      <c r="A83" s="1389" t="str">
        <f>COA!B82</f>
        <v>3000 Share capital</v>
      </c>
      <c r="B83" s="1390">
        <f>_xlfn.XLOOKUP(A83,'TB.2 - F24'!A:A,'TB.2 - F24'!D:D,0,0,1)</f>
        <v>-6450000</v>
      </c>
      <c r="C83" s="1390">
        <f>_xlfn.XLOOKUP(A83,'TB.2 - F24'!A:A,'TB.2 - F24'!J:J,0,0,1)</f>
        <v>0</v>
      </c>
      <c r="D83" s="1390">
        <f>_xlfn.XLOOKUP(A83,'AJE.2 - F24'!A:A,'AJE.2 - F24'!F:F,0,0,1)</f>
        <v>0</v>
      </c>
      <c r="E83" s="1390"/>
      <c r="F83" s="219">
        <f t="shared" si="4"/>
        <v>-6450000</v>
      </c>
      <c r="G83" s="178" t="str">
        <f>_xlfn.XLOOKUP($A83,COA!$B:$B,COA!$C:$C,0,0,1)</f>
        <v>Share capital</v>
      </c>
      <c r="H83" s="178" t="str">
        <f>_xlfn.XLOOKUP($A83,COA!$B:$B,COA!$D:$D,0,0,1)</f>
        <v>Share capital</v>
      </c>
      <c r="I83" s="178" t="str">
        <f>_xlfn.XLOOKUP($A83,COA!$B:$B,COA!$E:$E,0,0,1)</f>
        <v>Share capital</v>
      </c>
      <c r="K83" s="85" t="str">
        <f t="shared" si="5"/>
        <v>Share capital</v>
      </c>
      <c r="L83" s="87"/>
      <c r="M83" s="87"/>
      <c r="N83" s="87"/>
      <c r="O83" s="87"/>
      <c r="P83" s="85"/>
      <c r="Q83" s="85"/>
      <c r="R83" s="85"/>
      <c r="S83" s="85"/>
      <c r="T83" s="85"/>
      <c r="U83" s="85"/>
      <c r="V83" s="85"/>
      <c r="W83" s="85"/>
      <c r="X83" s="85"/>
      <c r="Y83" s="85"/>
      <c r="Z83" s="85"/>
      <c r="AA83" s="85"/>
      <c r="AB83" s="85"/>
      <c r="AC83" s="85"/>
    </row>
    <row r="84" spans="1:29" hidden="1" outlineLevel="1" x14ac:dyDescent="0.25">
      <c r="A84" s="1389" t="str">
        <f>COA!B83</f>
        <v>3000 Opening Bal Equity</v>
      </c>
      <c r="B84" s="1390">
        <f>_xlfn.XLOOKUP(A84,'TB.2 - F24'!A:A,'TB.2 - F24'!D:D,0,0,1)</f>
        <v>0</v>
      </c>
      <c r="C84" s="1390">
        <f>_xlfn.XLOOKUP(A84,'TB.2 - F24'!A:A,'TB.2 - F24'!J:J,0,0,1)</f>
        <v>1697.62</v>
      </c>
      <c r="D84" s="1390">
        <f>_xlfn.XLOOKUP(A84,'AJE.2 - F24'!A:A,'AJE.2 - F24'!F:F,0,0,1)</f>
        <v>-1698</v>
      </c>
      <c r="E84" s="1390"/>
      <c r="F84" s="219">
        <f t="shared" si="4"/>
        <v>0</v>
      </c>
      <c r="G84" s="178" t="str">
        <f>_xlfn.XLOOKUP($A84,COA!$B:$B,COA!$C:$C,0,0,1)</f>
        <v>Accumulated deficit</v>
      </c>
      <c r="H84" s="178" t="str">
        <f>_xlfn.XLOOKUP($A84,COA!$B:$B,COA!$D:$D,0,0,1)</f>
        <v>Accumulated deficit</v>
      </c>
      <c r="I84" s="178" t="str">
        <f>_xlfn.XLOOKUP($A84,COA!$B:$B,COA!$E:$E,0,0,1)</f>
        <v>Accumulated deficit</v>
      </c>
      <c r="K84" s="85" t="str">
        <f t="shared" si="5"/>
        <v>Accumulated deficit</v>
      </c>
      <c r="L84" s="87"/>
      <c r="M84" s="87"/>
      <c r="N84" s="87"/>
      <c r="O84" s="87"/>
      <c r="P84" s="85"/>
      <c r="Q84" s="85"/>
      <c r="R84" s="85"/>
      <c r="S84" s="85"/>
      <c r="T84" s="85"/>
      <c r="U84" s="85"/>
      <c r="V84" s="85"/>
      <c r="W84" s="85"/>
      <c r="X84" s="85"/>
      <c r="Y84" s="85"/>
      <c r="Z84" s="85"/>
      <c r="AA84" s="85"/>
      <c r="AB84" s="85"/>
      <c r="AC84" s="85"/>
    </row>
    <row r="85" spans="1:29" hidden="1" outlineLevel="1" x14ac:dyDescent="0.25">
      <c r="A85" s="1389" t="str">
        <f>COA!B84</f>
        <v>3001 Share capital:Common Shares</v>
      </c>
      <c r="B85" s="1390">
        <f>_xlfn.XLOOKUP(A85,'TB.2 - F24'!A:A,'TB.2 - F24'!D:D,0,0,1)</f>
        <v>-1801251</v>
      </c>
      <c r="C85" s="1390">
        <f>_xlfn.XLOOKUP(A85,'TB.2 - F24'!A:A,'TB.2 - F24'!J:J,0,0,1)</f>
        <v>0</v>
      </c>
      <c r="D85" s="1390">
        <f>_xlfn.XLOOKUP(A85,'AJE.2 - F24'!A:A,'AJE.2 - F24'!F:F,0,0,1)</f>
        <v>0</v>
      </c>
      <c r="E85" s="1390"/>
      <c r="F85" s="219">
        <f t="shared" si="4"/>
        <v>-1801251</v>
      </c>
      <c r="G85" s="178" t="str">
        <f>_xlfn.XLOOKUP($A85,COA!$B:$B,COA!$C:$C,0,0,1)</f>
        <v>Share capital</v>
      </c>
      <c r="H85" s="178" t="str">
        <f>_xlfn.XLOOKUP($A85,COA!$B:$B,COA!$D:$D,0,0,1)</f>
        <v>Share capital</v>
      </c>
      <c r="I85" s="178" t="str">
        <f>_xlfn.XLOOKUP($A85,COA!$B:$B,COA!$E:$E,0,0,1)</f>
        <v>Share capital</v>
      </c>
      <c r="K85" s="85" t="str">
        <f t="shared" si="5"/>
        <v>Share capital</v>
      </c>
      <c r="L85" s="87"/>
      <c r="M85" s="87"/>
      <c r="N85" s="87"/>
      <c r="O85" s="87"/>
      <c r="P85" s="85"/>
      <c r="Q85" s="85"/>
      <c r="R85" s="85"/>
      <c r="S85" s="85"/>
      <c r="T85" s="85"/>
      <c r="U85" s="85"/>
      <c r="V85" s="85"/>
      <c r="W85" s="85"/>
      <c r="X85" s="85"/>
      <c r="Y85" s="85"/>
      <c r="Z85" s="85"/>
      <c r="AA85" s="85"/>
      <c r="AB85" s="85"/>
      <c r="AC85" s="85"/>
    </row>
    <row r="86" spans="1:29" hidden="1" outlineLevel="1" x14ac:dyDescent="0.25">
      <c r="A86" s="1389" t="str">
        <f>COA!B85</f>
        <v>3010 Share issuance cost</v>
      </c>
      <c r="B86" s="1390">
        <f>_xlfn.XLOOKUP(A86,'TB.2 - F24'!A:A,'TB.2 - F24'!D:D,0,0,1)</f>
        <v>27152.1</v>
      </c>
      <c r="C86" s="1390">
        <f>_xlfn.XLOOKUP(A86,'TB.2 - F24'!A:A,'TB.2 - F24'!J:J,0,0,1)</f>
        <v>0</v>
      </c>
      <c r="D86" s="1390">
        <f>_xlfn.XLOOKUP(A86,'AJE.2 - F24'!A:A,'AJE.2 - F24'!F:F,0,0,1)</f>
        <v>0</v>
      </c>
      <c r="E86" s="1390"/>
      <c r="F86" s="219">
        <f t="shared" si="4"/>
        <v>27152</v>
      </c>
      <c r="G86" s="178" t="str">
        <f>_xlfn.XLOOKUP($A86,COA!$B:$B,COA!$C:$C,0,0,1)</f>
        <v>Share capital</v>
      </c>
      <c r="H86" s="178" t="str">
        <f>_xlfn.XLOOKUP($A86,COA!$B:$B,COA!$D:$D,0,0,1)</f>
        <v>Share capital</v>
      </c>
      <c r="I86" s="178" t="str">
        <f>_xlfn.XLOOKUP($A86,COA!$B:$B,COA!$E:$E,0,0,1)</f>
        <v>Share capital</v>
      </c>
      <c r="K86" s="85" t="str">
        <f t="shared" si="5"/>
        <v>Share capital</v>
      </c>
      <c r="L86" s="87"/>
      <c r="M86" s="87"/>
      <c r="N86" s="87"/>
      <c r="O86" s="87"/>
      <c r="P86" s="85"/>
      <c r="Q86" s="85"/>
      <c r="R86" s="85"/>
      <c r="S86" s="85"/>
      <c r="T86" s="85"/>
      <c r="U86" s="85"/>
      <c r="V86" s="85"/>
      <c r="W86" s="85"/>
      <c r="X86" s="85"/>
      <c r="Y86" s="85"/>
      <c r="Z86" s="85"/>
      <c r="AA86" s="85"/>
      <c r="AB86" s="85"/>
      <c r="AC86" s="85"/>
    </row>
    <row r="87" spans="1:29" hidden="1" outlineLevel="1" x14ac:dyDescent="0.25">
      <c r="A87" s="1389" t="str">
        <f>COA!B86</f>
        <v>3100 Warrant reserve</v>
      </c>
      <c r="B87" s="1390">
        <f>_xlfn.XLOOKUP(A87,'TB.2 - F24'!A:A,'TB.2 - F24'!D:D,0,0,1)</f>
        <v>-308750</v>
      </c>
      <c r="C87" s="1390">
        <f>_xlfn.XLOOKUP(A87,'TB.2 - F24'!A:A,'TB.2 - F24'!J:J,0,0,1)</f>
        <v>0</v>
      </c>
      <c r="D87" s="1390">
        <f>_xlfn.XLOOKUP(A87,'AJE.2 - F24'!A:A,'AJE.2 - F24'!F:F,0,0,1)</f>
        <v>0</v>
      </c>
      <c r="E87" s="1390"/>
      <c r="F87" s="219">
        <f t="shared" si="4"/>
        <v>-308750</v>
      </c>
      <c r="G87" s="178" t="str">
        <f>_xlfn.XLOOKUP($A87,COA!$B:$B,COA!$C:$C,0,0,1)</f>
        <v>Contributed surplus</v>
      </c>
      <c r="H87" s="178" t="str">
        <f>_xlfn.XLOOKUP($A87,COA!$B:$B,COA!$D:$D,0,0,1)</f>
        <v>Contributed surplus</v>
      </c>
      <c r="I87" s="178" t="str">
        <f>_xlfn.XLOOKUP($A87,COA!$B:$B,COA!$E:$E,0,0,1)</f>
        <v>Contributed surplus</v>
      </c>
      <c r="K87" s="85" t="str">
        <f t="shared" si="5"/>
        <v>Contributed surplus</v>
      </c>
      <c r="L87" s="87"/>
      <c r="M87" s="87"/>
      <c r="N87" s="87"/>
      <c r="O87" s="87"/>
      <c r="P87" s="85"/>
      <c r="Q87" s="85"/>
      <c r="R87" s="85"/>
      <c r="S87" s="85"/>
      <c r="T87" s="85"/>
      <c r="U87" s="85"/>
      <c r="V87" s="85"/>
      <c r="W87" s="85"/>
      <c r="X87" s="85"/>
      <c r="Y87" s="85"/>
      <c r="Z87" s="85"/>
      <c r="AA87" s="85"/>
      <c r="AB87" s="85"/>
      <c r="AC87" s="85"/>
    </row>
    <row r="88" spans="1:29" hidden="1" outlineLevel="1" x14ac:dyDescent="0.25">
      <c r="A88" s="1389" t="str">
        <f>COA!B87</f>
        <v>3100 Common Shares</v>
      </c>
      <c r="B88" s="1390">
        <f>_xlfn.XLOOKUP(A88,'TB.2 - F24'!A:A,'TB.2 - F24'!D:D,0,0,1)</f>
        <v>0</v>
      </c>
      <c r="C88" s="1390">
        <f>_xlfn.XLOOKUP(A88,'TB.2 - F24'!A:A,'TB.2 - F24'!J:J,0,0,1)</f>
        <v>0</v>
      </c>
      <c r="D88" s="1390">
        <f>_xlfn.XLOOKUP(A88,'AJE.2 - F24'!A:A,'AJE.2 - F24'!F:F,0,0,1)</f>
        <v>0</v>
      </c>
      <c r="E88" s="1390"/>
      <c r="F88" s="219">
        <f t="shared" si="4"/>
        <v>0</v>
      </c>
      <c r="G88" s="178" t="str">
        <f>_xlfn.XLOOKUP($A88,COA!$B:$B,COA!$C:$C,0,0,1)</f>
        <v>Share capital</v>
      </c>
      <c r="H88" s="178" t="str">
        <f>_xlfn.XLOOKUP($A88,COA!$B:$B,COA!$D:$D,0,0,1)</f>
        <v>Share capital</v>
      </c>
      <c r="I88" s="178" t="str">
        <f>_xlfn.XLOOKUP($A88,COA!$B:$B,COA!$E:$E,0,0,1)</f>
        <v>Share capital</v>
      </c>
      <c r="K88" s="85" t="str">
        <f t="shared" si="5"/>
        <v>Share capital</v>
      </c>
      <c r="L88" s="87"/>
      <c r="M88" s="87"/>
      <c r="N88" s="87"/>
      <c r="O88" s="87"/>
      <c r="P88" s="85"/>
      <c r="Q88" s="85"/>
      <c r="R88" s="85"/>
      <c r="S88" s="85"/>
      <c r="T88" s="85"/>
      <c r="U88" s="85"/>
      <c r="V88" s="85"/>
      <c r="W88" s="85"/>
      <c r="X88" s="85"/>
      <c r="Y88" s="85"/>
      <c r="Z88" s="85"/>
      <c r="AA88" s="85"/>
      <c r="AB88" s="85"/>
      <c r="AC88" s="85"/>
    </row>
    <row r="89" spans="1:29" hidden="1" outlineLevel="1" x14ac:dyDescent="0.25">
      <c r="A89" s="1389" t="str">
        <f>COA!B88</f>
        <v>3105 Common Shares:Class A Shares</v>
      </c>
      <c r="B89" s="1390">
        <f>_xlfn.XLOOKUP(A89,'TB.2 - F24'!A:A,'TB.2 - F24'!D:D,0,0,1)</f>
        <v>0</v>
      </c>
      <c r="C89" s="1390">
        <f>_xlfn.XLOOKUP(A89,'TB.2 - F24'!A:A,'TB.2 - F24'!J:J,0,0,1)</f>
        <v>-24</v>
      </c>
      <c r="D89" s="1390">
        <f>_xlfn.XLOOKUP(A89,'AJE.2 - F24'!A:A,'AJE.2 - F24'!F:F,0,0,1)</f>
        <v>24</v>
      </c>
      <c r="E89" s="1390"/>
      <c r="F89" s="219">
        <f t="shared" si="4"/>
        <v>0</v>
      </c>
      <c r="G89" s="178" t="str">
        <f>_xlfn.XLOOKUP($A89,COA!$B:$B,COA!$C:$C,0,0,1)</f>
        <v>Share capital</v>
      </c>
      <c r="H89" s="178" t="str">
        <f>_xlfn.XLOOKUP($A89,COA!$B:$B,COA!$D:$D,0,0,1)</f>
        <v>Share capital</v>
      </c>
      <c r="I89" s="178" t="str">
        <f>_xlfn.XLOOKUP($A89,COA!$B:$B,COA!$E:$E,0,0,1)</f>
        <v>Share capital</v>
      </c>
      <c r="K89" s="85" t="str">
        <f t="shared" si="5"/>
        <v>Share capital</v>
      </c>
      <c r="L89" s="87"/>
      <c r="M89" s="87"/>
      <c r="N89" s="87"/>
      <c r="O89" s="87"/>
      <c r="P89" s="85"/>
      <c r="Q89" s="85"/>
      <c r="R89" s="85"/>
      <c r="S89" s="85"/>
      <c r="T89" s="85"/>
      <c r="U89" s="85"/>
      <c r="V89" s="85"/>
      <c r="W89" s="85"/>
      <c r="X89" s="85"/>
      <c r="Y89" s="85"/>
      <c r="Z89" s="85"/>
      <c r="AA89" s="85"/>
      <c r="AB89" s="85"/>
      <c r="AC89" s="85"/>
    </row>
    <row r="90" spans="1:29" hidden="1" outlineLevel="1" x14ac:dyDescent="0.25">
      <c r="A90" s="1389" t="str">
        <f>COA!B89</f>
        <v>3110 Common Shares:Class B Shares</v>
      </c>
      <c r="B90" s="1390">
        <f>_xlfn.XLOOKUP(A90,'TB.2 - F24'!A:A,'TB.2 - F24'!D:D,0,0,1)</f>
        <v>0</v>
      </c>
      <c r="C90" s="1390">
        <f>_xlfn.XLOOKUP(A90,'TB.2 - F24'!A:A,'TB.2 - F24'!J:J,0,0,1)</f>
        <v>-12</v>
      </c>
      <c r="D90" s="1390">
        <f>_xlfn.XLOOKUP(A90,'AJE.2 - F24'!A:A,'AJE.2 - F24'!F:F,0,0,1)</f>
        <v>12</v>
      </c>
      <c r="E90" s="1390"/>
      <c r="F90" s="219">
        <f t="shared" si="4"/>
        <v>0</v>
      </c>
      <c r="G90" s="178" t="str">
        <f>_xlfn.XLOOKUP($A90,COA!$B:$B,COA!$C:$C,0,0,1)</f>
        <v>Share capital</v>
      </c>
      <c r="H90" s="178" t="str">
        <f>_xlfn.XLOOKUP($A90,COA!$B:$B,COA!$D:$D,0,0,1)</f>
        <v>Share capital</v>
      </c>
      <c r="I90" s="178" t="str">
        <f>_xlfn.XLOOKUP($A90,COA!$B:$B,COA!$E:$E,0,0,1)</f>
        <v>Share capital</v>
      </c>
      <c r="K90" s="85" t="str">
        <f t="shared" si="5"/>
        <v>Share capital</v>
      </c>
      <c r="L90" s="87"/>
      <c r="M90" s="87"/>
      <c r="N90" s="87"/>
      <c r="O90" s="87"/>
      <c r="P90" s="85"/>
      <c r="Q90" s="85"/>
      <c r="R90" s="85"/>
      <c r="S90" s="85"/>
      <c r="T90" s="85"/>
      <c r="U90" s="85"/>
      <c r="V90" s="85"/>
      <c r="W90" s="85"/>
      <c r="X90" s="85"/>
      <c r="Y90" s="85"/>
      <c r="Z90" s="85"/>
      <c r="AA90" s="85"/>
      <c r="AB90" s="85"/>
      <c r="AC90" s="85"/>
    </row>
    <row r="91" spans="1:29" hidden="1" outlineLevel="1" x14ac:dyDescent="0.25">
      <c r="A91" s="1389" t="str">
        <f>COA!B90</f>
        <v>3115 Common Shares:Class C Shares</v>
      </c>
      <c r="B91" s="1390">
        <f>_xlfn.XLOOKUP(A91,'TB.2 - F24'!A:A,'TB.2 - F24'!D:D,0,0,1)</f>
        <v>0</v>
      </c>
      <c r="C91" s="1390">
        <f>_xlfn.XLOOKUP(A91,'TB.2 - F24'!A:A,'TB.2 - F24'!J:J,0,0,1)</f>
        <v>-12</v>
      </c>
      <c r="D91" s="1390">
        <f>_xlfn.XLOOKUP(A91,'AJE.2 - F24'!A:A,'AJE.2 - F24'!F:F,0,0,1)</f>
        <v>12</v>
      </c>
      <c r="E91" s="1390"/>
      <c r="F91" s="219">
        <f t="shared" si="4"/>
        <v>0</v>
      </c>
      <c r="G91" s="178" t="str">
        <f>_xlfn.XLOOKUP($A91,COA!$B:$B,COA!$C:$C,0,0,1)</f>
        <v>Share capital</v>
      </c>
      <c r="H91" s="178" t="str">
        <f>_xlfn.XLOOKUP($A91,COA!$B:$B,COA!$D:$D,0,0,1)</f>
        <v>Share capital</v>
      </c>
      <c r="I91" s="178" t="str">
        <f>_xlfn.XLOOKUP($A91,COA!$B:$B,COA!$E:$E,0,0,1)</f>
        <v>Share capital</v>
      </c>
      <c r="K91" s="85" t="str">
        <f t="shared" si="5"/>
        <v>Share capital</v>
      </c>
      <c r="L91" s="87"/>
      <c r="M91" s="87"/>
      <c r="N91" s="87"/>
      <c r="O91" s="87"/>
      <c r="P91" s="85"/>
      <c r="Q91" s="85"/>
      <c r="R91" s="85"/>
      <c r="S91" s="85"/>
      <c r="T91" s="85"/>
      <c r="U91" s="85"/>
      <c r="V91" s="85"/>
      <c r="W91" s="85"/>
      <c r="X91" s="85"/>
      <c r="Y91" s="85"/>
      <c r="Z91" s="85"/>
      <c r="AA91" s="85"/>
      <c r="AB91" s="85"/>
      <c r="AC91" s="85"/>
    </row>
    <row r="92" spans="1:29" hidden="1" outlineLevel="1" x14ac:dyDescent="0.25">
      <c r="A92" s="1389" t="str">
        <f>COA!B91</f>
        <v>3200 Capital contribution</v>
      </c>
      <c r="B92" s="1390">
        <f>_xlfn.XLOOKUP(A92,'TB.2 - F24'!A:A,'TB.2 - F24'!D:D,0,0,1)</f>
        <v>0</v>
      </c>
      <c r="C92" s="1390">
        <f>_xlfn.XLOOKUP(A92,'TB.2 - F24'!A:A,'TB.2 - F24'!J:J,0,0,1)</f>
        <v>-59349.72</v>
      </c>
      <c r="D92" s="1390">
        <f>_xlfn.XLOOKUP(A92,'AJE.2 - F24'!A:A,'AJE.2 - F24'!F:F,0,0,1)</f>
        <v>59350</v>
      </c>
      <c r="E92" s="1390"/>
      <c r="F92" s="219">
        <f t="shared" si="4"/>
        <v>0</v>
      </c>
      <c r="G92" s="178" t="str">
        <f>_xlfn.XLOOKUP($A92,COA!$B:$B,COA!$C:$C,0,0,1)</f>
        <v>Contributed surplus</v>
      </c>
      <c r="H92" s="178" t="str">
        <f>_xlfn.XLOOKUP($A92,COA!$B:$B,COA!$D:$D,0,0,1)</f>
        <v>Contributed surplus</v>
      </c>
      <c r="I92" s="178" t="str">
        <f>_xlfn.XLOOKUP($A92,COA!$B:$B,COA!$E:$E,0,0,1)</f>
        <v>Contributed surplus</v>
      </c>
      <c r="K92" s="85" t="str">
        <f t="shared" si="5"/>
        <v>Contributed surplus</v>
      </c>
      <c r="L92" s="87"/>
      <c r="M92" s="87"/>
      <c r="N92" s="87"/>
      <c r="O92" s="87"/>
      <c r="P92" s="85"/>
      <c r="Q92" s="85"/>
      <c r="R92" s="85"/>
      <c r="S92" s="85"/>
      <c r="T92" s="85"/>
      <c r="U92" s="85"/>
      <c r="V92" s="85"/>
      <c r="W92" s="85"/>
      <c r="X92" s="85"/>
      <c r="Y92" s="85"/>
      <c r="Z92" s="85"/>
      <c r="AA92" s="85"/>
      <c r="AB92" s="85"/>
      <c r="AC92" s="85"/>
    </row>
    <row r="93" spans="1:29" hidden="1" outlineLevel="1" x14ac:dyDescent="0.25">
      <c r="A93" s="1389" t="str">
        <f>COA!B92</f>
        <v>3500 Opening Balance Equity</v>
      </c>
      <c r="B93" s="1390">
        <f>_xlfn.XLOOKUP(A93,'TB.2 - F24'!A:A,'TB.2 - F24'!D:D,0,0,1)</f>
        <v>0</v>
      </c>
      <c r="C93" s="1390">
        <f>_xlfn.XLOOKUP(A93,'TB.2 - F24'!A:A,'TB.2 - F24'!J:J,0,0,1)</f>
        <v>0</v>
      </c>
      <c r="D93" s="1390">
        <f>_xlfn.XLOOKUP(A93,'AJE.2 - F24'!A:A,'AJE.2 - F24'!F:F,0,0,1)</f>
        <v>0</v>
      </c>
      <c r="E93" s="1390"/>
      <c r="F93" s="219">
        <f t="shared" si="4"/>
        <v>0</v>
      </c>
      <c r="G93" s="178" t="str">
        <f>_xlfn.XLOOKUP($A93,COA!$B:$B,COA!$C:$C,0,0,1)</f>
        <v>Accumulated deficit</v>
      </c>
      <c r="H93" s="178" t="str">
        <f>_xlfn.XLOOKUP($A93,COA!$B:$B,COA!$D:$D,0,0,1)</f>
        <v>Accumulated deficit</v>
      </c>
      <c r="I93" s="178" t="str">
        <f>_xlfn.XLOOKUP($A93,COA!$B:$B,COA!$E:$E,0,0,1)</f>
        <v>Accumulated deficit</v>
      </c>
      <c r="K93" s="85" t="str">
        <f t="shared" si="5"/>
        <v>Accumulated deficit</v>
      </c>
      <c r="L93" s="87"/>
      <c r="M93" s="87"/>
      <c r="N93" s="87"/>
      <c r="O93" s="87"/>
      <c r="P93" s="85"/>
      <c r="Q93" s="85"/>
      <c r="R93" s="85"/>
      <c r="S93" s="85"/>
      <c r="T93" s="85"/>
      <c r="U93" s="85"/>
      <c r="V93" s="85"/>
      <c r="W93" s="85"/>
      <c r="X93" s="85"/>
      <c r="Y93" s="85"/>
      <c r="Z93" s="85"/>
      <c r="AA93" s="85"/>
      <c r="AB93" s="85"/>
      <c r="AC93" s="85"/>
    </row>
    <row r="94" spans="1:29" hidden="1" outlineLevel="1" x14ac:dyDescent="0.25">
      <c r="A94" s="1389" t="str">
        <f>COA!B94</f>
        <v>3501 Retained Earnings</v>
      </c>
      <c r="B94" s="1390">
        <f>_xlfn.XLOOKUP(A94,'TB.2 - F24'!A:A,'TB.2 - F24'!D:D,0,0,1)</f>
        <v>1474472.33</v>
      </c>
      <c r="C94" s="1390">
        <f>_xlfn.XLOOKUP(A94,'TB.2 - F24'!A:A,'TB.2 - F24'!J:J,0,0,1)</f>
        <v>0</v>
      </c>
      <c r="D94" s="1390">
        <f>_xlfn.XLOOKUP(A94,'AJE.2 - F24'!A:A,'AJE.2 - F24'!F:F,0,0,1)</f>
        <v>0</v>
      </c>
      <c r="E94" s="1390"/>
      <c r="F94" s="219">
        <f t="shared" si="4"/>
        <v>1474472</v>
      </c>
      <c r="G94" s="178" t="str">
        <f>_xlfn.XLOOKUP($A94,COA!$B:$B,COA!$C:$C,0,0,1)</f>
        <v>Accumulated deficit</v>
      </c>
      <c r="H94" s="178" t="str">
        <f>_xlfn.XLOOKUP($A94,COA!$B:$B,COA!$D:$D,0,0,1)</f>
        <v>Accumulated deficit</v>
      </c>
      <c r="I94" s="178" t="str">
        <f>_xlfn.XLOOKUP($A94,COA!$B:$B,COA!$E:$E,0,0,1)</f>
        <v>Accumulated deficit</v>
      </c>
      <c r="K94" s="85" t="str">
        <f t="shared" si="5"/>
        <v>Accumulated deficit</v>
      </c>
      <c r="L94" s="87"/>
      <c r="M94" s="87"/>
      <c r="N94" s="87"/>
      <c r="O94" s="87"/>
      <c r="P94" s="85"/>
      <c r="Q94" s="85"/>
      <c r="R94" s="85"/>
      <c r="S94" s="85"/>
      <c r="T94" s="85"/>
      <c r="U94" s="85"/>
      <c r="V94" s="85"/>
      <c r="W94" s="85"/>
      <c r="X94" s="85"/>
      <c r="Y94" s="85"/>
      <c r="Z94" s="85"/>
      <c r="AA94" s="85"/>
      <c r="AB94" s="85"/>
      <c r="AC94" s="85"/>
    </row>
    <row r="95" spans="1:29" hidden="1" outlineLevel="1" x14ac:dyDescent="0.25">
      <c r="A95" s="1400" t="str">
        <f>COA!B95</f>
        <v>3900 Retained Earnings</v>
      </c>
      <c r="B95" s="1392">
        <f>_xlfn.XLOOKUP(A95,'TB.2 - F24'!A:A,'TB.2 - F24'!D:D,0,0,1)</f>
        <v>0</v>
      </c>
      <c r="C95" s="1392" t="e">
        <f>_xlfn.XLOOKUP(A95,'TB.2 - F24'!A:A,'TB.2 - F24'!J:J,0,0,1)</f>
        <v>#REF!</v>
      </c>
      <c r="D95" s="1392">
        <f>_xlfn.XLOOKUP(A95,'AJE.2 - F24'!A:A,'AJE.2 - F24'!F:F,0,0,1)</f>
        <v>-339522</v>
      </c>
      <c r="E95" s="1392">
        <v>-2343</v>
      </c>
      <c r="F95" s="57" t="e">
        <f t="shared" si="4"/>
        <v>#REF!</v>
      </c>
      <c r="G95" s="179" t="str">
        <f>_xlfn.XLOOKUP($A95,COA!$B:$B,COA!$C:$C,0,0,1)</f>
        <v>Accumulated deficit</v>
      </c>
      <c r="H95" s="179" t="str">
        <f>_xlfn.XLOOKUP($A95,COA!$B:$B,COA!$D:$D,0,0,1)</f>
        <v>Accumulated deficit</v>
      </c>
      <c r="I95" s="179" t="str">
        <f>_xlfn.XLOOKUP($A95,COA!$B:$B,COA!$E:$E,0,0,1)</f>
        <v>Accumulated deficit</v>
      </c>
      <c r="K95" s="85" t="str">
        <f t="shared" si="5"/>
        <v>Accumulated deficit</v>
      </c>
      <c r="L95" s="87"/>
      <c r="M95" s="87"/>
      <c r="N95" s="87"/>
      <c r="O95" s="87"/>
      <c r="P95" s="85"/>
      <c r="Q95" s="85"/>
      <c r="R95" s="85"/>
      <c r="S95" s="85"/>
      <c r="T95" s="85"/>
      <c r="U95" s="85"/>
      <c r="V95" s="85"/>
      <c r="W95" s="85"/>
      <c r="X95" s="85"/>
      <c r="Y95" s="85"/>
      <c r="Z95" s="85"/>
      <c r="AA95" s="85"/>
      <c r="AB95" s="85"/>
      <c r="AC95" s="85"/>
    </row>
    <row r="96" spans="1:29" hidden="1" outlineLevel="1" x14ac:dyDescent="0.25">
      <c r="A96" s="1389" t="str">
        <f>COA!B96</f>
        <v>5000 Revenue</v>
      </c>
      <c r="B96" s="1390">
        <f>_xlfn.XLOOKUP(A96,'TB.2 - F24'!A:A,'TB.2 - F24'!D:D,0,0,1)</f>
        <v>0</v>
      </c>
      <c r="C96" s="1390">
        <f>_xlfn.XLOOKUP(A96,'TB.2 - F24'!A:A,'TB.2 - F24'!J:J,0,0,1)</f>
        <v>0</v>
      </c>
      <c r="D96" s="1390">
        <f>_xlfn.XLOOKUP(A96,'AJE.2 - F24'!A:A,'AJE.2 - F24'!F:F,0,0,1)</f>
        <v>0</v>
      </c>
      <c r="E96" s="1390"/>
      <c r="F96" s="219">
        <f t="shared" si="4"/>
        <v>0</v>
      </c>
      <c r="G96" s="178" t="str">
        <f>_xlfn.XLOOKUP($A96,COA!$B:$B,COA!$C:$C,0,0,1)</f>
        <v>Revenues</v>
      </c>
      <c r="H96" s="178" t="str">
        <f>_xlfn.XLOOKUP($A96,COA!$B:$B,COA!$D:$D,0,0,1)</f>
        <v>Revenues</v>
      </c>
      <c r="I96" s="178" t="str">
        <f>_xlfn.XLOOKUP($A96,COA!$B:$B,COA!$E:$E,0,0,1)</f>
        <v>Accumulated deficit</v>
      </c>
      <c r="K96" s="85" t="str">
        <f t="shared" si="5"/>
        <v>Accumulated deficit</v>
      </c>
      <c r="L96" s="87"/>
      <c r="M96" s="87"/>
      <c r="N96" s="87"/>
      <c r="O96" s="87"/>
      <c r="P96" s="85"/>
      <c r="Q96" s="85"/>
      <c r="R96" s="85"/>
      <c r="S96" s="85"/>
      <c r="T96" s="85"/>
      <c r="U96" s="85"/>
      <c r="V96" s="85"/>
      <c r="W96" s="85"/>
      <c r="X96" s="85"/>
      <c r="Y96" s="85"/>
      <c r="Z96" s="85"/>
      <c r="AA96" s="85"/>
      <c r="AB96" s="85"/>
      <c r="AC96" s="85"/>
    </row>
    <row r="97" spans="1:29" hidden="1" outlineLevel="1" x14ac:dyDescent="0.25">
      <c r="A97" s="1389" t="str">
        <f>COA!B97</f>
        <v>5000 Utility Vehicle Sales</v>
      </c>
      <c r="B97" s="1390">
        <f>_xlfn.XLOOKUP(A97,'TB.2 - F24'!A:A,'TB.2 - F24'!D:D,0,0,1)</f>
        <v>0</v>
      </c>
      <c r="C97" s="1390">
        <f>_xlfn.XLOOKUP(A97,'TB.2 - F24'!A:A,'TB.2 - F24'!J:J,0,0,1)</f>
        <v>0</v>
      </c>
      <c r="D97" s="1390">
        <f>_xlfn.XLOOKUP(A97,'AJE.2 - F24'!A:A,'AJE.2 - F24'!F:F,0,0,1)</f>
        <v>0</v>
      </c>
      <c r="E97" s="1390"/>
      <c r="F97" s="219">
        <f t="shared" si="4"/>
        <v>0</v>
      </c>
      <c r="G97" s="178" t="str">
        <f>_xlfn.XLOOKUP($A97,COA!$B:$B,COA!$C:$C,0,0,1)</f>
        <v>Revenues</v>
      </c>
      <c r="H97" s="178" t="str">
        <f>_xlfn.XLOOKUP($A97,COA!$B:$B,COA!$D:$D,0,0,1)</f>
        <v xml:space="preserve">Sale of electric vehicle </v>
      </c>
      <c r="I97" s="178" t="str">
        <f>_xlfn.XLOOKUP($A97,COA!$B:$B,COA!$E:$E,0,0,1)</f>
        <v>Accumulated deficit</v>
      </c>
      <c r="K97" s="85" t="str">
        <f t="shared" si="5"/>
        <v>Accumulated deficit</v>
      </c>
      <c r="L97" s="87"/>
      <c r="M97" s="87"/>
      <c r="N97" s="87"/>
      <c r="O97" s="87"/>
      <c r="P97" s="85"/>
      <c r="Q97" s="85"/>
      <c r="R97" s="85"/>
      <c r="S97" s="85"/>
      <c r="T97" s="85"/>
      <c r="U97" s="85"/>
      <c r="V97" s="85"/>
      <c r="W97" s="85"/>
      <c r="X97" s="85"/>
      <c r="Y97" s="85"/>
      <c r="Z97" s="85"/>
      <c r="AA97" s="85"/>
      <c r="AB97" s="85"/>
      <c r="AC97" s="85"/>
    </row>
    <row r="98" spans="1:29" hidden="1" outlineLevel="1" x14ac:dyDescent="0.25">
      <c r="A98" s="1389" t="str">
        <f>COA!B98</f>
        <v>5001 Other General Sales</v>
      </c>
      <c r="B98" s="1390">
        <f>_xlfn.XLOOKUP(A98,'TB.2 - F24'!A:A,'TB.2 - F24'!D:D,0,0,1)</f>
        <v>0</v>
      </c>
      <c r="C98" s="1390">
        <f>_xlfn.XLOOKUP(A98,'TB.2 - F24'!A:A,'TB.2 - F24'!J:J,0,0,1)</f>
        <v>0</v>
      </c>
      <c r="D98" s="1390">
        <f>_xlfn.XLOOKUP(A98,'AJE.2 - F24'!A:A,'AJE.2 - F24'!F:F,0,0,1)</f>
        <v>0</v>
      </c>
      <c r="E98" s="1390"/>
      <c r="F98" s="219">
        <f t="shared" si="4"/>
        <v>0</v>
      </c>
      <c r="G98" s="178" t="str">
        <f>_xlfn.XLOOKUP($A98,COA!$B:$B,COA!$C:$C,0,0,1)</f>
        <v>Revenues</v>
      </c>
      <c r="H98" s="178" t="str">
        <f>_xlfn.XLOOKUP($A98,COA!$B:$B,COA!$D:$D,0,0,1)</f>
        <v>Mechanical services</v>
      </c>
      <c r="I98" s="178" t="str">
        <f>_xlfn.XLOOKUP($A98,COA!$B:$B,COA!$E:$E,0,0,1)</f>
        <v>Accumulated deficit</v>
      </c>
      <c r="K98" s="85" t="str">
        <f t="shared" si="5"/>
        <v>Accumulated deficit</v>
      </c>
      <c r="L98" s="87"/>
      <c r="M98" s="87"/>
      <c r="N98" s="87"/>
      <c r="O98" s="87"/>
      <c r="P98" s="85"/>
      <c r="Q98" s="85"/>
      <c r="R98" s="85"/>
      <c r="S98" s="85"/>
      <c r="T98" s="85"/>
      <c r="U98" s="85"/>
      <c r="V98" s="85"/>
      <c r="W98" s="85"/>
      <c r="X98" s="85"/>
      <c r="Y98" s="85"/>
      <c r="Z98" s="85"/>
      <c r="AA98" s="85"/>
      <c r="AB98" s="85"/>
      <c r="AC98" s="85"/>
    </row>
    <row r="99" spans="1:29" hidden="1" outlineLevel="1" x14ac:dyDescent="0.25">
      <c r="A99" s="1389" t="str">
        <f>COA!B99</f>
        <v>5002 Equipment parts sale</v>
      </c>
      <c r="B99" s="1390">
        <f>_xlfn.XLOOKUP(A99,'TB.2 - F24'!A:A,'TB.2 - F24'!D:D,0,0,1)</f>
        <v>0</v>
      </c>
      <c r="C99" s="1390">
        <f>_xlfn.XLOOKUP(A99,'TB.2 - F24'!A:A,'TB.2 - F24'!J:J,0,0,1)</f>
        <v>0</v>
      </c>
      <c r="D99" s="1390">
        <f>_xlfn.XLOOKUP(A99,'AJE.2 - F24'!A:A,'AJE.2 - F24'!F:F,0,0,1)</f>
        <v>0</v>
      </c>
      <c r="E99" s="1390"/>
      <c r="F99" s="219">
        <f t="shared" si="4"/>
        <v>0</v>
      </c>
      <c r="G99" s="178" t="str">
        <f>_xlfn.XLOOKUP($A99,COA!$B:$B,COA!$C:$C,0,0,1)</f>
        <v>Revenues</v>
      </c>
      <c r="H99" s="178" t="str">
        <f>_xlfn.XLOOKUP($A99,COA!$B:$B,COA!$D:$D,0,0,1)</f>
        <v>Surcharge on parts and components sold</v>
      </c>
      <c r="I99" s="178" t="str">
        <f>_xlfn.XLOOKUP($A99,COA!$B:$B,COA!$E:$E,0,0,1)</f>
        <v>Accumulated deficit</v>
      </c>
      <c r="K99" s="85" t="str">
        <f t="shared" si="5"/>
        <v>Accumulated deficit</v>
      </c>
      <c r="L99" s="87"/>
      <c r="M99" s="87"/>
      <c r="N99" s="87"/>
      <c r="O99" s="87"/>
      <c r="P99" s="85"/>
      <c r="Q99" s="85"/>
      <c r="R99" s="85"/>
      <c r="S99" s="85"/>
      <c r="T99" s="85"/>
      <c r="U99" s="85"/>
      <c r="V99" s="85"/>
      <c r="W99" s="85"/>
      <c r="X99" s="85"/>
      <c r="Y99" s="85"/>
      <c r="Z99" s="85"/>
      <c r="AA99" s="85"/>
      <c r="AB99" s="85"/>
      <c r="AC99" s="85"/>
    </row>
    <row r="100" spans="1:29" hidden="1" outlineLevel="1" x14ac:dyDescent="0.25">
      <c r="A100" s="1389" t="str">
        <f>COA!B100</f>
        <v>5003 Labour service</v>
      </c>
      <c r="B100" s="1390">
        <f>_xlfn.XLOOKUP(A100,'TB.2 - F24'!A:A,'TB.2 - F24'!D:D,0,0,1)</f>
        <v>0</v>
      </c>
      <c r="C100" s="1390">
        <f>_xlfn.XLOOKUP(A100,'TB.2 - F24'!A:A,'TB.2 - F24'!J:J,0,0,1)</f>
        <v>0</v>
      </c>
      <c r="D100" s="1390">
        <f>_xlfn.XLOOKUP(A100,'AJE.2 - F24'!A:A,'AJE.2 - F24'!F:F,0,0,1)</f>
        <v>0</v>
      </c>
      <c r="E100" s="1390"/>
      <c r="F100" s="219">
        <f t="shared" si="4"/>
        <v>0</v>
      </c>
      <c r="G100" s="178" t="str">
        <f>_xlfn.XLOOKUP($A100,COA!$B:$B,COA!$C:$C,0,0,1)</f>
        <v>Revenues</v>
      </c>
      <c r="H100" s="178" t="str">
        <f>_xlfn.XLOOKUP($A100,COA!$B:$B,COA!$D:$D,0,0,1)</f>
        <v>Mechanical services</v>
      </c>
      <c r="I100" s="178" t="str">
        <f>_xlfn.XLOOKUP($A100,COA!$B:$B,COA!$E:$E,0,0,1)</f>
        <v>Accumulated deficit</v>
      </c>
      <c r="K100" s="85" t="str">
        <f t="shared" si="5"/>
        <v>Accumulated deficit</v>
      </c>
      <c r="L100" s="87"/>
      <c r="M100" s="87"/>
      <c r="N100" s="87"/>
      <c r="O100" s="87"/>
      <c r="P100" s="85"/>
      <c r="Q100" s="85"/>
      <c r="R100" s="85"/>
      <c r="S100" s="85"/>
      <c r="T100" s="85"/>
      <c r="U100" s="85"/>
      <c r="V100" s="85"/>
      <c r="W100" s="85"/>
      <c r="X100" s="85"/>
      <c r="Y100" s="85"/>
      <c r="Z100" s="85"/>
      <c r="AA100" s="85"/>
      <c r="AB100" s="85"/>
      <c r="AC100" s="85"/>
    </row>
    <row r="101" spans="1:29" hidden="1" outlineLevel="1" x14ac:dyDescent="0.25">
      <c r="A101" s="1389" t="str">
        <f>COA!B101</f>
        <v>5004 Shop Supplies Sales</v>
      </c>
      <c r="B101" s="1390">
        <f>_xlfn.XLOOKUP(A101,'TB.2 - F24'!A:A,'TB.2 - F24'!D:D,0,0,1)</f>
        <v>0</v>
      </c>
      <c r="C101" s="1390">
        <f>_xlfn.XLOOKUP(A101,'TB.2 - F24'!A:A,'TB.2 - F24'!J:J,0,0,1)</f>
        <v>0</v>
      </c>
      <c r="D101" s="1390">
        <f>_xlfn.XLOOKUP(A101,'AJE.2 - F24'!A:A,'AJE.2 - F24'!F:F,0,0,1)</f>
        <v>0</v>
      </c>
      <c r="E101" s="1390"/>
      <c r="F101" s="219">
        <f t="shared" si="4"/>
        <v>0</v>
      </c>
      <c r="G101" s="178" t="str">
        <f>_xlfn.XLOOKUP($A101,COA!$B:$B,COA!$C:$C,0,0,1)</f>
        <v>Revenues</v>
      </c>
      <c r="H101" s="178" t="str">
        <f>_xlfn.XLOOKUP($A101,COA!$B:$B,COA!$D:$D,0,0,1)</f>
        <v>Surcharge on parts and components sold</v>
      </c>
      <c r="I101" s="178" t="str">
        <f>_xlfn.XLOOKUP($A101,COA!$B:$B,COA!$E:$E,0,0,1)</f>
        <v>Accumulated deficit</v>
      </c>
      <c r="K101" s="85" t="str">
        <f t="shared" si="5"/>
        <v>Accumulated deficit</v>
      </c>
      <c r="L101" s="87"/>
      <c r="M101" s="87"/>
      <c r="N101" s="87"/>
      <c r="O101" s="87"/>
      <c r="P101" s="85"/>
      <c r="Q101" s="85"/>
      <c r="R101" s="85"/>
      <c r="S101" s="85"/>
      <c r="T101" s="85"/>
      <c r="U101" s="85"/>
      <c r="V101" s="85"/>
      <c r="W101" s="85"/>
      <c r="X101" s="85"/>
      <c r="Y101" s="85"/>
      <c r="Z101" s="85"/>
      <c r="AA101" s="85"/>
      <c r="AB101" s="85"/>
      <c r="AC101" s="85"/>
    </row>
    <row r="102" spans="1:29" hidden="1" outlineLevel="1" x14ac:dyDescent="0.25">
      <c r="A102" s="1389" t="str">
        <f>COA!B102</f>
        <v>5006 Markup</v>
      </c>
      <c r="B102" s="1390">
        <f>_xlfn.XLOOKUP(A102,'TB.2 - F24'!A:A,'TB.2 - F24'!D:D,0,0,1)</f>
        <v>0</v>
      </c>
      <c r="C102" s="1390">
        <f>_xlfn.XLOOKUP(A102,'TB.2 - F24'!A:A,'TB.2 - F24'!J:J,0,0,1)</f>
        <v>0</v>
      </c>
      <c r="D102" s="1390">
        <f>_xlfn.XLOOKUP(A102,'AJE.2 - F24'!A:A,'AJE.2 - F24'!F:F,0,0,1)</f>
        <v>0</v>
      </c>
      <c r="E102" s="1390"/>
      <c r="F102" s="219">
        <f t="shared" si="4"/>
        <v>0</v>
      </c>
      <c r="G102" s="178" t="str">
        <f>_xlfn.XLOOKUP($A102,COA!$B:$B,COA!$C:$C,0,0,1)</f>
        <v>Revenues</v>
      </c>
      <c r="H102" s="178" t="str">
        <f>_xlfn.XLOOKUP($A102,COA!$B:$B,COA!$D:$D,0,0,1)</f>
        <v>Surcharge on parts and components sold</v>
      </c>
      <c r="I102" s="178" t="str">
        <f>_xlfn.XLOOKUP($A102,COA!$B:$B,COA!$E:$E,0,0,1)</f>
        <v>Accumulated deficit</v>
      </c>
      <c r="K102" s="85" t="str">
        <f t="shared" si="5"/>
        <v>Accumulated deficit</v>
      </c>
      <c r="L102" s="87"/>
      <c r="M102" s="87"/>
      <c r="N102" s="87"/>
      <c r="O102" s="87"/>
      <c r="P102" s="85"/>
      <c r="Q102" s="85"/>
      <c r="R102" s="85"/>
      <c r="S102" s="85"/>
      <c r="T102" s="85"/>
      <c r="U102" s="85"/>
      <c r="V102" s="85"/>
      <c r="W102" s="85"/>
      <c r="X102" s="85"/>
      <c r="Y102" s="85"/>
      <c r="Z102" s="85"/>
      <c r="AA102" s="85"/>
      <c r="AB102" s="85"/>
      <c r="AC102" s="85"/>
    </row>
    <row r="103" spans="1:29" hidden="1" outlineLevel="1" x14ac:dyDescent="0.25">
      <c r="A103" s="1389" t="str">
        <f>COA!B104</f>
        <v>5498 Interest income</v>
      </c>
      <c r="B103" s="1390">
        <f>_xlfn.XLOOKUP(A103,'TB.2 - F24'!A:A,'TB.2 - F24'!D:D,0,0,1)</f>
        <v>0</v>
      </c>
      <c r="C103" s="1390" t="e">
        <f>_xlfn.XLOOKUP(A103,'TB.2 - F24'!A:A,'TB.2 - F24'!J:J,0,0,1)</f>
        <v>#REF!</v>
      </c>
      <c r="D103" s="1390">
        <f>_xlfn.XLOOKUP(A103,'AJE.2 - F24'!A:A,'AJE.2 - F24'!F:F,0,0,1)</f>
        <v>0</v>
      </c>
      <c r="E103" s="1390"/>
      <c r="F103" s="219" t="e">
        <f t="shared" si="4"/>
        <v>#REF!</v>
      </c>
      <c r="G103" s="178" t="str">
        <f>_xlfn.XLOOKUP($A103,COA!$B:$B,COA!$C:$C,0,0,1)</f>
        <v>Interest income</v>
      </c>
      <c r="H103" s="178" t="str">
        <f>_xlfn.XLOOKUP($A103,COA!$B:$B,COA!$D:$D,0,0,1)</f>
        <v>Interest income</v>
      </c>
      <c r="I103" s="178" t="str">
        <f>_xlfn.XLOOKUP($A103,COA!$B:$B,COA!$E:$E,0,0,1)</f>
        <v>Accumulated deficit</v>
      </c>
      <c r="K103" s="85" t="str">
        <f t="shared" si="5"/>
        <v>Accumulated deficit</v>
      </c>
      <c r="L103" s="87"/>
      <c r="M103" s="87"/>
      <c r="N103" s="87"/>
      <c r="O103" s="87"/>
      <c r="P103" s="85"/>
      <c r="Q103" s="85"/>
      <c r="R103" s="85"/>
      <c r="S103" s="85"/>
      <c r="T103" s="85"/>
      <c r="U103" s="85"/>
      <c r="V103" s="85"/>
      <c r="W103" s="85"/>
      <c r="X103" s="85"/>
      <c r="Y103" s="85"/>
      <c r="Z103" s="85"/>
      <c r="AA103" s="85"/>
      <c r="AB103" s="85"/>
      <c r="AC103" s="85"/>
    </row>
    <row r="104" spans="1:29" hidden="1" outlineLevel="1" x14ac:dyDescent="0.25">
      <c r="A104" s="1389" t="str">
        <f>COA!B105</f>
        <v>5499 Other Income</v>
      </c>
      <c r="B104" s="1390">
        <f>_xlfn.XLOOKUP(A104,'TB.2 - F24'!A:A,'TB.2 - F24'!D:D,0,0,1)</f>
        <v>0</v>
      </c>
      <c r="C104" s="1390">
        <f>_xlfn.XLOOKUP(A104,'TB.2 - F24'!A:A,'TB.2 - F24'!J:J,0,0,1)</f>
        <v>-3150</v>
      </c>
      <c r="D104" s="1390">
        <f>_xlfn.XLOOKUP(A104,'AJE.2 - F24'!A:A,'AJE.2 - F24'!F:F,0,0,1)</f>
        <v>0</v>
      </c>
      <c r="E104" s="1390"/>
      <c r="F104" s="219">
        <f t="shared" ref="F104:F135" si="6">ROUND(SUM(B104:E104),0)</f>
        <v>-3150</v>
      </c>
      <c r="G104" s="178" t="str">
        <f>_xlfn.XLOOKUP($A104,COA!$B:$B,COA!$C:$C,0,0,1)</f>
        <v xml:space="preserve">Other income </v>
      </c>
      <c r="H104" s="178" t="str">
        <f>_xlfn.XLOOKUP($A104,COA!$B:$B,COA!$D:$D,0,0,1)</f>
        <v xml:space="preserve">Other income </v>
      </c>
      <c r="I104" s="178" t="str">
        <f>_xlfn.XLOOKUP($A104,COA!$B:$B,COA!$E:$E,0,0,1)</f>
        <v>Accumulated deficit</v>
      </c>
      <c r="K104" s="85" t="str">
        <f t="shared" si="5"/>
        <v>Accumulated deficit</v>
      </c>
      <c r="L104" s="87"/>
      <c r="M104" s="87"/>
      <c r="N104" s="87"/>
      <c r="O104" s="87"/>
      <c r="P104" s="85"/>
      <c r="Q104" s="85"/>
      <c r="R104" s="85"/>
      <c r="S104" s="85"/>
      <c r="T104" s="85"/>
      <c r="U104" s="85"/>
      <c r="V104" s="85"/>
      <c r="W104" s="85"/>
      <c r="X104" s="85"/>
      <c r="Y104" s="85"/>
      <c r="Z104" s="85"/>
      <c r="AA104" s="85"/>
      <c r="AB104" s="85"/>
      <c r="AC104" s="85"/>
    </row>
    <row r="105" spans="1:29" hidden="1" outlineLevel="1" x14ac:dyDescent="0.25">
      <c r="A105" s="1389" t="str">
        <f>COA!B106</f>
        <v>5500 Cost of Goods Sold</v>
      </c>
      <c r="B105" s="1390">
        <f>_xlfn.XLOOKUP(A105,'TB.2 - F24'!A:A,'TB.2 - F24'!D:D,0,0,1)</f>
        <v>0</v>
      </c>
      <c r="C105" s="1390">
        <f>_xlfn.XLOOKUP(A105,'TB.2 - F24'!A:A,'TB.2 - F24'!J:J,0,0,1)</f>
        <v>0</v>
      </c>
      <c r="D105" s="1390">
        <f>_xlfn.XLOOKUP(A105,'AJE.2 - F24'!A:A,'AJE.2 - F24'!F:F,0,0,1)</f>
        <v>0</v>
      </c>
      <c r="E105" s="1390"/>
      <c r="F105" s="219">
        <f t="shared" si="6"/>
        <v>0</v>
      </c>
      <c r="G105" s="178" t="str">
        <f>_xlfn.XLOOKUP($A105,COA!$B:$B,COA!$C:$C,0,0,1)</f>
        <v>Cost of goods sold</v>
      </c>
      <c r="H105" s="178" t="str">
        <f>_xlfn.XLOOKUP($A105,COA!$B:$B,COA!$D:$D,0,0,1)</f>
        <v>Cost of goods sold</v>
      </c>
      <c r="I105" s="178" t="str">
        <f>_xlfn.XLOOKUP($A105,COA!$B:$B,COA!$E:$E,0,0,1)</f>
        <v>Accumulated deficit</v>
      </c>
      <c r="K105" s="85" t="str">
        <f t="shared" si="5"/>
        <v>Accumulated deficit</v>
      </c>
      <c r="L105" s="87"/>
      <c r="M105" s="87"/>
      <c r="N105" s="87"/>
      <c r="O105" s="87"/>
      <c r="P105" s="85"/>
      <c r="Q105" s="85"/>
      <c r="R105" s="85"/>
      <c r="S105" s="85"/>
      <c r="T105" s="85"/>
      <c r="U105" s="85"/>
      <c r="V105" s="85"/>
      <c r="W105" s="85"/>
      <c r="X105" s="85"/>
      <c r="Y105" s="85"/>
      <c r="Z105" s="85"/>
      <c r="AA105" s="85"/>
      <c r="AB105" s="85"/>
      <c r="AC105" s="85"/>
    </row>
    <row r="106" spans="1:29" hidden="1" outlineLevel="1" x14ac:dyDescent="0.25">
      <c r="A106" s="1389" t="str">
        <f>COA!B107</f>
        <v>5510 Cost of Goods Sold:Parts and components  - COS</v>
      </c>
      <c r="B106" s="1390">
        <f>_xlfn.XLOOKUP(A106,'TB.2 - F24'!A:A,'TB.2 - F24'!D:D,0,0,1)</f>
        <v>0</v>
      </c>
      <c r="C106" s="1390">
        <f>_xlfn.XLOOKUP(A106,'TB.2 - F24'!A:A,'TB.2 - F24'!J:J,0,0,1)</f>
        <v>0</v>
      </c>
      <c r="D106" s="1390">
        <f>_xlfn.XLOOKUP(A106,'AJE.2 - F24'!A:A,'AJE.2 - F24'!F:F,0,0,1)</f>
        <v>0</v>
      </c>
      <c r="E106" s="1390"/>
      <c r="F106" s="219">
        <f t="shared" si="6"/>
        <v>0</v>
      </c>
      <c r="G106" s="178" t="str">
        <f>_xlfn.XLOOKUP($A106,COA!$B:$B,COA!$C:$C,0,0,1)</f>
        <v>Cost of goods sold</v>
      </c>
      <c r="H106" s="178" t="str">
        <f>_xlfn.XLOOKUP($A106,COA!$B:$B,COA!$D:$D,0,0,1)</f>
        <v>Cost of goods sold</v>
      </c>
      <c r="I106" s="178" t="str">
        <f>_xlfn.XLOOKUP($A106,COA!$B:$B,COA!$E:$E,0,0,1)</f>
        <v>Accumulated deficit</v>
      </c>
      <c r="K106" s="85" t="str">
        <f t="shared" si="5"/>
        <v>Accumulated deficit</v>
      </c>
      <c r="L106" s="87"/>
      <c r="M106" s="87"/>
      <c r="N106" s="87"/>
      <c r="O106" s="87"/>
      <c r="P106" s="85"/>
      <c r="Q106" s="85"/>
      <c r="R106" s="85"/>
      <c r="S106" s="85"/>
      <c r="T106" s="85"/>
      <c r="U106" s="85"/>
      <c r="V106" s="85"/>
      <c r="W106" s="85"/>
      <c r="X106" s="85"/>
      <c r="Y106" s="85"/>
      <c r="Z106" s="85"/>
      <c r="AA106" s="85"/>
      <c r="AB106" s="85"/>
      <c r="AC106" s="85"/>
    </row>
    <row r="107" spans="1:29" hidden="1" outlineLevel="1" x14ac:dyDescent="0.25">
      <c r="A107" s="1389" t="str">
        <f>COA!B108</f>
        <v>5515 Cost of Goods Sold:Engineering  - COS</v>
      </c>
      <c r="B107" s="1390">
        <f>_xlfn.XLOOKUP(A107,'TB.2 - F24'!A:A,'TB.2 - F24'!D:D,0,0,1)</f>
        <v>0</v>
      </c>
      <c r="C107" s="1390">
        <f>_xlfn.XLOOKUP(A107,'TB.2 - F24'!A:A,'TB.2 - F24'!J:J,0,0,1)</f>
        <v>0</v>
      </c>
      <c r="D107" s="1390">
        <f>_xlfn.XLOOKUP(A107,'AJE.2 - F24'!A:A,'AJE.2 - F24'!F:F,0,0,1)</f>
        <v>0</v>
      </c>
      <c r="E107" s="1390"/>
      <c r="F107" s="219">
        <f t="shared" si="6"/>
        <v>0</v>
      </c>
      <c r="G107" s="178" t="str">
        <f>_xlfn.XLOOKUP($A107,COA!$B:$B,COA!$C:$C,0,0,1)</f>
        <v>Cost of goods sold</v>
      </c>
      <c r="H107" s="178" t="str">
        <f>_xlfn.XLOOKUP($A107,COA!$B:$B,COA!$D:$D,0,0,1)</f>
        <v>Cost of goods sold</v>
      </c>
      <c r="I107" s="178" t="str">
        <f>_xlfn.XLOOKUP($A107,COA!$B:$B,COA!$E:$E,0,0,1)</f>
        <v>Accumulated deficit</v>
      </c>
      <c r="K107" s="85" t="str">
        <f t="shared" si="5"/>
        <v>Accumulated deficit</v>
      </c>
      <c r="L107" s="87"/>
      <c r="M107" s="87"/>
      <c r="N107" s="87"/>
      <c r="O107" s="87"/>
      <c r="P107" s="85"/>
      <c r="Q107" s="85"/>
      <c r="R107" s="85"/>
      <c r="S107" s="85"/>
      <c r="T107" s="85"/>
      <c r="U107" s="85"/>
      <c r="V107" s="85"/>
      <c r="W107" s="85"/>
      <c r="X107" s="85"/>
      <c r="Y107" s="85"/>
      <c r="Z107" s="85"/>
      <c r="AA107" s="85"/>
      <c r="AB107" s="85"/>
      <c r="AC107" s="85"/>
    </row>
    <row r="108" spans="1:29" hidden="1" outlineLevel="1" x14ac:dyDescent="0.25">
      <c r="A108" s="1389" t="str">
        <f>COA!B109</f>
        <v>5520 Cost of Goods Sold:Subcontracting  - COS</v>
      </c>
      <c r="B108" s="1390">
        <f>_xlfn.XLOOKUP(A108,'TB.2 - F24'!A:A,'TB.2 - F24'!D:D,0,0,1)</f>
        <v>0</v>
      </c>
      <c r="C108" s="1390">
        <f>_xlfn.XLOOKUP(A108,'TB.2 - F24'!A:A,'TB.2 - F24'!J:J,0,0,1)</f>
        <v>0</v>
      </c>
      <c r="D108" s="1390">
        <f>_xlfn.XLOOKUP(A108,'AJE.2 - F24'!A:A,'AJE.2 - F24'!F:F,0,0,1)</f>
        <v>0</v>
      </c>
      <c r="E108" s="1390"/>
      <c r="F108" s="219">
        <f t="shared" si="6"/>
        <v>0</v>
      </c>
      <c r="G108" s="178" t="str">
        <f>_xlfn.XLOOKUP($A108,COA!$B:$B,COA!$C:$C,0,0,1)</f>
        <v>Cost of goods sold</v>
      </c>
      <c r="H108" s="178" t="str">
        <f>_xlfn.XLOOKUP($A108,COA!$B:$B,COA!$D:$D,0,0,1)</f>
        <v>Cost of goods sold</v>
      </c>
      <c r="I108" s="178" t="str">
        <f>_xlfn.XLOOKUP($A108,COA!$B:$B,COA!$E:$E,0,0,1)</f>
        <v>Accumulated deficit</v>
      </c>
      <c r="K108" s="85" t="str">
        <f t="shared" si="5"/>
        <v>Accumulated deficit</v>
      </c>
      <c r="L108" s="87"/>
      <c r="M108" s="87"/>
      <c r="N108" s="87"/>
      <c r="O108" s="87"/>
      <c r="P108" s="85"/>
      <c r="Q108" s="85"/>
      <c r="R108" s="85"/>
      <c r="S108" s="85"/>
      <c r="T108" s="85"/>
      <c r="U108" s="85"/>
      <c r="V108" s="85"/>
      <c r="W108" s="85"/>
      <c r="X108" s="85"/>
      <c r="Y108" s="85"/>
      <c r="Z108" s="85"/>
      <c r="AA108" s="85"/>
      <c r="AB108" s="85"/>
      <c r="AC108" s="85"/>
    </row>
    <row r="109" spans="1:29" hidden="1" outlineLevel="1" x14ac:dyDescent="0.25">
      <c r="A109" s="1389" t="str">
        <f>COA!B110</f>
        <v>5525 Cost of Goods Sold:Shipping  - COS</v>
      </c>
      <c r="B109" s="1390">
        <f>_xlfn.XLOOKUP(A109,'TB.2 - F24'!A:A,'TB.2 - F24'!D:D,0,0,1)</f>
        <v>0</v>
      </c>
      <c r="C109" s="1390">
        <f>_xlfn.XLOOKUP(A109,'TB.2 - F24'!A:A,'TB.2 - F24'!J:J,0,0,1)</f>
        <v>0</v>
      </c>
      <c r="D109" s="1390">
        <f>_xlfn.XLOOKUP(A109,'AJE.2 - F24'!A:A,'AJE.2 - F24'!F:F,0,0,1)</f>
        <v>0</v>
      </c>
      <c r="E109" s="1390"/>
      <c r="F109" s="219">
        <f t="shared" si="6"/>
        <v>0</v>
      </c>
      <c r="G109" s="178" t="str">
        <f>_xlfn.XLOOKUP($A109,COA!$B:$B,COA!$C:$C,0,0,1)</f>
        <v>Cost of goods sold</v>
      </c>
      <c r="H109" s="178" t="str">
        <f>_xlfn.XLOOKUP($A109,COA!$B:$B,COA!$D:$D,0,0,1)</f>
        <v>Cost of goods sold</v>
      </c>
      <c r="I109" s="178" t="str">
        <f>_xlfn.XLOOKUP($A109,COA!$B:$B,COA!$E:$E,0,0,1)</f>
        <v>Accumulated deficit</v>
      </c>
      <c r="K109" s="85" t="str">
        <f t="shared" si="5"/>
        <v>Accumulated deficit</v>
      </c>
      <c r="L109" s="87"/>
      <c r="M109" s="87"/>
      <c r="N109" s="87"/>
      <c r="O109" s="87"/>
      <c r="P109" s="85"/>
      <c r="Q109" s="85"/>
      <c r="R109" s="85"/>
      <c r="S109" s="85"/>
      <c r="T109" s="85"/>
      <c r="U109" s="85"/>
      <c r="V109" s="85"/>
      <c r="W109" s="85"/>
      <c r="X109" s="85"/>
      <c r="Y109" s="85"/>
      <c r="Z109" s="85"/>
      <c r="AA109" s="85"/>
      <c r="AB109" s="85"/>
      <c r="AC109" s="85"/>
    </row>
    <row r="110" spans="1:29" hidden="1" outlineLevel="1" x14ac:dyDescent="0.25">
      <c r="A110" s="1389" t="str">
        <f>COA!B111</f>
        <v>5530 Cost of Goods Sold:Disposal/Landfill  - COS</v>
      </c>
      <c r="B110" s="1390">
        <f>_xlfn.XLOOKUP(A110,'TB.2 - F24'!A:A,'TB.2 - F24'!D:D,0,0,1)</f>
        <v>0</v>
      </c>
      <c r="C110" s="1390">
        <f>_xlfn.XLOOKUP(A110,'TB.2 - F24'!A:A,'TB.2 - F24'!J:J,0,0,1)</f>
        <v>0</v>
      </c>
      <c r="D110" s="1390">
        <f>_xlfn.XLOOKUP(A110,'AJE.2 - F24'!A:A,'AJE.2 - F24'!F:F,0,0,1)</f>
        <v>0</v>
      </c>
      <c r="E110" s="1390"/>
      <c r="F110" s="219">
        <f t="shared" si="6"/>
        <v>0</v>
      </c>
      <c r="G110" s="178" t="str">
        <f>_xlfn.XLOOKUP($A110,COA!$B:$B,COA!$C:$C,0,0,1)</f>
        <v>Cost of goods sold</v>
      </c>
      <c r="H110" s="178" t="str">
        <f>_xlfn.XLOOKUP($A110,COA!$B:$B,COA!$D:$D,0,0,1)</f>
        <v>Cost of goods sold</v>
      </c>
      <c r="I110" s="178" t="str">
        <f>_xlfn.XLOOKUP($A110,COA!$B:$B,COA!$E:$E,0,0,1)</f>
        <v>Accumulated deficit</v>
      </c>
      <c r="K110" s="85" t="str">
        <f t="shared" si="5"/>
        <v>Accumulated deficit</v>
      </c>
      <c r="L110" s="87"/>
      <c r="M110" s="87"/>
      <c r="N110" s="87"/>
      <c r="O110" s="87"/>
      <c r="P110" s="85"/>
      <c r="Q110" s="85"/>
      <c r="R110" s="85"/>
      <c r="S110" s="85"/>
      <c r="T110" s="85"/>
      <c r="U110" s="85"/>
      <c r="V110" s="85"/>
      <c r="W110" s="85"/>
      <c r="X110" s="85"/>
      <c r="Y110" s="85"/>
      <c r="Z110" s="85"/>
      <c r="AA110" s="85"/>
      <c r="AB110" s="85"/>
      <c r="AC110" s="85"/>
    </row>
    <row r="111" spans="1:29" hidden="1" outlineLevel="1" x14ac:dyDescent="0.25">
      <c r="A111" s="1389" t="str">
        <f>COA!B112</f>
        <v>5535 Cost of Goods Sold:Inventory Write Off  - COS</v>
      </c>
      <c r="B111" s="1390">
        <f>_xlfn.XLOOKUP(A111,'TB.2 - F24'!A:A,'TB.2 - F24'!D:D,0,0,1)</f>
        <v>0</v>
      </c>
      <c r="C111" s="1390">
        <f>_xlfn.XLOOKUP(A111,'TB.2 - F24'!A:A,'TB.2 - F24'!J:J,0,0,1)</f>
        <v>0</v>
      </c>
      <c r="D111" s="1390">
        <f>_xlfn.XLOOKUP(A111,'AJE.2 - F24'!A:A,'AJE.2 - F24'!F:F,0,0,1)</f>
        <v>0</v>
      </c>
      <c r="E111" s="1390"/>
      <c r="F111" s="219">
        <f t="shared" si="6"/>
        <v>0</v>
      </c>
      <c r="G111" s="178" t="str">
        <f>_xlfn.XLOOKUP($A111,COA!$B:$B,COA!$C:$C,0,0,1)</f>
        <v>Cost of goods sold</v>
      </c>
      <c r="H111" s="178" t="str">
        <f>_xlfn.XLOOKUP($A111,COA!$B:$B,COA!$D:$D,0,0,1)</f>
        <v>Cost of goods sold</v>
      </c>
      <c r="I111" s="178" t="str">
        <f>_xlfn.XLOOKUP($A111,COA!$B:$B,COA!$E:$E,0,0,1)</f>
        <v>Accumulated deficit</v>
      </c>
      <c r="K111" s="85" t="str">
        <f t="shared" si="5"/>
        <v>Accumulated deficit</v>
      </c>
      <c r="L111" s="87"/>
      <c r="M111" s="87"/>
      <c r="N111" s="87"/>
      <c r="O111" s="87"/>
      <c r="P111" s="85"/>
      <c r="Q111" s="85"/>
      <c r="R111" s="85"/>
      <c r="S111" s="85"/>
      <c r="T111" s="85"/>
      <c r="U111" s="85"/>
      <c r="V111" s="85"/>
      <c r="W111" s="85"/>
      <c r="X111" s="85"/>
      <c r="Y111" s="85"/>
      <c r="Z111" s="85"/>
      <c r="AA111" s="85"/>
      <c r="AB111" s="85"/>
      <c r="AC111" s="85"/>
    </row>
    <row r="112" spans="1:29" hidden="1" outlineLevel="1" x14ac:dyDescent="0.25">
      <c r="A112" s="1389" t="str">
        <f>COA!B113</f>
        <v>5540 Cost of Goods Sold:Equipment Fuel  - COS</v>
      </c>
      <c r="B112" s="1390">
        <f>_xlfn.XLOOKUP(A112,'TB.2 - F24'!A:A,'TB.2 - F24'!D:D,0,0,1)</f>
        <v>0</v>
      </c>
      <c r="C112" s="1390">
        <f>_xlfn.XLOOKUP(A112,'TB.2 - F24'!A:A,'TB.2 - F24'!J:J,0,0,1)</f>
        <v>0</v>
      </c>
      <c r="D112" s="1390">
        <f>_xlfn.XLOOKUP(A112,'AJE.2 - F24'!A:A,'AJE.2 - F24'!F:F,0,0,1)</f>
        <v>0</v>
      </c>
      <c r="E112" s="1390"/>
      <c r="F112" s="219">
        <f t="shared" si="6"/>
        <v>0</v>
      </c>
      <c r="G112" s="178" t="str">
        <f>_xlfn.XLOOKUP($A112,COA!$B:$B,COA!$C:$C,0,0,1)</f>
        <v>Cost of goods sold</v>
      </c>
      <c r="H112" s="178" t="str">
        <f>_xlfn.XLOOKUP($A112,COA!$B:$B,COA!$D:$D,0,0,1)</f>
        <v>Cost of goods sold</v>
      </c>
      <c r="I112" s="178" t="str">
        <f>_xlfn.XLOOKUP($A112,COA!$B:$B,COA!$E:$E,0,0,1)</f>
        <v>Accumulated deficit</v>
      </c>
      <c r="K112" s="85" t="str">
        <f t="shared" si="5"/>
        <v>Accumulated deficit</v>
      </c>
      <c r="L112" s="87"/>
      <c r="M112" s="87"/>
      <c r="N112" s="87"/>
      <c r="O112" s="87"/>
      <c r="P112" s="85"/>
      <c r="Q112" s="85"/>
      <c r="R112" s="85"/>
      <c r="S112" s="85"/>
      <c r="T112" s="85"/>
      <c r="U112" s="85"/>
      <c r="V112" s="85"/>
      <c r="W112" s="85"/>
      <c r="X112" s="85"/>
      <c r="Y112" s="85"/>
      <c r="Z112" s="85"/>
      <c r="AA112" s="85"/>
      <c r="AB112" s="85"/>
      <c r="AC112" s="85"/>
    </row>
    <row r="113" spans="1:29" hidden="1" outlineLevel="1" x14ac:dyDescent="0.25">
      <c r="A113" s="1389" t="str">
        <f>COA!B114</f>
        <v>5545 Cost of Goods Sold:Equipment Leasing  - COS</v>
      </c>
      <c r="B113" s="1390">
        <f>_xlfn.XLOOKUP(A113,'TB.2 - F24'!A:A,'TB.2 - F24'!D:D,0,0,1)</f>
        <v>0</v>
      </c>
      <c r="C113" s="1390">
        <f>_xlfn.XLOOKUP(A113,'TB.2 - F24'!A:A,'TB.2 - F24'!J:J,0,0,1)</f>
        <v>0</v>
      </c>
      <c r="D113" s="1390">
        <f>_xlfn.XLOOKUP(A113,'AJE.2 - F24'!A:A,'AJE.2 - F24'!F:F,0,0,1)</f>
        <v>0</v>
      </c>
      <c r="E113" s="1390"/>
      <c r="F113" s="219">
        <f t="shared" si="6"/>
        <v>0</v>
      </c>
      <c r="G113" s="178" t="str">
        <f>_xlfn.XLOOKUP($A113,COA!$B:$B,COA!$C:$C,0,0,1)</f>
        <v>Cost of goods sold</v>
      </c>
      <c r="H113" s="178" t="str">
        <f>_xlfn.XLOOKUP($A113,COA!$B:$B,COA!$D:$D,0,0,1)</f>
        <v>Cost of goods sold</v>
      </c>
      <c r="I113" s="178" t="str">
        <f>_xlfn.XLOOKUP($A113,COA!$B:$B,COA!$E:$E,0,0,1)</f>
        <v>Accumulated deficit</v>
      </c>
      <c r="K113" s="85" t="str">
        <f t="shared" si="5"/>
        <v>Accumulated deficit</v>
      </c>
      <c r="L113" s="87"/>
      <c r="M113" s="87"/>
      <c r="N113" s="87"/>
      <c r="O113" s="87"/>
      <c r="P113" s="85"/>
      <c r="Q113" s="85"/>
      <c r="R113" s="85"/>
      <c r="S113" s="85"/>
      <c r="T113" s="85"/>
      <c r="U113" s="85"/>
      <c r="V113" s="85"/>
      <c r="W113" s="85"/>
      <c r="X113" s="85"/>
      <c r="Y113" s="85"/>
      <c r="Z113" s="85"/>
      <c r="AA113" s="85"/>
      <c r="AB113" s="85"/>
      <c r="AC113" s="85"/>
    </row>
    <row r="114" spans="1:29" hidden="1" outlineLevel="1" x14ac:dyDescent="0.25">
      <c r="A114" s="1389" t="str">
        <f>COA!B115</f>
        <v>5511 Supplies and materials - COS</v>
      </c>
      <c r="B114" s="1390">
        <f>_xlfn.XLOOKUP(A114,'TB.2 - F24'!A:A,'TB.2 - F24'!D:D,0,0,1)</f>
        <v>0</v>
      </c>
      <c r="C114" s="1390">
        <f>_xlfn.XLOOKUP(A114,'TB.2 - F24'!A:A,'TB.2 - F24'!J:J,0,0,1)</f>
        <v>0</v>
      </c>
      <c r="D114" s="1390">
        <f>_xlfn.XLOOKUP(A114,'AJE.2 - F24'!A:A,'AJE.2 - F24'!F:F,0,0,1)</f>
        <v>0</v>
      </c>
      <c r="E114" s="1390"/>
      <c r="F114" s="219">
        <f t="shared" si="6"/>
        <v>0</v>
      </c>
      <c r="G114" s="178" t="str">
        <f>_xlfn.XLOOKUP($A114,COA!$B:$B,COA!$C:$C,0,0,1)</f>
        <v>Cost of goods sold</v>
      </c>
      <c r="H114" s="178" t="str">
        <f>_xlfn.XLOOKUP($A114,COA!$B:$B,COA!$D:$D,0,0,1)</f>
        <v>Cost of goods sold</v>
      </c>
      <c r="I114" s="178" t="str">
        <f>_xlfn.XLOOKUP($A114,COA!$B:$B,COA!$E:$E,0,0,1)</f>
        <v>Accumulated deficit</v>
      </c>
      <c r="K114" s="85" t="str">
        <f t="shared" si="5"/>
        <v>Accumulated deficit</v>
      </c>
      <c r="L114" s="87"/>
      <c r="M114" s="87"/>
      <c r="N114" s="87"/>
      <c r="O114" s="87"/>
      <c r="P114" s="85"/>
      <c r="Q114" s="85"/>
      <c r="R114" s="85"/>
      <c r="S114" s="85"/>
      <c r="T114" s="85"/>
      <c r="U114" s="85"/>
      <c r="V114" s="85"/>
      <c r="W114" s="85"/>
      <c r="X114" s="85"/>
      <c r="Y114" s="85"/>
      <c r="Z114" s="85"/>
      <c r="AA114" s="85"/>
      <c r="AB114" s="85"/>
      <c r="AC114" s="85"/>
    </row>
    <row r="115" spans="1:29" hidden="1" outlineLevel="1" x14ac:dyDescent="0.25">
      <c r="A115" s="1389" t="str">
        <f>COA!B116</f>
        <v>5998 Uncategorized Income</v>
      </c>
      <c r="B115" s="1390">
        <f>_xlfn.XLOOKUP(A115,'TB.2 - F24'!A:A,'TB.2 - F24'!D:D,0,0,1)</f>
        <v>0</v>
      </c>
      <c r="C115" s="1390">
        <f>_xlfn.XLOOKUP(A115,'TB.2 - F24'!A:A,'TB.2 - F24'!J:J,0,0,1)</f>
        <v>0</v>
      </c>
      <c r="D115" s="1390">
        <f>_xlfn.XLOOKUP(A115,'AJE.2 - F24'!A:A,'AJE.2 - F24'!F:F,0,0,1)</f>
        <v>0</v>
      </c>
      <c r="E115" s="1390"/>
      <c r="F115" s="219">
        <f t="shared" si="6"/>
        <v>0</v>
      </c>
      <c r="G115" s="178" t="str">
        <f>_xlfn.XLOOKUP($A115,COA!$B:$B,COA!$C:$C,0,0,1)</f>
        <v xml:space="preserve">Other income </v>
      </c>
      <c r="H115" s="178" t="str">
        <f>_xlfn.XLOOKUP($A115,COA!$B:$B,COA!$D:$D,0,0,1)</f>
        <v xml:space="preserve">Other income </v>
      </c>
      <c r="I115" s="178" t="str">
        <f>_xlfn.XLOOKUP($A115,COA!$B:$B,COA!$E:$E,0,0,1)</f>
        <v>Accumulated deficit</v>
      </c>
      <c r="K115" s="85" t="str">
        <f t="shared" si="5"/>
        <v>Accumulated deficit</v>
      </c>
      <c r="L115" s="87"/>
      <c r="M115" s="87"/>
      <c r="N115" s="87"/>
      <c r="O115" s="87"/>
      <c r="P115" s="85"/>
      <c r="Q115" s="85"/>
      <c r="R115" s="85"/>
      <c r="S115" s="85"/>
      <c r="T115" s="85"/>
      <c r="U115" s="85"/>
      <c r="V115" s="85"/>
      <c r="W115" s="85"/>
      <c r="X115" s="85"/>
      <c r="Y115" s="85"/>
      <c r="Z115" s="85"/>
      <c r="AA115" s="85"/>
      <c r="AB115" s="85"/>
      <c r="AC115" s="85"/>
    </row>
    <row r="116" spans="1:29" hidden="1" outlineLevel="1" x14ac:dyDescent="0.25">
      <c r="A116" s="1389" t="str">
        <f>COA!B117</f>
        <v>5999 Uncategorized Income</v>
      </c>
      <c r="B116" s="1390">
        <f>_xlfn.XLOOKUP(A116,'TB.2 - F24'!A:A,'TB.2 - F24'!D:D,0,0,1)</f>
        <v>0</v>
      </c>
      <c r="C116" s="1390">
        <f>_xlfn.XLOOKUP(A116,'TB.2 - F24'!A:A,'TB.2 - F24'!J:J,0,0,1)</f>
        <v>0</v>
      </c>
      <c r="D116" s="1390">
        <f>_xlfn.XLOOKUP(A116,'AJE.2 - F24'!A:A,'AJE.2 - F24'!F:F,0,0,1)</f>
        <v>0</v>
      </c>
      <c r="E116" s="1390"/>
      <c r="F116" s="219">
        <f t="shared" si="6"/>
        <v>0</v>
      </c>
      <c r="G116" s="178" t="str">
        <f>_xlfn.XLOOKUP($A116,COA!$B:$B,COA!$C:$C,0,0,1)</f>
        <v>Revenues</v>
      </c>
      <c r="H116" s="178" t="str">
        <f>_xlfn.XLOOKUP($A116,COA!$B:$B,COA!$D:$D,0,0,1)</f>
        <v>Revenues</v>
      </c>
      <c r="I116" s="178" t="str">
        <f>_xlfn.XLOOKUP($A116,COA!$B:$B,COA!$E:$E,0,0,1)</f>
        <v>Accumulated deficit</v>
      </c>
      <c r="K116" s="85" t="str">
        <f t="shared" si="5"/>
        <v>Accumulated deficit</v>
      </c>
      <c r="L116" s="87"/>
      <c r="M116" s="87"/>
      <c r="N116" s="87"/>
      <c r="O116" s="87"/>
      <c r="P116" s="85"/>
      <c r="Q116" s="85"/>
      <c r="R116" s="85"/>
      <c r="S116" s="85"/>
      <c r="T116" s="85"/>
      <c r="U116" s="85"/>
      <c r="V116" s="85"/>
      <c r="W116" s="85"/>
      <c r="X116" s="85"/>
      <c r="Y116" s="85"/>
      <c r="Z116" s="85"/>
      <c r="AA116" s="85"/>
      <c r="AB116" s="85"/>
      <c r="AC116" s="85"/>
    </row>
    <row r="117" spans="1:29" hidden="1" outlineLevel="1" x14ac:dyDescent="0.25">
      <c r="A117" s="1389" t="str">
        <f>COA!B118</f>
        <v>5999 Unapplied Cash Payment Income</v>
      </c>
      <c r="B117" s="1390">
        <f>_xlfn.XLOOKUP(A117,'TB.2 - F24'!A:A,'TB.2 - F24'!D:D,0,0,1)</f>
        <v>0</v>
      </c>
      <c r="C117" s="1390">
        <f>_xlfn.XLOOKUP(A117,'TB.2 - F24'!A:A,'TB.2 - F24'!J:J,0,0,1)</f>
        <v>0</v>
      </c>
      <c r="D117" s="1390">
        <f>_xlfn.XLOOKUP(A117,'AJE.2 - F24'!A:A,'AJE.2 - F24'!F:F,0,0,1)</f>
        <v>0</v>
      </c>
      <c r="E117" s="1390"/>
      <c r="F117" s="219">
        <f t="shared" si="6"/>
        <v>0</v>
      </c>
      <c r="G117" s="178" t="str">
        <f>_xlfn.XLOOKUP($A117,COA!$B:$B,COA!$C:$C,0,0,1)</f>
        <v xml:space="preserve">Other income </v>
      </c>
      <c r="H117" s="178" t="str">
        <f>_xlfn.XLOOKUP($A117,COA!$B:$B,COA!$D:$D,0,0,1)</f>
        <v xml:space="preserve">Other income </v>
      </c>
      <c r="I117" s="178" t="str">
        <f>_xlfn.XLOOKUP($A117,COA!$B:$B,COA!$E:$E,0,0,1)</f>
        <v>Accumulated deficit</v>
      </c>
      <c r="K117" s="85" t="str">
        <f t="shared" si="5"/>
        <v>Accumulated deficit</v>
      </c>
      <c r="L117" s="87"/>
      <c r="M117" s="87"/>
      <c r="N117" s="87"/>
      <c r="O117" s="87"/>
      <c r="P117" s="85"/>
      <c r="Q117" s="85"/>
      <c r="R117" s="85"/>
      <c r="S117" s="85"/>
      <c r="T117" s="85"/>
      <c r="U117" s="85"/>
      <c r="V117" s="85"/>
      <c r="W117" s="85"/>
      <c r="X117" s="85"/>
      <c r="Y117" s="85"/>
      <c r="Z117" s="85"/>
      <c r="AA117" s="85"/>
      <c r="AB117" s="85"/>
      <c r="AC117" s="85"/>
    </row>
    <row r="118" spans="1:29" hidden="1" outlineLevel="1" x14ac:dyDescent="0.25">
      <c r="A118" s="1389" t="str">
        <f>COA!B119</f>
        <v>6000 Payroll Expenses</v>
      </c>
      <c r="B118" s="1390">
        <f>_xlfn.XLOOKUP(A118,'TB.2 - F24'!A:A,'TB.2 - F24'!D:D,0,0,1)</f>
        <v>0</v>
      </c>
      <c r="C118" s="1390">
        <f>_xlfn.XLOOKUP(A118,'TB.2 - F24'!A:A,'TB.2 - F24'!J:J,0,0,1)</f>
        <v>0</v>
      </c>
      <c r="D118" s="1390">
        <f>_xlfn.XLOOKUP(A118,'AJE.2 - F24'!A:A,'AJE.2 - F24'!F:F,0,0,1)</f>
        <v>0</v>
      </c>
      <c r="E118" s="1390"/>
      <c r="F118" s="219">
        <f t="shared" si="6"/>
        <v>0</v>
      </c>
      <c r="G118" s="178" t="str">
        <f>_xlfn.XLOOKUP($A118,COA!$B:$B,COA!$C:$C,0,0,1)</f>
        <v>General and administration</v>
      </c>
      <c r="H118" s="178" t="str">
        <f>_xlfn.XLOOKUP($A118,COA!$B:$B,COA!$D:$D,0,0,1)</f>
        <v xml:space="preserve">Salaries, wages, and benefits </v>
      </c>
      <c r="I118" s="178" t="str">
        <f>_xlfn.XLOOKUP($A118,COA!$B:$B,COA!$E:$E,0,0,1)</f>
        <v>Accumulated deficit</v>
      </c>
      <c r="K118" s="85" t="str">
        <f t="shared" si="5"/>
        <v>Accumulated deficit</v>
      </c>
      <c r="L118" s="87"/>
      <c r="M118" s="87"/>
      <c r="N118" s="87"/>
      <c r="O118" s="87"/>
      <c r="P118" s="85"/>
      <c r="Q118" s="85"/>
      <c r="R118" s="85"/>
      <c r="S118" s="85"/>
      <c r="T118" s="85"/>
      <c r="U118" s="85"/>
      <c r="V118" s="85"/>
      <c r="W118" s="85"/>
      <c r="X118" s="85"/>
      <c r="Y118" s="85"/>
      <c r="Z118" s="85"/>
      <c r="AA118" s="85"/>
      <c r="AB118" s="85"/>
      <c r="AC118" s="85"/>
    </row>
    <row r="119" spans="1:29" hidden="1" outlineLevel="1" x14ac:dyDescent="0.25">
      <c r="A119" s="1389" t="str">
        <f>COA!B120</f>
        <v>6001 Payroll Expenses:Management Salaries</v>
      </c>
      <c r="B119" s="1390">
        <f>_xlfn.XLOOKUP(A119,'TB.2 - F24'!A:A,'TB.2 - F24'!D:D,0,0,1)</f>
        <v>0</v>
      </c>
      <c r="C119" s="1390">
        <f>_xlfn.XLOOKUP(A119,'TB.2 - F24'!A:A,'TB.2 - F24'!J:J,0,0,1)</f>
        <v>0</v>
      </c>
      <c r="D119" s="1390">
        <f>_xlfn.XLOOKUP(A119,'AJE.2 - F24'!A:A,'AJE.2 - F24'!F:F,0,0,1)</f>
        <v>0</v>
      </c>
      <c r="E119" s="1390"/>
      <c r="F119" s="219">
        <f t="shared" si="6"/>
        <v>0</v>
      </c>
      <c r="G119" s="178" t="str">
        <f>_xlfn.XLOOKUP($A119,COA!$B:$B,COA!$C:$C,0,0,1)</f>
        <v>General and administration</v>
      </c>
      <c r="H119" s="178" t="str">
        <f>_xlfn.XLOOKUP($A119,COA!$B:$B,COA!$D:$D,0,0,1)</f>
        <v xml:space="preserve">Salaries, wages, and benefits </v>
      </c>
      <c r="I119" s="178" t="str">
        <f>_xlfn.XLOOKUP($A119,COA!$B:$B,COA!$E:$E,0,0,1)</f>
        <v>Accumulated deficit</v>
      </c>
      <c r="K119" s="85" t="str">
        <f t="shared" si="5"/>
        <v>Accumulated deficit</v>
      </c>
      <c r="L119" s="87"/>
      <c r="M119" s="87"/>
      <c r="N119" s="87"/>
      <c r="O119" s="87"/>
      <c r="P119" s="85"/>
      <c r="Q119" s="85"/>
      <c r="R119" s="85"/>
      <c r="S119" s="85"/>
      <c r="T119" s="85"/>
      <c r="U119" s="85"/>
      <c r="V119" s="85"/>
      <c r="W119" s="85"/>
      <c r="X119" s="85"/>
      <c r="Y119" s="85"/>
      <c r="Z119" s="85"/>
      <c r="AA119" s="85"/>
      <c r="AB119" s="85"/>
      <c r="AC119" s="85"/>
    </row>
    <row r="120" spans="1:29" hidden="1" outlineLevel="1" x14ac:dyDescent="0.25">
      <c r="A120" s="1389" t="str">
        <f>COA!B121</f>
        <v>6002 Payroll Expenses:Wages</v>
      </c>
      <c r="B120" s="1390">
        <f>_xlfn.XLOOKUP(A120,'TB.2 - F24'!A:A,'TB.2 - F24'!D:D,0,0,1)</f>
        <v>0</v>
      </c>
      <c r="C120" s="1390">
        <f>_xlfn.XLOOKUP(A120,'TB.2 - F24'!A:A,'TB.2 - F24'!J:J,0,0,1)</f>
        <v>0</v>
      </c>
      <c r="D120" s="1390">
        <f>_xlfn.XLOOKUP(A120,'AJE.2 - F24'!A:A,'AJE.2 - F24'!F:F,0,0,1)</f>
        <v>0</v>
      </c>
      <c r="E120" s="1390"/>
      <c r="F120" s="219">
        <f t="shared" si="6"/>
        <v>0</v>
      </c>
      <c r="G120" s="178" t="str">
        <f>_xlfn.XLOOKUP($A120,COA!$B:$B,COA!$C:$C,0,0,1)</f>
        <v>General and administration</v>
      </c>
      <c r="H120" s="178" t="str">
        <f>_xlfn.XLOOKUP($A120,COA!$B:$B,COA!$D:$D,0,0,1)</f>
        <v xml:space="preserve">Salaries, wages, and benefits </v>
      </c>
      <c r="I120" s="178" t="str">
        <f>_xlfn.XLOOKUP($A120,COA!$B:$B,COA!$E:$E,0,0,1)</f>
        <v>Accumulated deficit</v>
      </c>
      <c r="K120" s="85" t="str">
        <f t="shared" si="5"/>
        <v>Accumulated deficit</v>
      </c>
      <c r="L120" s="87"/>
      <c r="M120" s="87"/>
      <c r="N120" s="87"/>
      <c r="O120" s="87"/>
      <c r="P120" s="85"/>
      <c r="Q120" s="85"/>
      <c r="R120" s="85"/>
      <c r="S120" s="85"/>
      <c r="T120" s="85"/>
      <c r="U120" s="85"/>
      <c r="V120" s="85"/>
      <c r="W120" s="85"/>
      <c r="X120" s="85"/>
      <c r="Y120" s="85"/>
      <c r="Z120" s="85"/>
      <c r="AA120" s="85"/>
      <c r="AB120" s="85"/>
      <c r="AC120" s="85"/>
    </row>
    <row r="121" spans="1:29" hidden="1" outlineLevel="1" x14ac:dyDescent="0.25">
      <c r="A121" s="1389" t="str">
        <f>COA!B122</f>
        <v>6003 Payroll Expenses:Vacation Pay</v>
      </c>
      <c r="B121" s="1390">
        <f>_xlfn.XLOOKUP(A121,'TB.2 - F24'!A:A,'TB.2 - F24'!D:D,0,0,1)</f>
        <v>0</v>
      </c>
      <c r="C121" s="1390">
        <f>_xlfn.XLOOKUP(A121,'TB.2 - F24'!A:A,'TB.2 - F24'!J:J,0,0,1)</f>
        <v>0</v>
      </c>
      <c r="D121" s="1390">
        <f>_xlfn.XLOOKUP(A121,'AJE.2 - F24'!A:A,'AJE.2 - F24'!F:F,0,0,1)</f>
        <v>0</v>
      </c>
      <c r="E121" s="1390"/>
      <c r="F121" s="219">
        <f t="shared" si="6"/>
        <v>0</v>
      </c>
      <c r="G121" s="178" t="str">
        <f>_xlfn.XLOOKUP($A121,COA!$B:$B,COA!$C:$C,0,0,1)</f>
        <v>General and administration</v>
      </c>
      <c r="H121" s="178" t="str">
        <f>_xlfn.XLOOKUP($A121,COA!$B:$B,COA!$D:$D,0,0,1)</f>
        <v xml:space="preserve">Salaries, wages, and benefits </v>
      </c>
      <c r="I121" s="178" t="str">
        <f>_xlfn.XLOOKUP($A121,COA!$B:$B,COA!$E:$E,0,0,1)</f>
        <v>Accumulated deficit</v>
      </c>
      <c r="K121" s="85" t="str">
        <f t="shared" si="5"/>
        <v>Accumulated deficit</v>
      </c>
      <c r="L121" s="87"/>
      <c r="M121" s="87"/>
      <c r="N121" s="87"/>
      <c r="O121" s="87"/>
      <c r="P121" s="85"/>
      <c r="Q121" s="85"/>
      <c r="R121" s="85"/>
      <c r="S121" s="85"/>
      <c r="T121" s="85"/>
      <c r="U121" s="85"/>
      <c r="V121" s="85"/>
      <c r="W121" s="85"/>
      <c r="X121" s="85"/>
      <c r="Y121" s="85"/>
      <c r="Z121" s="85"/>
      <c r="AA121" s="85"/>
      <c r="AB121" s="85"/>
      <c r="AC121" s="85"/>
    </row>
    <row r="122" spans="1:29" hidden="1" outlineLevel="1" x14ac:dyDescent="0.25">
      <c r="A122" s="1389" t="str">
        <f>COA!B123</f>
        <v>6004 Payroll Expenses:Employer Taxes</v>
      </c>
      <c r="B122" s="1390">
        <f>_xlfn.XLOOKUP(A122,'TB.2 - F24'!A:A,'TB.2 - F24'!D:D,0,0,1)</f>
        <v>0</v>
      </c>
      <c r="C122" s="1390">
        <f>_xlfn.XLOOKUP(A122,'TB.2 - F24'!A:A,'TB.2 - F24'!J:J,0,0,1)</f>
        <v>0</v>
      </c>
      <c r="D122" s="1390">
        <f>_xlfn.XLOOKUP(A122,'AJE.2 - F24'!A:A,'AJE.2 - F24'!F:F,0,0,1)</f>
        <v>0</v>
      </c>
      <c r="E122" s="1390"/>
      <c r="F122" s="219">
        <f t="shared" si="6"/>
        <v>0</v>
      </c>
      <c r="G122" s="178" t="str">
        <f>_xlfn.XLOOKUP($A122,COA!$B:$B,COA!$C:$C,0,0,1)</f>
        <v>General and administration</v>
      </c>
      <c r="H122" s="178" t="str">
        <f>_xlfn.XLOOKUP($A122,COA!$B:$B,COA!$D:$D,0,0,1)</f>
        <v xml:space="preserve">Salaries, wages, and benefits </v>
      </c>
      <c r="I122" s="178" t="str">
        <f>_xlfn.XLOOKUP($A122,COA!$B:$B,COA!$E:$E,0,0,1)</f>
        <v>Accumulated deficit</v>
      </c>
      <c r="K122" s="85" t="str">
        <f t="shared" si="5"/>
        <v>Accumulated deficit</v>
      </c>
      <c r="L122" s="87"/>
      <c r="M122" s="87"/>
      <c r="N122" s="87"/>
      <c r="O122" s="87"/>
      <c r="P122" s="85"/>
      <c r="Q122" s="85"/>
      <c r="R122" s="85"/>
      <c r="S122" s="85"/>
      <c r="T122" s="85"/>
      <c r="U122" s="85"/>
      <c r="V122" s="85"/>
      <c r="W122" s="85"/>
      <c r="X122" s="85"/>
      <c r="Y122" s="85"/>
      <c r="Z122" s="85"/>
      <c r="AA122" s="85"/>
      <c r="AB122" s="85"/>
      <c r="AC122" s="85"/>
    </row>
    <row r="123" spans="1:29" hidden="1" outlineLevel="1" x14ac:dyDescent="0.25">
      <c r="A123" s="1389" t="str">
        <f>COA!B124</f>
        <v>6005 Payroll Expenses:WCB Expense</v>
      </c>
      <c r="B123" s="1390">
        <f>_xlfn.XLOOKUP(A123,'TB.2 - F24'!A:A,'TB.2 - F24'!D:D,0,0,1)</f>
        <v>0</v>
      </c>
      <c r="C123" s="1390">
        <f>_xlfn.XLOOKUP(A123,'TB.2 - F24'!A:A,'TB.2 - F24'!J:J,0,0,1)</f>
        <v>0</v>
      </c>
      <c r="D123" s="1390">
        <f>_xlfn.XLOOKUP(A123,'AJE.2 - F24'!A:A,'AJE.2 - F24'!F:F,0,0,1)</f>
        <v>0</v>
      </c>
      <c r="E123" s="1390"/>
      <c r="F123" s="219">
        <f t="shared" si="6"/>
        <v>0</v>
      </c>
      <c r="G123" s="178" t="str">
        <f>_xlfn.XLOOKUP($A123,COA!$B:$B,COA!$C:$C,0,0,1)</f>
        <v>General and administration</v>
      </c>
      <c r="H123" s="178" t="str">
        <f>_xlfn.XLOOKUP($A123,COA!$B:$B,COA!$D:$D,0,0,1)</f>
        <v xml:space="preserve">Salaries, wages, and benefits </v>
      </c>
      <c r="I123" s="178" t="str">
        <f>_xlfn.XLOOKUP($A123,COA!$B:$B,COA!$E:$E,0,0,1)</f>
        <v>Accumulated deficit</v>
      </c>
      <c r="K123" s="85" t="str">
        <f t="shared" si="5"/>
        <v>Accumulated deficit</v>
      </c>
      <c r="L123" s="87"/>
      <c r="M123" s="87"/>
      <c r="N123" s="87"/>
      <c r="O123" s="87"/>
      <c r="P123" s="85"/>
      <c r="Q123" s="85"/>
      <c r="R123" s="85"/>
      <c r="S123" s="85"/>
      <c r="T123" s="85"/>
      <c r="U123" s="85"/>
      <c r="V123" s="85"/>
      <c r="W123" s="85"/>
      <c r="X123" s="85"/>
      <c r="Y123" s="85"/>
      <c r="Z123" s="85"/>
      <c r="AA123" s="85"/>
      <c r="AB123" s="85"/>
      <c r="AC123" s="85"/>
    </row>
    <row r="124" spans="1:29" hidden="1" outlineLevel="1" x14ac:dyDescent="0.25">
      <c r="A124" s="1389" t="str">
        <f>COA!B125</f>
        <v>6010 Other G&amp;A</v>
      </c>
      <c r="B124" s="1390">
        <f>_xlfn.XLOOKUP(A124,'TB.2 - F24'!A:A,'TB.2 - F24'!D:D,0,0,1)</f>
        <v>0</v>
      </c>
      <c r="C124" s="1390">
        <f>_xlfn.XLOOKUP(A124,'TB.2 - F24'!A:A,'TB.2 - F24'!J:J,0,0,1)</f>
        <v>0</v>
      </c>
      <c r="D124" s="1390">
        <f>_xlfn.XLOOKUP(A124,'AJE.2 - F24'!A:A,'AJE.2 - F24'!F:F,0,0,1)</f>
        <v>0</v>
      </c>
      <c r="E124" s="1390"/>
      <c r="F124" s="219">
        <f t="shared" si="6"/>
        <v>0</v>
      </c>
      <c r="G124" s="178" t="str">
        <f>_xlfn.XLOOKUP($A124,COA!$B:$B,COA!$C:$C,0,0,1)</f>
        <v>General and administration</v>
      </c>
      <c r="H124" s="178" t="str">
        <f>_xlfn.XLOOKUP($A124,COA!$B:$B,COA!$D:$D,0,0,1)</f>
        <v>Office expenses</v>
      </c>
      <c r="I124" s="178" t="str">
        <f>_xlfn.XLOOKUP($A124,COA!$B:$B,COA!$E:$E,0,0,1)</f>
        <v>Accumulated deficit</v>
      </c>
      <c r="K124" s="85" t="str">
        <f t="shared" si="5"/>
        <v>Accumulated deficit</v>
      </c>
      <c r="L124" s="87"/>
      <c r="M124" s="87"/>
      <c r="N124" s="87"/>
      <c r="O124" s="87"/>
      <c r="P124" s="85"/>
      <c r="Q124" s="85"/>
      <c r="R124" s="85"/>
      <c r="S124" s="85"/>
      <c r="T124" s="85"/>
      <c r="U124" s="85"/>
      <c r="V124" s="85"/>
      <c r="W124" s="85"/>
      <c r="X124" s="85"/>
      <c r="Y124" s="85"/>
      <c r="Z124" s="85"/>
      <c r="AA124" s="85"/>
      <c r="AB124" s="85"/>
      <c r="AC124" s="85"/>
    </row>
    <row r="125" spans="1:29" hidden="1" outlineLevel="1" x14ac:dyDescent="0.25">
      <c r="A125" s="1389" t="str">
        <f>COA!B126</f>
        <v>6011 Bank charges</v>
      </c>
      <c r="B125" s="1390">
        <f>_xlfn.XLOOKUP(A125,'TB.2 - F24'!A:A,'TB.2 - F24'!D:D,0,0,1)</f>
        <v>1600</v>
      </c>
      <c r="C125" s="1390">
        <f>_xlfn.XLOOKUP(A125,'TB.2 - F24'!A:A,'TB.2 - F24'!J:J,0,0,1)</f>
        <v>681.5</v>
      </c>
      <c r="D125" s="1390">
        <f>_xlfn.XLOOKUP(A125,'AJE.2 - F24'!A:A,'AJE.2 - F24'!F:F,0,0,1)</f>
        <v>0</v>
      </c>
      <c r="E125" s="1390"/>
      <c r="F125" s="219">
        <f t="shared" si="6"/>
        <v>2282</v>
      </c>
      <c r="G125" s="178" t="str">
        <f>_xlfn.XLOOKUP($A125,COA!$B:$B,COA!$C:$C,0,0,1)</f>
        <v>General and administration</v>
      </c>
      <c r="H125" s="178" t="str">
        <f>_xlfn.XLOOKUP($A125,COA!$B:$B,COA!$D:$D,0,0,1)</f>
        <v>Bank fees</v>
      </c>
      <c r="I125" s="178" t="str">
        <f>_xlfn.XLOOKUP($A125,COA!$B:$B,COA!$E:$E,0,0,1)</f>
        <v>Accumulated deficit</v>
      </c>
      <c r="K125" s="85" t="str">
        <f t="shared" si="5"/>
        <v>Accumulated deficit</v>
      </c>
      <c r="L125" s="87"/>
      <c r="M125" s="87"/>
      <c r="N125" s="87"/>
      <c r="O125" s="87"/>
      <c r="P125" s="85"/>
      <c r="Q125" s="85"/>
      <c r="R125" s="85"/>
      <c r="S125" s="85"/>
      <c r="T125" s="85"/>
      <c r="U125" s="85"/>
      <c r="V125" s="85"/>
      <c r="W125" s="85"/>
      <c r="X125" s="85"/>
      <c r="Y125" s="85"/>
      <c r="Z125" s="85"/>
      <c r="AA125" s="85"/>
      <c r="AB125" s="85"/>
      <c r="AC125" s="85"/>
    </row>
    <row r="126" spans="1:29" hidden="1" outlineLevel="1" x14ac:dyDescent="0.25">
      <c r="A126" s="1389" t="str">
        <f>COA!B127</f>
        <v>6012 Bad debts</v>
      </c>
      <c r="B126" s="1390">
        <f>_xlfn.XLOOKUP(A126,'TB.2 - F24'!A:A,'TB.2 - F24'!D:D,0,0,1)</f>
        <v>0</v>
      </c>
      <c r="C126" s="1390">
        <f>_xlfn.XLOOKUP(A126,'TB.2 - F24'!A:A,'TB.2 - F24'!J:J,0,0,1)</f>
        <v>0</v>
      </c>
      <c r="D126" s="1390">
        <f>_xlfn.XLOOKUP(A126,'AJE.2 - F24'!A:A,'AJE.2 - F24'!F:F,0,0,1)</f>
        <v>0</v>
      </c>
      <c r="E126" s="1390"/>
      <c r="F126" s="219">
        <f t="shared" si="6"/>
        <v>0</v>
      </c>
      <c r="G126" s="178" t="str">
        <f>_xlfn.XLOOKUP($A126,COA!$B:$B,COA!$C:$C,0,0,1)</f>
        <v>General and administration</v>
      </c>
      <c r="H126" s="178" t="str">
        <f>_xlfn.XLOOKUP($A126,COA!$B:$B,COA!$D:$D,0,0,1)</f>
        <v>Bad debt expense</v>
      </c>
      <c r="I126" s="178" t="str">
        <f>_xlfn.XLOOKUP($A126,COA!$B:$B,COA!$E:$E,0,0,1)</f>
        <v>Accumulated deficit</v>
      </c>
      <c r="K126" s="85" t="str">
        <f t="shared" si="5"/>
        <v>Accumulated deficit</v>
      </c>
      <c r="L126" s="87"/>
      <c r="M126" s="87"/>
      <c r="N126" s="87"/>
      <c r="O126" s="87"/>
      <c r="P126" s="85"/>
      <c r="Q126" s="85"/>
      <c r="R126" s="85"/>
      <c r="S126" s="85"/>
      <c r="T126" s="85"/>
      <c r="U126" s="85"/>
      <c r="V126" s="85"/>
      <c r="W126" s="85"/>
      <c r="X126" s="85"/>
      <c r="Y126" s="85"/>
      <c r="Z126" s="85"/>
      <c r="AA126" s="85"/>
      <c r="AB126" s="85"/>
      <c r="AC126" s="85"/>
    </row>
    <row r="127" spans="1:29" hidden="1" outlineLevel="1" x14ac:dyDescent="0.25">
      <c r="A127" s="1389" t="str">
        <f>COA!B128</f>
        <v>6012 Bad Debt</v>
      </c>
      <c r="B127" s="1390">
        <f>_xlfn.XLOOKUP(A127,'TB.2 - F24'!A:A,'TB.2 - F24'!D:D,0,0,1)</f>
        <v>0</v>
      </c>
      <c r="C127" s="1390">
        <f>_xlfn.XLOOKUP(A127,'TB.2 - F24'!A:A,'TB.2 - F24'!J:J,0,0,1)</f>
        <v>0</v>
      </c>
      <c r="D127" s="1390">
        <f>_xlfn.XLOOKUP(A127,'AJE.2 - F24'!A:A,'AJE.2 - F24'!F:F,0,0,1)</f>
        <v>0</v>
      </c>
      <c r="E127" s="1390"/>
      <c r="F127" s="219">
        <f t="shared" si="6"/>
        <v>0</v>
      </c>
      <c r="G127" s="178" t="str">
        <f>_xlfn.XLOOKUP($A127,COA!$B:$B,COA!$C:$C,0,0,1)</f>
        <v>General and administration</v>
      </c>
      <c r="H127" s="178" t="str">
        <f>_xlfn.XLOOKUP($A127,COA!$B:$B,COA!$D:$D,0,0,1)</f>
        <v>Bad debt expense</v>
      </c>
      <c r="I127" s="178" t="str">
        <f>_xlfn.XLOOKUP($A127,COA!$B:$B,COA!$E:$E,0,0,1)</f>
        <v>Accumulated deficit</v>
      </c>
      <c r="K127" s="85" t="str">
        <f t="shared" si="5"/>
        <v>Accumulated deficit</v>
      </c>
      <c r="L127" s="87"/>
      <c r="M127" s="87"/>
      <c r="N127" s="87"/>
      <c r="O127" s="87"/>
      <c r="P127" s="85"/>
      <c r="Q127" s="85"/>
      <c r="R127" s="85"/>
      <c r="S127" s="85"/>
      <c r="T127" s="85"/>
      <c r="U127" s="85"/>
      <c r="V127" s="85"/>
      <c r="W127" s="85"/>
      <c r="X127" s="85"/>
      <c r="Y127" s="85"/>
      <c r="Z127" s="85"/>
      <c r="AA127" s="85"/>
      <c r="AB127" s="85"/>
      <c r="AC127" s="85"/>
    </row>
    <row r="128" spans="1:29" hidden="1" outlineLevel="1" x14ac:dyDescent="0.25">
      <c r="A128" s="1389" t="str">
        <f>COA!B129</f>
        <v>6013 Interest expense</v>
      </c>
      <c r="B128" s="1390">
        <f>_xlfn.XLOOKUP(A128,'TB.2 - F24'!A:A,'TB.2 - F24'!D:D,0,0,1)</f>
        <v>30799.73</v>
      </c>
      <c r="C128" s="1390">
        <f>_xlfn.XLOOKUP(A128,'TB.2 - F24'!A:A,'TB.2 - F24'!J:J,0,0,1)</f>
        <v>2987.38</v>
      </c>
      <c r="D128" s="1390">
        <f>_xlfn.XLOOKUP(A128,'AJE.2 - F24'!A:A,'AJE.2 - F24'!F:F,0,0,1)</f>
        <v>0</v>
      </c>
      <c r="E128" s="1390"/>
      <c r="F128" s="219">
        <f t="shared" si="6"/>
        <v>33787</v>
      </c>
      <c r="G128" s="178" t="str">
        <f>_xlfn.XLOOKUP($A128,COA!$B:$B,COA!$C:$C,0,0,1)</f>
        <v>Interest expense</v>
      </c>
      <c r="H128" s="178" t="str">
        <f>_xlfn.XLOOKUP($A128,COA!$B:$B,COA!$D:$D,0,0,1)</f>
        <v>Interest expense</v>
      </c>
      <c r="I128" s="178" t="str">
        <f>_xlfn.XLOOKUP($A128,COA!$B:$B,COA!$E:$E,0,0,1)</f>
        <v>Accumulated deficit</v>
      </c>
      <c r="K128" s="85" t="str">
        <f t="shared" si="5"/>
        <v>Accumulated deficit</v>
      </c>
      <c r="L128" s="87"/>
      <c r="M128" s="87"/>
      <c r="N128" s="87"/>
      <c r="O128" s="87"/>
      <c r="P128" s="85"/>
      <c r="Q128" s="85"/>
      <c r="R128" s="85"/>
      <c r="S128" s="85"/>
      <c r="T128" s="85"/>
      <c r="U128" s="85"/>
      <c r="V128" s="85"/>
      <c r="W128" s="85"/>
      <c r="X128" s="85"/>
      <c r="Y128" s="85"/>
      <c r="Z128" s="85"/>
      <c r="AA128" s="85"/>
      <c r="AB128" s="85"/>
      <c r="AC128" s="85"/>
    </row>
    <row r="129" spans="1:29" hidden="1" outlineLevel="1" x14ac:dyDescent="0.25">
      <c r="A129" s="1389" t="str">
        <f>COA!B130</f>
        <v>6015 Accounting Fees</v>
      </c>
      <c r="B129" s="1390">
        <f>_xlfn.XLOOKUP(A129,'TB.2 - F24'!A:A,'TB.2 - F24'!D:D,0,0,1)</f>
        <v>27477.5</v>
      </c>
      <c r="C129" s="1390">
        <f>_xlfn.XLOOKUP(A129,'TB.2 - F24'!A:A,'TB.2 - F24'!J:J,0,0,1)</f>
        <v>0</v>
      </c>
      <c r="D129" s="1390">
        <f>_xlfn.XLOOKUP(A129,'AJE.2 - F24'!A:A,'AJE.2 - F24'!F:F,0,0,1)</f>
        <v>0</v>
      </c>
      <c r="E129" s="1390"/>
      <c r="F129" s="219">
        <f t="shared" si="6"/>
        <v>27478</v>
      </c>
      <c r="G129" s="178" t="str">
        <f>_xlfn.XLOOKUP($A129,COA!$B:$B,COA!$C:$C,0,0,1)</f>
        <v>General and administration</v>
      </c>
      <c r="H129" s="178" t="str">
        <f>_xlfn.XLOOKUP($A129,COA!$B:$B,COA!$D:$D,0,0,1)</f>
        <v>Professional fees</v>
      </c>
      <c r="I129" s="178" t="str">
        <f>_xlfn.XLOOKUP($A129,COA!$B:$B,COA!$E:$E,0,0,1)</f>
        <v>Accumulated deficit</v>
      </c>
      <c r="K129" s="85" t="str">
        <f t="shared" si="5"/>
        <v>Accumulated deficit</v>
      </c>
      <c r="L129" s="87"/>
      <c r="M129" s="87"/>
      <c r="N129" s="87"/>
      <c r="O129" s="87"/>
      <c r="P129" s="85"/>
      <c r="Q129" s="85"/>
      <c r="R129" s="85"/>
      <c r="S129" s="85"/>
      <c r="T129" s="85"/>
      <c r="U129" s="85"/>
      <c r="V129" s="85"/>
      <c r="W129" s="85"/>
      <c r="X129" s="85"/>
      <c r="Y129" s="85"/>
      <c r="Z129" s="85"/>
      <c r="AA129" s="85"/>
      <c r="AB129" s="85"/>
      <c r="AC129" s="85"/>
    </row>
    <row r="130" spans="1:29" hidden="1" outlineLevel="1" x14ac:dyDescent="0.25">
      <c r="A130" s="1389" t="str">
        <f>COA!B131</f>
        <v>6015 Accounting &amp; Legal</v>
      </c>
      <c r="B130" s="1390">
        <f>_xlfn.XLOOKUP(A130,'TB.2 - F24'!A:A,'TB.2 - F24'!D:D,0,0,1)</f>
        <v>0</v>
      </c>
      <c r="C130" s="1390" t="e">
        <f>_xlfn.XLOOKUP(A130,'TB.2 - F24'!A:A,'TB.2 - F24'!J:J,0,0,1)</f>
        <v>#REF!</v>
      </c>
      <c r="D130" s="1390">
        <f>_xlfn.XLOOKUP(A130,'AJE.2 - F24'!A:A,'AJE.2 - F24'!F:F,0,0,1)</f>
        <v>0</v>
      </c>
      <c r="E130" s="1390"/>
      <c r="F130" s="219" t="e">
        <f t="shared" si="6"/>
        <v>#REF!</v>
      </c>
      <c r="G130" s="178" t="str">
        <f>_xlfn.XLOOKUP($A130,COA!$B:$B,COA!$C:$C,0,0,1)</f>
        <v>General and administration</v>
      </c>
      <c r="H130" s="178" t="str">
        <f>_xlfn.XLOOKUP($A130,COA!$B:$B,COA!$D:$D,0,0,1)</f>
        <v>Professional fees</v>
      </c>
      <c r="I130" s="178" t="str">
        <f>_xlfn.XLOOKUP($A130,COA!$B:$B,COA!$E:$E,0,0,1)</f>
        <v>Accumulated deficit</v>
      </c>
      <c r="K130" s="85" t="str">
        <f t="shared" si="5"/>
        <v>Accumulated deficit</v>
      </c>
      <c r="L130" s="87"/>
      <c r="M130" s="87"/>
      <c r="N130" s="87"/>
      <c r="O130" s="87"/>
      <c r="P130" s="85"/>
      <c r="Q130" s="85"/>
      <c r="R130" s="85"/>
      <c r="S130" s="85"/>
      <c r="T130" s="85"/>
      <c r="U130" s="85"/>
      <c r="V130" s="85"/>
      <c r="W130" s="85"/>
      <c r="X130" s="85"/>
      <c r="Y130" s="85"/>
      <c r="Z130" s="85"/>
      <c r="AA130" s="85"/>
      <c r="AB130" s="85"/>
      <c r="AC130" s="85"/>
    </row>
    <row r="131" spans="1:29" hidden="1" outlineLevel="1" x14ac:dyDescent="0.25">
      <c r="A131" s="1389" t="str">
        <f>COA!B132</f>
        <v>6016 Legal and professional fees</v>
      </c>
      <c r="B131" s="1390">
        <f>_xlfn.XLOOKUP(A131,'TB.2 - F24'!A:A,'TB.2 - F24'!D:D,0,0,1)</f>
        <v>54424.07</v>
      </c>
      <c r="C131" s="1390">
        <f>_xlfn.XLOOKUP(A131,'TB.2 - F24'!A:A,'TB.2 - F24'!J:J,0,0,1)</f>
        <v>0</v>
      </c>
      <c r="D131" s="1390">
        <f>_xlfn.XLOOKUP(A131,'AJE.2 - F24'!A:A,'AJE.2 - F24'!F:F,0,0,1)</f>
        <v>0</v>
      </c>
      <c r="E131" s="1390"/>
      <c r="F131" s="219">
        <f t="shared" si="6"/>
        <v>54424</v>
      </c>
      <c r="G131" s="178" t="str">
        <f>_xlfn.XLOOKUP($A131,COA!$B:$B,COA!$C:$C,0,0,1)</f>
        <v>General and administration</v>
      </c>
      <c r="H131" s="178" t="str">
        <f>_xlfn.XLOOKUP($A131,COA!$B:$B,COA!$D:$D,0,0,1)</f>
        <v>Professional fees</v>
      </c>
      <c r="I131" s="178" t="str">
        <f>_xlfn.XLOOKUP($A131,COA!$B:$B,COA!$E:$E,0,0,1)</f>
        <v>Accumulated deficit</v>
      </c>
      <c r="K131" s="85" t="str">
        <f t="shared" si="5"/>
        <v>Accumulated deficit</v>
      </c>
      <c r="L131" s="87"/>
      <c r="M131" s="87"/>
      <c r="N131" s="87"/>
      <c r="O131" s="87"/>
      <c r="P131" s="85"/>
      <c r="Q131" s="85"/>
      <c r="R131" s="85"/>
      <c r="S131" s="85"/>
      <c r="T131" s="85"/>
      <c r="U131" s="85"/>
      <c r="V131" s="85"/>
      <c r="W131" s="85"/>
      <c r="X131" s="85"/>
      <c r="Y131" s="85"/>
      <c r="Z131" s="85"/>
      <c r="AA131" s="85"/>
      <c r="AB131" s="85"/>
      <c r="AC131" s="85"/>
    </row>
    <row r="132" spans="1:29" hidden="1" outlineLevel="1" x14ac:dyDescent="0.25">
      <c r="A132" s="1389" t="str">
        <f>COA!B133</f>
        <v>6016 Consulting Expense</v>
      </c>
      <c r="B132" s="1390">
        <f>_xlfn.XLOOKUP(A132,'TB.2 - F24'!A:A,'TB.2 - F24'!D:D,0,0,1)</f>
        <v>0</v>
      </c>
      <c r="C132" s="1390">
        <f>_xlfn.XLOOKUP(A132,'TB.2 - F24'!A:A,'TB.2 - F24'!J:J,0,0,1)</f>
        <v>20000</v>
      </c>
      <c r="D132" s="1390">
        <f>_xlfn.XLOOKUP(A132,'AJE.2 - F24'!A:A,'AJE.2 - F24'!F:F,0,0,1)</f>
        <v>0</v>
      </c>
      <c r="E132" s="1390"/>
      <c r="F132" s="219">
        <f t="shared" si="6"/>
        <v>20000</v>
      </c>
      <c r="G132" s="178" t="str">
        <f>_xlfn.XLOOKUP($A132,COA!$B:$B,COA!$C:$C,0,0,1)</f>
        <v>General and administration</v>
      </c>
      <c r="H132" s="178" t="str">
        <f>_xlfn.XLOOKUP($A132,COA!$B:$B,COA!$D:$D,0,0,1)</f>
        <v>Consulting expense</v>
      </c>
      <c r="I132" s="178" t="str">
        <f>_xlfn.XLOOKUP($A132,COA!$B:$B,COA!$E:$E,0,0,1)</f>
        <v>Accumulated deficit</v>
      </c>
      <c r="K132" s="85" t="str">
        <f t="shared" si="5"/>
        <v>Accumulated deficit</v>
      </c>
      <c r="L132" s="87"/>
      <c r="M132" s="87"/>
      <c r="N132" s="87"/>
      <c r="O132" s="87"/>
      <c r="P132" s="85"/>
      <c r="Q132" s="85"/>
      <c r="R132" s="85"/>
      <c r="S132" s="85"/>
      <c r="T132" s="85"/>
      <c r="U132" s="85"/>
      <c r="V132" s="85"/>
      <c r="W132" s="85"/>
      <c r="X132" s="85"/>
      <c r="Y132" s="85"/>
      <c r="Z132" s="85"/>
      <c r="AA132" s="85"/>
      <c r="AB132" s="85"/>
      <c r="AC132" s="85"/>
    </row>
    <row r="133" spans="1:29" hidden="1" outlineLevel="1" x14ac:dyDescent="0.25">
      <c r="A133" s="1389" t="str">
        <f>COA!B134</f>
        <v>6017 Consulting Fees</v>
      </c>
      <c r="B133" s="1390">
        <f>_xlfn.XLOOKUP(A133,'TB.2 - F24'!A:A,'TB.2 - F24'!D:D,0,0,1)</f>
        <v>114140</v>
      </c>
      <c r="C133" s="1390">
        <f>_xlfn.XLOOKUP(A133,'TB.2 - F24'!A:A,'TB.2 - F24'!J:J,0,0,1)</f>
        <v>0</v>
      </c>
      <c r="D133" s="1390">
        <f>_xlfn.XLOOKUP(A133,'AJE.2 - F24'!A:A,'AJE.2 - F24'!F:F,0,0,1)</f>
        <v>0</v>
      </c>
      <c r="E133" s="1390"/>
      <c r="F133" s="219">
        <f t="shared" si="6"/>
        <v>114140</v>
      </c>
      <c r="G133" s="178" t="str">
        <f>_xlfn.XLOOKUP($A133,COA!$B:$B,COA!$C:$C,0,0,1)</f>
        <v>General and administration</v>
      </c>
      <c r="H133" s="178" t="str">
        <f>_xlfn.XLOOKUP($A133,COA!$B:$B,COA!$D:$D,0,0,1)</f>
        <v>Consulting expense</v>
      </c>
      <c r="I133" s="178" t="str">
        <f>_xlfn.XLOOKUP($A133,COA!$B:$B,COA!$E:$E,0,0,1)</f>
        <v>Accumulated deficit</v>
      </c>
      <c r="K133" s="85" t="str">
        <f t="shared" si="5"/>
        <v>Accumulated deficit</v>
      </c>
      <c r="L133" s="87"/>
      <c r="M133" s="87"/>
      <c r="N133" s="87"/>
      <c r="O133" s="87"/>
      <c r="P133" s="85"/>
      <c r="Q133" s="85"/>
      <c r="R133" s="85"/>
      <c r="S133" s="85"/>
      <c r="T133" s="85"/>
      <c r="U133" s="85"/>
      <c r="V133" s="85"/>
      <c r="W133" s="85"/>
      <c r="X133" s="85"/>
      <c r="Y133" s="85"/>
      <c r="Z133" s="85"/>
      <c r="AA133" s="85"/>
      <c r="AB133" s="85"/>
      <c r="AC133" s="85"/>
    </row>
    <row r="134" spans="1:29" hidden="1" outlineLevel="1" x14ac:dyDescent="0.25">
      <c r="A134" s="1389" t="str">
        <f>COA!B135</f>
        <v>6018 Dues and Subscription</v>
      </c>
      <c r="B134" s="1390">
        <f>_xlfn.XLOOKUP(A134,'TB.2 - F24'!A:A,'TB.2 - F24'!D:D,0,0,1)</f>
        <v>0</v>
      </c>
      <c r="C134" s="1390">
        <f>_xlfn.XLOOKUP(A134,'TB.2 - F24'!A:A,'TB.2 - F24'!J:J,0,0,1)</f>
        <v>-5.56</v>
      </c>
      <c r="D134" s="1390">
        <f>_xlfn.XLOOKUP(A134,'AJE.2 - F24'!A:A,'AJE.2 - F24'!F:F,0,0,1)</f>
        <v>0</v>
      </c>
      <c r="E134" s="1390"/>
      <c r="F134" s="219">
        <f t="shared" si="6"/>
        <v>-6</v>
      </c>
      <c r="G134" s="178" t="str">
        <f>_xlfn.XLOOKUP($A134,COA!$B:$B,COA!$C:$C,0,0,1)</f>
        <v>General and administration</v>
      </c>
      <c r="H134" s="178" t="str">
        <f>_xlfn.XLOOKUP($A134,COA!$B:$B,COA!$D:$D,0,0,1)</f>
        <v>Dues, licenses, and permits</v>
      </c>
      <c r="I134" s="178" t="str">
        <f>_xlfn.XLOOKUP($A134,COA!$B:$B,COA!$E:$E,0,0,1)</f>
        <v>Accumulated deficit</v>
      </c>
      <c r="K134" s="85" t="str">
        <f t="shared" si="5"/>
        <v>Accumulated deficit</v>
      </c>
      <c r="L134" s="87"/>
      <c r="M134" s="87"/>
      <c r="N134" s="87"/>
      <c r="O134" s="87"/>
      <c r="P134" s="85"/>
      <c r="Q134" s="85"/>
      <c r="R134" s="85"/>
      <c r="S134" s="85"/>
      <c r="T134" s="85"/>
      <c r="U134" s="85"/>
      <c r="V134" s="85"/>
      <c r="W134" s="85"/>
      <c r="X134" s="85"/>
      <c r="Y134" s="85"/>
      <c r="Z134" s="85"/>
      <c r="AA134" s="85"/>
      <c r="AB134" s="85"/>
      <c r="AC134" s="85"/>
    </row>
    <row r="135" spans="1:29" hidden="1" outlineLevel="1" x14ac:dyDescent="0.25">
      <c r="A135" s="1389" t="str">
        <f>COA!B136</f>
        <v>6020 Advertising &amp; Promotion</v>
      </c>
      <c r="B135" s="1390">
        <f>_xlfn.XLOOKUP(A135,'TB.2 - F24'!A:A,'TB.2 - F24'!D:D,0,0,1)</f>
        <v>10306.75</v>
      </c>
      <c r="C135" s="1390" t="e">
        <f>_xlfn.XLOOKUP(A135,'TB.2 - F24'!A:A,'TB.2 - F24'!J:J,0,0,1)</f>
        <v>#REF!</v>
      </c>
      <c r="D135" s="1390">
        <f>_xlfn.XLOOKUP(A135,'AJE.2 - F24'!A:A,'AJE.2 - F24'!F:F,0,0,1)</f>
        <v>0</v>
      </c>
      <c r="E135" s="1390"/>
      <c r="F135" s="219" t="e">
        <f t="shared" si="6"/>
        <v>#REF!</v>
      </c>
      <c r="G135" s="178" t="str">
        <f>_xlfn.XLOOKUP($A135,COA!$B:$B,COA!$C:$C,0,0,1)</f>
        <v>Sales and marketing</v>
      </c>
      <c r="H135" s="178" t="str">
        <f>_xlfn.XLOOKUP($A135,COA!$B:$B,COA!$D:$D,0,0,1)</f>
        <v>Advertising and marketing</v>
      </c>
      <c r="I135" s="178" t="str">
        <f>_xlfn.XLOOKUP($A135,COA!$B:$B,COA!$E:$E,0,0,1)</f>
        <v>Accumulated deficit</v>
      </c>
      <c r="K135" s="85" t="str">
        <f t="shared" si="5"/>
        <v>Accumulated deficit</v>
      </c>
      <c r="L135" s="87"/>
      <c r="M135" s="87"/>
      <c r="N135" s="87"/>
      <c r="O135" s="87"/>
      <c r="P135" s="85"/>
      <c r="Q135" s="85"/>
      <c r="R135" s="85"/>
      <c r="S135" s="85"/>
      <c r="T135" s="85"/>
      <c r="U135" s="85"/>
      <c r="V135" s="85"/>
      <c r="W135" s="85"/>
      <c r="X135" s="85"/>
      <c r="Y135" s="85"/>
      <c r="Z135" s="85"/>
      <c r="AA135" s="85"/>
      <c r="AB135" s="85"/>
      <c r="AC135" s="85"/>
    </row>
    <row r="136" spans="1:29" hidden="1" outlineLevel="1" x14ac:dyDescent="0.25">
      <c r="A136" s="1389" t="str">
        <f>COA!B137</f>
        <v>6021 Tradeshows and conventions</v>
      </c>
      <c r="B136" s="1390">
        <f>_xlfn.XLOOKUP(A136,'TB.2 - F24'!A:A,'TB.2 - F24'!D:D,0,0,1)</f>
        <v>0</v>
      </c>
      <c r="C136" s="1390" t="e">
        <f>_xlfn.XLOOKUP(A136,'TB.2 - F24'!A:A,'TB.2 - F24'!J:J,0,0,1)</f>
        <v>#REF!</v>
      </c>
      <c r="D136" s="1390">
        <f>_xlfn.XLOOKUP(A136,'AJE.2 - F24'!A:A,'AJE.2 - F24'!F:F,0,0,1)</f>
        <v>0</v>
      </c>
      <c r="E136" s="1390"/>
      <c r="F136" s="219" t="e">
        <f t="shared" ref="F136:F167" si="7">ROUND(SUM(B136:E136),0)</f>
        <v>#REF!</v>
      </c>
      <c r="G136" s="178" t="str">
        <f>_xlfn.XLOOKUP($A136,COA!$B:$B,COA!$C:$C,0,0,1)</f>
        <v>Sales and marketing</v>
      </c>
      <c r="H136" s="178" t="str">
        <f>_xlfn.XLOOKUP($A136,COA!$B:$B,COA!$D:$D,0,0,1)</f>
        <v>Advertising and marketing</v>
      </c>
      <c r="I136" s="178" t="str">
        <f>_xlfn.XLOOKUP($A136,COA!$B:$B,COA!$E:$E,0,0,1)</f>
        <v>Accumulated deficit</v>
      </c>
      <c r="K136" s="85" t="str">
        <f t="shared" si="5"/>
        <v>Accumulated deficit</v>
      </c>
      <c r="L136" s="87"/>
      <c r="M136" s="87"/>
      <c r="N136" s="87"/>
      <c r="O136" s="87"/>
      <c r="P136" s="85"/>
      <c r="Q136" s="85"/>
      <c r="R136" s="85"/>
      <c r="S136" s="85"/>
      <c r="T136" s="85"/>
      <c r="U136" s="85"/>
      <c r="V136" s="85"/>
      <c r="W136" s="85"/>
      <c r="X136" s="85"/>
      <c r="Y136" s="85"/>
      <c r="Z136" s="85"/>
      <c r="AA136" s="85"/>
      <c r="AB136" s="85"/>
      <c r="AC136" s="85"/>
    </row>
    <row r="137" spans="1:29" hidden="1" outlineLevel="1" x14ac:dyDescent="0.25">
      <c r="A137" s="1389" t="str">
        <f>COA!B138</f>
        <v>6025 Dues and Subscriptions</v>
      </c>
      <c r="B137" s="1390">
        <f>_xlfn.XLOOKUP(A137,'TB.2 - F24'!A:A,'TB.2 - F24'!D:D,0,0,1)</f>
        <v>1259.25</v>
      </c>
      <c r="C137" s="1390">
        <f>_xlfn.XLOOKUP(A137,'TB.2 - F24'!A:A,'TB.2 - F24'!J:J,0,0,1)</f>
        <v>0</v>
      </c>
      <c r="D137" s="1390">
        <f>_xlfn.XLOOKUP(A137,'AJE.2 - F24'!A:A,'AJE.2 - F24'!F:F,0,0,1)</f>
        <v>0</v>
      </c>
      <c r="E137" s="1390"/>
      <c r="F137" s="219">
        <f t="shared" si="7"/>
        <v>1259</v>
      </c>
      <c r="G137" s="178" t="str">
        <f>_xlfn.XLOOKUP($A137,COA!$B:$B,COA!$C:$C,0,0,1)</f>
        <v>General and administration</v>
      </c>
      <c r="H137" s="178" t="str">
        <f>_xlfn.XLOOKUP($A137,COA!$B:$B,COA!$D:$D,0,0,1)</f>
        <v>Dues, licenses, and permits</v>
      </c>
      <c r="I137" s="178" t="str">
        <f>_xlfn.XLOOKUP($A137,COA!$B:$B,COA!$E:$E,0,0,1)</f>
        <v>Accumulated deficit</v>
      </c>
      <c r="K137" s="85" t="str">
        <f t="shared" ref="K137:K179" si="8">I137</f>
        <v>Accumulated deficit</v>
      </c>
      <c r="L137" s="87"/>
      <c r="M137" s="87"/>
      <c r="N137" s="87"/>
      <c r="O137" s="87"/>
      <c r="P137" s="85"/>
      <c r="Q137" s="85"/>
      <c r="R137" s="85"/>
      <c r="S137" s="85"/>
      <c r="T137" s="85"/>
      <c r="U137" s="85"/>
      <c r="V137" s="85"/>
      <c r="W137" s="85"/>
      <c r="X137" s="85"/>
      <c r="Y137" s="85"/>
      <c r="Z137" s="85"/>
      <c r="AA137" s="85"/>
      <c r="AB137" s="85"/>
      <c r="AC137" s="85"/>
    </row>
    <row r="138" spans="1:29" hidden="1" outlineLevel="1" x14ac:dyDescent="0.25">
      <c r="A138" s="1389" t="str">
        <f>COA!B139</f>
        <v>6025 Automobile</v>
      </c>
      <c r="B138" s="1390">
        <f>_xlfn.XLOOKUP(A138,'TB.2 - F24'!A:A,'TB.2 - F24'!D:D,0,0,1)</f>
        <v>0</v>
      </c>
      <c r="C138" s="1390">
        <f>_xlfn.XLOOKUP(A138,'TB.2 - F24'!A:A,'TB.2 - F24'!J:J,0,0,1)</f>
        <v>0</v>
      </c>
      <c r="D138" s="1390">
        <f>_xlfn.XLOOKUP(A138,'AJE.2 - F24'!A:A,'AJE.2 - F24'!F:F,0,0,1)</f>
        <v>0</v>
      </c>
      <c r="E138" s="1390"/>
      <c r="F138" s="219">
        <f t="shared" si="7"/>
        <v>0</v>
      </c>
      <c r="G138" s="178" t="str">
        <f>_xlfn.XLOOKUP($A138,COA!$B:$B,COA!$C:$C,0,0,1)</f>
        <v>General and administration</v>
      </c>
      <c r="H138" s="178" t="str">
        <f>_xlfn.XLOOKUP($A138,COA!$B:$B,COA!$D:$D,0,0,1)</f>
        <v>Other miscellaneous</v>
      </c>
      <c r="I138" s="178" t="str">
        <f>_xlfn.XLOOKUP($A138,COA!$B:$B,COA!$E:$E,0,0,1)</f>
        <v>Accumulated deficit</v>
      </c>
      <c r="K138" s="85" t="str">
        <f t="shared" si="8"/>
        <v>Accumulated deficit</v>
      </c>
      <c r="L138" s="87"/>
      <c r="M138" s="87"/>
      <c r="N138" s="87"/>
      <c r="O138" s="87"/>
      <c r="P138" s="85"/>
      <c r="Q138" s="85"/>
      <c r="R138" s="85"/>
      <c r="S138" s="85"/>
      <c r="T138" s="85"/>
      <c r="U138" s="85"/>
      <c r="V138" s="85"/>
      <c r="W138" s="85"/>
      <c r="X138" s="85"/>
      <c r="Y138" s="85"/>
      <c r="Z138" s="85"/>
      <c r="AA138" s="85"/>
      <c r="AB138" s="85"/>
      <c r="AC138" s="85"/>
    </row>
    <row r="139" spans="1:29" hidden="1" outlineLevel="1" x14ac:dyDescent="0.25">
      <c r="A139" s="1389" t="str">
        <f>COA!B140</f>
        <v>6026 Fuel / Industrial Gas</v>
      </c>
      <c r="B139" s="1390">
        <f>_xlfn.XLOOKUP(A139,'TB.2 - F24'!A:A,'TB.2 - F24'!D:D,0,0,1)</f>
        <v>0</v>
      </c>
      <c r="C139" s="1390">
        <f>_xlfn.XLOOKUP(A139,'TB.2 - F24'!A:A,'TB.2 - F24'!J:J,0,0,1)</f>
        <v>2619.79</v>
      </c>
      <c r="D139" s="1390">
        <f>_xlfn.XLOOKUP(A139,'AJE.2 - F24'!A:A,'AJE.2 - F24'!F:F,0,0,1)</f>
        <v>0</v>
      </c>
      <c r="E139" s="1390"/>
      <c r="F139" s="219">
        <f t="shared" si="7"/>
        <v>2620</v>
      </c>
      <c r="G139" s="178" t="str">
        <f>_xlfn.XLOOKUP($A139,COA!$B:$B,COA!$C:$C,0,0,1)</f>
        <v>General and administration</v>
      </c>
      <c r="H139" s="178" t="str">
        <f>_xlfn.XLOOKUP($A139,COA!$B:$B,COA!$D:$D,0,0,1)</f>
        <v>Other miscellaneous</v>
      </c>
      <c r="I139" s="178" t="str">
        <f>_xlfn.XLOOKUP($A139,COA!$B:$B,COA!$E:$E,0,0,1)</f>
        <v>Accumulated deficit</v>
      </c>
      <c r="K139" s="85" t="str">
        <f t="shared" si="8"/>
        <v>Accumulated deficit</v>
      </c>
      <c r="L139" s="87"/>
      <c r="M139" s="87"/>
      <c r="N139" s="87"/>
      <c r="O139" s="87"/>
      <c r="P139" s="85"/>
      <c r="Q139" s="85"/>
      <c r="R139" s="85"/>
      <c r="S139" s="85"/>
      <c r="T139" s="85"/>
      <c r="U139" s="85"/>
      <c r="V139" s="85"/>
      <c r="W139" s="85"/>
      <c r="X139" s="85"/>
      <c r="Y139" s="85"/>
      <c r="Z139" s="85"/>
      <c r="AA139" s="85"/>
      <c r="AB139" s="85"/>
      <c r="AC139" s="85"/>
    </row>
    <row r="140" spans="1:29" hidden="1" outlineLevel="1" x14ac:dyDescent="0.25">
      <c r="A140" s="1389" t="str">
        <f>COA!B141</f>
        <v>6030 Communications</v>
      </c>
      <c r="B140" s="1390">
        <f>_xlfn.XLOOKUP(A140,'TB.2 - F24'!A:A,'TB.2 - F24'!D:D,0,0,1)</f>
        <v>0</v>
      </c>
      <c r="C140" s="1390">
        <f>_xlfn.XLOOKUP(A140,'TB.2 - F24'!A:A,'TB.2 - F24'!J:J,0,0,1)</f>
        <v>0</v>
      </c>
      <c r="D140" s="1390">
        <f>_xlfn.XLOOKUP(A140,'AJE.2 - F24'!A:A,'AJE.2 - F24'!F:F,0,0,1)</f>
        <v>0</v>
      </c>
      <c r="E140" s="1390"/>
      <c r="F140" s="219">
        <f t="shared" si="7"/>
        <v>0</v>
      </c>
      <c r="G140" s="178" t="str">
        <f>_xlfn.XLOOKUP($A140,COA!$B:$B,COA!$C:$C,0,0,1)</f>
        <v>General and administration</v>
      </c>
      <c r="H140" s="178" t="str">
        <f>_xlfn.XLOOKUP($A140,COA!$B:$B,COA!$D:$D,0,0,1)</f>
        <v>Communications</v>
      </c>
      <c r="I140" s="178" t="str">
        <f>_xlfn.XLOOKUP($A140,COA!$B:$B,COA!$E:$E,0,0,1)</f>
        <v>Accumulated deficit</v>
      </c>
      <c r="K140" s="85" t="str">
        <f t="shared" si="8"/>
        <v>Accumulated deficit</v>
      </c>
      <c r="L140" s="87"/>
      <c r="M140" s="87"/>
      <c r="N140" s="87"/>
      <c r="O140" s="87"/>
      <c r="P140" s="85"/>
      <c r="Q140" s="85"/>
      <c r="R140" s="85"/>
      <c r="S140" s="85"/>
      <c r="T140" s="85"/>
      <c r="U140" s="85"/>
      <c r="V140" s="85"/>
      <c r="W140" s="85"/>
      <c r="X140" s="85"/>
      <c r="Y140" s="85"/>
      <c r="Z140" s="85"/>
      <c r="AA140" s="85"/>
      <c r="AB140" s="85"/>
      <c r="AC140" s="85"/>
    </row>
    <row r="141" spans="1:29" hidden="1" outlineLevel="1" x14ac:dyDescent="0.25">
      <c r="A141" s="1389" t="str">
        <f>COA!B142</f>
        <v>6031 IT Expense</v>
      </c>
      <c r="B141" s="1390">
        <f>_xlfn.XLOOKUP(A141,'TB.2 - F24'!A:A,'TB.2 - F24'!D:D,0,0,1)</f>
        <v>0</v>
      </c>
      <c r="C141" s="1390" t="e">
        <f>_xlfn.XLOOKUP(A141,'TB.2 - F24'!A:A,'TB.2 - F24'!J:J,0,0,1)</f>
        <v>#REF!</v>
      </c>
      <c r="D141" s="1390">
        <f>_xlfn.XLOOKUP(A141,'AJE.2 - F24'!A:A,'AJE.2 - F24'!F:F,0,0,1)</f>
        <v>0</v>
      </c>
      <c r="E141" s="1390"/>
      <c r="F141" s="219" t="e">
        <f t="shared" si="7"/>
        <v>#REF!</v>
      </c>
      <c r="G141" s="178" t="str">
        <f>_xlfn.XLOOKUP($A141,COA!$B:$B,COA!$C:$C,0,0,1)</f>
        <v>General and administration</v>
      </c>
      <c r="H141" s="178" t="str">
        <f>_xlfn.XLOOKUP($A141,COA!$B:$B,COA!$D:$D,0,0,1)</f>
        <v>Office expenses</v>
      </c>
      <c r="I141" s="178" t="str">
        <f>_xlfn.XLOOKUP($A141,COA!$B:$B,COA!$E:$E,0,0,1)</f>
        <v>Accumulated deficit</v>
      </c>
      <c r="K141" s="85" t="str">
        <f t="shared" si="8"/>
        <v>Accumulated deficit</v>
      </c>
      <c r="L141" s="87"/>
      <c r="M141" s="87"/>
      <c r="N141" s="87"/>
      <c r="O141" s="87"/>
      <c r="P141" s="85"/>
      <c r="Q141" s="85"/>
      <c r="R141" s="85"/>
      <c r="S141" s="85"/>
      <c r="T141" s="85"/>
      <c r="U141" s="85"/>
      <c r="V141" s="85"/>
      <c r="W141" s="85"/>
      <c r="X141" s="85"/>
      <c r="Y141" s="85"/>
      <c r="Z141" s="85"/>
      <c r="AA141" s="85"/>
      <c r="AB141" s="85"/>
      <c r="AC141" s="85"/>
    </row>
    <row r="142" spans="1:29" hidden="1" outlineLevel="1" x14ac:dyDescent="0.25">
      <c r="A142" s="1389" t="str">
        <f>COA!B143</f>
        <v>6040 Meals and entertainment</v>
      </c>
      <c r="B142" s="1390">
        <f>_xlfn.XLOOKUP(A142,'TB.2 - F24'!A:A,'TB.2 - F24'!D:D,0,0,1)</f>
        <v>89.21</v>
      </c>
      <c r="C142" s="1390" t="e">
        <f>_xlfn.XLOOKUP(A142,'TB.2 - F24'!A:A,'TB.2 - F24'!J:J,0,0,1)</f>
        <v>#REF!</v>
      </c>
      <c r="D142" s="1390">
        <f>_xlfn.XLOOKUP(A142,'AJE.2 - F24'!A:A,'AJE.2 - F24'!F:F,0,0,1)</f>
        <v>0</v>
      </c>
      <c r="E142" s="1390"/>
      <c r="F142" s="219" t="e">
        <f t="shared" si="7"/>
        <v>#REF!</v>
      </c>
      <c r="G142" s="178" t="str">
        <f>_xlfn.XLOOKUP($A142,COA!$B:$B,COA!$C:$C,0,0,1)</f>
        <v>General and administration</v>
      </c>
      <c r="H142" s="178" t="str">
        <f>_xlfn.XLOOKUP($A142,COA!$B:$B,COA!$D:$D,0,0,1)</f>
        <v>Meals and entertainment</v>
      </c>
      <c r="I142" s="178" t="str">
        <f>_xlfn.XLOOKUP($A142,COA!$B:$B,COA!$E:$E,0,0,1)</f>
        <v>Accumulated deficit</v>
      </c>
      <c r="K142" s="85" t="str">
        <f t="shared" si="8"/>
        <v>Accumulated deficit</v>
      </c>
      <c r="L142" s="87"/>
      <c r="M142" s="87"/>
      <c r="N142" s="87"/>
      <c r="O142" s="87"/>
      <c r="P142" s="85"/>
      <c r="Q142" s="85"/>
      <c r="R142" s="85"/>
      <c r="S142" s="85"/>
      <c r="T142" s="85"/>
      <c r="U142" s="85"/>
      <c r="V142" s="85"/>
      <c r="W142" s="85"/>
      <c r="X142" s="85"/>
      <c r="Y142" s="85"/>
      <c r="Z142" s="85"/>
      <c r="AA142" s="85"/>
      <c r="AB142" s="85"/>
      <c r="AC142" s="85"/>
    </row>
    <row r="143" spans="1:29" hidden="1" outlineLevel="1" x14ac:dyDescent="0.25">
      <c r="A143" s="1389" t="str">
        <f>COA!B144</f>
        <v>6041 Travel Meals</v>
      </c>
      <c r="B143" s="1390">
        <f>_xlfn.XLOOKUP(A143,'TB.2 - F24'!A:A,'TB.2 - F24'!D:D,0,0,1)</f>
        <v>0</v>
      </c>
      <c r="C143" s="1390" t="e">
        <f>_xlfn.XLOOKUP(A143,'TB.2 - F24'!A:A,'TB.2 - F24'!J:J,0,0,1)</f>
        <v>#REF!</v>
      </c>
      <c r="D143" s="1390">
        <f>_xlfn.XLOOKUP(A143,'AJE.2 - F24'!A:A,'AJE.2 - F24'!F:F,0,0,1)</f>
        <v>0</v>
      </c>
      <c r="E143" s="1390"/>
      <c r="F143" s="219" t="e">
        <f t="shared" si="7"/>
        <v>#REF!</v>
      </c>
      <c r="G143" s="178" t="str">
        <f>_xlfn.XLOOKUP($A143,COA!$B:$B,COA!$C:$C,0,0,1)</f>
        <v>General and administration</v>
      </c>
      <c r="H143" s="178" t="str">
        <f>_xlfn.XLOOKUP($A143,COA!$B:$B,COA!$D:$D,0,0,1)</f>
        <v>Travel expenses</v>
      </c>
      <c r="I143" s="178" t="str">
        <f>_xlfn.XLOOKUP($A143,COA!$B:$B,COA!$E:$E,0,0,1)</f>
        <v>Accumulated deficit</v>
      </c>
      <c r="K143" s="85" t="str">
        <f t="shared" si="8"/>
        <v>Accumulated deficit</v>
      </c>
      <c r="L143" s="87"/>
      <c r="M143" s="87"/>
      <c r="N143" s="87"/>
      <c r="O143" s="87"/>
      <c r="P143" s="85"/>
      <c r="Q143" s="85"/>
      <c r="R143" s="85"/>
      <c r="S143" s="85"/>
      <c r="T143" s="85"/>
      <c r="U143" s="85"/>
      <c r="V143" s="85"/>
      <c r="W143" s="85"/>
      <c r="X143" s="85"/>
      <c r="Y143" s="85"/>
      <c r="Z143" s="85"/>
      <c r="AA143" s="85"/>
      <c r="AB143" s="85"/>
      <c r="AC143" s="85"/>
    </row>
    <row r="144" spans="1:29" hidden="1" outlineLevel="1" x14ac:dyDescent="0.25">
      <c r="A144" s="1389" t="str">
        <f>COA!B145</f>
        <v>6042 Travel</v>
      </c>
      <c r="B144" s="1390">
        <f>_xlfn.XLOOKUP(A144,'TB.2 - F24'!A:A,'TB.2 - F24'!D:D,0,0,1)</f>
        <v>464.52</v>
      </c>
      <c r="C144" s="1390" t="e">
        <f>_xlfn.XLOOKUP(A144,'TB.2 - F24'!A:A,'TB.2 - F24'!J:J,0,0,1)</f>
        <v>#REF!</v>
      </c>
      <c r="D144" s="1390">
        <f>_xlfn.XLOOKUP(A144,'AJE.2 - F24'!A:A,'AJE.2 - F24'!F:F,0,0,1)</f>
        <v>0</v>
      </c>
      <c r="E144" s="1390"/>
      <c r="F144" s="219" t="e">
        <f t="shared" si="7"/>
        <v>#REF!</v>
      </c>
      <c r="G144" s="178" t="str">
        <f>_xlfn.XLOOKUP($A144,COA!$B:$B,COA!$C:$C,0,0,1)</f>
        <v>General and administration</v>
      </c>
      <c r="H144" s="178" t="str">
        <f>_xlfn.XLOOKUP($A144,COA!$B:$B,COA!$D:$D,0,0,1)</f>
        <v>Travel expenses</v>
      </c>
      <c r="I144" s="178" t="str">
        <f>_xlfn.XLOOKUP($A144,COA!$B:$B,COA!$E:$E,0,0,1)</f>
        <v>Accumulated deficit</v>
      </c>
      <c r="K144" s="85" t="str">
        <f t="shared" si="8"/>
        <v>Accumulated deficit</v>
      </c>
      <c r="L144" s="87"/>
      <c r="M144" s="87"/>
      <c r="N144" s="87"/>
      <c r="O144" s="87"/>
      <c r="P144" s="85"/>
      <c r="Q144" s="85"/>
      <c r="R144" s="85"/>
      <c r="S144" s="85"/>
      <c r="T144" s="85"/>
      <c r="U144" s="85"/>
      <c r="V144" s="85"/>
      <c r="W144" s="85"/>
      <c r="X144" s="85"/>
      <c r="Y144" s="85"/>
      <c r="Z144" s="85"/>
      <c r="AA144" s="85"/>
      <c r="AB144" s="85"/>
      <c r="AC144" s="85"/>
    </row>
    <row r="145" spans="1:29" hidden="1" outlineLevel="1" x14ac:dyDescent="0.25">
      <c r="A145" s="1389" t="str">
        <f>COA!B146</f>
        <v>6043 Transfer agent and regulatory expenses</v>
      </c>
      <c r="B145" s="1390">
        <f>_xlfn.XLOOKUP(A145,'TB.2 - F24'!A:A,'TB.2 - F24'!D:D,0,0,1)</f>
        <v>10700</v>
      </c>
      <c r="C145" s="1390">
        <f>_xlfn.XLOOKUP(A145,'TB.2 - F24'!A:A,'TB.2 - F24'!J:J,0,0,1)</f>
        <v>0</v>
      </c>
      <c r="D145" s="1390">
        <f>_xlfn.XLOOKUP(A145,'AJE.2 - F24'!A:A,'AJE.2 - F24'!F:F,0,0,1)</f>
        <v>0</v>
      </c>
      <c r="E145" s="1390"/>
      <c r="F145" s="219">
        <f t="shared" si="7"/>
        <v>10700</v>
      </c>
      <c r="G145" s="178" t="str">
        <f>_xlfn.XLOOKUP($A145,COA!$B:$B,COA!$C:$C,0,0,1)</f>
        <v>General and administration</v>
      </c>
      <c r="H145" s="178" t="str">
        <f>_xlfn.XLOOKUP($A145,COA!$B:$B,COA!$D:$D,0,0,1)</f>
        <v>Transfer agent and regulatory expenses</v>
      </c>
      <c r="I145" s="178" t="str">
        <f>_xlfn.XLOOKUP($A145,COA!$B:$B,COA!$E:$E,0,0,1)</f>
        <v>Accumulated deficit</v>
      </c>
      <c r="K145" s="85" t="str">
        <f t="shared" si="8"/>
        <v>Accumulated deficit</v>
      </c>
      <c r="L145" s="87"/>
      <c r="M145" s="87"/>
      <c r="N145" s="87"/>
      <c r="O145" s="87"/>
      <c r="P145" s="85"/>
      <c r="Q145" s="85"/>
      <c r="R145" s="85"/>
      <c r="S145" s="85"/>
      <c r="T145" s="85"/>
      <c r="U145" s="85"/>
      <c r="V145" s="85"/>
      <c r="W145" s="85"/>
      <c r="X145" s="85"/>
      <c r="Y145" s="85"/>
      <c r="Z145" s="85"/>
      <c r="AA145" s="85"/>
      <c r="AB145" s="85"/>
      <c r="AC145" s="85"/>
    </row>
    <row r="146" spans="1:29" hidden="1" outlineLevel="1" x14ac:dyDescent="0.25">
      <c r="A146" s="1389" t="str">
        <f>COA!B147</f>
        <v>6050 Insurance</v>
      </c>
      <c r="B146" s="1390">
        <f>_xlfn.XLOOKUP(A146,'TB.2 - F24'!A:A,'TB.2 - F24'!D:D,0,0,1)</f>
        <v>23784.32</v>
      </c>
      <c r="C146" s="1390" t="e">
        <f>_xlfn.XLOOKUP(A146,'TB.2 - F24'!A:A,'TB.2 - F24'!J:J,0,0,1)</f>
        <v>#REF!</v>
      </c>
      <c r="D146" s="1390">
        <f>_xlfn.XLOOKUP(A146,'AJE.2 - F24'!A:A,'AJE.2 - F24'!F:F,0,0,1)</f>
        <v>0</v>
      </c>
      <c r="E146" s="1390"/>
      <c r="F146" s="219" t="e">
        <f t="shared" si="7"/>
        <v>#REF!</v>
      </c>
      <c r="G146" s="178" t="str">
        <f>_xlfn.XLOOKUP($A146,COA!$B:$B,COA!$C:$C,0,0,1)</f>
        <v>General and administration</v>
      </c>
      <c r="H146" s="178" t="str">
        <f>_xlfn.XLOOKUP($A146,COA!$B:$B,COA!$D:$D,0,0,1)</f>
        <v>Insurance</v>
      </c>
      <c r="I146" s="178" t="str">
        <f>_xlfn.XLOOKUP($A146,COA!$B:$B,COA!$E:$E,0,0,1)</f>
        <v>Accumulated deficit</v>
      </c>
      <c r="K146" s="85" t="str">
        <f t="shared" si="8"/>
        <v>Accumulated deficit</v>
      </c>
      <c r="L146" s="87"/>
      <c r="M146" s="87"/>
      <c r="N146" s="87"/>
      <c r="O146" s="87"/>
      <c r="P146" s="85"/>
      <c r="Q146" s="85"/>
      <c r="R146" s="85"/>
      <c r="S146" s="85"/>
      <c r="T146" s="85"/>
      <c r="U146" s="85"/>
      <c r="V146" s="85"/>
      <c r="W146" s="85"/>
      <c r="X146" s="85"/>
      <c r="Y146" s="85"/>
      <c r="Z146" s="85"/>
      <c r="AA146" s="85"/>
      <c r="AB146" s="85"/>
      <c r="AC146" s="85"/>
    </row>
    <row r="147" spans="1:29" hidden="1" outlineLevel="1" x14ac:dyDescent="0.25">
      <c r="A147" s="1389" t="str">
        <f>COA!B148</f>
        <v>6060 Office expenses</v>
      </c>
      <c r="B147" s="1390">
        <f>_xlfn.XLOOKUP(A147,'TB.2 - F24'!A:A,'TB.2 - F24'!D:D,0,0,1)</f>
        <v>928.16</v>
      </c>
      <c r="C147" s="1390">
        <f>_xlfn.XLOOKUP(A147,'TB.2 - F24'!A:A,'TB.2 - F24'!J:J,0,0,1)</f>
        <v>0</v>
      </c>
      <c r="D147" s="1390">
        <f>_xlfn.XLOOKUP(A147,'AJE.2 - F24'!A:A,'AJE.2 - F24'!F:F,0,0,1)</f>
        <v>0</v>
      </c>
      <c r="E147" s="1390"/>
      <c r="F147" s="219">
        <f t="shared" si="7"/>
        <v>928</v>
      </c>
      <c r="G147" s="178" t="str">
        <f>_xlfn.XLOOKUP($A147,COA!$B:$B,COA!$C:$C,0,0,1)</f>
        <v>General and administration</v>
      </c>
      <c r="H147" s="178" t="str">
        <f>_xlfn.XLOOKUP($A147,COA!$B:$B,COA!$D:$D,0,0,1)</f>
        <v>Office expenses</v>
      </c>
      <c r="I147" s="178" t="str">
        <f>_xlfn.XLOOKUP($A147,COA!$B:$B,COA!$E:$E,0,0,1)</f>
        <v>Accumulated deficit</v>
      </c>
      <c r="K147" s="85" t="str">
        <f t="shared" si="8"/>
        <v>Accumulated deficit</v>
      </c>
      <c r="L147" s="87"/>
      <c r="M147" s="87"/>
      <c r="N147" s="87"/>
      <c r="O147" s="87"/>
      <c r="P147" s="85"/>
      <c r="Q147" s="85"/>
      <c r="R147" s="85"/>
      <c r="S147" s="85"/>
      <c r="T147" s="85"/>
      <c r="U147" s="85"/>
      <c r="V147" s="85"/>
      <c r="W147" s="85"/>
      <c r="X147" s="85"/>
      <c r="Y147" s="85"/>
      <c r="Z147" s="85"/>
      <c r="AA147" s="85"/>
      <c r="AB147" s="85"/>
      <c r="AC147" s="85"/>
    </row>
    <row r="148" spans="1:29" hidden="1" outlineLevel="1" x14ac:dyDescent="0.25">
      <c r="A148" s="1389" t="str">
        <f>COA!B149</f>
        <v>6060 Repairs and Maintenance</v>
      </c>
      <c r="B148" s="1390">
        <f>_xlfn.XLOOKUP(A148,'TB.2 - F24'!A:A,'TB.2 - F24'!D:D,0,0,1)</f>
        <v>0</v>
      </c>
      <c r="C148" s="1390">
        <f>_xlfn.XLOOKUP(A148,'TB.2 - F24'!A:A,'TB.2 - F24'!J:J,0,0,1)</f>
        <v>0</v>
      </c>
      <c r="D148" s="1390">
        <f>_xlfn.XLOOKUP(A148,'AJE.2 - F24'!A:A,'AJE.2 - F24'!F:F,0,0,1)</f>
        <v>0</v>
      </c>
      <c r="E148" s="1390"/>
      <c r="F148" s="219">
        <f t="shared" si="7"/>
        <v>0</v>
      </c>
      <c r="G148" s="178" t="str">
        <f>_xlfn.XLOOKUP($A148,COA!$B:$B,COA!$C:$C,0,0,1)</f>
        <v>General and administration</v>
      </c>
      <c r="H148" s="178" t="str">
        <f>_xlfn.XLOOKUP($A148,COA!$B:$B,COA!$D:$D,0,0,1)</f>
        <v>Repairs and maintenance</v>
      </c>
      <c r="I148" s="178" t="str">
        <f>_xlfn.XLOOKUP($A148,COA!$B:$B,COA!$E:$E,0,0,1)</f>
        <v>Accumulated deficit</v>
      </c>
      <c r="K148" s="85" t="str">
        <f t="shared" si="8"/>
        <v>Accumulated deficit</v>
      </c>
      <c r="L148" s="87"/>
      <c r="M148" s="87"/>
      <c r="N148" s="87"/>
      <c r="O148" s="87"/>
      <c r="P148" s="85"/>
      <c r="Q148" s="85"/>
      <c r="R148" s="85"/>
      <c r="S148" s="85"/>
      <c r="T148" s="85"/>
      <c r="U148" s="85"/>
      <c r="V148" s="85"/>
      <c r="W148" s="85"/>
      <c r="X148" s="85"/>
      <c r="Y148" s="85"/>
      <c r="Z148" s="85"/>
      <c r="AA148" s="85"/>
      <c r="AB148" s="85"/>
      <c r="AC148" s="85"/>
    </row>
    <row r="149" spans="1:29" hidden="1" outlineLevel="1" x14ac:dyDescent="0.25">
      <c r="A149" s="1389" t="str">
        <f>COA!B150</f>
        <v>6061 Other general and administrative expenses</v>
      </c>
      <c r="B149" s="1390">
        <f>_xlfn.XLOOKUP(A149,'TB.2 - F24'!A:A,'TB.2 - F24'!D:D,0,0,1)</f>
        <v>0</v>
      </c>
      <c r="C149" s="1390">
        <f>_xlfn.XLOOKUP(A149,'TB.2 - F24'!A:A,'TB.2 - F24'!J:J,0,0,1)</f>
        <v>0</v>
      </c>
      <c r="D149" s="1390">
        <f>_xlfn.XLOOKUP(A149,'AJE.2 - F24'!A:A,'AJE.2 - F24'!F:F,0,0,1)</f>
        <v>0</v>
      </c>
      <c r="E149" s="1390"/>
      <c r="F149" s="219">
        <f t="shared" si="7"/>
        <v>0</v>
      </c>
      <c r="G149" s="178" t="str">
        <f>_xlfn.XLOOKUP($A149,COA!$B:$B,COA!$C:$C,0,0,1)</f>
        <v>General and administration</v>
      </c>
      <c r="H149" s="178" t="str">
        <f>_xlfn.XLOOKUP($A149,COA!$B:$B,COA!$D:$D,0,0,1)</f>
        <v>Other miscellaneous</v>
      </c>
      <c r="I149" s="178" t="str">
        <f>_xlfn.XLOOKUP($A149,COA!$B:$B,COA!$E:$E,0,0,1)</f>
        <v>Accumulated deficit</v>
      </c>
      <c r="K149" s="85" t="str">
        <f t="shared" si="8"/>
        <v>Accumulated deficit</v>
      </c>
      <c r="L149" s="87"/>
      <c r="M149" s="87"/>
      <c r="N149" s="87"/>
      <c r="O149" s="87"/>
      <c r="P149" s="85"/>
      <c r="Q149" s="85"/>
      <c r="R149" s="85"/>
      <c r="S149" s="85"/>
      <c r="T149" s="85"/>
      <c r="U149" s="85"/>
      <c r="V149" s="85"/>
      <c r="W149" s="85"/>
      <c r="X149" s="85"/>
      <c r="Y149" s="85"/>
      <c r="Z149" s="85"/>
      <c r="AA149" s="85"/>
      <c r="AB149" s="85"/>
      <c r="AC149" s="85"/>
    </row>
    <row r="150" spans="1:29" hidden="1" outlineLevel="1" x14ac:dyDescent="0.25">
      <c r="A150" s="1389" t="str">
        <f>COA!B151</f>
        <v>6065 Rent</v>
      </c>
      <c r="B150" s="1390">
        <f>_xlfn.XLOOKUP(A150,'TB.2 - F24'!A:A,'TB.2 - F24'!D:D,0,0,1)</f>
        <v>0</v>
      </c>
      <c r="C150" s="1390">
        <f>_xlfn.XLOOKUP(A150,'TB.2 - F24'!A:A,'TB.2 - F24'!J:J,0,0,1)</f>
        <v>0</v>
      </c>
      <c r="D150" s="1390">
        <f>_xlfn.XLOOKUP(A150,'AJE.2 - F24'!A:A,'AJE.2 - F24'!F:F,0,0,1)</f>
        <v>0</v>
      </c>
      <c r="E150" s="1390"/>
      <c r="F150" s="219">
        <f t="shared" si="7"/>
        <v>0</v>
      </c>
      <c r="G150" s="178" t="str">
        <f>_xlfn.XLOOKUP($A150,COA!$B:$B,COA!$C:$C,0,0,1)</f>
        <v>General and administration</v>
      </c>
      <c r="H150" s="178" t="str">
        <f>_xlfn.XLOOKUP($A150,COA!$B:$B,COA!$D:$D,0,0,1)</f>
        <v>Rent</v>
      </c>
      <c r="I150" s="178" t="str">
        <f>_xlfn.XLOOKUP($A150,COA!$B:$B,COA!$E:$E,0,0,1)</f>
        <v>Accumulated deficit</v>
      </c>
      <c r="K150" s="85" t="str">
        <f t="shared" si="8"/>
        <v>Accumulated deficit</v>
      </c>
      <c r="L150" s="87"/>
      <c r="M150" s="87"/>
      <c r="N150" s="87"/>
      <c r="O150" s="87"/>
      <c r="P150" s="85"/>
      <c r="Q150" s="85"/>
      <c r="R150" s="85"/>
      <c r="S150" s="85"/>
      <c r="T150" s="85"/>
      <c r="U150" s="85"/>
      <c r="V150" s="85"/>
      <c r="W150" s="85"/>
      <c r="X150" s="85"/>
      <c r="Y150" s="85"/>
      <c r="Z150" s="85"/>
      <c r="AA150" s="85"/>
      <c r="AB150" s="85"/>
      <c r="AC150" s="85"/>
    </row>
    <row r="151" spans="1:29" hidden="1" outlineLevel="1" x14ac:dyDescent="0.25">
      <c r="A151" s="1389" t="str">
        <f>COA!B152</f>
        <v>6066 Utilities</v>
      </c>
      <c r="B151" s="1390">
        <f>_xlfn.XLOOKUP(A151,'TB.2 - F24'!A:A,'TB.2 - F24'!D:D,0,0,1)</f>
        <v>0</v>
      </c>
      <c r="C151" s="1390">
        <f>_xlfn.XLOOKUP(A151,'TB.2 - F24'!A:A,'TB.2 - F24'!J:J,0,0,1)</f>
        <v>0</v>
      </c>
      <c r="D151" s="1390">
        <f>_xlfn.XLOOKUP(A151,'AJE.2 - F24'!A:A,'AJE.2 - F24'!F:F,0,0,1)</f>
        <v>0</v>
      </c>
      <c r="E151" s="1390"/>
      <c r="F151" s="219">
        <f t="shared" si="7"/>
        <v>0</v>
      </c>
      <c r="G151" s="178" t="str">
        <f>_xlfn.XLOOKUP($A151,COA!$B:$B,COA!$C:$C,0,0,1)</f>
        <v>General and administration</v>
      </c>
      <c r="H151" s="178" t="str">
        <f>_xlfn.XLOOKUP($A151,COA!$B:$B,COA!$D:$D,0,0,1)</f>
        <v>Utilities</v>
      </c>
      <c r="I151" s="178" t="str">
        <f>_xlfn.XLOOKUP($A151,COA!$B:$B,COA!$E:$E,0,0,1)</f>
        <v>Accumulated deficit</v>
      </c>
      <c r="K151" s="85" t="str">
        <f t="shared" si="8"/>
        <v>Accumulated deficit</v>
      </c>
      <c r="L151" s="87"/>
      <c r="M151" s="87"/>
      <c r="N151" s="87"/>
      <c r="O151" s="87"/>
      <c r="P151" s="85"/>
      <c r="Q151" s="85"/>
      <c r="R151" s="85"/>
      <c r="S151" s="85"/>
      <c r="T151" s="85"/>
      <c r="U151" s="85"/>
      <c r="V151" s="85"/>
      <c r="W151" s="85"/>
      <c r="X151" s="85"/>
      <c r="Y151" s="85"/>
      <c r="Z151" s="85"/>
      <c r="AA151" s="85"/>
      <c r="AB151" s="85"/>
      <c r="AC151" s="85"/>
    </row>
    <row r="152" spans="1:29" hidden="1" outlineLevel="1" x14ac:dyDescent="0.25">
      <c r="A152" s="1389" t="str">
        <f>COA!B153</f>
        <v>6068 Shipping, Freight, and Delivery</v>
      </c>
      <c r="B152" s="1390">
        <f>_xlfn.XLOOKUP(A152,'TB.2 - F24'!A:A,'TB.2 - F24'!D:D,0,0,1)</f>
        <v>0</v>
      </c>
      <c r="C152" s="1390" t="e">
        <f>_xlfn.XLOOKUP(A152,'TB.2 - F24'!A:A,'TB.2 - F24'!J:J,0,0,1)</f>
        <v>#REF!</v>
      </c>
      <c r="D152" s="1390">
        <f>_xlfn.XLOOKUP(A152,'AJE.2 - F24'!A:A,'AJE.2 - F24'!F:F,0,0,1)</f>
        <v>0</v>
      </c>
      <c r="E152" s="1390"/>
      <c r="F152" s="219" t="e">
        <f t="shared" si="7"/>
        <v>#REF!</v>
      </c>
      <c r="G152" s="178" t="str">
        <f>_xlfn.XLOOKUP($A152,COA!$B:$B,COA!$C:$C,0,0,1)</f>
        <v>General and administration</v>
      </c>
      <c r="H152" s="178" t="str">
        <f>_xlfn.XLOOKUP($A152,COA!$B:$B,COA!$D:$D,0,0,1)</f>
        <v>Shipping expense</v>
      </c>
      <c r="I152" s="178" t="str">
        <f>_xlfn.XLOOKUP($A152,COA!$B:$B,COA!$E:$E,0,0,1)</f>
        <v>Accumulated deficit</v>
      </c>
      <c r="K152" s="85" t="str">
        <f t="shared" si="8"/>
        <v>Accumulated deficit</v>
      </c>
      <c r="L152" s="87"/>
      <c r="M152" s="87"/>
      <c r="N152" s="87"/>
      <c r="O152" s="87"/>
      <c r="P152" s="85"/>
      <c r="Q152" s="85"/>
      <c r="R152" s="85"/>
      <c r="S152" s="85"/>
      <c r="T152" s="85"/>
      <c r="U152" s="85"/>
      <c r="V152" s="85"/>
      <c r="W152" s="85"/>
      <c r="X152" s="85"/>
      <c r="Y152" s="85"/>
      <c r="Z152" s="85"/>
      <c r="AA152" s="85"/>
      <c r="AB152" s="85"/>
      <c r="AC152" s="85"/>
    </row>
    <row r="153" spans="1:29" hidden="1" outlineLevel="1" x14ac:dyDescent="0.25">
      <c r="A153" s="1389" t="str">
        <f>COA!B154</f>
        <v>6070 Office Supplies</v>
      </c>
      <c r="B153" s="1390">
        <f>_xlfn.XLOOKUP(A153,'TB.2 - F24'!A:A,'TB.2 - F24'!D:D,0,0,1)</f>
        <v>0</v>
      </c>
      <c r="C153" s="1390" t="e">
        <f>_xlfn.XLOOKUP(A153,'TB.2 - F24'!A:A,'TB.2 - F24'!J:J,0,0,1)</f>
        <v>#REF!</v>
      </c>
      <c r="D153" s="1390">
        <f>_xlfn.XLOOKUP(A153,'AJE.2 - F24'!A:A,'AJE.2 - F24'!F:F,0,0,1)</f>
        <v>0</v>
      </c>
      <c r="E153" s="1390"/>
      <c r="F153" s="219" t="e">
        <f t="shared" si="7"/>
        <v>#REF!</v>
      </c>
      <c r="G153" s="178" t="str">
        <f>_xlfn.XLOOKUP($A153,COA!$B:$B,COA!$C:$C,0,0,1)</f>
        <v>General and administration</v>
      </c>
      <c r="H153" s="178" t="str">
        <f>_xlfn.XLOOKUP($A153,COA!$B:$B,COA!$D:$D,0,0,1)</f>
        <v>Office expenses</v>
      </c>
      <c r="I153" s="178" t="str">
        <f>_xlfn.XLOOKUP($A153,COA!$B:$B,COA!$E:$E,0,0,1)</f>
        <v>Accumulated deficit</v>
      </c>
      <c r="K153" s="85" t="str">
        <f t="shared" si="8"/>
        <v>Accumulated deficit</v>
      </c>
      <c r="L153" s="87"/>
      <c r="M153" s="87"/>
      <c r="N153" s="87"/>
      <c r="O153" s="87"/>
      <c r="P153" s="85"/>
      <c r="Q153" s="85"/>
      <c r="R153" s="85"/>
      <c r="S153" s="85"/>
      <c r="T153" s="85"/>
      <c r="U153" s="85"/>
      <c r="V153" s="85"/>
      <c r="W153" s="85"/>
      <c r="X153" s="85"/>
      <c r="Y153" s="85"/>
      <c r="Z153" s="85"/>
      <c r="AA153" s="85"/>
      <c r="AB153" s="85"/>
      <c r="AC153" s="85"/>
    </row>
    <row r="154" spans="1:29" hidden="1" outlineLevel="1" x14ac:dyDescent="0.25">
      <c r="A154" s="1389" t="str">
        <f>COA!B155</f>
        <v>6075 Minor shop tools</v>
      </c>
      <c r="B154" s="1390">
        <f>_xlfn.XLOOKUP(A154,'TB.2 - F24'!A:A,'TB.2 - F24'!D:D,0,0,1)</f>
        <v>0</v>
      </c>
      <c r="C154" s="1390">
        <f>_xlfn.XLOOKUP(A154,'TB.2 - F24'!A:A,'TB.2 - F24'!J:J,0,0,1)</f>
        <v>1028.5899999999999</v>
      </c>
      <c r="D154" s="1390">
        <f>_xlfn.XLOOKUP(A154,'AJE.2 - F24'!A:A,'AJE.2 - F24'!F:F,0,0,1)</f>
        <v>0</v>
      </c>
      <c r="E154" s="1390"/>
      <c r="F154" s="219">
        <f t="shared" si="7"/>
        <v>1029</v>
      </c>
      <c r="G154" s="178" t="str">
        <f>_xlfn.XLOOKUP($A154,COA!$B:$B,COA!$C:$C,0,0,1)</f>
        <v>General and administration</v>
      </c>
      <c r="H154" s="178" t="str">
        <f>_xlfn.XLOOKUP($A154,COA!$B:$B,COA!$D:$D,0,0,1)</f>
        <v>Shop supplies</v>
      </c>
      <c r="I154" s="178" t="str">
        <f>_xlfn.XLOOKUP($A154,COA!$B:$B,COA!$E:$E,0,0,1)</f>
        <v>Accumulated deficit</v>
      </c>
      <c r="K154" s="85" t="str">
        <f t="shared" si="8"/>
        <v>Accumulated deficit</v>
      </c>
      <c r="L154" s="87"/>
      <c r="M154" s="87"/>
      <c r="N154" s="87"/>
      <c r="O154" s="87"/>
      <c r="P154" s="85"/>
      <c r="Q154" s="85"/>
      <c r="R154" s="85"/>
      <c r="S154" s="85"/>
      <c r="T154" s="85"/>
      <c r="U154" s="85"/>
      <c r="V154" s="85"/>
      <c r="W154" s="85"/>
      <c r="X154" s="85"/>
      <c r="Y154" s="85"/>
      <c r="Z154" s="85"/>
      <c r="AA154" s="85"/>
      <c r="AB154" s="85"/>
      <c r="AC154" s="85"/>
    </row>
    <row r="155" spans="1:29" hidden="1" outlineLevel="1" x14ac:dyDescent="0.25">
      <c r="A155" s="1389" t="str">
        <f>COA!B156</f>
        <v>6076 Disposal/Landfill</v>
      </c>
      <c r="B155" s="1390">
        <f>_xlfn.XLOOKUP(A155,'TB.2 - F24'!A:A,'TB.2 - F24'!D:D,0,0,1)</f>
        <v>0</v>
      </c>
      <c r="C155" s="1390">
        <f>_xlfn.XLOOKUP(A155,'TB.2 - F24'!A:A,'TB.2 - F24'!J:J,0,0,1)</f>
        <v>0</v>
      </c>
      <c r="D155" s="1390">
        <f>_xlfn.XLOOKUP(A155,'AJE.2 - F24'!A:A,'AJE.2 - F24'!F:F,0,0,1)</f>
        <v>0</v>
      </c>
      <c r="E155" s="1390"/>
      <c r="F155" s="219">
        <f t="shared" si="7"/>
        <v>0</v>
      </c>
      <c r="G155" s="178" t="str">
        <f>_xlfn.XLOOKUP($A155,COA!$B:$B,COA!$C:$C,0,0,1)</f>
        <v>General and administration</v>
      </c>
      <c r="H155" s="178" t="str">
        <f>_xlfn.XLOOKUP($A155,COA!$B:$B,COA!$D:$D,0,0,1)</f>
        <v>Other miscellaneous</v>
      </c>
      <c r="I155" s="178" t="str">
        <f>_xlfn.XLOOKUP($A155,COA!$B:$B,COA!$E:$E,0,0,1)</f>
        <v>Accumulated deficit</v>
      </c>
      <c r="K155" s="85" t="str">
        <f t="shared" si="8"/>
        <v>Accumulated deficit</v>
      </c>
      <c r="L155" s="87"/>
      <c r="M155" s="87"/>
      <c r="N155" s="87"/>
      <c r="O155" s="87"/>
      <c r="P155" s="85"/>
      <c r="Q155" s="85"/>
      <c r="R155" s="85"/>
      <c r="S155" s="85"/>
      <c r="T155" s="85"/>
      <c r="U155" s="85"/>
      <c r="V155" s="85"/>
      <c r="W155" s="85"/>
      <c r="X155" s="85"/>
      <c r="Y155" s="85"/>
      <c r="Z155" s="85"/>
      <c r="AA155" s="85"/>
      <c r="AB155" s="85"/>
      <c r="AC155" s="85"/>
    </row>
    <row r="156" spans="1:29" hidden="1" outlineLevel="1" x14ac:dyDescent="0.25">
      <c r="A156" s="1389" t="str">
        <f>COA!B157</f>
        <v>6080 PST Expense (BC)</v>
      </c>
      <c r="B156" s="1390">
        <f>_xlfn.XLOOKUP(A156,'TB.2 - F24'!A:A,'TB.2 - F24'!D:D,0,0,1)</f>
        <v>0</v>
      </c>
      <c r="C156" s="1390">
        <f>_xlfn.XLOOKUP(A156,'TB.2 - F24'!A:A,'TB.2 - F24'!J:J,0,0,1)</f>
        <v>0</v>
      </c>
      <c r="D156" s="1390">
        <f>_xlfn.XLOOKUP(A156,'AJE.2 - F24'!A:A,'AJE.2 - F24'!F:F,0,0,1)</f>
        <v>0</v>
      </c>
      <c r="E156" s="1390"/>
      <c r="F156" s="219">
        <f t="shared" si="7"/>
        <v>0</v>
      </c>
      <c r="G156" s="178" t="str">
        <f>_xlfn.XLOOKUP($A156,COA!$B:$B,COA!$C:$C,0,0,1)</f>
        <v>General and administration</v>
      </c>
      <c r="H156" s="178" t="str">
        <f>_xlfn.XLOOKUP($A156,COA!$B:$B,COA!$D:$D,0,0,1)</f>
        <v>Taxes and licenses</v>
      </c>
      <c r="I156" s="178" t="str">
        <f>_xlfn.XLOOKUP($A156,COA!$B:$B,COA!$E:$E,0,0,1)</f>
        <v>Accumulated deficit</v>
      </c>
      <c r="K156" s="85" t="str">
        <f t="shared" si="8"/>
        <v>Accumulated deficit</v>
      </c>
      <c r="L156" s="87"/>
      <c r="M156" s="87"/>
      <c r="N156" s="87"/>
      <c r="O156" s="87"/>
      <c r="P156" s="85"/>
      <c r="Q156" s="85"/>
      <c r="R156" s="85"/>
      <c r="S156" s="85"/>
      <c r="T156" s="85"/>
      <c r="U156" s="85"/>
      <c r="V156" s="85"/>
      <c r="W156" s="85"/>
      <c r="X156" s="85"/>
      <c r="Y156" s="85"/>
      <c r="Z156" s="85"/>
      <c r="AA156" s="85"/>
      <c r="AB156" s="85"/>
      <c r="AC156" s="85"/>
    </row>
    <row r="157" spans="1:29" hidden="1" outlineLevel="1" x14ac:dyDescent="0.25">
      <c r="A157" s="1389" t="str">
        <f>COA!B158</f>
        <v>6080 Shop and other supplies</v>
      </c>
      <c r="B157" s="1390">
        <f>_xlfn.XLOOKUP(A157,'TB.2 - F24'!A:A,'TB.2 - F24'!D:D,0,0,1)</f>
        <v>0</v>
      </c>
      <c r="C157" s="1390" t="e">
        <f>_xlfn.XLOOKUP(A157,'TB.2 - F24'!A:A,'TB.2 - F24'!J:J,0,0,1)</f>
        <v>#REF!</v>
      </c>
      <c r="D157" s="1390">
        <f>_xlfn.XLOOKUP(A157,'AJE.2 - F24'!A:A,'AJE.2 - F24'!F:F,0,0,1)</f>
        <v>0</v>
      </c>
      <c r="E157" s="1390"/>
      <c r="F157" s="219" t="e">
        <f t="shared" si="7"/>
        <v>#REF!</v>
      </c>
      <c r="G157" s="178" t="str">
        <f>_xlfn.XLOOKUP($A157,COA!$B:$B,COA!$C:$C,0,0,1)</f>
        <v>General and administration</v>
      </c>
      <c r="H157" s="178" t="str">
        <f>_xlfn.XLOOKUP($A157,COA!$B:$B,COA!$D:$D,0,0,1)</f>
        <v>Shop supplies</v>
      </c>
      <c r="I157" s="178" t="str">
        <f>_xlfn.XLOOKUP($A157,COA!$B:$B,COA!$E:$E,0,0,1)</f>
        <v>Accumulated deficit</v>
      </c>
      <c r="K157" s="85" t="str">
        <f t="shared" si="8"/>
        <v>Accumulated deficit</v>
      </c>
      <c r="L157" s="87"/>
      <c r="M157" s="87"/>
      <c r="N157" s="87"/>
      <c r="O157" s="87"/>
      <c r="P157" s="85"/>
      <c r="Q157" s="85"/>
      <c r="R157" s="85"/>
      <c r="S157" s="85"/>
      <c r="T157" s="85"/>
      <c r="U157" s="85"/>
      <c r="V157" s="85"/>
      <c r="W157" s="85"/>
      <c r="X157" s="85"/>
      <c r="Y157" s="85"/>
      <c r="Z157" s="85"/>
      <c r="AA157" s="85"/>
      <c r="AB157" s="85"/>
      <c r="AC157" s="85"/>
    </row>
    <row r="158" spans="1:29" hidden="1" outlineLevel="1" x14ac:dyDescent="0.25">
      <c r="A158" s="1389" t="str">
        <f>COA!B159</f>
        <v>6085 Depreciation</v>
      </c>
      <c r="B158" s="1390">
        <f>_xlfn.XLOOKUP(A158,'TB.2 - F24'!A:A,'TB.2 - F24'!D:D,0,0,1)</f>
        <v>0</v>
      </c>
      <c r="C158" s="1390" t="e">
        <f>_xlfn.XLOOKUP(A158,'TB.2 - F24'!A:A,'TB.2 - F24'!J:J,0,0,1)</f>
        <v>#REF!</v>
      </c>
      <c r="D158" s="1390">
        <f>_xlfn.XLOOKUP(A158,'AJE.2 - F24'!A:A,'AJE.2 - F24'!F:F,0,0,1)</f>
        <v>1204016</v>
      </c>
      <c r="E158" s="1390"/>
      <c r="F158" s="219" t="e">
        <f t="shared" si="7"/>
        <v>#REF!</v>
      </c>
      <c r="G158" s="178" t="str">
        <f>_xlfn.XLOOKUP($A158,COA!$B:$B,COA!$C:$C,0,0,1)</f>
        <v>General and administration</v>
      </c>
      <c r="H158" s="178" t="str">
        <f>_xlfn.XLOOKUP($A158,COA!$B:$B,COA!$D:$D,0,0,1)</f>
        <v>Depreciation and amortization</v>
      </c>
      <c r="I158" s="178" t="str">
        <f>_xlfn.XLOOKUP($A158,COA!$B:$B,COA!$E:$E,0,0,1)</f>
        <v>Accumulated deficit</v>
      </c>
      <c r="K158" s="85" t="str">
        <f t="shared" si="8"/>
        <v>Accumulated deficit</v>
      </c>
      <c r="L158" s="87"/>
      <c r="M158" s="87"/>
      <c r="N158" s="87"/>
      <c r="O158" s="87"/>
      <c r="P158" s="85"/>
      <c r="Q158" s="85"/>
      <c r="R158" s="85"/>
      <c r="S158" s="85"/>
      <c r="T158" s="85"/>
      <c r="U158" s="85"/>
      <c r="V158" s="85"/>
      <c r="W158" s="85"/>
      <c r="X158" s="85"/>
      <c r="Y158" s="85"/>
      <c r="Z158" s="85"/>
      <c r="AA158" s="85"/>
      <c r="AB158" s="85"/>
      <c r="AC158" s="85"/>
    </row>
    <row r="159" spans="1:29" hidden="1" outlineLevel="1" x14ac:dyDescent="0.25">
      <c r="A159" s="1389" t="str">
        <f>COA!B160</f>
        <v>6090 Corporate Tax Expense</v>
      </c>
      <c r="B159" s="1390">
        <f>_xlfn.XLOOKUP(A159,'TB.2 - F24'!A:A,'TB.2 - F24'!D:D,0,0,1)</f>
        <v>0</v>
      </c>
      <c r="C159" s="1390">
        <f>_xlfn.XLOOKUP(A159,'TB.2 - F24'!A:A,'TB.2 - F24'!J:J,0,0,1)</f>
        <v>0</v>
      </c>
      <c r="D159" s="1390">
        <f>_xlfn.XLOOKUP(A159,'AJE.2 - F24'!A:A,'AJE.2 - F24'!F:F,0,0,1)</f>
        <v>0</v>
      </c>
      <c r="E159" s="1390"/>
      <c r="F159" s="219">
        <f t="shared" si="7"/>
        <v>0</v>
      </c>
      <c r="G159" s="178" t="str">
        <f>_xlfn.XLOOKUP($A159,COA!$B:$B,COA!$C:$C,0,0,1)</f>
        <v>General and administration</v>
      </c>
      <c r="H159" s="178" t="str">
        <f>_xlfn.XLOOKUP($A159,COA!$B:$B,COA!$D:$D,0,0,1)</f>
        <v>Current tax recovery (expense)</v>
      </c>
      <c r="I159" s="178" t="str">
        <f>_xlfn.XLOOKUP($A159,COA!$B:$B,COA!$E:$E,0,0,1)</f>
        <v>Accumulated deficit</v>
      </c>
      <c r="K159" s="85" t="str">
        <f t="shared" si="8"/>
        <v>Accumulated deficit</v>
      </c>
      <c r="L159" s="87"/>
      <c r="M159" s="87"/>
      <c r="N159" s="87"/>
      <c r="O159" s="87"/>
      <c r="P159" s="85"/>
      <c r="Q159" s="85"/>
      <c r="R159" s="85"/>
      <c r="S159" s="85"/>
      <c r="T159" s="85"/>
      <c r="U159" s="85"/>
      <c r="V159" s="85"/>
      <c r="W159" s="85"/>
      <c r="X159" s="85"/>
      <c r="Y159" s="85"/>
      <c r="Z159" s="85"/>
      <c r="AA159" s="85"/>
      <c r="AB159" s="85"/>
      <c r="AC159" s="85"/>
    </row>
    <row r="160" spans="1:29" hidden="1" outlineLevel="1" x14ac:dyDescent="0.25">
      <c r="A160" s="1389" t="str">
        <f>COA!B161</f>
        <v>6092 Penalties</v>
      </c>
      <c r="B160" s="1390">
        <f>_xlfn.XLOOKUP(A160,'TB.2 - F24'!A:A,'TB.2 - F24'!D:D,0,0,1)</f>
        <v>0</v>
      </c>
      <c r="C160" s="1390">
        <f>_xlfn.XLOOKUP(A160,'TB.2 - F24'!A:A,'TB.2 - F24'!J:J,0,0,1)</f>
        <v>0</v>
      </c>
      <c r="D160" s="1390">
        <f>_xlfn.XLOOKUP(A160,'AJE.2 - F24'!A:A,'AJE.2 - F24'!F:F,0,0,1)</f>
        <v>0</v>
      </c>
      <c r="E160" s="1390"/>
      <c r="F160" s="219">
        <f t="shared" si="7"/>
        <v>0</v>
      </c>
      <c r="G160" s="178" t="str">
        <f>_xlfn.XLOOKUP($A160,COA!$B:$B,COA!$C:$C,0,0,1)</f>
        <v>General and administration</v>
      </c>
      <c r="H160" s="178" t="str">
        <f>_xlfn.XLOOKUP($A160,COA!$B:$B,COA!$D:$D,0,0,1)</f>
        <v>Interest expense</v>
      </c>
      <c r="I160" s="178" t="str">
        <f>_xlfn.XLOOKUP($A160,COA!$B:$B,COA!$E:$E,0,0,1)</f>
        <v>Accumulated deficit</v>
      </c>
      <c r="K160" s="85" t="str">
        <f t="shared" si="8"/>
        <v>Accumulated deficit</v>
      </c>
      <c r="L160" s="87"/>
      <c r="M160" s="87"/>
      <c r="N160" s="87"/>
      <c r="O160" s="87"/>
      <c r="P160" s="85"/>
      <c r="Q160" s="85"/>
      <c r="R160" s="85"/>
      <c r="S160" s="85"/>
      <c r="T160" s="85"/>
      <c r="U160" s="85"/>
      <c r="V160" s="85"/>
      <c r="W160" s="85"/>
      <c r="X160" s="85"/>
      <c r="Y160" s="85"/>
      <c r="Z160" s="85"/>
      <c r="AA160" s="85"/>
      <c r="AB160" s="85"/>
      <c r="AC160" s="85"/>
    </row>
    <row r="161" spans="1:29" hidden="1" outlineLevel="1" x14ac:dyDescent="0.25">
      <c r="A161" s="1389" t="str">
        <f>COA!B162</f>
        <v>6092 Penalities</v>
      </c>
      <c r="B161" s="1390">
        <f>_xlfn.XLOOKUP(A161,'TB.2 - F24'!A:A,'TB.2 - F24'!D:D,0,0,1)</f>
        <v>0</v>
      </c>
      <c r="C161" s="1390">
        <f>_xlfn.XLOOKUP(A161,'TB.2 - F24'!A:A,'TB.2 - F24'!J:J,0,0,1)</f>
        <v>0</v>
      </c>
      <c r="D161" s="1390">
        <f>_xlfn.XLOOKUP(A161,'AJE.2 - F24'!A:A,'AJE.2 - F24'!F:F,0,0,1)</f>
        <v>0</v>
      </c>
      <c r="E161" s="1390"/>
      <c r="F161" s="219">
        <f t="shared" si="7"/>
        <v>0</v>
      </c>
      <c r="G161" s="178" t="str">
        <f>_xlfn.XLOOKUP($A161,COA!$B:$B,COA!$C:$C,0,0,1)</f>
        <v>General and administration</v>
      </c>
      <c r="H161" s="178" t="str">
        <f>_xlfn.XLOOKUP($A161,COA!$B:$B,COA!$D:$D,0,0,1)</f>
        <v xml:space="preserve">Interest and penalties </v>
      </c>
      <c r="I161" s="178" t="str">
        <f>_xlfn.XLOOKUP($A161,COA!$B:$B,COA!$E:$E,0,0,1)</f>
        <v>Accumulated deficit</v>
      </c>
      <c r="K161" s="85" t="str">
        <f t="shared" si="8"/>
        <v>Accumulated deficit</v>
      </c>
      <c r="L161" s="87"/>
      <c r="M161" s="87"/>
      <c r="N161" s="87"/>
      <c r="O161" s="87"/>
      <c r="P161" s="85"/>
      <c r="Q161" s="85"/>
      <c r="R161" s="85"/>
      <c r="S161" s="85"/>
      <c r="T161" s="85"/>
      <c r="U161" s="85"/>
      <c r="V161" s="85"/>
      <c r="W161" s="85"/>
      <c r="X161" s="85"/>
      <c r="Y161" s="85"/>
      <c r="Z161" s="85"/>
      <c r="AA161" s="85"/>
      <c r="AB161" s="85"/>
      <c r="AC161" s="85"/>
    </row>
    <row r="162" spans="1:29" hidden="1" outlineLevel="1" x14ac:dyDescent="0.25">
      <c r="A162" s="1389" t="str">
        <f>COA!B163</f>
        <v>6100 Listing expense</v>
      </c>
      <c r="B162" s="1390">
        <f>_xlfn.XLOOKUP(A162,'TB.2 - F24'!A:A,'TB.2 - F24'!D:D,0,0,1)</f>
        <v>0</v>
      </c>
      <c r="C162" s="1390">
        <f>_xlfn.XLOOKUP(A162,'TB.2 - F24'!A:A,'TB.2 - F24'!J:J,0,0,1)</f>
        <v>0</v>
      </c>
      <c r="D162" s="1390">
        <f>_xlfn.XLOOKUP(A162,'AJE.2 - F24'!A:A,'AJE.2 - F24'!F:F,0,0,1)</f>
        <v>0</v>
      </c>
      <c r="E162" s="1390"/>
      <c r="F162" s="219">
        <f t="shared" si="7"/>
        <v>0</v>
      </c>
      <c r="G162" s="178" t="str">
        <f>_xlfn.XLOOKUP($A162,COA!$B:$B,COA!$C:$C,0,0,1)</f>
        <v>General and administration</v>
      </c>
      <c r="H162" s="178" t="str">
        <f>_xlfn.XLOOKUP($A162,COA!$B:$B,COA!$D:$D,0,0,1)</f>
        <v>Listing expense</v>
      </c>
      <c r="I162" s="178" t="str">
        <f>_xlfn.XLOOKUP($A162,COA!$B:$B,COA!$E:$E,0,0,1)</f>
        <v>Accumulated deficit</v>
      </c>
      <c r="K162" s="85" t="str">
        <f t="shared" si="8"/>
        <v>Accumulated deficit</v>
      </c>
      <c r="L162" s="87"/>
      <c r="M162" s="87"/>
      <c r="N162" s="87"/>
      <c r="O162" s="87"/>
      <c r="P162" s="85"/>
      <c r="Q162" s="85"/>
      <c r="R162" s="85"/>
      <c r="S162" s="85"/>
      <c r="T162" s="85"/>
      <c r="U162" s="85"/>
      <c r="V162" s="85"/>
      <c r="W162" s="85"/>
      <c r="X162" s="85"/>
      <c r="Y162" s="85"/>
      <c r="Z162" s="85"/>
      <c r="AA162" s="85"/>
      <c r="AB162" s="85"/>
      <c r="AC162" s="85"/>
    </row>
    <row r="163" spans="1:29" hidden="1" outlineLevel="1" x14ac:dyDescent="0.25">
      <c r="A163" s="1389" t="str">
        <f>COA!B164</f>
        <v>6300 Unapplied Cash Bill Payment Expense</v>
      </c>
      <c r="B163" s="1390">
        <f>_xlfn.XLOOKUP(A163,'TB.2 - F24'!A:A,'TB.2 - F24'!D:D,0,0,1)</f>
        <v>0</v>
      </c>
      <c r="C163" s="1390">
        <f>_xlfn.XLOOKUP(A163,'TB.2 - F24'!A:A,'TB.2 - F24'!J:J,0,0,1)</f>
        <v>0</v>
      </c>
      <c r="D163" s="1390">
        <f>_xlfn.XLOOKUP(A163,'AJE.2 - F24'!A:A,'AJE.2 - F24'!F:F,0,0,1)</f>
        <v>0</v>
      </c>
      <c r="E163" s="1390"/>
      <c r="F163" s="219">
        <f t="shared" si="7"/>
        <v>0</v>
      </c>
      <c r="G163" s="178" t="str">
        <f>_xlfn.XLOOKUP($A163,COA!$B:$B,COA!$C:$C,0,0,1)</f>
        <v>General and administration</v>
      </c>
      <c r="H163" s="178" t="str">
        <f>_xlfn.XLOOKUP($A163,COA!$B:$B,COA!$D:$D,0,0,1)</f>
        <v>Other miscellaneous</v>
      </c>
      <c r="I163" s="178" t="str">
        <f>_xlfn.XLOOKUP($A163,COA!$B:$B,COA!$E:$E,0,0,1)</f>
        <v>Accumulated deficit</v>
      </c>
      <c r="K163" s="85" t="str">
        <f t="shared" si="8"/>
        <v>Accumulated deficit</v>
      </c>
      <c r="L163" s="87"/>
      <c r="M163" s="87"/>
      <c r="N163" s="87"/>
      <c r="O163" s="87"/>
      <c r="P163" s="85"/>
      <c r="Q163" s="85"/>
      <c r="R163" s="85"/>
      <c r="S163" s="85"/>
      <c r="T163" s="85"/>
      <c r="U163" s="85"/>
      <c r="V163" s="85"/>
      <c r="W163" s="85"/>
      <c r="X163" s="85"/>
      <c r="Y163" s="85"/>
      <c r="Z163" s="85"/>
      <c r="AA163" s="85"/>
      <c r="AB163" s="85"/>
      <c r="AC163" s="85"/>
    </row>
    <row r="164" spans="1:29" hidden="1" outlineLevel="1" x14ac:dyDescent="0.25">
      <c r="A164" s="1389" t="str">
        <f>COA!B165</f>
        <v>6300 Design and modeling</v>
      </c>
      <c r="B164" s="1390">
        <f>_xlfn.XLOOKUP(A164,'TB.2 - F24'!A:A,'TB.2 - F24'!D:D,0,0,1)</f>
        <v>0</v>
      </c>
      <c r="C164" s="1390">
        <f>_xlfn.XLOOKUP(A164,'TB.2 - F24'!A:A,'TB.2 - F24'!J:J,0,0,1)</f>
        <v>3646.21</v>
      </c>
      <c r="D164" s="1390">
        <f>_xlfn.XLOOKUP(A164,'AJE.2 - F24'!A:A,'AJE.2 - F24'!F:F,0,0,1)</f>
        <v>0</v>
      </c>
      <c r="E164" s="1390"/>
      <c r="F164" s="219">
        <f t="shared" si="7"/>
        <v>3646</v>
      </c>
      <c r="G164" s="178" t="str">
        <f>_xlfn.XLOOKUP($A164,COA!$B:$B,COA!$C:$C,0,0,1)</f>
        <v>General and administration</v>
      </c>
      <c r="H164" s="178" t="str">
        <f>_xlfn.XLOOKUP($A164,COA!$B:$B,COA!$D:$D,0,0,1)</f>
        <v>Other miscellaneous</v>
      </c>
      <c r="I164" s="178" t="str">
        <f>_xlfn.XLOOKUP($A164,COA!$B:$B,COA!$E:$E,0,0,1)</f>
        <v>Accumulated deficit</v>
      </c>
      <c r="K164" s="85" t="str">
        <f t="shared" si="8"/>
        <v>Accumulated deficit</v>
      </c>
      <c r="L164" s="87"/>
      <c r="M164" s="87"/>
      <c r="N164" s="87"/>
      <c r="O164" s="87"/>
      <c r="P164" s="85"/>
      <c r="Q164" s="85"/>
      <c r="R164" s="85"/>
      <c r="S164" s="85"/>
      <c r="T164" s="85"/>
      <c r="U164" s="85"/>
      <c r="V164" s="85"/>
      <c r="W164" s="85"/>
      <c r="X164" s="85"/>
      <c r="Y164" s="85"/>
      <c r="Z164" s="85"/>
      <c r="AA164" s="85"/>
      <c r="AB164" s="85"/>
      <c r="AC164" s="85"/>
    </row>
    <row r="165" spans="1:29" hidden="1" outlineLevel="1" x14ac:dyDescent="0.25">
      <c r="A165" s="1389" t="str">
        <f>COA!B166</f>
        <v>6350 Other labor costs</v>
      </c>
      <c r="B165" s="1390">
        <f>_xlfn.XLOOKUP(A165,'TB.2 - F24'!A:A,'TB.2 - F24'!D:D,0,0,1)</f>
        <v>0</v>
      </c>
      <c r="C165" s="1390">
        <f>_xlfn.XLOOKUP(A165,'TB.2 - F24'!A:A,'TB.2 - F24'!J:J,0,0,1)</f>
        <v>2024.57</v>
      </c>
      <c r="D165" s="1390">
        <f>_xlfn.XLOOKUP(A165,'AJE.2 - F24'!A:A,'AJE.2 - F24'!F:F,0,0,1)</f>
        <v>0</v>
      </c>
      <c r="E165" s="1390"/>
      <c r="F165" s="219">
        <f t="shared" si="7"/>
        <v>2025</v>
      </c>
      <c r="G165" s="178" t="str">
        <f>_xlfn.XLOOKUP($A165,COA!$B:$B,COA!$C:$C,0,0,1)</f>
        <v>General and administration</v>
      </c>
      <c r="H165" s="178" t="str">
        <f>_xlfn.XLOOKUP($A165,COA!$B:$B,COA!$D:$D,0,0,1)</f>
        <v>Other miscellaneous</v>
      </c>
      <c r="I165" s="178" t="str">
        <f>_xlfn.XLOOKUP($A165,COA!$B:$B,COA!$E:$E,0,0,1)</f>
        <v>Accumulated deficit</v>
      </c>
      <c r="K165" s="85" t="str">
        <f t="shared" si="8"/>
        <v>Accumulated deficit</v>
      </c>
      <c r="L165" s="87"/>
      <c r="M165" s="87"/>
      <c r="N165" s="87"/>
      <c r="O165" s="87"/>
      <c r="P165" s="85"/>
      <c r="Q165" s="85"/>
      <c r="R165" s="85"/>
      <c r="S165" s="85"/>
      <c r="T165" s="85"/>
      <c r="U165" s="85"/>
      <c r="V165" s="85"/>
      <c r="W165" s="85"/>
      <c r="X165" s="85"/>
      <c r="Y165" s="85"/>
      <c r="Z165" s="85"/>
      <c r="AA165" s="85"/>
      <c r="AB165" s="85"/>
      <c r="AC165" s="85"/>
    </row>
    <row r="166" spans="1:29" hidden="1" outlineLevel="1" x14ac:dyDescent="0.25">
      <c r="A166" s="1389" t="str">
        <f>COA!B167</f>
        <v>6997 Unapplied Cash Bill Payment Expense</v>
      </c>
      <c r="B166" s="1390">
        <f>_xlfn.XLOOKUP(A166,'TB.2 - F24'!A:A,'TB.2 - F24'!D:D,0,0,1)</f>
        <v>0</v>
      </c>
      <c r="C166" s="1390">
        <f>_xlfn.XLOOKUP(A166,'TB.2 - F24'!A:A,'TB.2 - F24'!J:J,0,0,1)</f>
        <v>0</v>
      </c>
      <c r="D166" s="1390">
        <f>_xlfn.XLOOKUP(A166,'AJE.2 - F24'!A:A,'AJE.2 - F24'!F:F,0,0,1)</f>
        <v>0</v>
      </c>
      <c r="E166" s="1390"/>
      <c r="F166" s="219">
        <f t="shared" si="7"/>
        <v>0</v>
      </c>
      <c r="G166" s="178" t="str">
        <f>_xlfn.XLOOKUP($A166,COA!$B:$B,COA!$C:$C,0,0,1)</f>
        <v>Other expenses</v>
      </c>
      <c r="H166" s="178" t="str">
        <f>_xlfn.XLOOKUP($A166,COA!$B:$B,COA!$D:$D,0,0,1)</f>
        <v>Other miscellaneous</v>
      </c>
      <c r="I166" s="178" t="str">
        <f>_xlfn.XLOOKUP($A166,COA!$B:$B,COA!$E:$E,0,0,1)</f>
        <v>Accumulated deficit</v>
      </c>
      <c r="K166" s="85" t="str">
        <f t="shared" si="8"/>
        <v>Accumulated deficit</v>
      </c>
      <c r="L166" s="87"/>
      <c r="M166" s="87"/>
      <c r="N166" s="87"/>
      <c r="O166" s="87"/>
      <c r="P166" s="85"/>
      <c r="Q166" s="85"/>
      <c r="R166" s="85"/>
      <c r="S166" s="85"/>
      <c r="T166" s="85"/>
      <c r="U166" s="85"/>
      <c r="V166" s="85"/>
      <c r="W166" s="85"/>
      <c r="X166" s="85"/>
      <c r="Y166" s="85"/>
      <c r="Z166" s="85"/>
      <c r="AA166" s="85"/>
      <c r="AB166" s="85"/>
      <c r="AC166" s="85"/>
    </row>
    <row r="167" spans="1:29" hidden="1" outlineLevel="1" x14ac:dyDescent="0.25">
      <c r="A167" s="1389" t="str">
        <f>COA!B168</f>
        <v>6998 Uncategorized Expense</v>
      </c>
      <c r="B167" s="1390">
        <f>_xlfn.XLOOKUP(A167,'TB.2 - F24'!A:A,'TB.2 - F24'!D:D,0,0,1)</f>
        <v>0</v>
      </c>
      <c r="C167" s="1390">
        <f>_xlfn.XLOOKUP(A167,'TB.2 - F24'!A:A,'TB.2 - F24'!J:J,0,0,1)</f>
        <v>0</v>
      </c>
      <c r="D167" s="1390">
        <f>_xlfn.XLOOKUP(A167,'AJE.2 - F24'!A:A,'AJE.2 - F24'!F:F,0,0,1)</f>
        <v>0</v>
      </c>
      <c r="E167" s="1390"/>
      <c r="F167" s="219">
        <f t="shared" si="7"/>
        <v>0</v>
      </c>
      <c r="G167" s="178" t="str">
        <f>_xlfn.XLOOKUP($A167,COA!$B:$B,COA!$C:$C,0,0,1)</f>
        <v>General and administration</v>
      </c>
      <c r="H167" s="178" t="str">
        <f>_xlfn.XLOOKUP($A167,COA!$B:$B,COA!$D:$D,0,0,1)</f>
        <v>Other miscellaneous</v>
      </c>
      <c r="I167" s="178" t="str">
        <f>_xlfn.XLOOKUP($A167,COA!$B:$B,COA!$E:$E,0,0,1)</f>
        <v>Accumulated deficit</v>
      </c>
      <c r="K167" s="85" t="str">
        <f t="shared" si="8"/>
        <v>Accumulated deficit</v>
      </c>
      <c r="L167" s="87"/>
      <c r="M167" s="87"/>
      <c r="N167" s="87"/>
      <c r="O167" s="87"/>
      <c r="P167" s="85"/>
      <c r="Q167" s="85"/>
      <c r="R167" s="85"/>
      <c r="S167" s="85"/>
      <c r="T167" s="85"/>
      <c r="U167" s="85"/>
      <c r="V167" s="85"/>
      <c r="W167" s="85"/>
      <c r="X167" s="85"/>
      <c r="Y167" s="85"/>
      <c r="Z167" s="85"/>
      <c r="AA167" s="85"/>
      <c r="AB167" s="85"/>
      <c r="AC167" s="85"/>
    </row>
    <row r="168" spans="1:29" hidden="1" outlineLevel="1" x14ac:dyDescent="0.25">
      <c r="A168" s="1389" t="str">
        <f>COA!B169</f>
        <v>6999 Miscellaneous</v>
      </c>
      <c r="B168" s="1390">
        <f>_xlfn.XLOOKUP(A168,'TB.2 - F24'!A:A,'TB.2 - F24'!D:D,0,0,1)</f>
        <v>0</v>
      </c>
      <c r="C168" s="1390" t="e">
        <f>_xlfn.XLOOKUP(A168,'TB.2 - F24'!A:A,'TB.2 - F24'!J:J,0,0,1)</f>
        <v>#REF!</v>
      </c>
      <c r="D168" s="1390">
        <f>_xlfn.XLOOKUP(A168,'AJE.2 - F24'!A:A,'AJE.2 - F24'!F:F,0,0,1)</f>
        <v>0</v>
      </c>
      <c r="E168" s="1390">
        <f>-E95</f>
        <v>2343</v>
      </c>
      <c r="F168" s="219" t="e">
        <f t="shared" ref="F168:F172" si="9">ROUND(SUM(B168:E168),0)</f>
        <v>#REF!</v>
      </c>
      <c r="G168" s="178" t="str">
        <f>_xlfn.XLOOKUP($A168,COA!$B:$B,COA!$C:$C,0,0,1)</f>
        <v>General and administration</v>
      </c>
      <c r="H168" s="178" t="str">
        <f>_xlfn.XLOOKUP($A168,COA!$B:$B,COA!$D:$D,0,0,1)</f>
        <v>Other miscellaneous</v>
      </c>
      <c r="I168" s="178" t="str">
        <f>_xlfn.XLOOKUP($A168,COA!$B:$B,COA!$E:$E,0,0,1)</f>
        <v>Accumulated deficit</v>
      </c>
      <c r="K168" s="85" t="str">
        <f t="shared" si="8"/>
        <v>Accumulated deficit</v>
      </c>
      <c r="L168" s="87"/>
      <c r="M168" s="87"/>
      <c r="N168" s="87"/>
      <c r="O168" s="87"/>
      <c r="P168" s="85"/>
      <c r="Q168" s="85"/>
      <c r="R168" s="85"/>
      <c r="S168" s="85"/>
      <c r="T168" s="85"/>
      <c r="U168" s="85"/>
      <c r="V168" s="85"/>
      <c r="W168" s="85"/>
      <c r="X168" s="85"/>
      <c r="Y168" s="85"/>
      <c r="Z168" s="85"/>
      <c r="AA168" s="85"/>
      <c r="AB168" s="85"/>
      <c r="AC168" s="85"/>
    </row>
    <row r="169" spans="1:29" hidden="1" outlineLevel="1" x14ac:dyDescent="0.25">
      <c r="A169" s="1389" t="str">
        <f>COA!B170</f>
        <v>7000 Reconciliation Discrepancies</v>
      </c>
      <c r="B169" s="1390">
        <f>_xlfn.XLOOKUP(A169,'TB.2 - F24'!A:A,'TB.2 - F24'!D:D,0,0,1)</f>
        <v>0</v>
      </c>
      <c r="C169" s="1390">
        <f>_xlfn.XLOOKUP(A169,'TB.2 - F24'!A:A,'TB.2 - F24'!J:J,0,0,1)</f>
        <v>0</v>
      </c>
      <c r="D169" s="1390">
        <f>_xlfn.XLOOKUP(A169,'AJE.2 - F24'!A:A,'AJE.2 - F24'!F:F,0,0,1)</f>
        <v>0</v>
      </c>
      <c r="E169" s="1390"/>
      <c r="F169" s="219">
        <f t="shared" si="9"/>
        <v>0</v>
      </c>
      <c r="G169" s="178" t="str">
        <f>_xlfn.XLOOKUP($A169,COA!$B:$B,COA!$C:$C,0,0,1)</f>
        <v>General and administration</v>
      </c>
      <c r="H169" s="178" t="str">
        <f>_xlfn.XLOOKUP($A169,COA!$B:$B,COA!$D:$D,0,0,1)</f>
        <v>Other miscellaneous</v>
      </c>
      <c r="I169" s="178" t="str">
        <f>_xlfn.XLOOKUP($A169,COA!$B:$B,COA!$E:$E,0,0,1)</f>
        <v>Accumulated deficit</v>
      </c>
      <c r="K169" s="85" t="str">
        <f t="shared" si="8"/>
        <v>Accumulated deficit</v>
      </c>
      <c r="L169" s="87"/>
      <c r="M169" s="87"/>
      <c r="N169" s="87"/>
      <c r="O169" s="87"/>
      <c r="P169" s="85"/>
      <c r="Q169" s="85"/>
      <c r="R169" s="85"/>
      <c r="S169" s="85"/>
      <c r="T169" s="85"/>
      <c r="U169" s="85"/>
      <c r="V169" s="85"/>
      <c r="W169" s="85"/>
      <c r="X169" s="85"/>
      <c r="Y169" s="85"/>
      <c r="Z169" s="85"/>
      <c r="AA169" s="85"/>
      <c r="AB169" s="85"/>
      <c r="AC169" s="85"/>
    </row>
    <row r="170" spans="1:29" hidden="1" outlineLevel="1" x14ac:dyDescent="0.25">
      <c r="A170" s="1389" t="str">
        <f>COA!B171</f>
        <v>8000 Exchange Gain or Loss</v>
      </c>
      <c r="B170" s="1390">
        <f>_xlfn.XLOOKUP(A170,'TB.2 - F24'!A:A,'TB.2 - F24'!D:D,0,0,1)</f>
        <v>0</v>
      </c>
      <c r="C170" s="1390" t="e">
        <f>_xlfn.XLOOKUP(A170,'TB.2 - F24'!A:A,'TB.2 - F24'!J:J,0,0,1)</f>
        <v>#REF!</v>
      </c>
      <c r="D170" s="1390">
        <f>_xlfn.XLOOKUP(A170,'AJE.2 - F24'!A:A,'AJE.2 - F24'!F:F,0,0,1)</f>
        <v>0</v>
      </c>
      <c r="E170" s="1390">
        <v>-25</v>
      </c>
      <c r="F170" s="219" t="e">
        <f t="shared" si="9"/>
        <v>#REF!</v>
      </c>
      <c r="G170" s="178" t="str">
        <f>_xlfn.XLOOKUP($A170,COA!$B:$B,COA!$C:$C,0,0,1)</f>
        <v>General and administration</v>
      </c>
      <c r="H170" s="178" t="str">
        <f>_xlfn.XLOOKUP($A170,COA!$B:$B,COA!$D:$D,0,0,1)</f>
        <v>Foreign exchange</v>
      </c>
      <c r="I170" s="178" t="str">
        <f>_xlfn.XLOOKUP($A170,COA!$B:$B,COA!$E:$E,0,0,1)</f>
        <v>Accumulated deficit</v>
      </c>
      <c r="K170" s="85" t="str">
        <f t="shared" si="8"/>
        <v>Accumulated deficit</v>
      </c>
      <c r="L170" s="87"/>
      <c r="M170" s="87"/>
      <c r="N170" s="87"/>
      <c r="O170" s="87"/>
      <c r="P170" s="85"/>
      <c r="Q170" s="85"/>
      <c r="R170" s="85"/>
      <c r="S170" s="85"/>
      <c r="T170" s="85"/>
      <c r="U170" s="85"/>
      <c r="V170" s="85"/>
      <c r="W170" s="85"/>
      <c r="X170" s="85"/>
      <c r="Y170" s="85"/>
      <c r="Z170" s="85"/>
      <c r="AA170" s="85"/>
      <c r="AB170" s="85"/>
      <c r="AC170" s="85"/>
    </row>
    <row r="171" spans="1:29" hidden="1" outlineLevel="1" x14ac:dyDescent="0.25">
      <c r="A171" s="1389" t="str">
        <f>COA!B172</f>
        <v>IMP1 - Warranty expense</v>
      </c>
      <c r="B171" s="1390">
        <f>_xlfn.XLOOKUP(A171,'TB.2 - F24'!A:A,'TB.2 - F24'!D:D,0,0,1)</f>
        <v>0</v>
      </c>
      <c r="C171" s="1390">
        <f>_xlfn.XLOOKUP(A171,'TB.2 - F24'!A:A,'TB.2 - F24'!J:J,0,0,1)</f>
        <v>0</v>
      </c>
      <c r="D171" s="1390">
        <f>_xlfn.XLOOKUP(A171,'AJE.2 - F24'!A:A,'AJE.2 - F24'!F:F,0,0,1)</f>
        <v>0</v>
      </c>
      <c r="E171" s="1390"/>
      <c r="F171" s="219">
        <f t="shared" si="9"/>
        <v>0</v>
      </c>
      <c r="G171" s="178" t="str">
        <f>_xlfn.XLOOKUP($A171,COA!$B:$B,COA!$C:$C,0,0,1)</f>
        <v>General and administration</v>
      </c>
      <c r="H171" s="178" t="str">
        <f>_xlfn.XLOOKUP($A171,COA!$B:$B,COA!$D:$D,0,0,1)</f>
        <v>Warranty expense</v>
      </c>
      <c r="I171" s="178" t="str">
        <f>_xlfn.XLOOKUP($A171,COA!$B:$B,COA!$E:$E,0,0,1)</f>
        <v>Accumulated deficit</v>
      </c>
      <c r="K171" s="85" t="str">
        <f t="shared" si="8"/>
        <v>Accumulated deficit</v>
      </c>
      <c r="L171" s="87"/>
      <c r="M171" s="87"/>
      <c r="N171" s="87"/>
      <c r="O171" s="87"/>
      <c r="P171" s="85"/>
      <c r="Q171" s="85"/>
      <c r="R171" s="85"/>
      <c r="S171" s="85"/>
      <c r="T171" s="85"/>
      <c r="U171" s="85"/>
      <c r="V171" s="85"/>
      <c r="W171" s="85"/>
      <c r="X171" s="85"/>
      <c r="Y171" s="85"/>
      <c r="Z171" s="85"/>
      <c r="AA171" s="85"/>
      <c r="AB171" s="85"/>
      <c r="AC171" s="85"/>
    </row>
    <row r="172" spans="1:29" hidden="1" outlineLevel="1" x14ac:dyDescent="0.25">
      <c r="A172" s="1389" t="str">
        <f>COA!B173</f>
        <v>IMP2 - Engineering expense</v>
      </c>
      <c r="B172" s="1390">
        <f>_xlfn.XLOOKUP(A172,'TB.2 - F24'!A:A,'TB.2 - F24'!D:D,0,0,1)</f>
        <v>0</v>
      </c>
      <c r="C172" s="1390">
        <f>_xlfn.XLOOKUP(A172,'TB.2 - F24'!A:A,'TB.2 - F24'!J:J,0,0,1)</f>
        <v>0</v>
      </c>
      <c r="D172" s="1390">
        <f>_xlfn.XLOOKUP(A172,'AJE.2 - F24'!A:A,'AJE.2 - F24'!F:F,0,0,1)</f>
        <v>0</v>
      </c>
      <c r="E172" s="1390"/>
      <c r="F172" s="219">
        <f t="shared" si="9"/>
        <v>0</v>
      </c>
      <c r="G172" s="178" t="str">
        <f>_xlfn.XLOOKUP($A172,COA!$B:$B,COA!$C:$C,0,0,1)</f>
        <v>General and administration</v>
      </c>
      <c r="H172" s="178" t="str">
        <f>_xlfn.XLOOKUP($A172,COA!$B:$B,COA!$D:$D,0,0,1)</f>
        <v>Engineering expense</v>
      </c>
      <c r="I172" s="178" t="str">
        <f>_xlfn.XLOOKUP($A172,COA!$B:$B,COA!$E:$E,0,0,1)</f>
        <v>Accumulated deficit</v>
      </c>
      <c r="K172" s="85" t="str">
        <f t="shared" si="8"/>
        <v>Accumulated deficit</v>
      </c>
      <c r="L172" s="87"/>
      <c r="M172" s="87"/>
      <c r="N172" s="87"/>
      <c r="O172" s="87"/>
      <c r="P172" s="85"/>
      <c r="Q172" s="85"/>
      <c r="R172" s="85"/>
      <c r="S172" s="85"/>
      <c r="T172" s="85"/>
      <c r="U172" s="85"/>
      <c r="V172" s="85"/>
      <c r="W172" s="85"/>
      <c r="X172" s="85"/>
      <c r="Y172" s="85"/>
      <c r="Z172" s="85"/>
      <c r="AA172" s="85"/>
      <c r="AB172" s="85"/>
      <c r="AC172" s="85"/>
    </row>
    <row r="173" spans="1:29" hidden="1" outlineLevel="1" x14ac:dyDescent="0.25">
      <c r="A173" s="1389" t="str">
        <f>COA!B174</f>
        <v>IMP3 - Commission expense</v>
      </c>
      <c r="B173" s="1390">
        <f>_xlfn.XLOOKUP(A173,'TB.2 - F24'!A:A,'TB.2 - F24'!D:D,0,0,1)</f>
        <v>0</v>
      </c>
      <c r="C173" s="1390">
        <f>_xlfn.XLOOKUP(A173,'TB.2 - F24'!A:A,'TB.2 - F24'!J:J,0,0,1)</f>
        <v>0</v>
      </c>
      <c r="D173" s="1390">
        <f>_xlfn.XLOOKUP(A173,'AJE.2 - F24'!A:A,'AJE.2 - F24'!F:F,0,0,1)</f>
        <v>0</v>
      </c>
      <c r="E173" s="1390"/>
      <c r="F173" s="219">
        <f t="shared" ref="F173:F177" si="10">ROUND(SUM(B173:E173),0)</f>
        <v>0</v>
      </c>
      <c r="G173" s="178" t="str">
        <f>_xlfn.XLOOKUP($A173,COA!$B:$B,COA!$C:$C,0,0,1)</f>
        <v>Cost of goods sold</v>
      </c>
      <c r="H173" s="178" t="str">
        <f>_xlfn.XLOOKUP($A173,COA!$B:$B,COA!$D:$D,0,0,1)</f>
        <v>Cost of goods sold</v>
      </c>
      <c r="I173" s="178" t="str">
        <f>_xlfn.XLOOKUP($A173,COA!$B:$B,COA!$E:$E,0,0,1)</f>
        <v>Accumulated deficit</v>
      </c>
      <c r="K173" s="85" t="str">
        <f t="shared" si="8"/>
        <v>Accumulated deficit</v>
      </c>
      <c r="L173" s="87"/>
      <c r="M173" s="87"/>
      <c r="N173" s="87"/>
      <c r="O173" s="87"/>
      <c r="P173" s="85"/>
      <c r="Q173" s="85"/>
      <c r="R173" s="85"/>
      <c r="S173" s="85"/>
      <c r="T173" s="85"/>
      <c r="U173" s="85"/>
      <c r="V173" s="85"/>
      <c r="W173" s="85"/>
      <c r="X173" s="85"/>
      <c r="Y173" s="85"/>
      <c r="Z173" s="85"/>
      <c r="AA173" s="85"/>
      <c r="AB173" s="85"/>
      <c r="AC173" s="85"/>
    </row>
    <row r="174" spans="1:29" hidden="1" outlineLevel="1" x14ac:dyDescent="0.25">
      <c r="A174" s="1389" t="str">
        <f>COA!B175</f>
        <v>IMP4 - Warranty Liability</v>
      </c>
      <c r="B174" s="1390">
        <f>_xlfn.XLOOKUP(A174,'TB.2 - F24'!A:A,'TB.2 - F24'!D:D,0,0,1)</f>
        <v>0</v>
      </c>
      <c r="C174" s="1390">
        <f>_xlfn.XLOOKUP(A174,'TB.2 - F24'!A:A,'TB.2 - F24'!J:J,0,0,1)</f>
        <v>0</v>
      </c>
      <c r="D174" s="1390">
        <f>_xlfn.XLOOKUP(A174,'AJE.2 - F24'!A:A,'AJE.2 - F24'!F:F,0,0,1)</f>
        <v>0</v>
      </c>
      <c r="E174" s="1390"/>
      <c r="F174" s="219">
        <f t="shared" si="10"/>
        <v>0</v>
      </c>
      <c r="G174" s="178" t="str">
        <f>_xlfn.XLOOKUP($A174,COA!$B:$B,COA!$C:$C,0,0,1)</f>
        <v>Warranty liability</v>
      </c>
      <c r="H174" s="178" t="str">
        <f>_xlfn.XLOOKUP($A174,COA!$B:$B,COA!$D:$D,0,0,1)</f>
        <v>Warranty liability</v>
      </c>
      <c r="I174" s="178" t="str">
        <f>_xlfn.XLOOKUP($A174,COA!$B:$B,COA!$E:$E,0,0,1)</f>
        <v>Warranty liability</v>
      </c>
      <c r="K174" s="85" t="str">
        <f t="shared" si="8"/>
        <v>Warranty liability</v>
      </c>
      <c r="L174" s="87"/>
      <c r="M174" s="87"/>
      <c r="N174" s="87"/>
      <c r="O174" s="87"/>
      <c r="P174" s="85"/>
      <c r="Q174" s="85"/>
      <c r="R174" s="85"/>
      <c r="S174" s="85"/>
      <c r="T174" s="85"/>
      <c r="U174" s="85"/>
      <c r="V174" s="85"/>
      <c r="W174" s="85"/>
      <c r="X174" s="85"/>
      <c r="Y174" s="85"/>
      <c r="Z174" s="85"/>
      <c r="AA174" s="85"/>
      <c r="AB174" s="85"/>
      <c r="AC174" s="85"/>
    </row>
    <row r="175" spans="1:29" hidden="1" outlineLevel="1" x14ac:dyDescent="0.25">
      <c r="A175" s="1389" t="str">
        <f>COA!B176</f>
        <v>IMP5 - R&amp;D</v>
      </c>
      <c r="B175" s="1390">
        <f>_xlfn.XLOOKUP(A175,'TB.2 - F24'!A:A,'TB.2 - F24'!D:D,0,0,1)</f>
        <v>0</v>
      </c>
      <c r="C175" s="1390">
        <f>_xlfn.XLOOKUP(A175,'TB.2 - F24'!A:A,'TB.2 - F24'!J:J,0,0,1)</f>
        <v>0</v>
      </c>
      <c r="D175" s="1390">
        <f>_xlfn.XLOOKUP(A175,'AJE.2 - F24'!A:A,'AJE.2 - F24'!F:F,0,0,1)</f>
        <v>0</v>
      </c>
      <c r="E175" s="1390"/>
      <c r="F175" s="219">
        <f t="shared" si="10"/>
        <v>0</v>
      </c>
      <c r="G175" s="178" t="str">
        <f>_xlfn.XLOOKUP($A175,COA!$B:$B,COA!$C:$C,0,0,1)</f>
        <v>General and administration</v>
      </c>
      <c r="H175" s="178" t="str">
        <f>_xlfn.XLOOKUP($A175,COA!$B:$B,COA!$D:$D,0,0,1)</f>
        <v>Other expenses</v>
      </c>
      <c r="I175" s="178" t="str">
        <f>_xlfn.XLOOKUP($A175,COA!$B:$B,COA!$E:$E,0,0,1)</f>
        <v>Accumulated deficit</v>
      </c>
      <c r="K175" s="85" t="str">
        <f t="shared" si="8"/>
        <v>Accumulated deficit</v>
      </c>
      <c r="L175" s="87"/>
      <c r="M175" s="87"/>
      <c r="N175" s="87"/>
      <c r="O175" s="87"/>
      <c r="P175" s="85"/>
      <c r="Q175" s="85"/>
      <c r="R175" s="85"/>
      <c r="S175" s="85"/>
      <c r="T175" s="85"/>
      <c r="U175" s="85"/>
      <c r="V175" s="85"/>
      <c r="W175" s="85"/>
      <c r="X175" s="85"/>
      <c r="Y175" s="85"/>
      <c r="Z175" s="85"/>
      <c r="AA175" s="85"/>
      <c r="AB175" s="85"/>
      <c r="AC175" s="85"/>
    </row>
    <row r="176" spans="1:29" hidden="1" outlineLevel="1" x14ac:dyDescent="0.25">
      <c r="A176" s="1389" t="str">
        <f>COA!B177</f>
        <v>IMP6 - Acquisition costs</v>
      </c>
      <c r="B176" s="1390">
        <f>_xlfn.XLOOKUP(A176,'TB.2 - F24'!A:A,'TB.2 - F24'!D:D,0,0,1)</f>
        <v>0</v>
      </c>
      <c r="C176" s="1390">
        <f>_xlfn.XLOOKUP(A176,'TB.2 - F24'!A:A,'TB.2 - F24'!J:J,0,0,1)</f>
        <v>0</v>
      </c>
      <c r="D176" s="1390">
        <f>_xlfn.XLOOKUP(A176,'AJE.2 - F24'!A:A,'AJE.2 - F24'!F:F,0,0,1)</f>
        <v>0</v>
      </c>
      <c r="E176" s="1390"/>
      <c r="F176" s="219">
        <f t="shared" si="10"/>
        <v>0</v>
      </c>
      <c r="G176" s="178" t="str">
        <f>_xlfn.XLOOKUP($A176,COA!$B:$B,COA!$C:$C,0,0,1)</f>
        <v>General and administration</v>
      </c>
      <c r="H176" s="178" t="str">
        <f>_xlfn.XLOOKUP($A176,COA!$B:$B,COA!$D:$D,0,0,1)</f>
        <v>Acquisition expense</v>
      </c>
      <c r="I176" s="178" t="str">
        <f>_xlfn.XLOOKUP($A176,COA!$B:$B,COA!$E:$E,0,0,1)</f>
        <v>Accumulated deficit</v>
      </c>
      <c r="K176" s="85" t="str">
        <f t="shared" si="8"/>
        <v>Accumulated deficit</v>
      </c>
      <c r="L176" s="87"/>
      <c r="M176" s="87"/>
      <c r="N176" s="87"/>
      <c r="O176" s="87"/>
      <c r="P176" s="85"/>
      <c r="Q176" s="85"/>
      <c r="R176" s="85"/>
      <c r="S176" s="85"/>
      <c r="T176" s="85"/>
      <c r="U176" s="85"/>
      <c r="V176" s="85"/>
      <c r="W176" s="85"/>
      <c r="X176" s="85"/>
      <c r="Y176" s="85"/>
      <c r="Z176" s="85"/>
      <c r="AA176" s="85"/>
      <c r="AB176" s="85"/>
      <c r="AC176" s="85"/>
    </row>
    <row r="177" spans="1:31" hidden="1" outlineLevel="1" x14ac:dyDescent="0.25">
      <c r="A177" s="1389" t="str">
        <f>COA!B178</f>
        <v>IMP9 - Share-based compensation</v>
      </c>
      <c r="B177" s="1390">
        <f>_xlfn.XLOOKUP(A177,'TB.2 - F24'!A:A,'TB.2 - F24'!D:D,0,0,1)</f>
        <v>0</v>
      </c>
      <c r="C177" s="1390">
        <f>_xlfn.XLOOKUP(A177,'TB.2 - F24'!A:A,'TB.2 - F24'!J:J,0,0,1)</f>
        <v>0</v>
      </c>
      <c r="D177" s="1390">
        <f>_xlfn.XLOOKUP(A177,'AJE.2 - F24'!A:A,'AJE.2 - F24'!F:F,0,0,1)</f>
        <v>0</v>
      </c>
      <c r="E177" s="1390"/>
      <c r="F177" s="219">
        <f t="shared" si="10"/>
        <v>0</v>
      </c>
      <c r="G177" s="178" t="str">
        <f>_xlfn.XLOOKUP($A177,COA!$B:$B,COA!$C:$C,0,0,1)</f>
        <v>General and administration</v>
      </c>
      <c r="H177" s="178" t="str">
        <f>_xlfn.XLOOKUP($A177,COA!$B:$B,COA!$D:$D,0,0,1)</f>
        <v>Share based compensation</v>
      </c>
      <c r="I177" s="178" t="str">
        <f>_xlfn.XLOOKUP($A177,COA!$B:$B,COA!$E:$E,0,0,1)</f>
        <v>Accumulated deficit</v>
      </c>
      <c r="K177" s="85" t="str">
        <f t="shared" si="8"/>
        <v>Accumulated deficit</v>
      </c>
      <c r="L177" s="87"/>
      <c r="M177" s="87"/>
      <c r="N177" s="87"/>
      <c r="O177" s="87"/>
      <c r="P177" s="85"/>
      <c r="Q177" s="85"/>
      <c r="R177" s="85"/>
      <c r="S177" s="85"/>
      <c r="T177" s="85"/>
      <c r="U177" s="85"/>
      <c r="V177" s="85"/>
      <c r="W177" s="85"/>
      <c r="X177" s="85"/>
      <c r="Y177" s="85"/>
      <c r="Z177" s="85"/>
      <c r="AA177" s="85"/>
      <c r="AB177" s="85"/>
      <c r="AC177" s="85"/>
    </row>
    <row r="178" spans="1:31" outlineLevel="1" x14ac:dyDescent="0.25">
      <c r="A178" s="1389" t="str">
        <f>COA!B179</f>
        <v>6200 Accretion expense</v>
      </c>
      <c r="B178" s="1390">
        <f>_xlfn.XLOOKUP(A178,'TB.2 - F24'!A:A,'TB.2 - F24'!D:D,0,0,1)</f>
        <v>24938.14</v>
      </c>
      <c r="C178" s="1390">
        <f>_xlfn.XLOOKUP(A178,'TB.2 - F24'!A:A,'TB.2 - F24'!J:J,0,0,1)</f>
        <v>0</v>
      </c>
      <c r="D178" s="1390">
        <f>_xlfn.XLOOKUP(A178,'AJE.2 - F24'!A:A,'AJE.2 - F24'!F:F,0,0,1)</f>
        <v>0</v>
      </c>
      <c r="E178" s="1390"/>
      <c r="F178" s="219">
        <f>ROUND(SUM(B178:E178),0)</f>
        <v>24938</v>
      </c>
      <c r="G178" s="178" t="str">
        <f>_xlfn.XLOOKUP($A178,COA!$B:$B,COA!$C:$C,0,0,1)</f>
        <v>Net financial expenses</v>
      </c>
      <c r="H178" s="178" t="str">
        <f>_xlfn.XLOOKUP($A178,COA!$B:$B,COA!$D:$D,0,0,1)</f>
        <v>Net financial expenses</v>
      </c>
      <c r="I178" s="178" t="str">
        <f>_xlfn.XLOOKUP($A178,COA!$B:$B,COA!$E:$E,0,0,1)</f>
        <v>Accumulated deficit</v>
      </c>
      <c r="K178" s="85" t="str">
        <f t="shared" si="8"/>
        <v>Accumulated deficit</v>
      </c>
      <c r="L178" s="87"/>
      <c r="M178" s="87"/>
      <c r="N178" s="87"/>
      <c r="O178" s="87"/>
      <c r="P178" s="85"/>
      <c r="Q178" s="85"/>
      <c r="R178" s="85"/>
      <c r="S178" s="85"/>
      <c r="T178" s="85"/>
      <c r="U178" s="85"/>
      <c r="V178" s="85"/>
      <c r="W178" s="85"/>
      <c r="X178" s="85"/>
      <c r="Y178" s="85"/>
      <c r="Z178" s="85"/>
      <c r="AA178" s="85"/>
      <c r="AB178" s="85"/>
      <c r="AC178" s="85"/>
    </row>
    <row r="179" spans="1:31" outlineLevel="1" x14ac:dyDescent="0.25">
      <c r="A179" s="1389" t="str">
        <f>COA!B180</f>
        <v>6250 Finance expense</v>
      </c>
      <c r="B179" s="1390">
        <f>_xlfn.XLOOKUP(A179,'TB.2 - F24'!A:A,'TB.2 - F24'!D:D,0,0,1)</f>
        <v>-75000</v>
      </c>
      <c r="C179" s="1390">
        <f>_xlfn.XLOOKUP(A179,'TB.2 - F24'!A:A,'TB.2 - F24'!J:J,0,0,1)</f>
        <v>0</v>
      </c>
      <c r="D179" s="1390">
        <f>_xlfn.XLOOKUP(A179,'AJE.2 - F24'!A:A,'AJE.2 - F24'!F:F,0,0,1)</f>
        <v>0</v>
      </c>
      <c r="E179" s="1390"/>
      <c r="F179" s="219">
        <f>ROUND(SUM(B179:E179),0)</f>
        <v>-75000</v>
      </c>
      <c r="G179" s="178" t="str">
        <f>_xlfn.XLOOKUP($A179,COA!$B:$B,COA!$C:$C,0,0,1)</f>
        <v>Net financial expenses</v>
      </c>
      <c r="H179" s="178" t="str">
        <f>_xlfn.XLOOKUP($A179,COA!$B:$B,COA!$D:$D,0,0,1)</f>
        <v>Net financial expenses</v>
      </c>
      <c r="I179" s="178" t="str">
        <f>_xlfn.XLOOKUP($A179,COA!$B:$B,COA!$E:$E,0,0,1)</f>
        <v>Accumulated deficit</v>
      </c>
      <c r="K179" s="85" t="str">
        <f t="shared" si="8"/>
        <v>Accumulated deficit</v>
      </c>
      <c r="L179" s="87"/>
      <c r="M179" s="87"/>
      <c r="N179" s="87"/>
      <c r="O179" s="87"/>
      <c r="P179" s="85"/>
      <c r="Q179" s="85"/>
      <c r="R179" s="85"/>
      <c r="S179" s="85"/>
      <c r="T179" s="85"/>
      <c r="U179" s="85"/>
      <c r="V179" s="85"/>
      <c r="W179" s="85"/>
      <c r="X179" s="85"/>
      <c r="Y179" s="85"/>
      <c r="Z179" s="85"/>
      <c r="AA179" s="85"/>
      <c r="AB179" s="85"/>
      <c r="AC179" s="85"/>
    </row>
    <row r="180" spans="1:31" hidden="1" outlineLevel="1" x14ac:dyDescent="0.25">
      <c r="A180" s="1389"/>
      <c r="B180" s="1390">
        <f>_xlfn.XLOOKUP(A180,'TB.2 - F24'!A:A,'TB.2 - F24'!D:D,0,0,1)</f>
        <v>0</v>
      </c>
      <c r="C180" s="1390">
        <f>_xlfn.XLOOKUP(A180,'TB.2 - F24'!A:A,'TB.2 - F24'!J:J,0,0,1)</f>
        <v>0</v>
      </c>
      <c r="D180" s="1390"/>
      <c r="E180" s="1390"/>
      <c r="F180" s="219"/>
      <c r="G180" s="178"/>
      <c r="H180" s="178"/>
      <c r="I180" s="178"/>
      <c r="K180" s="85"/>
      <c r="L180" s="87"/>
      <c r="M180" s="87"/>
      <c r="N180" s="87"/>
      <c r="O180" s="87"/>
      <c r="P180" s="85"/>
      <c r="Q180" s="85"/>
      <c r="R180" s="85"/>
      <c r="S180" s="85"/>
      <c r="T180" s="85"/>
      <c r="U180" s="85"/>
      <c r="V180" s="85"/>
      <c r="W180" s="85"/>
      <c r="X180" s="85"/>
      <c r="Y180" s="85"/>
      <c r="Z180" s="85"/>
      <c r="AA180" s="85"/>
      <c r="AB180" s="85"/>
      <c r="AC180" s="85"/>
    </row>
    <row r="181" spans="1:31" hidden="1" x14ac:dyDescent="0.25">
      <c r="A181" s="1389"/>
      <c r="B181" s="1390"/>
      <c r="C181" s="1390">
        <f>_xlfn.XLOOKUP(A181,'TB.2 - F24'!A:A,'TB.2 - F24'!J:J,0,0,1)</f>
        <v>0</v>
      </c>
      <c r="D181" s="1390"/>
      <c r="E181" s="1390"/>
      <c r="F181" s="219"/>
      <c r="G181" s="178"/>
      <c r="H181" s="178"/>
      <c r="I181" s="178"/>
      <c r="K181" s="85"/>
      <c r="L181" s="85"/>
      <c r="M181" s="85"/>
      <c r="N181" s="85"/>
      <c r="O181" s="85"/>
      <c r="P181" s="85"/>
      <c r="Q181" s="85"/>
      <c r="R181" s="85"/>
      <c r="S181" s="85"/>
      <c r="T181" s="85"/>
      <c r="U181" s="85"/>
      <c r="V181" s="85"/>
      <c r="W181" s="85"/>
      <c r="X181" s="85"/>
      <c r="Y181" s="85"/>
      <c r="Z181" s="85"/>
      <c r="AA181" s="85"/>
      <c r="AB181" s="85"/>
      <c r="AC181" s="85"/>
      <c r="AE181" s="89" t="s">
        <v>19</v>
      </c>
    </row>
    <row r="182" spans="1:31" ht="12.6" hidden="1" thickBot="1" x14ac:dyDescent="0.35">
      <c r="A182" s="48" t="s">
        <v>0</v>
      </c>
      <c r="B182" s="49">
        <f>SUM(B8:B181)</f>
        <v>1.1641532182693481E-10</v>
      </c>
      <c r="C182" s="49" t="e">
        <f>SUM(C8:C181)</f>
        <v>#REF!</v>
      </c>
      <c r="D182" s="49">
        <f>SUM(D8:D181)</f>
        <v>0</v>
      </c>
      <c r="E182" s="49">
        <f>SUM(E8:E181)</f>
        <v>1</v>
      </c>
      <c r="F182" s="49" t="e">
        <f>SUM(F8:F181)</f>
        <v>#REF!</v>
      </c>
      <c r="G182" s="180"/>
      <c r="H182" s="48"/>
      <c r="I182" s="48"/>
      <c r="J182" s="19"/>
    </row>
    <row r="183" spans="1:31" x14ac:dyDescent="0.3">
      <c r="B183" s="19"/>
      <c r="C183" s="19"/>
      <c r="D183" s="19"/>
      <c r="E183" s="19"/>
      <c r="F183" s="19"/>
      <c r="G183" s="181"/>
      <c r="H183" s="19"/>
      <c r="I183" s="19"/>
      <c r="J183" s="19"/>
      <c r="K183" s="64">
        <f>EOMONTH(K184,-12)</f>
        <v>45107</v>
      </c>
      <c r="L183" s="45">
        <v>108180</v>
      </c>
      <c r="M183" s="45">
        <v>12375</v>
      </c>
      <c r="N183" s="45">
        <v>0</v>
      </c>
      <c r="O183" s="45">
        <v>0</v>
      </c>
      <c r="P183" s="45">
        <v>0</v>
      </c>
      <c r="Q183" s="45">
        <v>0</v>
      </c>
      <c r="R183" s="45">
        <v>556400</v>
      </c>
      <c r="S183" s="45">
        <v>0</v>
      </c>
      <c r="T183" s="45">
        <v>0</v>
      </c>
      <c r="U183" s="45">
        <v>-67678</v>
      </c>
      <c r="V183" s="45">
        <v>0</v>
      </c>
      <c r="W183" s="45">
        <v>0</v>
      </c>
      <c r="X183" s="45">
        <v>0</v>
      </c>
      <c r="Y183" s="45">
        <v>0</v>
      </c>
      <c r="Z183" s="45">
        <v>-900</v>
      </c>
      <c r="AA183" s="45">
        <v>-1774099</v>
      </c>
      <c r="AB183" s="45">
        <v>-308750</v>
      </c>
      <c r="AC183" s="45">
        <v>1474472</v>
      </c>
      <c r="AE183" s="1476">
        <f>SUM(L183:AC183)</f>
        <v>0</v>
      </c>
    </row>
    <row r="184" spans="1:31" x14ac:dyDescent="0.3">
      <c r="K184" s="64">
        <f>A2</f>
        <v>45473</v>
      </c>
      <c r="L184" s="45">
        <f t="shared" ref="L184:AC184" si="11">SUMIF($I:$I,L7,$F:$F)</f>
        <v>5604</v>
      </c>
      <c r="M184" s="45">
        <f t="shared" si="11"/>
        <v>0</v>
      </c>
      <c r="N184" s="45">
        <f t="shared" si="11"/>
        <v>0</v>
      </c>
      <c r="O184" s="45">
        <f t="shared" si="11"/>
        <v>30450</v>
      </c>
      <c r="P184" s="45">
        <f t="shared" si="11"/>
        <v>452364</v>
      </c>
      <c r="Q184" s="45">
        <f t="shared" si="11"/>
        <v>0</v>
      </c>
      <c r="R184" s="45">
        <f t="shared" si="11"/>
        <v>0</v>
      </c>
      <c r="S184" s="45">
        <f t="shared" si="11"/>
        <v>5341</v>
      </c>
      <c r="T184" s="45">
        <f t="shared" si="11"/>
        <v>5527806</v>
      </c>
      <c r="U184" s="45">
        <f t="shared" si="11"/>
        <v>-349791</v>
      </c>
      <c r="V184" s="45">
        <f t="shared" si="11"/>
        <v>0</v>
      </c>
      <c r="W184" s="45">
        <f t="shared" si="11"/>
        <v>-204577</v>
      </c>
      <c r="X184" s="45">
        <f t="shared" si="11"/>
        <v>0</v>
      </c>
      <c r="Y184" s="45">
        <f t="shared" si="11"/>
        <v>0</v>
      </c>
      <c r="Z184" s="45">
        <f t="shared" si="11"/>
        <v>-1838</v>
      </c>
      <c r="AA184" s="45">
        <f t="shared" si="11"/>
        <v>-8224099</v>
      </c>
      <c r="AB184" s="45">
        <f t="shared" si="11"/>
        <v>-308750</v>
      </c>
      <c r="AC184" s="45" t="e">
        <f t="shared" si="11"/>
        <v>#REF!</v>
      </c>
      <c r="AE184" s="1476" t="e">
        <f>SUM(L184:AC184)</f>
        <v>#REF!</v>
      </c>
    </row>
    <row r="185" spans="1:31" ht="12.6" thickBot="1" x14ac:dyDescent="0.35">
      <c r="B185" s="19"/>
      <c r="C185" s="19"/>
      <c r="D185" s="19"/>
      <c r="E185" s="19"/>
      <c r="F185" s="76"/>
      <c r="G185" s="182"/>
      <c r="K185" s="56" t="s">
        <v>18</v>
      </c>
      <c r="L185" s="59">
        <f t="shared" ref="L185:T185" si="12">L184-L183</f>
        <v>-102576</v>
      </c>
      <c r="M185" s="59">
        <f t="shared" si="12"/>
        <v>-12375</v>
      </c>
      <c r="N185" s="59">
        <f t="shared" si="12"/>
        <v>0</v>
      </c>
      <c r="O185" s="59">
        <f t="shared" si="12"/>
        <v>30450</v>
      </c>
      <c r="P185" s="59">
        <f t="shared" si="12"/>
        <v>452364</v>
      </c>
      <c r="Q185" s="59">
        <f t="shared" si="12"/>
        <v>0</v>
      </c>
      <c r="R185" s="59">
        <f t="shared" si="12"/>
        <v>-556400</v>
      </c>
      <c r="S185" s="59">
        <f t="shared" si="12"/>
        <v>5341</v>
      </c>
      <c r="T185" s="59">
        <f t="shared" si="12"/>
        <v>5527806</v>
      </c>
      <c r="U185" s="59">
        <f t="shared" ref="U185:AC185" si="13">U184-U183</f>
        <v>-282113</v>
      </c>
      <c r="V185" s="59">
        <f t="shared" si="13"/>
        <v>0</v>
      </c>
      <c r="W185" s="59">
        <f t="shared" si="13"/>
        <v>-204577</v>
      </c>
      <c r="X185" s="59">
        <f t="shared" si="13"/>
        <v>0</v>
      </c>
      <c r="Y185" s="59">
        <f t="shared" si="13"/>
        <v>0</v>
      </c>
      <c r="Z185" s="59">
        <f t="shared" si="13"/>
        <v>-938</v>
      </c>
      <c r="AA185" s="59">
        <f t="shared" si="13"/>
        <v>-6450000</v>
      </c>
      <c r="AB185" s="59">
        <f t="shared" si="13"/>
        <v>0</v>
      </c>
      <c r="AC185" s="59" t="e">
        <f t="shared" si="13"/>
        <v>#REF!</v>
      </c>
      <c r="AE185" s="1476" t="e">
        <f>SUM(L185:AC185)</f>
        <v>#REF!</v>
      </c>
    </row>
    <row r="186" spans="1:31" x14ac:dyDescent="0.3">
      <c r="K186" s="1398"/>
      <c r="L186" s="57"/>
      <c r="M186" s="1392"/>
      <c r="N186" s="1392"/>
      <c r="O186" s="1392"/>
      <c r="P186" s="1392"/>
      <c r="Q186" s="1392"/>
      <c r="R186" s="1392"/>
      <c r="S186" s="1392"/>
      <c r="T186" s="1392"/>
      <c r="U186" s="1392"/>
      <c r="V186" s="1392"/>
      <c r="W186" s="1392"/>
      <c r="X186" s="1392"/>
      <c r="Y186" s="1392"/>
      <c r="Z186" s="1392"/>
      <c r="AA186" s="1392"/>
      <c r="AB186" s="1392"/>
      <c r="AC186" s="1392"/>
    </row>
    <row r="187" spans="1:31" x14ac:dyDescent="0.2">
      <c r="A187" s="256"/>
      <c r="K187" s="1474" t="s">
        <v>9</v>
      </c>
      <c r="L187" s="55"/>
      <c r="M187" s="1397"/>
      <c r="N187" s="1397"/>
      <c r="O187" s="1397"/>
      <c r="P187" s="1397"/>
      <c r="Q187" s="1397"/>
      <c r="R187" s="1397"/>
      <c r="S187" s="1397"/>
      <c r="T187" s="1397"/>
      <c r="U187" s="1397"/>
      <c r="V187" s="1397"/>
      <c r="W187" s="1397"/>
      <c r="X187" s="1397"/>
      <c r="Y187" s="1397"/>
      <c r="Z187" s="1397"/>
      <c r="AA187" s="1397"/>
      <c r="AB187" s="1397"/>
      <c r="AC187" s="1397"/>
    </row>
    <row r="188" spans="1:31" x14ac:dyDescent="0.2">
      <c r="A188" s="256"/>
      <c r="K188" s="1470" t="s">
        <v>274</v>
      </c>
      <c r="L188" s="55" t="e">
        <f>ROUND(SUM(M188:AC188),0)</f>
        <v>#REF!</v>
      </c>
      <c r="M188" s="1397"/>
      <c r="N188" s="1397"/>
      <c r="O188" s="1397"/>
      <c r="P188" s="1397"/>
      <c r="Q188" s="1397"/>
      <c r="R188" s="1397"/>
      <c r="S188" s="1397"/>
      <c r="T188" s="1397"/>
      <c r="U188" s="1397"/>
      <c r="V188" s="1397"/>
      <c r="W188" s="1397"/>
      <c r="X188" s="1397"/>
      <c r="Y188" s="1397"/>
      <c r="Z188" s="1397"/>
      <c r="AA188" s="1397"/>
      <c r="AB188" s="1397"/>
      <c r="AC188" s="1397" t="e">
        <f>FS.1!I69</f>
        <v>#REF!</v>
      </c>
    </row>
    <row r="189" spans="1:31" x14ac:dyDescent="0.2">
      <c r="A189" s="256"/>
      <c r="K189" s="1470"/>
      <c r="L189" s="55"/>
      <c r="M189" s="1397"/>
      <c r="N189" s="1397"/>
      <c r="O189" s="1397"/>
      <c r="P189" s="1397"/>
      <c r="Q189" s="1397"/>
      <c r="R189" s="1397"/>
      <c r="S189" s="1397"/>
      <c r="T189" s="1397"/>
      <c r="U189" s="1397"/>
      <c r="V189" s="1397"/>
      <c r="W189" s="1397"/>
      <c r="X189" s="1397"/>
      <c r="Y189" s="1397"/>
      <c r="Z189" s="1397"/>
      <c r="AA189" s="1397"/>
      <c r="AB189" s="1397"/>
      <c r="AC189" s="1397"/>
    </row>
    <row r="190" spans="1:31" x14ac:dyDescent="0.2">
      <c r="A190" s="256"/>
      <c r="F190" s="78"/>
      <c r="K190" s="1474" t="s">
        <v>46</v>
      </c>
      <c r="L190" s="55"/>
      <c r="M190" s="1397"/>
      <c r="N190" s="1397"/>
      <c r="O190" s="1397"/>
      <c r="P190" s="1397"/>
      <c r="Q190" s="1397"/>
      <c r="R190" s="1397"/>
      <c r="S190" s="1397"/>
      <c r="T190" s="1397"/>
      <c r="U190" s="1397"/>
      <c r="V190" s="1397"/>
      <c r="W190" s="1397"/>
      <c r="X190" s="1397"/>
      <c r="Y190" s="1397"/>
      <c r="Z190" s="1397"/>
      <c r="AA190" s="1397"/>
      <c r="AB190" s="1397"/>
      <c r="AC190" s="1397"/>
    </row>
    <row r="191" spans="1:31" x14ac:dyDescent="0.2">
      <c r="A191" s="256"/>
      <c r="F191" s="78"/>
      <c r="K191" s="1470" t="s">
        <v>1281</v>
      </c>
      <c r="L191" s="55">
        <f>ROUND(SUM(M191:AC191),0)</f>
        <v>0</v>
      </c>
      <c r="M191" s="1397"/>
      <c r="N191" s="1397"/>
      <c r="O191" s="1397"/>
      <c r="P191" s="1397"/>
      <c r="Q191" s="1397"/>
      <c r="R191" s="1397"/>
      <c r="S191" s="1397"/>
      <c r="T191" s="1397"/>
      <c r="U191" s="1397"/>
      <c r="V191" s="1397"/>
      <c r="W191" s="1397"/>
      <c r="X191" s="1397"/>
      <c r="Y191" s="1397"/>
      <c r="Z191" s="1397"/>
      <c r="AA191" s="1397"/>
      <c r="AB191" s="1397"/>
      <c r="AC191" s="1397"/>
    </row>
    <row r="192" spans="1:31" x14ac:dyDescent="0.2">
      <c r="A192" s="256"/>
      <c r="F192" s="78"/>
      <c r="K192" s="1470" t="s">
        <v>1282</v>
      </c>
      <c r="L192" s="55">
        <f t="shared" ref="L192:L197" si="14">ROUND(SUM(M192:AC192),0)</f>
        <v>0</v>
      </c>
      <c r="M192" s="1397"/>
      <c r="N192" s="1397"/>
      <c r="O192" s="1397"/>
      <c r="P192" s="1397"/>
      <c r="Q192" s="1397"/>
      <c r="R192" s="1397"/>
      <c r="S192" s="1397"/>
      <c r="T192" s="1397">
        <f>-AA192</f>
        <v>-450000</v>
      </c>
      <c r="U192" s="1397"/>
      <c r="V192" s="1397"/>
      <c r="W192" s="1397"/>
      <c r="X192" s="1397"/>
      <c r="Y192" s="1397"/>
      <c r="Z192" s="1397"/>
      <c r="AA192" s="1397">
        <v>450000</v>
      </c>
      <c r="AB192" s="1397"/>
      <c r="AC192" s="1397"/>
    </row>
    <row r="193" spans="1:29" x14ac:dyDescent="0.2">
      <c r="A193" s="256"/>
      <c r="F193" s="78"/>
      <c r="K193" s="1470" t="s">
        <v>1369</v>
      </c>
      <c r="L193" s="55">
        <f t="shared" si="14"/>
        <v>24938</v>
      </c>
      <c r="M193" s="1397"/>
      <c r="N193" s="1397"/>
      <c r="O193" s="1397"/>
      <c r="P193" s="1397"/>
      <c r="Q193" s="1397"/>
      <c r="R193" s="1397"/>
      <c r="S193" s="1397"/>
      <c r="T193" s="1397"/>
      <c r="U193" s="1397"/>
      <c r="V193" s="1397"/>
      <c r="W193" s="1397">
        <f>F178</f>
        <v>24938</v>
      </c>
      <c r="X193" s="1397"/>
      <c r="Y193" s="1397"/>
      <c r="Z193" s="1397"/>
      <c r="AA193" s="1397"/>
      <c r="AB193" s="1397"/>
      <c r="AC193" s="1397"/>
    </row>
    <row r="194" spans="1:29" x14ac:dyDescent="0.2">
      <c r="A194" s="256"/>
      <c r="F194" s="78"/>
      <c r="K194" s="1470" t="s">
        <v>26</v>
      </c>
      <c r="L194" s="55">
        <f t="shared" si="14"/>
        <v>30800</v>
      </c>
      <c r="M194" s="1397"/>
      <c r="N194" s="1397"/>
      <c r="O194" s="1397"/>
      <c r="P194" s="1397"/>
      <c r="Q194" s="1397"/>
      <c r="R194" s="1397"/>
      <c r="S194" s="1397"/>
      <c r="T194" s="1397"/>
      <c r="U194" s="1397"/>
      <c r="V194" s="1397"/>
      <c r="W194" s="1397">
        <f>B128</f>
        <v>30799.73</v>
      </c>
      <c r="X194" s="1397"/>
      <c r="Y194" s="1397"/>
      <c r="Z194" s="1397"/>
      <c r="AA194" s="1397"/>
      <c r="AB194" s="1397"/>
      <c r="AC194" s="1397"/>
    </row>
    <row r="195" spans="1:29" x14ac:dyDescent="0.2">
      <c r="A195" s="256"/>
      <c r="F195" s="78"/>
      <c r="K195" s="1470" t="s">
        <v>2209</v>
      </c>
      <c r="L195" s="55">
        <f t="shared" si="14"/>
        <v>-75000</v>
      </c>
      <c r="M195" s="1397"/>
      <c r="N195" s="1397"/>
      <c r="O195" s="1397"/>
      <c r="P195" s="1397"/>
      <c r="Q195" s="1397"/>
      <c r="R195" s="1397"/>
      <c r="S195" s="1397"/>
      <c r="T195" s="1397"/>
      <c r="U195" s="1397"/>
      <c r="V195" s="1397"/>
      <c r="W195" s="1397"/>
      <c r="X195" s="1397">
        <f>-X232</f>
        <v>-75000</v>
      </c>
      <c r="Y195" s="1397"/>
      <c r="Z195" s="1397"/>
      <c r="AA195" s="1397"/>
      <c r="AB195" s="1397"/>
      <c r="AC195" s="1397"/>
    </row>
    <row r="196" spans="1:29" x14ac:dyDescent="0.2">
      <c r="A196" s="256"/>
      <c r="F196" s="78"/>
      <c r="K196" s="1470" t="s">
        <v>47</v>
      </c>
      <c r="L196" s="55">
        <f t="shared" si="14"/>
        <v>0</v>
      </c>
      <c r="M196" s="1397"/>
      <c r="N196" s="1397"/>
      <c r="O196" s="1397"/>
      <c r="P196" s="1397"/>
      <c r="Q196" s="1397"/>
      <c r="R196" s="1397"/>
      <c r="S196" s="1397"/>
      <c r="T196" s="1397"/>
      <c r="U196" s="1397"/>
      <c r="V196" s="1397"/>
      <c r="W196" s="1397"/>
      <c r="X196" s="1397"/>
      <c r="Y196" s="1397"/>
      <c r="Z196" s="1397"/>
      <c r="AA196" s="1397"/>
      <c r="AB196" s="1397"/>
      <c r="AC196" s="1397"/>
    </row>
    <row r="197" spans="1:29" x14ac:dyDescent="0.2">
      <c r="A197" s="256"/>
      <c r="F197" s="78"/>
      <c r="K197" s="1470" t="s">
        <v>43</v>
      </c>
      <c r="L197" s="55" t="e">
        <f t="shared" si="14"/>
        <v>#REF!</v>
      </c>
      <c r="M197" s="1397"/>
      <c r="N197" s="1397"/>
      <c r="O197" s="1397"/>
      <c r="P197" s="1397"/>
      <c r="Q197" s="1397"/>
      <c r="R197" s="1397"/>
      <c r="S197" s="1397" t="e">
        <f>C158</f>
        <v>#REF!</v>
      </c>
      <c r="T197" s="1397">
        <f>D158</f>
        <v>1204016</v>
      </c>
      <c r="U197" s="1397"/>
      <c r="V197" s="1397"/>
      <c r="W197" s="1397"/>
      <c r="X197" s="1397"/>
      <c r="Y197" s="1397"/>
      <c r="Z197" s="1397"/>
      <c r="AA197" s="1397"/>
      <c r="AB197" s="1397"/>
      <c r="AC197" s="1397"/>
    </row>
    <row r="198" spans="1:29" x14ac:dyDescent="0.2">
      <c r="A198" s="256"/>
      <c r="F198" s="78"/>
      <c r="K198" s="1470"/>
      <c r="L198" s="55"/>
      <c r="M198" s="1397"/>
      <c r="N198" s="1397"/>
      <c r="O198" s="1397"/>
      <c r="P198" s="1397"/>
      <c r="Q198" s="1397"/>
      <c r="R198" s="1397"/>
      <c r="S198" s="1397"/>
      <c r="T198" s="1397"/>
      <c r="U198" s="1397"/>
      <c r="V198" s="1397"/>
      <c r="W198" s="1397"/>
      <c r="X198" s="1397"/>
      <c r="Y198" s="1397"/>
      <c r="Z198" s="1397"/>
      <c r="AA198" s="1397"/>
      <c r="AB198" s="1397"/>
      <c r="AC198" s="1397"/>
    </row>
    <row r="199" spans="1:29" x14ac:dyDescent="0.2">
      <c r="A199" s="256"/>
      <c r="F199" s="78"/>
      <c r="K199" s="1480" t="s">
        <v>52</v>
      </c>
      <c r="L199" s="55"/>
      <c r="M199" s="1397"/>
      <c r="N199" s="1397"/>
      <c r="O199" s="1397"/>
      <c r="P199" s="1397"/>
      <c r="Q199" s="1397"/>
      <c r="R199" s="1397"/>
      <c r="S199" s="1397"/>
      <c r="T199" s="1397"/>
      <c r="U199" s="1397"/>
      <c r="V199" s="1397"/>
      <c r="W199" s="1397"/>
      <c r="X199" s="1397"/>
      <c r="Y199" s="1397"/>
      <c r="Z199" s="1397"/>
      <c r="AA199" s="1397"/>
      <c r="AB199" s="1397"/>
      <c r="AC199" s="1397"/>
    </row>
    <row r="200" spans="1:29" x14ac:dyDescent="0.2">
      <c r="A200" s="256"/>
      <c r="F200" s="78"/>
      <c r="K200" s="1470" t="s">
        <v>15</v>
      </c>
      <c r="L200" s="55">
        <f t="shared" ref="L200:L214" si="15">ROUND(SUM(M200:AC200),0)</f>
        <v>0</v>
      </c>
      <c r="M200" s="1397"/>
      <c r="N200" s="1397"/>
      <c r="O200" s="1397"/>
      <c r="P200" s="1397"/>
      <c r="Q200" s="1397"/>
      <c r="R200" s="1397"/>
      <c r="S200" s="1397"/>
      <c r="T200" s="1397"/>
      <c r="U200" s="1397"/>
      <c r="V200" s="1397"/>
      <c r="W200" s="1397"/>
      <c r="X200" s="1397"/>
      <c r="Y200" s="1397"/>
      <c r="Z200" s="1397"/>
      <c r="AA200" s="1397"/>
      <c r="AB200" s="1397"/>
      <c r="AC200" s="1397"/>
    </row>
    <row r="201" spans="1:29" x14ac:dyDescent="0.2">
      <c r="A201" s="256"/>
      <c r="F201" s="78"/>
      <c r="K201" s="1470" t="s">
        <v>22</v>
      </c>
      <c r="L201" s="55">
        <f t="shared" si="15"/>
        <v>12375</v>
      </c>
      <c r="M201" s="1397">
        <f>-M185</f>
        <v>12375</v>
      </c>
      <c r="N201" s="1397"/>
      <c r="O201" s="1397"/>
      <c r="P201" s="1397"/>
      <c r="Q201" s="1397"/>
      <c r="R201" s="1397"/>
      <c r="S201" s="1397"/>
      <c r="T201" s="1397"/>
      <c r="U201" s="1397"/>
      <c r="V201" s="1397"/>
      <c r="W201" s="1397"/>
      <c r="X201" s="1397"/>
      <c r="Y201" s="1397"/>
      <c r="Z201" s="1397"/>
      <c r="AA201" s="1397"/>
      <c r="AB201" s="1397"/>
      <c r="AC201" s="1397"/>
    </row>
    <row r="202" spans="1:29" x14ac:dyDescent="0.2">
      <c r="A202" s="256"/>
      <c r="F202" s="78"/>
      <c r="K202" s="1470" t="s">
        <v>3</v>
      </c>
      <c r="L202" s="55">
        <f t="shared" si="15"/>
        <v>2240</v>
      </c>
      <c r="M202" s="1397"/>
      <c r="N202" s="1397">
        <f>-N185-N241</f>
        <v>2240</v>
      </c>
      <c r="O202" s="1397"/>
      <c r="P202" s="1397"/>
      <c r="Q202" s="1397"/>
      <c r="R202" s="1397"/>
      <c r="S202" s="1397"/>
      <c r="T202" s="1397"/>
      <c r="U202" s="1397"/>
      <c r="V202" s="1397"/>
      <c r="W202" s="1397"/>
      <c r="X202" s="1397"/>
      <c r="Y202" s="1397"/>
      <c r="Z202" s="1397"/>
      <c r="AA202" s="1397"/>
      <c r="AB202" s="1397"/>
      <c r="AC202" s="1397"/>
    </row>
    <row r="203" spans="1:29" x14ac:dyDescent="0.2">
      <c r="A203" s="256"/>
      <c r="F203" s="78"/>
      <c r="K203" s="1470" t="s">
        <v>618</v>
      </c>
      <c r="L203" s="55">
        <f t="shared" si="15"/>
        <v>-4177</v>
      </c>
      <c r="M203" s="1397"/>
      <c r="N203" s="1397"/>
      <c r="O203" s="1397">
        <f>-O185-O241</f>
        <v>-4079</v>
      </c>
      <c r="P203" s="1397"/>
      <c r="Q203" s="1397"/>
      <c r="R203" s="1397"/>
      <c r="S203" s="1397"/>
      <c r="T203" s="1397"/>
      <c r="U203" s="1397"/>
      <c r="V203" s="1397"/>
      <c r="W203" s="1397"/>
      <c r="X203" s="1397"/>
      <c r="Y203" s="1397">
        <f>Y185-Y241</f>
        <v>-98</v>
      </c>
      <c r="Z203" s="1397"/>
      <c r="AA203" s="1397"/>
      <c r="AB203" s="1397"/>
      <c r="AC203" s="1397"/>
    </row>
    <row r="204" spans="1:29" x14ac:dyDescent="0.2">
      <c r="A204" s="256"/>
      <c r="F204" s="78"/>
      <c r="K204" s="1470" t="s">
        <v>29</v>
      </c>
      <c r="L204" s="55">
        <f t="shared" si="15"/>
        <v>-54914</v>
      </c>
      <c r="M204" s="1397"/>
      <c r="N204" s="1397"/>
      <c r="O204" s="1397"/>
      <c r="P204" s="1397">
        <f>-P185-P241</f>
        <v>-54914</v>
      </c>
      <c r="Q204" s="1397"/>
      <c r="R204" s="1397"/>
      <c r="S204" s="1397"/>
      <c r="T204" s="1397"/>
      <c r="U204" s="1397"/>
      <c r="V204" s="1397"/>
      <c r="W204" s="1397"/>
      <c r="X204" s="1397"/>
      <c r="Y204" s="1397"/>
      <c r="Z204" s="1397"/>
      <c r="AA204" s="1397"/>
      <c r="AB204" s="1397"/>
      <c r="AC204" s="1397"/>
    </row>
    <row r="205" spans="1:29" x14ac:dyDescent="0.2">
      <c r="A205" s="256"/>
      <c r="F205" s="78"/>
      <c r="K205" s="1470" t="s">
        <v>185</v>
      </c>
      <c r="L205" s="55">
        <f t="shared" si="15"/>
        <v>0</v>
      </c>
      <c r="M205" s="1397"/>
      <c r="N205" s="1397"/>
      <c r="O205" s="1397"/>
      <c r="P205" s="1397"/>
      <c r="Q205" s="1397"/>
      <c r="R205" s="1397"/>
      <c r="S205" s="1397"/>
      <c r="T205" s="1397"/>
      <c r="U205" s="1397"/>
      <c r="V205" s="1397"/>
      <c r="W205" s="1397"/>
      <c r="X205" s="1397"/>
      <c r="Y205" s="1397"/>
      <c r="Z205" s="1397"/>
      <c r="AA205" s="1397"/>
      <c r="AB205" s="1397"/>
      <c r="AC205" s="1397"/>
    </row>
    <row r="206" spans="1:29" x14ac:dyDescent="0.2">
      <c r="A206" s="256"/>
      <c r="F206" s="78"/>
      <c r="K206" s="1470" t="s">
        <v>502</v>
      </c>
      <c r="L206" s="55">
        <f t="shared" si="15"/>
        <v>0</v>
      </c>
      <c r="M206" s="1397"/>
      <c r="N206" s="1397"/>
      <c r="O206" s="1397"/>
      <c r="P206" s="1397"/>
      <c r="Q206" s="1397"/>
      <c r="R206" s="1397"/>
      <c r="S206" s="1397"/>
      <c r="T206" s="1397"/>
      <c r="U206" s="1397"/>
      <c r="V206" s="1397"/>
      <c r="W206" s="1397"/>
      <c r="X206" s="1397"/>
      <c r="Y206" s="1397"/>
      <c r="Z206" s="1397"/>
      <c r="AA206" s="1397"/>
      <c r="AB206" s="1397"/>
      <c r="AC206" s="1397"/>
    </row>
    <row r="207" spans="1:29" x14ac:dyDescent="0.2">
      <c r="A207" s="256"/>
      <c r="F207" s="78"/>
      <c r="K207" s="1470" t="s">
        <v>616</v>
      </c>
      <c r="L207" s="55">
        <f t="shared" si="15"/>
        <v>0</v>
      </c>
      <c r="M207" s="1397"/>
      <c r="N207" s="1397"/>
      <c r="O207" s="1397"/>
      <c r="P207" s="1397"/>
      <c r="Q207" s="1397"/>
      <c r="R207" s="1397"/>
      <c r="S207" s="1397"/>
      <c r="T207" s="1397"/>
      <c r="U207" s="1397"/>
      <c r="V207" s="1397"/>
      <c r="W207" s="1397"/>
      <c r="X207" s="1397"/>
      <c r="Y207" s="1397"/>
      <c r="Z207" s="1397"/>
      <c r="AA207" s="1397"/>
      <c r="AB207" s="1397"/>
      <c r="AC207" s="1397"/>
    </row>
    <row r="208" spans="1:29" x14ac:dyDescent="0.2">
      <c r="A208" s="256"/>
      <c r="F208" s="78"/>
      <c r="K208" s="1470" t="s">
        <v>732</v>
      </c>
      <c r="L208" s="55">
        <f t="shared" si="15"/>
        <v>0</v>
      </c>
      <c r="M208" s="1397"/>
      <c r="N208" s="1397"/>
      <c r="O208" s="1397"/>
      <c r="P208" s="1397"/>
      <c r="Q208" s="1397"/>
      <c r="R208" s="1397"/>
      <c r="S208" s="1397"/>
      <c r="T208" s="1397"/>
      <c r="U208" s="1397"/>
      <c r="V208" s="1397"/>
      <c r="W208" s="1397"/>
      <c r="X208" s="1397"/>
      <c r="Y208" s="1397"/>
      <c r="Z208" s="1397"/>
      <c r="AA208" s="1397"/>
      <c r="AB208" s="1397"/>
      <c r="AC208" s="1397"/>
    </row>
    <row r="209" spans="1:29" x14ac:dyDescent="0.2">
      <c r="A209" s="256"/>
      <c r="F209" s="78"/>
      <c r="K209" s="1470" t="s">
        <v>308</v>
      </c>
      <c r="L209" s="55">
        <f t="shared" si="15"/>
        <v>102329</v>
      </c>
      <c r="M209" s="1397"/>
      <c r="N209" s="1397"/>
      <c r="O209" s="1397"/>
      <c r="P209" s="1397"/>
      <c r="Q209" s="1397"/>
      <c r="R209" s="1397"/>
      <c r="S209" s="1397"/>
      <c r="T209" s="1397"/>
      <c r="U209" s="1397">
        <f>-U185-U241</f>
        <v>103490</v>
      </c>
      <c r="V209" s="1397"/>
      <c r="W209" s="1397">
        <f>-1161</f>
        <v>-1161</v>
      </c>
      <c r="X209" s="1397"/>
      <c r="Y209" s="1397"/>
      <c r="Z209" s="1397"/>
      <c r="AA209" s="1397"/>
      <c r="AB209" s="1397"/>
      <c r="AC209" s="1397"/>
    </row>
    <row r="210" spans="1:29" x14ac:dyDescent="0.2">
      <c r="A210" s="256"/>
      <c r="F210" s="78"/>
      <c r="K210" s="1470" t="s">
        <v>617</v>
      </c>
      <c r="L210" s="55">
        <f t="shared" si="15"/>
        <v>0</v>
      </c>
      <c r="M210" s="1397"/>
      <c r="N210" s="1397"/>
      <c r="O210" s="1397"/>
      <c r="P210" s="1397"/>
      <c r="Q210" s="1397"/>
      <c r="R210" s="1397"/>
      <c r="S210" s="1397"/>
      <c r="T210" s="1397"/>
      <c r="U210" s="1397"/>
      <c r="V210" s="1397"/>
      <c r="W210" s="1397"/>
      <c r="X210" s="1397"/>
      <c r="Y210" s="1397"/>
      <c r="Z210" s="1397"/>
      <c r="AA210" s="1397"/>
      <c r="AB210" s="1397"/>
      <c r="AC210" s="1397"/>
    </row>
    <row r="211" spans="1:29" x14ac:dyDescent="0.2">
      <c r="A211" s="256"/>
      <c r="F211" s="78"/>
      <c r="K211" s="1470" t="s">
        <v>677</v>
      </c>
      <c r="L211" s="55">
        <f t="shared" si="15"/>
        <v>0</v>
      </c>
      <c r="M211" s="1397"/>
      <c r="N211" s="1397"/>
      <c r="O211" s="1397"/>
      <c r="P211" s="1397"/>
      <c r="Q211" s="1397"/>
      <c r="R211" s="1397"/>
      <c r="S211" s="1397"/>
      <c r="T211" s="1397"/>
      <c r="U211" s="1397"/>
      <c r="V211" s="1397"/>
      <c r="W211" s="1397"/>
      <c r="X211" s="1397"/>
      <c r="Y211" s="1397"/>
      <c r="Z211" s="1397"/>
      <c r="AA211" s="1397"/>
      <c r="AB211" s="1397"/>
      <c r="AC211" s="1397"/>
    </row>
    <row r="212" spans="1:29" x14ac:dyDescent="0.2">
      <c r="A212" s="256"/>
      <c r="F212" s="78"/>
      <c r="K212" s="1470" t="s">
        <v>686</v>
      </c>
      <c r="L212" s="55">
        <f t="shared" si="15"/>
        <v>0</v>
      </c>
      <c r="M212" s="1397"/>
      <c r="N212" s="1397"/>
      <c r="O212" s="1397"/>
      <c r="P212" s="1397"/>
      <c r="Q212" s="1397"/>
      <c r="R212" s="1397"/>
      <c r="S212" s="1397"/>
      <c r="T212" s="1397"/>
      <c r="U212" s="1397"/>
      <c r="V212" s="1397"/>
      <c r="W212" s="1397"/>
      <c r="X212" s="1397"/>
      <c r="Y212" s="1397"/>
      <c r="Z212" s="1397"/>
      <c r="AA212" s="1397"/>
      <c r="AB212" s="1397"/>
      <c r="AC212" s="1397"/>
    </row>
    <row r="213" spans="1:29" x14ac:dyDescent="0.2">
      <c r="A213" s="256"/>
      <c r="K213" s="1470" t="s">
        <v>192</v>
      </c>
      <c r="L213" s="55">
        <f t="shared" si="15"/>
        <v>0</v>
      </c>
      <c r="M213" s="1397"/>
      <c r="N213" s="1397"/>
      <c r="O213" s="1397"/>
      <c r="P213" s="1397"/>
      <c r="Q213" s="1397"/>
      <c r="R213" s="1397"/>
      <c r="S213" s="1397"/>
      <c r="T213" s="1397"/>
      <c r="U213" s="1397"/>
      <c r="V213" s="1397"/>
      <c r="W213" s="1397"/>
      <c r="X213" s="1397"/>
      <c r="Y213" s="1397"/>
      <c r="Z213" s="1397"/>
      <c r="AA213" s="1397"/>
      <c r="AB213" s="1397"/>
      <c r="AC213" s="1397"/>
    </row>
    <row r="214" spans="1:29" x14ac:dyDescent="0.2">
      <c r="A214" s="256"/>
      <c r="K214" s="1470" t="s">
        <v>100</v>
      </c>
      <c r="L214" s="55">
        <f t="shared" si="15"/>
        <v>938</v>
      </c>
      <c r="M214" s="1397"/>
      <c r="N214" s="1397"/>
      <c r="O214" s="1397"/>
      <c r="P214" s="1397"/>
      <c r="Q214" s="1397"/>
      <c r="R214" s="1397"/>
      <c r="S214" s="1397"/>
      <c r="T214" s="1397"/>
      <c r="U214" s="1397"/>
      <c r="V214" s="1397"/>
      <c r="W214" s="1397"/>
      <c r="X214" s="1397"/>
      <c r="Y214" s="1397"/>
      <c r="Z214" s="1397">
        <f>-Z185</f>
        <v>938</v>
      </c>
      <c r="AA214" s="1397"/>
      <c r="AB214" s="1397"/>
      <c r="AC214" s="1397"/>
    </row>
    <row r="215" spans="1:29" x14ac:dyDescent="0.2">
      <c r="A215" s="256"/>
      <c r="K215" s="1470"/>
      <c r="L215" s="55"/>
      <c r="M215" s="1397"/>
      <c r="N215" s="1397"/>
      <c r="O215" s="1397"/>
      <c r="P215" s="1397"/>
      <c r="Q215" s="1397"/>
      <c r="R215" s="1397"/>
      <c r="S215" s="1397"/>
      <c r="T215" s="1397"/>
      <c r="U215" s="1397"/>
      <c r="V215" s="1397"/>
      <c r="W215" s="1397"/>
      <c r="X215" s="1397"/>
      <c r="Y215" s="1397"/>
      <c r="Z215" s="1397"/>
      <c r="AA215" s="1397"/>
      <c r="AB215" s="1397"/>
      <c r="AC215" s="1397"/>
    </row>
    <row r="216" spans="1:29" ht="12.6" thickBot="1" x14ac:dyDescent="0.25">
      <c r="A216" s="256"/>
      <c r="K216" s="1473" t="s">
        <v>51</v>
      </c>
      <c r="L216" s="281" t="e">
        <f>SUM(L188:L215)</f>
        <v>#REF!</v>
      </c>
      <c r="M216" s="1397"/>
      <c r="N216" s="1397"/>
      <c r="O216" s="1397"/>
      <c r="P216" s="1397"/>
      <c r="Q216" s="1397"/>
      <c r="R216" s="1397"/>
      <c r="S216" s="1397"/>
      <c r="T216" s="1397"/>
      <c r="U216" s="1397"/>
      <c r="V216" s="1397"/>
      <c r="W216" s="1397"/>
      <c r="X216" s="1397"/>
      <c r="Y216" s="1397"/>
      <c r="Z216" s="1397"/>
      <c r="AA216" s="1397"/>
      <c r="AB216" s="1397"/>
      <c r="AC216" s="1397"/>
    </row>
    <row r="217" spans="1:29" x14ac:dyDescent="0.2">
      <c r="A217" s="256"/>
      <c r="K217" s="1472"/>
      <c r="L217" s="61"/>
      <c r="M217" s="1397"/>
      <c r="N217" s="1397"/>
      <c r="O217" s="1397"/>
      <c r="P217" s="1397"/>
      <c r="Q217" s="1397"/>
      <c r="R217" s="1397"/>
      <c r="S217" s="1397"/>
      <c r="T217" s="1397"/>
      <c r="U217" s="1397"/>
      <c r="V217" s="1397"/>
      <c r="W217" s="1397"/>
      <c r="X217" s="1397"/>
      <c r="Y217" s="1397"/>
      <c r="Z217" s="1397"/>
      <c r="AA217" s="1397"/>
      <c r="AB217" s="1397"/>
      <c r="AC217" s="1397"/>
    </row>
    <row r="218" spans="1:29" x14ac:dyDescent="0.2">
      <c r="A218" s="256"/>
      <c r="K218" s="1474" t="s">
        <v>12</v>
      </c>
      <c r="L218" s="55"/>
      <c r="M218" s="1397"/>
      <c r="N218" s="1397"/>
      <c r="O218" s="1397"/>
      <c r="P218" s="1397"/>
      <c r="Q218" s="1397"/>
      <c r="R218" s="1397"/>
      <c r="S218" s="1397"/>
      <c r="T218" s="1397"/>
      <c r="U218" s="1397"/>
      <c r="V218" s="1397"/>
      <c r="W218" s="1397"/>
      <c r="X218" s="1397"/>
      <c r="Y218" s="1397"/>
      <c r="Z218" s="1397"/>
      <c r="AA218" s="1397"/>
      <c r="AB218" s="1397"/>
      <c r="AC218" s="1397"/>
    </row>
    <row r="219" spans="1:29" x14ac:dyDescent="0.2">
      <c r="A219" s="256"/>
      <c r="K219" s="1470" t="s">
        <v>1832</v>
      </c>
      <c r="L219" s="55" t="e">
        <f t="shared" ref="L219:L221" si="16">ROUND(SUM(M219:AC219),0)</f>
        <v>#REF!</v>
      </c>
      <c r="M219" s="1397"/>
      <c r="N219" s="1397"/>
      <c r="O219" s="1397"/>
      <c r="P219" s="1397"/>
      <c r="Q219" s="1397"/>
      <c r="R219" s="1397"/>
      <c r="S219" s="1397" t="e">
        <f>-S185-S241-S197</f>
        <v>#REF!</v>
      </c>
      <c r="T219" s="1397"/>
      <c r="U219" s="1397"/>
      <c r="V219" s="1397"/>
      <c r="W219" s="1397"/>
      <c r="X219" s="1397"/>
      <c r="Y219" s="1397"/>
      <c r="Z219" s="1397"/>
      <c r="AA219" s="1397"/>
      <c r="AB219" s="1397"/>
      <c r="AC219" s="1397"/>
    </row>
    <row r="220" spans="1:29" x14ac:dyDescent="0.2">
      <c r="A220" s="256"/>
      <c r="K220" s="1470" t="s">
        <v>1280</v>
      </c>
      <c r="L220" s="55">
        <f t="shared" si="16"/>
        <v>21130</v>
      </c>
      <c r="M220" s="1397"/>
      <c r="N220" s="1397"/>
      <c r="O220" s="1397"/>
      <c r="P220" s="1397"/>
      <c r="Q220" s="1397"/>
      <c r="R220" s="1397"/>
      <c r="S220" s="1397"/>
      <c r="T220" s="1397"/>
      <c r="U220" s="1397"/>
      <c r="V220" s="1397"/>
      <c r="W220" s="1397"/>
      <c r="X220" s="1397"/>
      <c r="Y220" s="1397"/>
      <c r="Z220" s="1397"/>
      <c r="AA220" s="1397">
        <v>21130</v>
      </c>
      <c r="AB220" s="1397"/>
      <c r="AC220" s="1397"/>
    </row>
    <row r="221" spans="1:29" x14ac:dyDescent="0.2">
      <c r="A221" s="256"/>
      <c r="K221" s="1470" t="s">
        <v>83</v>
      </c>
      <c r="L221" s="55">
        <f t="shared" si="16"/>
        <v>0</v>
      </c>
      <c r="M221" s="1397"/>
      <c r="N221" s="1397"/>
      <c r="O221" s="1397"/>
      <c r="P221" s="1397"/>
      <c r="Q221" s="1397"/>
      <c r="R221" s="1397"/>
      <c r="S221" s="1397"/>
      <c r="T221" s="1397"/>
      <c r="U221" s="1397"/>
      <c r="V221" s="1397"/>
      <c r="W221" s="1397"/>
      <c r="X221" s="1397"/>
      <c r="Y221" s="1397"/>
      <c r="Z221" s="1397"/>
      <c r="AA221" s="1397"/>
      <c r="AB221" s="1397"/>
      <c r="AC221" s="1397"/>
    </row>
    <row r="222" spans="1:29" x14ac:dyDescent="0.2">
      <c r="A222" s="256"/>
      <c r="K222" s="1470"/>
      <c r="L222" s="55"/>
      <c r="M222" s="1397"/>
      <c r="N222" s="1397"/>
      <c r="O222" s="1397"/>
      <c r="P222" s="1397"/>
      <c r="Q222" s="1397"/>
      <c r="R222" s="1397"/>
      <c r="S222" s="1397"/>
      <c r="T222" s="1397"/>
      <c r="U222" s="1397"/>
      <c r="V222" s="1397"/>
      <c r="W222" s="1397"/>
      <c r="X222" s="1397"/>
      <c r="Y222" s="1397"/>
      <c r="Z222" s="1397"/>
      <c r="AA222" s="1397"/>
      <c r="AB222" s="1397"/>
      <c r="AC222" s="1397"/>
    </row>
    <row r="223" spans="1:29" ht="12.6" thickBot="1" x14ac:dyDescent="0.25">
      <c r="A223" s="256"/>
      <c r="K223" s="1473" t="s">
        <v>122</v>
      </c>
      <c r="L223" s="63" t="e">
        <f>SUM(L219:L222)</f>
        <v>#REF!</v>
      </c>
      <c r="M223" s="1397"/>
      <c r="N223" s="1397"/>
      <c r="O223" s="1397"/>
      <c r="P223" s="1397"/>
      <c r="Q223" s="1397"/>
      <c r="R223" s="1397"/>
      <c r="S223" s="1397"/>
      <c r="T223" s="1397"/>
      <c r="U223" s="1397"/>
      <c r="V223" s="1397"/>
      <c r="W223" s="1397"/>
      <c r="X223" s="1397"/>
      <c r="Y223" s="1397"/>
      <c r="Z223" s="1397"/>
      <c r="AA223" s="1397"/>
      <c r="AB223" s="1397"/>
      <c r="AC223" s="1397"/>
    </row>
    <row r="224" spans="1:29" x14ac:dyDescent="0.2">
      <c r="A224" s="256"/>
      <c r="K224" s="1472"/>
      <c r="L224" s="61"/>
      <c r="M224" s="1397"/>
      <c r="N224" s="1397"/>
      <c r="O224" s="1397"/>
      <c r="P224" s="1397"/>
      <c r="Q224" s="1397"/>
      <c r="R224" s="1397"/>
      <c r="S224" s="1397"/>
      <c r="T224" s="1397"/>
      <c r="U224" s="1397"/>
      <c r="V224" s="1397"/>
      <c r="W224" s="1397"/>
      <c r="X224" s="1397"/>
      <c r="Y224" s="1397"/>
      <c r="Z224" s="1397"/>
      <c r="AA224" s="1397"/>
      <c r="AB224" s="1397"/>
      <c r="AC224" s="1397"/>
    </row>
    <row r="225" spans="1:29" x14ac:dyDescent="0.2">
      <c r="A225" s="256"/>
      <c r="K225" s="1474" t="s">
        <v>14</v>
      </c>
      <c r="L225" s="55"/>
      <c r="M225" s="1397"/>
      <c r="N225" s="1397"/>
      <c r="O225" s="1397"/>
      <c r="P225" s="1397"/>
      <c r="Q225" s="1397"/>
      <c r="R225" s="1397"/>
      <c r="S225" s="1397"/>
      <c r="T225" s="1397"/>
      <c r="U225" s="1397"/>
      <c r="V225" s="1397"/>
      <c r="W225" s="1397"/>
      <c r="X225" s="1397"/>
      <c r="Y225" s="1397"/>
      <c r="Z225" s="1397"/>
      <c r="AA225" s="1397"/>
      <c r="AB225" s="1397"/>
      <c r="AC225" s="1397"/>
    </row>
    <row r="226" spans="1:29" x14ac:dyDescent="0.2">
      <c r="A226" s="256"/>
      <c r="K226" s="1470" t="s">
        <v>329</v>
      </c>
      <c r="L226" s="55">
        <f t="shared" ref="L226:L237" si="17">ROUND(SUM(M226:AC226),0)</f>
        <v>0</v>
      </c>
      <c r="M226" s="1397"/>
      <c r="N226" s="1397"/>
      <c r="O226" s="1397"/>
      <c r="P226" s="1397"/>
      <c r="Q226" s="1397"/>
      <c r="R226" s="1397"/>
      <c r="S226" s="1397"/>
      <c r="T226" s="1397"/>
      <c r="U226" s="1397"/>
      <c r="V226" s="1397"/>
      <c r="W226" s="1397"/>
      <c r="X226" s="1397"/>
      <c r="Y226" s="1397"/>
      <c r="Z226" s="1397"/>
      <c r="AA226" s="1397"/>
      <c r="AB226" s="1397"/>
      <c r="AC226" s="1397"/>
    </row>
    <row r="227" spans="1:29" x14ac:dyDescent="0.2">
      <c r="A227" s="256"/>
      <c r="K227" s="1470" t="s">
        <v>508</v>
      </c>
      <c r="L227" s="55">
        <f t="shared" si="17"/>
        <v>0</v>
      </c>
      <c r="M227" s="1397"/>
      <c r="N227" s="1397"/>
      <c r="O227" s="1397"/>
      <c r="P227" s="1397"/>
      <c r="Q227" s="1397"/>
      <c r="R227" s="1397"/>
      <c r="S227" s="1397"/>
      <c r="T227" s="1397"/>
      <c r="U227" s="1397"/>
      <c r="V227" s="1397"/>
      <c r="W227" s="1397"/>
      <c r="X227" s="1397"/>
      <c r="Y227" s="1397"/>
      <c r="Z227" s="1397"/>
      <c r="AA227" s="1397"/>
      <c r="AB227" s="1397"/>
      <c r="AC227" s="1397"/>
    </row>
    <row r="228" spans="1:29" x14ac:dyDescent="0.2">
      <c r="A228" s="256"/>
      <c r="K228" s="1470" t="s">
        <v>54</v>
      </c>
      <c r="L228" s="55">
        <f t="shared" si="17"/>
        <v>0</v>
      </c>
      <c r="M228" s="1397"/>
      <c r="N228" s="1397"/>
      <c r="O228" s="1397"/>
      <c r="P228" s="1397"/>
      <c r="Q228" s="1397"/>
      <c r="R228" s="1397"/>
      <c r="S228" s="1397"/>
      <c r="T228" s="1397"/>
      <c r="U228" s="1397"/>
      <c r="V228" s="1397"/>
      <c r="W228" s="1397"/>
      <c r="X228" s="1397"/>
      <c r="Y228" s="1397"/>
      <c r="Z228" s="1397"/>
      <c r="AA228" s="1397"/>
      <c r="AB228" s="1397"/>
      <c r="AC228" s="1397"/>
    </row>
    <row r="229" spans="1:29" x14ac:dyDescent="0.2">
      <c r="A229" s="256"/>
      <c r="K229" s="1470" t="s">
        <v>49</v>
      </c>
      <c r="L229" s="55">
        <f t="shared" si="17"/>
        <v>0</v>
      </c>
      <c r="M229" s="1397"/>
      <c r="N229" s="1397"/>
      <c r="O229" s="1397"/>
      <c r="P229" s="1397"/>
      <c r="Q229" s="1397"/>
      <c r="R229" s="1397"/>
      <c r="S229" s="1397"/>
      <c r="T229" s="1397"/>
      <c r="U229" s="1397"/>
      <c r="V229" s="1397"/>
      <c r="W229" s="1397"/>
      <c r="X229" s="1397"/>
      <c r="Y229" s="1397"/>
      <c r="Z229" s="1397"/>
      <c r="AA229" s="1397"/>
      <c r="AB229" s="1397"/>
      <c r="AC229" s="1397"/>
    </row>
    <row r="230" spans="1:29" x14ac:dyDescent="0.2">
      <c r="A230" s="256"/>
      <c r="K230" s="1470" t="s">
        <v>55</v>
      </c>
      <c r="L230" s="55">
        <f t="shared" si="17"/>
        <v>0</v>
      </c>
      <c r="M230" s="1397"/>
      <c r="N230" s="1397"/>
      <c r="O230" s="1397"/>
      <c r="P230" s="1397"/>
      <c r="Q230" s="1397"/>
      <c r="R230" s="1397"/>
      <c r="S230" s="1397"/>
      <c r="T230" s="1397"/>
      <c r="U230" s="1397"/>
      <c r="V230" s="1397"/>
      <c r="W230" s="1397"/>
      <c r="X230" s="1397"/>
      <c r="Y230" s="1397"/>
      <c r="Z230" s="1397"/>
      <c r="AA230" s="1397"/>
      <c r="AB230" s="1397"/>
      <c r="AC230" s="1397"/>
    </row>
    <row r="231" spans="1:29" x14ac:dyDescent="0.2">
      <c r="A231" s="256"/>
      <c r="K231" s="1470" t="s">
        <v>84</v>
      </c>
      <c r="L231" s="55">
        <f t="shared" si="17"/>
        <v>0</v>
      </c>
      <c r="M231" s="1397"/>
      <c r="N231" s="1397"/>
      <c r="O231" s="1397"/>
      <c r="P231" s="1397"/>
      <c r="Q231" s="1397"/>
      <c r="R231" s="1397"/>
      <c r="S231" s="1397"/>
      <c r="T231" s="1397"/>
      <c r="U231" s="1397"/>
      <c r="V231" s="1397"/>
      <c r="W231" s="1397"/>
      <c r="X231" s="1397"/>
      <c r="Y231" s="1397"/>
      <c r="Z231" s="1397"/>
      <c r="AA231" s="1397"/>
      <c r="AB231" s="1397"/>
      <c r="AC231" s="1397"/>
    </row>
    <row r="232" spans="1:29" x14ac:dyDescent="0.2">
      <c r="A232" s="256"/>
      <c r="K232" s="1470" t="s">
        <v>56</v>
      </c>
      <c r="L232" s="55">
        <f t="shared" si="17"/>
        <v>225000</v>
      </c>
      <c r="M232" s="1397"/>
      <c r="N232" s="1397"/>
      <c r="O232" s="1397"/>
      <c r="P232" s="1397"/>
      <c r="Q232" s="1397"/>
      <c r="R232" s="1397"/>
      <c r="S232" s="1397"/>
      <c r="T232" s="1397"/>
      <c r="U232" s="1397"/>
      <c r="V232" s="1397"/>
      <c r="W232" s="1397">
        <v>150000</v>
      </c>
      <c r="X232" s="1397">
        <v>75000</v>
      </c>
      <c r="Y232" s="1397"/>
      <c r="Z232" s="1397"/>
      <c r="AA232" s="1397"/>
      <c r="AB232" s="1397"/>
      <c r="AC232" s="1397"/>
    </row>
    <row r="233" spans="1:29" x14ac:dyDescent="0.2">
      <c r="A233" s="256"/>
      <c r="K233" s="1470" t="s">
        <v>60</v>
      </c>
      <c r="L233" s="55">
        <f t="shared" si="17"/>
        <v>0</v>
      </c>
      <c r="M233" s="1397"/>
      <c r="N233" s="1397"/>
      <c r="O233" s="1397"/>
      <c r="P233" s="1397"/>
      <c r="Q233" s="1397"/>
      <c r="R233" s="1397"/>
      <c r="S233" s="1397"/>
      <c r="T233" s="1397"/>
      <c r="U233" s="1397"/>
      <c r="V233" s="1397"/>
      <c r="W233" s="1397"/>
      <c r="X233" s="1397"/>
      <c r="Y233" s="1397"/>
      <c r="Z233" s="1397"/>
      <c r="AA233" s="1397"/>
      <c r="AB233" s="1397"/>
      <c r="AC233" s="1397"/>
    </row>
    <row r="234" spans="1:29" x14ac:dyDescent="0.2">
      <c r="A234" s="256"/>
      <c r="K234" s="1470" t="s">
        <v>59</v>
      </c>
      <c r="L234" s="55">
        <f t="shared" si="17"/>
        <v>0</v>
      </c>
      <c r="M234" s="1397"/>
      <c r="N234" s="1397"/>
      <c r="O234" s="1397"/>
      <c r="P234" s="1397"/>
      <c r="Q234" s="1397"/>
      <c r="R234" s="1397"/>
      <c r="S234" s="1397"/>
      <c r="T234" s="1397"/>
      <c r="U234" s="1397"/>
      <c r="V234" s="1397"/>
      <c r="W234" s="1397"/>
      <c r="X234" s="1397"/>
      <c r="Y234" s="1397"/>
      <c r="Z234" s="1397"/>
      <c r="AA234" s="1397"/>
      <c r="AB234" s="1397"/>
      <c r="AC234" s="1397"/>
    </row>
    <row r="235" spans="1:29" x14ac:dyDescent="0.2">
      <c r="A235" s="256"/>
      <c r="K235" s="1470" t="s">
        <v>48</v>
      </c>
      <c r="L235" s="55">
        <f t="shared" si="17"/>
        <v>0</v>
      </c>
      <c r="M235" s="1397"/>
      <c r="N235" s="1397"/>
      <c r="O235" s="1397"/>
      <c r="P235" s="1397"/>
      <c r="Q235" s="1397"/>
      <c r="R235" s="1397"/>
      <c r="S235" s="1397"/>
      <c r="T235" s="1397"/>
      <c r="U235" s="1397"/>
      <c r="V235" s="1397"/>
      <c r="W235" s="1397"/>
      <c r="X235" s="1397"/>
      <c r="Y235" s="1397"/>
      <c r="Z235" s="1397"/>
      <c r="AA235" s="1397"/>
      <c r="AB235" s="1397"/>
      <c r="AC235" s="1397"/>
    </row>
    <row r="236" spans="1:29" x14ac:dyDescent="0.2">
      <c r="A236" s="256"/>
      <c r="K236" s="1470" t="s">
        <v>61</v>
      </c>
      <c r="L236" s="55">
        <f t="shared" si="17"/>
        <v>0</v>
      </c>
      <c r="M236" s="1397"/>
      <c r="N236" s="1397"/>
      <c r="O236" s="1397"/>
      <c r="P236" s="1397"/>
      <c r="Q236" s="1397"/>
      <c r="R236" s="1397"/>
      <c r="S236" s="1397"/>
      <c r="T236" s="1397"/>
      <c r="U236" s="1397"/>
      <c r="V236" s="1397"/>
      <c r="W236" s="1397"/>
      <c r="X236" s="1397"/>
      <c r="Y236" s="1397"/>
      <c r="Z236" s="1397"/>
      <c r="AA236" s="1397"/>
      <c r="AB236" s="1397"/>
      <c r="AC236" s="1397"/>
    </row>
    <row r="237" spans="1:29" x14ac:dyDescent="0.2">
      <c r="A237" s="256"/>
      <c r="K237" s="1471" t="s">
        <v>271</v>
      </c>
      <c r="L237" s="55">
        <f t="shared" si="17"/>
        <v>0</v>
      </c>
      <c r="M237" s="1397"/>
      <c r="N237" s="1397"/>
      <c r="O237" s="1397"/>
      <c r="P237" s="1397"/>
      <c r="Q237" s="1397"/>
      <c r="R237" s="1397"/>
      <c r="S237" s="1397"/>
      <c r="T237" s="1397"/>
      <c r="U237" s="1397"/>
      <c r="V237" s="1397"/>
      <c r="W237" s="1397"/>
      <c r="X237" s="1397"/>
      <c r="Y237" s="1397"/>
      <c r="Z237" s="1397"/>
      <c r="AA237" s="1397"/>
      <c r="AB237" s="1397"/>
      <c r="AC237" s="1397"/>
    </row>
    <row r="238" spans="1:29" ht="12.6" thickBot="1" x14ac:dyDescent="0.25">
      <c r="A238" s="256"/>
      <c r="K238" s="1473" t="s">
        <v>121</v>
      </c>
      <c r="L238" s="281">
        <f>SUM(L226:L236)</f>
        <v>225000</v>
      </c>
      <c r="M238" s="1397"/>
      <c r="N238" s="1397"/>
      <c r="O238" s="1397"/>
      <c r="P238" s="1397"/>
      <c r="Q238" s="1397"/>
      <c r="R238" s="1397"/>
      <c r="S238" s="1397"/>
      <c r="T238" s="1397"/>
      <c r="U238" s="1397"/>
      <c r="V238" s="1397"/>
      <c r="W238" s="1397"/>
      <c r="X238" s="1397"/>
      <c r="Y238" s="1397"/>
      <c r="Z238" s="1397"/>
      <c r="AA238" s="1397"/>
      <c r="AB238" s="1397"/>
      <c r="AC238" s="1397"/>
    </row>
    <row r="239" spans="1:29" x14ac:dyDescent="0.2">
      <c r="A239" s="256"/>
      <c r="K239" s="1472"/>
      <c r="L239" s="57"/>
      <c r="M239" s="1397"/>
      <c r="N239" s="1397"/>
      <c r="O239" s="1397"/>
      <c r="P239" s="1397"/>
      <c r="Q239" s="1397"/>
      <c r="R239" s="1397"/>
      <c r="S239" s="1397"/>
      <c r="T239" s="1397"/>
      <c r="U239" s="1397"/>
      <c r="V239" s="1397"/>
      <c r="W239" s="1397"/>
      <c r="X239" s="1397"/>
      <c r="Y239" s="1397"/>
      <c r="Z239" s="1397"/>
      <c r="AA239" s="1397"/>
      <c r="AB239" s="1397"/>
      <c r="AC239" s="1397"/>
    </row>
    <row r="240" spans="1:29" x14ac:dyDescent="0.2">
      <c r="A240" s="256"/>
      <c r="K240" s="1474" t="s">
        <v>63</v>
      </c>
      <c r="L240" s="55"/>
      <c r="M240" s="1397"/>
      <c r="N240" s="1397"/>
      <c r="O240" s="1397"/>
      <c r="P240" s="1397"/>
      <c r="Q240" s="1397"/>
      <c r="R240" s="1397"/>
      <c r="S240" s="1397"/>
      <c r="T240" s="1397"/>
      <c r="U240" s="1397"/>
      <c r="V240" s="1397"/>
      <c r="W240" s="1397"/>
      <c r="X240" s="1397"/>
      <c r="Y240" s="1397"/>
      <c r="Z240" s="1397"/>
      <c r="AA240" s="1397"/>
      <c r="AB240" s="1397"/>
      <c r="AC240" s="1397"/>
    </row>
    <row r="241" spans="1:29" x14ac:dyDescent="0.2">
      <c r="A241" s="256"/>
      <c r="K241" s="1470" t="s">
        <v>1279</v>
      </c>
      <c r="L241" s="55" t="e">
        <f t="shared" ref="L241:L242" si="18">ROUND(SUM(M241:AC241),0)</f>
        <v>#REF!</v>
      </c>
      <c r="M241" s="1477" t="e">
        <v>#REF!</v>
      </c>
      <c r="N241" s="1477">
        <v>-2240</v>
      </c>
      <c r="O241" s="1477">
        <v>-26371</v>
      </c>
      <c r="P241" s="1477">
        <v>-397450</v>
      </c>
      <c r="Q241" s="1477" t="e">
        <v>#REF!</v>
      </c>
      <c r="R241" s="1477" t="e">
        <v>#REF!</v>
      </c>
      <c r="S241" s="1477">
        <v>-6108</v>
      </c>
      <c r="T241" s="1477">
        <v>-5725422</v>
      </c>
      <c r="U241" s="1477">
        <v>178623</v>
      </c>
      <c r="V241" s="1477" t="e">
        <v>#REF!</v>
      </c>
      <c r="W241" s="1477" t="e">
        <v>#REF!</v>
      </c>
      <c r="X241" s="1477" t="e">
        <v>#REF!</v>
      </c>
      <c r="Y241" s="1477">
        <v>98</v>
      </c>
      <c r="Z241" s="1477" t="e">
        <v>#REF!</v>
      </c>
      <c r="AA241" s="1477">
        <v>5978870</v>
      </c>
      <c r="AB241" s="1477" t="e">
        <v>#REF!</v>
      </c>
      <c r="AC241" s="1477" t="e">
        <v>#REF!</v>
      </c>
    </row>
    <row r="242" spans="1:29" x14ac:dyDescent="0.2">
      <c r="A242" s="256"/>
      <c r="K242" s="1475" t="s">
        <v>1292</v>
      </c>
      <c r="L242" s="55">
        <f t="shared" si="18"/>
        <v>0</v>
      </c>
      <c r="M242" s="1397"/>
      <c r="N242" s="1397"/>
      <c r="O242" s="1397"/>
      <c r="P242" s="1397"/>
      <c r="Q242" s="1397"/>
      <c r="R242" s="1397">
        <f>-R185</f>
        <v>556400</v>
      </c>
      <c r="S242" s="1397"/>
      <c r="T242" s="1397">
        <f>-R242</f>
        <v>-556400</v>
      </c>
      <c r="U242" s="1397"/>
      <c r="V242" s="1397"/>
      <c r="W242" s="1397"/>
      <c r="X242" s="1397"/>
      <c r="Y242" s="1397"/>
      <c r="Z242" s="1397"/>
      <c r="AA242" s="1397"/>
      <c r="AB242" s="1397"/>
      <c r="AC242" s="1397"/>
    </row>
    <row r="243" spans="1:29" x14ac:dyDescent="0.2">
      <c r="A243" s="256"/>
      <c r="K243" s="1475"/>
      <c r="L243" s="55"/>
      <c r="M243" s="1397"/>
      <c r="N243" s="1397"/>
      <c r="O243" s="1397"/>
      <c r="P243" s="1397"/>
      <c r="Q243" s="1397"/>
      <c r="R243" s="1397"/>
      <c r="S243" s="1397"/>
      <c r="T243" s="1397"/>
      <c r="U243" s="1397"/>
      <c r="V243" s="1397"/>
      <c r="W243" s="1397"/>
      <c r="X243" s="1397"/>
      <c r="Y243" s="1397"/>
      <c r="Z243" s="1397"/>
      <c r="AA243" s="1397"/>
      <c r="AB243" s="1397"/>
      <c r="AC243" s="1397"/>
    </row>
    <row r="244" spans="1:29" x14ac:dyDescent="0.2">
      <c r="A244" s="256"/>
      <c r="K244" s="1470"/>
      <c r="L244" s="55"/>
      <c r="M244" s="1397"/>
      <c r="N244" s="1397"/>
      <c r="O244" s="1397"/>
      <c r="P244" s="1397"/>
      <c r="Q244" s="1397"/>
      <c r="R244" s="1397"/>
      <c r="S244" s="1397"/>
      <c r="T244" s="1397"/>
      <c r="U244" s="1397"/>
      <c r="V244" s="1397"/>
      <c r="W244" s="1397"/>
      <c r="X244" s="1397"/>
      <c r="Y244" s="1397"/>
      <c r="Z244" s="1397"/>
      <c r="AA244" s="1397"/>
      <c r="AB244" s="1397"/>
      <c r="AC244" s="1397"/>
    </row>
    <row r="245" spans="1:29" ht="12.6" thickBot="1" x14ac:dyDescent="0.25">
      <c r="A245" s="256"/>
      <c r="K245" s="1473" t="s">
        <v>20</v>
      </c>
      <c r="L245" s="281" t="e">
        <f>SUM(L216,L223,L238)</f>
        <v>#REF!</v>
      </c>
      <c r="M245" s="1397"/>
      <c r="N245" s="1397"/>
      <c r="O245" s="1397"/>
      <c r="P245" s="1397"/>
      <c r="Q245" s="1397"/>
      <c r="R245" s="1397"/>
      <c r="S245" s="1397"/>
      <c r="T245" s="1397"/>
      <c r="U245" s="1397"/>
      <c r="V245" s="1397"/>
      <c r="W245" s="1397"/>
      <c r="X245" s="1397"/>
      <c r="Y245" s="1397"/>
      <c r="Z245" s="1397"/>
      <c r="AA245" s="1397"/>
      <c r="AB245" s="1397"/>
      <c r="AC245" s="1397"/>
    </row>
    <row r="246" spans="1:29" x14ac:dyDescent="0.2">
      <c r="A246" s="256"/>
      <c r="K246" s="1472" t="s">
        <v>118</v>
      </c>
      <c r="L246" s="55">
        <f>ROUND(SUM(M246:T246),0)</f>
        <v>0</v>
      </c>
      <c r="M246" s="1397"/>
      <c r="N246" s="1397"/>
      <c r="O246" s="1397"/>
      <c r="P246" s="1397"/>
      <c r="Q246" s="1397"/>
      <c r="R246" s="1397"/>
      <c r="S246" s="1397"/>
      <c r="T246" s="1397"/>
      <c r="U246" s="1397"/>
      <c r="V246" s="1397"/>
      <c r="W246" s="1397"/>
      <c r="X246" s="1397"/>
      <c r="Y246" s="1397"/>
      <c r="Z246" s="1397"/>
      <c r="AA246" s="1397"/>
      <c r="AB246" s="1397"/>
      <c r="AC246" s="1397"/>
    </row>
    <row r="247" spans="1:29" x14ac:dyDescent="0.2">
      <c r="A247" s="256"/>
      <c r="K247" s="1474" t="s">
        <v>67</v>
      </c>
      <c r="L247" s="55">
        <f>L183</f>
        <v>108180</v>
      </c>
      <c r="M247" s="1397"/>
      <c r="N247" s="1397"/>
      <c r="O247" s="1397"/>
      <c r="P247" s="1397"/>
      <c r="Q247" s="1397"/>
      <c r="R247" s="1397"/>
      <c r="S247" s="1397"/>
      <c r="T247" s="1397"/>
      <c r="U247" s="1397"/>
      <c r="V247" s="1397"/>
      <c r="W247" s="1397"/>
      <c r="X247" s="1397"/>
      <c r="Y247" s="1397"/>
      <c r="Z247" s="1397"/>
      <c r="AA247" s="1397"/>
      <c r="AB247" s="1397"/>
      <c r="AC247" s="1397"/>
    </row>
    <row r="248" spans="1:29" ht="12.6" thickBot="1" x14ac:dyDescent="0.25">
      <c r="A248" s="256"/>
      <c r="K248" s="48" t="s">
        <v>66</v>
      </c>
      <c r="L248" s="49" t="e">
        <f>L247+L245+L246</f>
        <v>#REF!</v>
      </c>
      <c r="M248" s="49" t="e">
        <f t="shared" ref="M248:T248" si="19">ROUND(SUM(M185:M247),0)</f>
        <v>#REF!</v>
      </c>
      <c r="N248" s="49">
        <f t="shared" si="19"/>
        <v>0</v>
      </c>
      <c r="O248" s="49">
        <f t="shared" si="19"/>
        <v>0</v>
      </c>
      <c r="P248" s="49">
        <f t="shared" si="19"/>
        <v>0</v>
      </c>
      <c r="Q248" s="49" t="e">
        <f t="shared" si="19"/>
        <v>#REF!</v>
      </c>
      <c r="R248" s="49" t="e">
        <f t="shared" si="19"/>
        <v>#REF!</v>
      </c>
      <c r="S248" s="49" t="e">
        <f t="shared" si="19"/>
        <v>#REF!</v>
      </c>
      <c r="T248" s="49">
        <f t="shared" si="19"/>
        <v>0</v>
      </c>
      <c r="U248" s="49">
        <f t="shared" ref="U248:AC248" si="20">ROUND(SUM(U185:U247),0)</f>
        <v>0</v>
      </c>
      <c r="V248" s="49" t="e">
        <f t="shared" si="20"/>
        <v>#REF!</v>
      </c>
      <c r="W248" s="49" t="e">
        <f t="shared" si="20"/>
        <v>#REF!</v>
      </c>
      <c r="X248" s="49" t="e">
        <f t="shared" si="20"/>
        <v>#REF!</v>
      </c>
      <c r="Y248" s="49">
        <f t="shared" si="20"/>
        <v>0</v>
      </c>
      <c r="Z248" s="49" t="e">
        <f t="shared" si="20"/>
        <v>#REF!</v>
      </c>
      <c r="AA248" s="49">
        <f t="shared" si="20"/>
        <v>0</v>
      </c>
      <c r="AB248" s="49" t="e">
        <f t="shared" si="20"/>
        <v>#REF!</v>
      </c>
      <c r="AC248" s="49" t="e">
        <f t="shared" si="20"/>
        <v>#REF!</v>
      </c>
    </row>
    <row r="249" spans="1:29" ht="12.6" thickTop="1" x14ac:dyDescent="0.2">
      <c r="A249" s="256"/>
    </row>
    <row r="250" spans="1:29" ht="12.6" thickBot="1" x14ac:dyDescent="0.25">
      <c r="A250" s="256"/>
      <c r="K250" s="65" t="s">
        <v>19</v>
      </c>
      <c r="L250" s="66" t="e">
        <f>L248-L184</f>
        <v>#REF!</v>
      </c>
    </row>
    <row r="251" spans="1:29" ht="12.6" thickTop="1" x14ac:dyDescent="0.2">
      <c r="A251" s="256"/>
    </row>
    <row r="252" spans="1:29" x14ac:dyDescent="0.2">
      <c r="A252" s="256"/>
    </row>
  </sheetData>
  <autoFilter ref="A7:I182" xr:uid="{112CB529-80AA-4800-B334-38C76CF95232}">
    <filterColumn colId="6">
      <filters>
        <filter val="Net financial expenses"/>
      </filters>
    </filterColumn>
  </autoFilter>
  <conditionalFormatting sqref="A185:A1048576 A1:A3 A5:A183">
    <cfRule type="duplicateValues" dxfId="9" priority="1"/>
  </conditionalFormatting>
  <hyperlinks>
    <hyperlink ref="B5" location="'TB.2 - F24'!A1" display="TB.2" xr:uid="{CE0D50F9-C0D5-4142-B131-5E7AC04565AE}"/>
    <hyperlink ref="C5" location="'TB.2 - F24'!A1" display="TB.2" xr:uid="{98CF1535-BE92-48C0-A3DF-AAC1F1A2547C}"/>
    <hyperlink ref="D5" location="'AJE.2 - F24'!A1" display="'AJE.2" xr:uid="{F1CA4386-E982-49BA-B79D-788C0FC981CE}"/>
  </hyperlink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842A-9420-4E20-ADC1-6DF69E4E90A1}">
  <sheetPr>
    <tabColor theme="8" tint="0.79998168889431442"/>
  </sheetPr>
  <dimension ref="A1:Y149"/>
  <sheetViews>
    <sheetView workbookViewId="0"/>
  </sheetViews>
  <sheetFormatPr defaultColWidth="8.88671875" defaultRowHeight="12" outlineLevelCol="1" x14ac:dyDescent="0.3"/>
  <cols>
    <col min="1" max="1" width="3.6640625" style="16" customWidth="1"/>
    <col min="2" max="2" width="43.5546875" style="16" customWidth="1"/>
    <col min="3" max="3" width="17.88671875" style="16" customWidth="1"/>
    <col min="4" max="4" width="19.88671875" style="16" customWidth="1"/>
    <col min="5" max="5" width="15.109375" style="16" hidden="1" customWidth="1" outlineLevel="1"/>
    <col min="6" max="6" width="17.33203125" style="16" customWidth="1" collapsed="1"/>
    <col min="7" max="7" width="3" style="16" customWidth="1"/>
    <col min="8" max="8" width="19" style="16" customWidth="1"/>
    <col min="9" max="9" width="19.44140625" style="16" customWidth="1"/>
    <col min="10" max="10" width="19.44140625" style="16" hidden="1" customWidth="1" outlineLevel="1"/>
    <col min="11" max="11" width="19.44140625" style="16" customWidth="1" collapsed="1"/>
    <col min="12" max="12" width="33.109375" style="183" bestFit="1" customWidth="1"/>
    <col min="13" max="13" width="39" style="16" customWidth="1"/>
    <col min="14" max="14" width="41.88671875" style="16" hidden="1" customWidth="1" outlineLevel="1"/>
    <col min="15" max="15" width="3" style="16" customWidth="1" collapsed="1"/>
    <col min="16" max="16" width="64" style="16" customWidth="1"/>
    <col min="17" max="17" width="21" style="16" customWidth="1" outlineLevel="1"/>
    <col min="18" max="22" width="18.109375" style="16" customWidth="1" outlineLevel="1"/>
    <col min="23" max="23" width="3.88671875" style="16" customWidth="1"/>
    <col min="24" max="24" width="15" style="16" customWidth="1"/>
    <col min="25" max="16384" width="8.88671875" style="16"/>
  </cols>
  <sheetData>
    <row r="1" spans="1:23" ht="25.2" x14ac:dyDescent="0.3">
      <c r="A1" s="44" t="str">
        <f>company_name</f>
        <v>Consolidated Hallor Group Inc.</v>
      </c>
      <c r="B1" s="5"/>
      <c r="F1" s="71"/>
      <c r="G1" s="71"/>
      <c r="H1" s="71"/>
      <c r="I1" s="71"/>
      <c r="J1" s="71"/>
      <c r="K1" s="71"/>
      <c r="L1" s="176"/>
      <c r="M1" s="505" t="s">
        <v>398</v>
      </c>
      <c r="N1" s="19"/>
    </row>
    <row r="2" spans="1:23" ht="21" x14ac:dyDescent="0.25">
      <c r="B2" s="534">
        <f>comp_period_2</f>
        <v>45107</v>
      </c>
      <c r="C2" s="535" t="s">
        <v>400</v>
      </c>
      <c r="F2" s="71"/>
      <c r="G2" s="71"/>
      <c r="H2" s="535" t="s">
        <v>400</v>
      </c>
      <c r="I2" s="71"/>
      <c r="J2" s="71"/>
      <c r="K2" s="71"/>
      <c r="L2" s="176"/>
      <c r="M2" s="19"/>
      <c r="N2" s="19"/>
      <c r="P2" s="212"/>
      <c r="Q2" s="211"/>
      <c r="R2" s="211"/>
      <c r="S2" s="211"/>
      <c r="T2" s="211"/>
      <c r="U2" s="211"/>
      <c r="V2" s="211"/>
    </row>
    <row r="3" spans="1:23" ht="14.4" x14ac:dyDescent="0.25">
      <c r="B3" s="532" t="s">
        <v>410</v>
      </c>
      <c r="C3" s="533" t="s">
        <v>409</v>
      </c>
      <c r="F3" s="71"/>
      <c r="G3" s="71"/>
      <c r="H3" s="533" t="s">
        <v>409</v>
      </c>
      <c r="I3" s="71"/>
      <c r="J3" s="71"/>
      <c r="K3" s="71"/>
      <c r="L3" s="176"/>
      <c r="M3" s="531"/>
      <c r="N3" s="531"/>
      <c r="P3" s="212"/>
      <c r="Q3" s="211"/>
      <c r="R3" s="211"/>
      <c r="S3" s="211"/>
      <c r="T3" s="211"/>
      <c r="U3" s="211"/>
      <c r="V3" s="211"/>
    </row>
    <row r="4" spans="1:23" s="143" customFormat="1" ht="36.6" customHeight="1" x14ac:dyDescent="0.3">
      <c r="A4" s="142"/>
      <c r="C4" s="184" t="str">
        <f>INPUTS!$B$16</f>
        <v>3 months</v>
      </c>
      <c r="D4" s="184" t="str">
        <f>INPUTS!$B$16</f>
        <v>3 months</v>
      </c>
      <c r="E4" s="184" t="str">
        <f>INPUTS!$B$16</f>
        <v>3 months</v>
      </c>
      <c r="F4" s="184" t="str">
        <f>INPUTS!$B$16</f>
        <v>3 months</v>
      </c>
      <c r="G4" s="502"/>
      <c r="H4" s="502" t="str">
        <f>_xlfn.XLOOKUP(INPUTS!$B$3,INPUTS!$A$16:$A$19,INPUTS!$B$16:$B$19,"n/a",0,1)</f>
        <v>year ended</v>
      </c>
      <c r="I4" s="502" t="str">
        <f>_xlfn.XLOOKUP(INPUTS!$B$3,INPUTS!$A$16:$A$19,INPUTS!$B$16:$B$19,"n/a",0,1)</f>
        <v>year ended</v>
      </c>
      <c r="J4" s="502" t="str">
        <f>_xlfn.XLOOKUP(INPUTS!$B$3,INPUTS!$A$16:$A$19,INPUTS!$B$16:$B$19,"n/a",0,1)</f>
        <v>year ended</v>
      </c>
      <c r="K4" s="502" t="str">
        <f>_xlfn.XLOOKUP(INPUTS!$B$3,INPUTS!$A$16:$A$19,INPUTS!$B$16:$B$19,"n/a",0,1)</f>
        <v>year ended</v>
      </c>
      <c r="L4" s="177"/>
      <c r="P4" s="212"/>
      <c r="Q4" s="211"/>
      <c r="R4" s="211"/>
      <c r="S4" s="211"/>
      <c r="T4" s="211"/>
      <c r="U4" s="211"/>
      <c r="V4" s="211"/>
      <c r="W4" s="145"/>
    </row>
    <row r="5" spans="1:23" ht="53.4" customHeight="1" thickBot="1" x14ac:dyDescent="0.3">
      <c r="A5" s="82"/>
      <c r="B5" s="82" t="s">
        <v>250</v>
      </c>
      <c r="C5" s="421" t="str">
        <f>TEXT(comp_period_2,"MMMM DD, YYYY")</f>
        <v>June 30, 2023</v>
      </c>
      <c r="D5" s="128" t="s">
        <v>376</v>
      </c>
      <c r="E5" s="128" t="s">
        <v>265</v>
      </c>
      <c r="F5" s="128" t="str">
        <f>"Adjusted Bal - "&amp;TEXT($B$2,"MMMM DD, YYYY")</f>
        <v>Adjusted Bal - June 30, 2023</v>
      </c>
      <c r="G5" s="503"/>
      <c r="H5" s="421" t="str">
        <f>C5</f>
        <v>June 30, 2023</v>
      </c>
      <c r="I5" s="128" t="s">
        <v>376</v>
      </c>
      <c r="J5" s="128" t="s">
        <v>265</v>
      </c>
      <c r="K5" s="128" t="str">
        <f>"Adjusted Bal - "&amp;TEXT($B$2,"MMMM DD, YYYY")</f>
        <v>Adjusted Bal - June 30, 2023</v>
      </c>
      <c r="L5" s="82" t="s">
        <v>1</v>
      </c>
      <c r="M5" s="82" t="s">
        <v>40</v>
      </c>
      <c r="N5" s="82" t="s">
        <v>45</v>
      </c>
      <c r="P5" s="46"/>
      <c r="Q5" s="126" t="s">
        <v>237</v>
      </c>
      <c r="R5" s="126" t="s">
        <v>70</v>
      </c>
      <c r="S5" s="126" t="s">
        <v>308</v>
      </c>
      <c r="T5" s="126" t="s">
        <v>5</v>
      </c>
      <c r="U5" s="126" t="s">
        <v>6</v>
      </c>
      <c r="V5" s="126" t="s">
        <v>309</v>
      </c>
    </row>
    <row r="6" spans="1:23" x14ac:dyDescent="0.25">
      <c r="A6" s="50"/>
      <c r="B6" s="15" t="str">
        <f>COA!B96</f>
        <v>5000 Revenue</v>
      </c>
      <c r="C6" s="504">
        <f>SUMIF('PL.2 - FY23'!G:G,B6,'PL.2 - FY23'!H:H)</f>
        <v>0</v>
      </c>
      <c r="D6" s="127">
        <f>_xlfn.XLOOKUP(B6,'AJE.2B - F24'!A:A,'AJE.2B - F24'!F:F,0,0,1)</f>
        <v>0</v>
      </c>
      <c r="E6" s="127"/>
      <c r="F6" s="218">
        <f t="shared" ref="F6:F69" si="0">ROUND(SUM(C6:E6),0)</f>
        <v>0</v>
      </c>
      <c r="G6" s="420"/>
      <c r="H6" s="504">
        <f>-SUMIF('PL.2 - FY23'!G:G,B6,'PL.2 - FY23'!P:P)</f>
        <v>0</v>
      </c>
      <c r="I6" s="127">
        <f>_xlfn.XLOOKUP(B6,'AJE.2B - F24'!A:A,'AJE.2B - F24'!M:M,0,0,1)</f>
        <v>0</v>
      </c>
      <c r="J6" s="127"/>
      <c r="K6" s="218">
        <f t="shared" ref="K6:K69" si="1">ROUND(SUM(H6:J6),0)</f>
        <v>0</v>
      </c>
      <c r="L6" s="216" t="str">
        <f>_xlfn.XLOOKUP($B6,COA!$B:$B,COA!$C:$C,0,0,1)</f>
        <v>Revenues</v>
      </c>
      <c r="M6" s="216" t="str">
        <f>_xlfn.XLOOKUP($B6,COA!$B:$B,COA!$D:$D,0,0,1)</f>
        <v>Revenues</v>
      </c>
      <c r="N6" s="216" t="str">
        <f>_xlfn.XLOOKUP($B6,COA!$B:$B,COA!$E:$E,0,0,1)</f>
        <v>Accumulated deficit</v>
      </c>
      <c r="P6" s="85" t="e">
        <f>_xlfn.XLOOKUP(N6,#REF!,#REF!,0,0,1)</f>
        <v>#REF!</v>
      </c>
      <c r="Q6" s="85"/>
      <c r="R6" s="85"/>
      <c r="S6" s="85"/>
      <c r="T6" s="85"/>
      <c r="U6" s="85"/>
      <c r="V6" s="85"/>
    </row>
    <row r="7" spans="1:23" x14ac:dyDescent="0.25">
      <c r="A7" s="50"/>
      <c r="B7" s="15" t="str">
        <f>COA!B97</f>
        <v>5000 Utility Vehicle Sales</v>
      </c>
      <c r="C7" s="504">
        <f>SUMIF('PL.2 - FY23'!G:G,B7,'PL.2 - FY23'!H:H)</f>
        <v>0</v>
      </c>
      <c r="D7" s="127">
        <f>_xlfn.XLOOKUP(B7,'AJE.2B - F24'!A:A,'AJE.2B - F24'!F:F,0,0,1)</f>
        <v>0</v>
      </c>
      <c r="E7" s="127"/>
      <c r="F7" s="219">
        <f t="shared" si="0"/>
        <v>0</v>
      </c>
      <c r="G7" s="420"/>
      <c r="H7" s="504">
        <f>-SUMIF('PL.2 - FY23'!G:G,B7,'PL.2 - FY23'!P:P)</f>
        <v>0</v>
      </c>
      <c r="I7" s="127">
        <f>_xlfn.XLOOKUP(B7,'AJE.2B - F24'!A:A,'AJE.2B - F24'!M:M,0,0,1)</f>
        <v>0</v>
      </c>
      <c r="J7" s="127"/>
      <c r="K7" s="219">
        <f t="shared" si="1"/>
        <v>0</v>
      </c>
      <c r="L7" s="178" t="str">
        <f>_xlfn.XLOOKUP($B7,COA!$B:$B,COA!$C:$C,0,0,1)</f>
        <v>Revenues</v>
      </c>
      <c r="M7" s="178" t="str">
        <f>_xlfn.XLOOKUP($B7,COA!$B:$B,COA!$D:$D,0,0,1)</f>
        <v xml:space="preserve">Sale of electric vehicle </v>
      </c>
      <c r="N7" s="178" t="str">
        <f>_xlfn.XLOOKUP($B7,COA!$B:$B,COA!$E:$E,0,0,1)</f>
        <v>Accumulated deficit</v>
      </c>
      <c r="P7" s="85" t="e">
        <f>_xlfn.XLOOKUP(N7,#REF!,#REF!,0,0,1)</f>
        <v>#REF!</v>
      </c>
      <c r="Q7" s="85"/>
      <c r="R7" s="85"/>
      <c r="S7" s="85"/>
      <c r="T7" s="85"/>
      <c r="U7" s="85"/>
      <c r="V7" s="85"/>
    </row>
    <row r="8" spans="1:23" x14ac:dyDescent="0.25">
      <c r="A8" s="50"/>
      <c r="B8" s="15" t="str">
        <f>COA!B98</f>
        <v>5001 Other General Sales</v>
      </c>
      <c r="C8" s="504">
        <f>SUMIF('PL.2 - FY23'!G:G,B8,'PL.2 - FY23'!H:H)</f>
        <v>0</v>
      </c>
      <c r="D8" s="127">
        <f>_xlfn.XLOOKUP(B8,'AJE.2B - F24'!A:A,'AJE.2B - F24'!F:F,0,0,1)</f>
        <v>0</v>
      </c>
      <c r="E8" s="127"/>
      <c r="F8" s="219">
        <f t="shared" si="0"/>
        <v>0</v>
      </c>
      <c r="G8" s="420"/>
      <c r="H8" s="504">
        <f>-SUMIF('PL.2 - FY23'!G:G,B8,'PL.2 - FY23'!P:P)</f>
        <v>0</v>
      </c>
      <c r="I8" s="127">
        <f>_xlfn.XLOOKUP(B8,'AJE.2B - F24'!A:A,'AJE.2B - F24'!M:M,0,0,1)</f>
        <v>0</v>
      </c>
      <c r="J8" s="127"/>
      <c r="K8" s="219">
        <f t="shared" si="1"/>
        <v>0</v>
      </c>
      <c r="L8" s="178" t="str">
        <f>_xlfn.XLOOKUP($B8,COA!$B:$B,COA!$C:$C,0,0,1)</f>
        <v>Revenues</v>
      </c>
      <c r="M8" s="178" t="str">
        <f>_xlfn.XLOOKUP($B8,COA!$B:$B,COA!$D:$D,0,0,1)</f>
        <v>Mechanical services</v>
      </c>
      <c r="N8" s="178" t="str">
        <f>_xlfn.XLOOKUP($B8,COA!$B:$B,COA!$E:$E,0,0,1)</f>
        <v>Accumulated deficit</v>
      </c>
      <c r="P8" s="85" t="e">
        <f>_xlfn.XLOOKUP(N8,#REF!,#REF!,0,0,1)</f>
        <v>#REF!</v>
      </c>
      <c r="Q8" s="85"/>
      <c r="R8" s="85"/>
      <c r="S8" s="85"/>
      <c r="T8" s="85"/>
      <c r="U8" s="85"/>
      <c r="V8" s="85"/>
    </row>
    <row r="9" spans="1:23" x14ac:dyDescent="0.25">
      <c r="A9" s="50"/>
      <c r="B9" s="15" t="str">
        <f>COA!B99</f>
        <v>5002 Equipment parts sale</v>
      </c>
      <c r="C9" s="504">
        <f>SUMIF('PL.2 - FY23'!G:G,B9,'PL.2 - FY23'!H:H)</f>
        <v>0</v>
      </c>
      <c r="D9" s="127">
        <f>_xlfn.XLOOKUP(B9,'AJE.2B - F24'!A:A,'AJE.2B - F24'!F:F,0,0,1)</f>
        <v>0</v>
      </c>
      <c r="E9" s="127"/>
      <c r="F9" s="219">
        <f t="shared" si="0"/>
        <v>0</v>
      </c>
      <c r="G9" s="420"/>
      <c r="H9" s="504">
        <f>-SUMIF('PL.2 - FY23'!G:G,B9,'PL.2 - FY23'!P:P)</f>
        <v>0</v>
      </c>
      <c r="I9" s="127">
        <f>_xlfn.XLOOKUP(B9,'AJE.2B - F24'!A:A,'AJE.2B - F24'!M:M,0,0,1)</f>
        <v>0</v>
      </c>
      <c r="J9" s="127"/>
      <c r="K9" s="219">
        <f t="shared" si="1"/>
        <v>0</v>
      </c>
      <c r="L9" s="178" t="str">
        <f>_xlfn.XLOOKUP($B9,COA!$B:$B,COA!$C:$C,0,0,1)</f>
        <v>Revenues</v>
      </c>
      <c r="M9" s="178" t="str">
        <f>_xlfn.XLOOKUP($B9,COA!$B:$B,COA!$D:$D,0,0,1)</f>
        <v>Surcharge on parts and components sold</v>
      </c>
      <c r="N9" s="178" t="str">
        <f>_xlfn.XLOOKUP($B9,COA!$B:$B,COA!$E:$E,0,0,1)</f>
        <v>Accumulated deficit</v>
      </c>
      <c r="P9" s="85" t="e">
        <f>_xlfn.XLOOKUP(N9,#REF!,#REF!,0,0,1)</f>
        <v>#REF!</v>
      </c>
      <c r="Q9" s="85"/>
      <c r="R9" s="85"/>
      <c r="S9" s="85"/>
      <c r="T9" s="85"/>
      <c r="U9" s="85"/>
      <c r="V9" s="85"/>
    </row>
    <row r="10" spans="1:23" x14ac:dyDescent="0.25">
      <c r="A10" s="50"/>
      <c r="B10" s="15" t="str">
        <f>COA!B100</f>
        <v>5003 Labour service</v>
      </c>
      <c r="C10" s="504">
        <f>SUMIF('PL.2 - FY23'!G:G,B10,'PL.2 - FY23'!H:H)</f>
        <v>0</v>
      </c>
      <c r="D10" s="127">
        <f>_xlfn.XLOOKUP(B10,'AJE.2B - F24'!A:A,'AJE.2B - F24'!F:F,0,0,1)</f>
        <v>0</v>
      </c>
      <c r="E10" s="127"/>
      <c r="F10" s="219">
        <f t="shared" si="0"/>
        <v>0</v>
      </c>
      <c r="G10" s="420"/>
      <c r="H10" s="504">
        <f>-SUMIF('PL.2 - FY23'!G:G,B10,'PL.2 - FY23'!P:P)</f>
        <v>0</v>
      </c>
      <c r="I10" s="127">
        <f>_xlfn.XLOOKUP(B10,'AJE.2B - F24'!A:A,'AJE.2B - F24'!M:M,0,0,1)</f>
        <v>0</v>
      </c>
      <c r="J10" s="127"/>
      <c r="K10" s="219">
        <f t="shared" si="1"/>
        <v>0</v>
      </c>
      <c r="L10" s="178" t="str">
        <f>_xlfn.XLOOKUP($B10,COA!$B:$B,COA!$C:$C,0,0,1)</f>
        <v>Revenues</v>
      </c>
      <c r="M10" s="178" t="str">
        <f>_xlfn.XLOOKUP($B10,COA!$B:$B,COA!$D:$D,0,0,1)</f>
        <v>Mechanical services</v>
      </c>
      <c r="N10" s="178" t="str">
        <f>_xlfn.XLOOKUP($B10,COA!$B:$B,COA!$E:$E,0,0,1)</f>
        <v>Accumulated deficit</v>
      </c>
      <c r="P10" s="85" t="e">
        <f>_xlfn.XLOOKUP(N10,#REF!,#REF!,0,0,1)</f>
        <v>#REF!</v>
      </c>
      <c r="Q10" s="85"/>
      <c r="R10" s="85"/>
      <c r="S10" s="85"/>
      <c r="T10" s="85"/>
      <c r="U10" s="85"/>
      <c r="V10" s="85"/>
    </row>
    <row r="11" spans="1:23" x14ac:dyDescent="0.25">
      <c r="A11" s="50"/>
      <c r="B11" s="15" t="str">
        <f>COA!B101</f>
        <v>5004 Shop Supplies Sales</v>
      </c>
      <c r="C11" s="504">
        <f>SUMIF('PL.2 - FY23'!G:G,B11,'PL.2 - FY23'!H:H)</f>
        <v>0</v>
      </c>
      <c r="D11" s="127">
        <f>_xlfn.XLOOKUP(B11,'AJE.2B - F24'!A:A,'AJE.2B - F24'!F:F,0,0,1)</f>
        <v>0</v>
      </c>
      <c r="E11" s="127"/>
      <c r="F11" s="219">
        <f t="shared" si="0"/>
        <v>0</v>
      </c>
      <c r="G11" s="420"/>
      <c r="H11" s="504">
        <f>-SUMIF('PL.2 - FY23'!G:G,B11,'PL.2 - FY23'!P:P)</f>
        <v>0</v>
      </c>
      <c r="I11" s="127">
        <f>_xlfn.XLOOKUP(B11,'AJE.2B - F24'!A:A,'AJE.2B - F24'!M:M,0,0,1)</f>
        <v>0</v>
      </c>
      <c r="J11" s="127"/>
      <c r="K11" s="219">
        <f t="shared" si="1"/>
        <v>0</v>
      </c>
      <c r="L11" s="178" t="str">
        <f>_xlfn.XLOOKUP($B11,COA!$B:$B,COA!$C:$C,0,0,1)</f>
        <v>Revenues</v>
      </c>
      <c r="M11" s="178" t="str">
        <f>_xlfn.XLOOKUP($B11,COA!$B:$B,COA!$D:$D,0,0,1)</f>
        <v>Surcharge on parts and components sold</v>
      </c>
      <c r="N11" s="178" t="str">
        <f>_xlfn.XLOOKUP($B11,COA!$B:$B,COA!$E:$E,0,0,1)</f>
        <v>Accumulated deficit</v>
      </c>
      <c r="P11" s="85" t="e">
        <f>_xlfn.XLOOKUP(N11,#REF!,#REF!,0,0,1)</f>
        <v>#REF!</v>
      </c>
      <c r="Q11" s="85"/>
      <c r="R11" s="85"/>
      <c r="S11" s="85"/>
      <c r="T11" s="85"/>
      <c r="U11" s="85"/>
      <c r="V11" s="85"/>
    </row>
    <row r="12" spans="1:23" x14ac:dyDescent="0.25">
      <c r="A12" s="50"/>
      <c r="B12" s="15" t="str">
        <f>COA!B102</f>
        <v>5006 Markup</v>
      </c>
      <c r="C12" s="504">
        <f>SUMIF('PL.2 - FY23'!G:G,B12,'PL.2 - FY23'!H:H)</f>
        <v>0</v>
      </c>
      <c r="D12" s="127">
        <f>_xlfn.XLOOKUP(B12,'AJE.2B - F24'!A:A,'AJE.2B - F24'!F:F,0,0,1)</f>
        <v>0</v>
      </c>
      <c r="E12" s="127"/>
      <c r="F12" s="219">
        <f t="shared" si="0"/>
        <v>0</v>
      </c>
      <c r="G12" s="420"/>
      <c r="H12" s="504">
        <f>-SUMIF('PL.2 - FY23'!G:G,B12,'PL.2 - FY23'!P:P)</f>
        <v>0</v>
      </c>
      <c r="I12" s="127">
        <f>_xlfn.XLOOKUP(B12,'AJE.2B - F24'!A:A,'AJE.2B - F24'!M:M,0,0,1)</f>
        <v>0</v>
      </c>
      <c r="J12" s="127"/>
      <c r="K12" s="219">
        <f t="shared" si="1"/>
        <v>0</v>
      </c>
      <c r="L12" s="178" t="str">
        <f>_xlfn.XLOOKUP($B12,COA!$B:$B,COA!$C:$C,0,0,1)</f>
        <v>Revenues</v>
      </c>
      <c r="M12" s="178" t="str">
        <f>_xlfn.XLOOKUP($B12,COA!$B:$B,COA!$D:$D,0,0,1)</f>
        <v>Surcharge on parts and components sold</v>
      </c>
      <c r="N12" s="178" t="str">
        <f>_xlfn.XLOOKUP($B12,COA!$B:$B,COA!$E:$E,0,0,1)</f>
        <v>Accumulated deficit</v>
      </c>
      <c r="P12" s="85" t="e">
        <f>_xlfn.XLOOKUP(N12,#REF!,#REF!,0,0,1)</f>
        <v>#REF!</v>
      </c>
      <c r="Q12" s="85"/>
      <c r="R12" s="85"/>
      <c r="S12" s="85"/>
      <c r="T12" s="85"/>
      <c r="U12" s="85"/>
      <c r="V12" s="85"/>
    </row>
    <row r="13" spans="1:23" x14ac:dyDescent="0.25">
      <c r="A13" s="50"/>
      <c r="B13" s="15" t="str">
        <f>COA!B104</f>
        <v>5498 Interest income</v>
      </c>
      <c r="C13" s="504">
        <f>SUMIF('PL.2 - FY23'!G:G,B13,'PL.2 - FY23'!H:H)</f>
        <v>0</v>
      </c>
      <c r="D13" s="127">
        <f>_xlfn.XLOOKUP(B13,'AJE.2B - F24'!A:A,'AJE.2B - F24'!F:F,0,0,1)</f>
        <v>0</v>
      </c>
      <c r="E13" s="127"/>
      <c r="F13" s="219">
        <f t="shared" si="0"/>
        <v>0</v>
      </c>
      <c r="G13" s="420"/>
      <c r="H13" s="504">
        <f>-SUMIF('PL.2 - FY23'!G:G,B13,'PL.2 - FY23'!P:P)</f>
        <v>-5200</v>
      </c>
      <c r="I13" s="127">
        <f>_xlfn.XLOOKUP(B13,'AJE.2B - F24'!A:A,'AJE.2B - F24'!M:M,0,0,1)</f>
        <v>0</v>
      </c>
      <c r="J13" s="127"/>
      <c r="K13" s="219">
        <f t="shared" si="1"/>
        <v>-5200</v>
      </c>
      <c r="L13" s="178" t="str">
        <f>_xlfn.XLOOKUP($B13,COA!$B:$B,COA!$C:$C,0,0,1)</f>
        <v>Interest income</v>
      </c>
      <c r="M13" s="178" t="str">
        <f>_xlfn.XLOOKUP($B13,COA!$B:$B,COA!$D:$D,0,0,1)</f>
        <v>Interest income</v>
      </c>
      <c r="N13" s="178" t="str">
        <f>_xlfn.XLOOKUP($B13,COA!$B:$B,COA!$E:$E,0,0,1)</f>
        <v>Accumulated deficit</v>
      </c>
      <c r="P13" s="85" t="e">
        <f>_xlfn.XLOOKUP(N13,#REF!,#REF!,0,0,1)</f>
        <v>#REF!</v>
      </c>
      <c r="Q13" s="85"/>
      <c r="R13" s="85"/>
      <c r="S13" s="85"/>
      <c r="T13" s="85"/>
      <c r="U13" s="85"/>
      <c r="V13" s="85"/>
    </row>
    <row r="14" spans="1:23" x14ac:dyDescent="0.25">
      <c r="A14" s="50"/>
      <c r="B14" s="15" t="str">
        <f>COA!B105</f>
        <v>5499 Other Income</v>
      </c>
      <c r="C14" s="504">
        <f>SUMIF('PL.2 - FY23'!G:G,B14,'PL.2 - FY23'!H:H)</f>
        <v>0</v>
      </c>
      <c r="D14" s="127">
        <f>_xlfn.XLOOKUP(B14,'AJE.2B - F24'!A:A,'AJE.2B - F24'!F:F,0,0,1)</f>
        <v>0</v>
      </c>
      <c r="E14" s="127"/>
      <c r="F14" s="219">
        <f t="shared" si="0"/>
        <v>0</v>
      </c>
      <c r="G14" s="420"/>
      <c r="H14" s="504">
        <f>SUMIF('PL.2 - FY23'!G:G,B14,'PL.2 - FY23'!P:P)</f>
        <v>0</v>
      </c>
      <c r="I14" s="127">
        <f>_xlfn.XLOOKUP(B14,'AJE.2B - F24'!A:A,'AJE.2B - F24'!M:M,0,0,1)</f>
        <v>0</v>
      </c>
      <c r="J14" s="127"/>
      <c r="K14" s="219">
        <f t="shared" si="1"/>
        <v>0</v>
      </c>
      <c r="L14" s="178" t="str">
        <f>_xlfn.XLOOKUP($B14,COA!$B:$B,COA!$C:$C,0,0,1)</f>
        <v xml:space="preserve">Other income </v>
      </c>
      <c r="M14" s="178" t="str">
        <f>_xlfn.XLOOKUP($B14,COA!$B:$B,COA!$D:$D,0,0,1)</f>
        <v xml:space="preserve">Other income </v>
      </c>
      <c r="N14" s="178" t="str">
        <f>_xlfn.XLOOKUP($B14,COA!$B:$B,COA!$E:$E,0,0,1)</f>
        <v>Accumulated deficit</v>
      </c>
      <c r="P14" s="85" t="e">
        <f>_xlfn.XLOOKUP(N14,#REF!,#REF!,0,0,1)</f>
        <v>#REF!</v>
      </c>
      <c r="Q14" s="85"/>
      <c r="R14" s="85"/>
      <c r="S14" s="85"/>
      <c r="T14" s="85"/>
      <c r="U14" s="85"/>
      <c r="V14" s="85"/>
    </row>
    <row r="15" spans="1:23" x14ac:dyDescent="0.25">
      <c r="A15" s="50"/>
      <c r="B15" s="15" t="str">
        <f>COA!B106</f>
        <v>5500 Cost of Goods Sold</v>
      </c>
      <c r="C15" s="504">
        <f>SUMIF('PL.2 - FY23'!G:G,B15,'PL.2 - FY23'!H:H)</f>
        <v>0</v>
      </c>
      <c r="D15" s="127">
        <f>_xlfn.XLOOKUP(B15,'AJE.2B - F24'!A:A,'AJE.2B - F24'!F:F,0,0,1)</f>
        <v>0</v>
      </c>
      <c r="E15" s="127"/>
      <c r="F15" s="219">
        <f t="shared" si="0"/>
        <v>0</v>
      </c>
      <c r="G15" s="420"/>
      <c r="H15" s="504">
        <f>SUMIF('PL.2 - FY23'!G:G,B15,'PL.2 - FY23'!P:P)</f>
        <v>0</v>
      </c>
      <c r="I15" s="127">
        <f>_xlfn.XLOOKUP(B15,'AJE.2B - F24'!A:A,'AJE.2B - F24'!M:M,0,0,1)</f>
        <v>0</v>
      </c>
      <c r="J15" s="127"/>
      <c r="K15" s="219">
        <f t="shared" si="1"/>
        <v>0</v>
      </c>
      <c r="L15" s="178" t="str">
        <f>_xlfn.XLOOKUP($B15,COA!$B:$B,COA!$C:$C,0,0,1)</f>
        <v>Cost of goods sold</v>
      </c>
      <c r="M15" s="178" t="str">
        <f>_xlfn.XLOOKUP($B15,COA!$B:$B,COA!$D:$D,0,0,1)</f>
        <v>Cost of goods sold</v>
      </c>
      <c r="N15" s="178" t="str">
        <f>_xlfn.XLOOKUP($B15,COA!$B:$B,COA!$E:$E,0,0,1)</f>
        <v>Accumulated deficit</v>
      </c>
      <c r="P15" s="85" t="e">
        <f>_xlfn.XLOOKUP(N15,#REF!,#REF!,0,0,1)</f>
        <v>#REF!</v>
      </c>
      <c r="Q15" s="85"/>
      <c r="R15" s="85"/>
      <c r="S15" s="85"/>
      <c r="T15" s="85"/>
      <c r="U15" s="85"/>
      <c r="V15" s="85"/>
    </row>
    <row r="16" spans="1:23" x14ac:dyDescent="0.25">
      <c r="A16" s="50"/>
      <c r="B16" s="15" t="str">
        <f>COA!B107</f>
        <v>5510 Cost of Goods Sold:Parts and components  - COS</v>
      </c>
      <c r="C16" s="504">
        <f>SUMIF('PL.2 - FY23'!G:G,B16,'PL.2 - FY23'!H:H)</f>
        <v>0</v>
      </c>
      <c r="D16" s="127">
        <f>_xlfn.XLOOKUP(B16,'AJE.2B - F24'!A:A,'AJE.2B - F24'!F:F,0,0,1)</f>
        <v>0</v>
      </c>
      <c r="E16" s="127"/>
      <c r="F16" s="219">
        <f t="shared" si="0"/>
        <v>0</v>
      </c>
      <c r="G16" s="420"/>
      <c r="H16" s="504">
        <f>SUMIF('PL.2 - FY23'!G:G,B16,'PL.2 - FY23'!P:P)</f>
        <v>0</v>
      </c>
      <c r="I16" s="127">
        <f>_xlfn.XLOOKUP(B16,'AJE.2B - F24'!A:A,'AJE.2B - F24'!M:M,0,0,1)</f>
        <v>0</v>
      </c>
      <c r="J16" s="127"/>
      <c r="K16" s="219">
        <f t="shared" si="1"/>
        <v>0</v>
      </c>
      <c r="L16" s="178" t="str">
        <f>_xlfn.XLOOKUP($B16,COA!$B:$B,COA!$C:$C,0,0,1)</f>
        <v>Cost of goods sold</v>
      </c>
      <c r="M16" s="178" t="str">
        <f>_xlfn.XLOOKUP($B16,COA!$B:$B,COA!$D:$D,0,0,1)</f>
        <v>Cost of goods sold</v>
      </c>
      <c r="N16" s="178" t="str">
        <f>_xlfn.XLOOKUP($B16,COA!$B:$B,COA!$E:$E,0,0,1)</f>
        <v>Accumulated deficit</v>
      </c>
      <c r="P16" s="85" t="e">
        <f>_xlfn.XLOOKUP(N16,#REF!,#REF!,0,0,1)</f>
        <v>#REF!</v>
      </c>
      <c r="Q16" s="85"/>
      <c r="R16" s="85"/>
      <c r="S16" s="85"/>
      <c r="T16" s="85"/>
      <c r="U16" s="85"/>
      <c r="V16" s="85"/>
    </row>
    <row r="17" spans="1:22" x14ac:dyDescent="0.25">
      <c r="A17" s="50"/>
      <c r="B17" s="15" t="str">
        <f>COA!B108</f>
        <v>5515 Cost of Goods Sold:Engineering  - COS</v>
      </c>
      <c r="C17" s="504">
        <f>SUMIF('PL.2 - FY23'!G:G,B17,'PL.2 - FY23'!H:H)</f>
        <v>0</v>
      </c>
      <c r="D17" s="127">
        <f>_xlfn.XLOOKUP(B17,'AJE.2B - F24'!A:A,'AJE.2B - F24'!F:F,0,0,1)</f>
        <v>0</v>
      </c>
      <c r="E17" s="127"/>
      <c r="F17" s="219">
        <f t="shared" si="0"/>
        <v>0</v>
      </c>
      <c r="G17" s="420"/>
      <c r="H17" s="504">
        <f>SUMIF('PL.2 - FY23'!G:G,B17,'PL.2 - FY23'!P:P)</f>
        <v>0</v>
      </c>
      <c r="I17" s="127">
        <f>_xlfn.XLOOKUP(B17,'AJE.2B - F24'!A:A,'AJE.2B - F24'!M:M,0,0,1)</f>
        <v>0</v>
      </c>
      <c r="J17" s="127"/>
      <c r="K17" s="219">
        <f t="shared" si="1"/>
        <v>0</v>
      </c>
      <c r="L17" s="178" t="str">
        <f>_xlfn.XLOOKUP($B17,COA!$B:$B,COA!$C:$C,0,0,1)</f>
        <v>Cost of goods sold</v>
      </c>
      <c r="M17" s="178" t="str">
        <f>_xlfn.XLOOKUP($B17,COA!$B:$B,COA!$D:$D,0,0,1)</f>
        <v>Cost of goods sold</v>
      </c>
      <c r="N17" s="178" t="str">
        <f>_xlfn.XLOOKUP($B17,COA!$B:$B,COA!$E:$E,0,0,1)</f>
        <v>Accumulated deficit</v>
      </c>
      <c r="P17" s="85" t="e">
        <f>_xlfn.XLOOKUP(N17,#REF!,#REF!,0,0,1)</f>
        <v>#REF!</v>
      </c>
      <c r="Q17" s="85"/>
      <c r="R17" s="85"/>
      <c r="S17" s="85"/>
      <c r="T17" s="85"/>
      <c r="U17" s="85"/>
      <c r="V17" s="85"/>
    </row>
    <row r="18" spans="1:22" x14ac:dyDescent="0.25">
      <c r="A18" s="50"/>
      <c r="B18" s="15" t="str">
        <f>COA!B109</f>
        <v>5520 Cost of Goods Sold:Subcontracting  - COS</v>
      </c>
      <c r="C18" s="504">
        <f>SUMIF('PL.2 - FY23'!G:G,B18,'PL.2 - FY23'!H:H)</f>
        <v>0</v>
      </c>
      <c r="D18" s="127">
        <f>_xlfn.XLOOKUP(B18,'AJE.2B - F24'!A:A,'AJE.2B - F24'!F:F,0,0,1)</f>
        <v>0</v>
      </c>
      <c r="E18" s="127"/>
      <c r="F18" s="219">
        <f t="shared" si="0"/>
        <v>0</v>
      </c>
      <c r="G18" s="420"/>
      <c r="H18" s="504">
        <f>SUMIF('PL.2 - FY23'!G:G,B18,'PL.2 - FY23'!P:P)</f>
        <v>0</v>
      </c>
      <c r="I18" s="127">
        <f>_xlfn.XLOOKUP(B18,'AJE.2B - F24'!A:A,'AJE.2B - F24'!M:M,0,0,1)</f>
        <v>0</v>
      </c>
      <c r="J18" s="127"/>
      <c r="K18" s="219">
        <f t="shared" si="1"/>
        <v>0</v>
      </c>
      <c r="L18" s="178" t="str">
        <f>_xlfn.XLOOKUP($B18,COA!$B:$B,COA!$C:$C,0,0,1)</f>
        <v>Cost of goods sold</v>
      </c>
      <c r="M18" s="178" t="str">
        <f>_xlfn.XLOOKUP($B18,COA!$B:$B,COA!$D:$D,0,0,1)</f>
        <v>Cost of goods sold</v>
      </c>
      <c r="N18" s="178" t="str">
        <f>_xlfn.XLOOKUP($B18,COA!$B:$B,COA!$E:$E,0,0,1)</f>
        <v>Accumulated deficit</v>
      </c>
      <c r="P18" s="85" t="e">
        <f>_xlfn.XLOOKUP(N18,#REF!,#REF!,0,0,1)</f>
        <v>#REF!</v>
      </c>
      <c r="Q18" s="85"/>
      <c r="R18" s="85"/>
      <c r="S18" s="85"/>
      <c r="T18" s="85"/>
      <c r="U18" s="85"/>
      <c r="V18" s="85"/>
    </row>
    <row r="19" spans="1:22" x14ac:dyDescent="0.25">
      <c r="A19" s="50"/>
      <c r="B19" s="15" t="str">
        <f>COA!B110</f>
        <v>5525 Cost of Goods Sold:Shipping  - COS</v>
      </c>
      <c r="C19" s="504">
        <f>SUMIF('PL.2 - FY23'!G:G,B19,'PL.2 - FY23'!H:H)</f>
        <v>0</v>
      </c>
      <c r="D19" s="127">
        <f>_xlfn.XLOOKUP(B19,'AJE.2B - F24'!A:A,'AJE.2B - F24'!F:F,0,0,1)</f>
        <v>0</v>
      </c>
      <c r="E19" s="127"/>
      <c r="F19" s="219">
        <f t="shared" si="0"/>
        <v>0</v>
      </c>
      <c r="G19" s="420"/>
      <c r="H19" s="504">
        <f>SUMIF('PL.2 - FY23'!G:G,B19,'PL.2 - FY23'!P:P)</f>
        <v>0</v>
      </c>
      <c r="I19" s="127">
        <f>_xlfn.XLOOKUP(B19,'AJE.2B - F24'!A:A,'AJE.2B - F24'!M:M,0,0,1)</f>
        <v>0</v>
      </c>
      <c r="J19" s="127"/>
      <c r="K19" s="219">
        <f t="shared" si="1"/>
        <v>0</v>
      </c>
      <c r="L19" s="178" t="str">
        <f>_xlfn.XLOOKUP($B19,COA!$B:$B,COA!$C:$C,0,0,1)</f>
        <v>Cost of goods sold</v>
      </c>
      <c r="M19" s="178" t="str">
        <f>_xlfn.XLOOKUP($B19,COA!$B:$B,COA!$D:$D,0,0,1)</f>
        <v>Cost of goods sold</v>
      </c>
      <c r="N19" s="178" t="str">
        <f>_xlfn.XLOOKUP($B19,COA!$B:$B,COA!$E:$E,0,0,1)</f>
        <v>Accumulated deficit</v>
      </c>
      <c r="P19" s="85" t="e">
        <f>_xlfn.XLOOKUP(N19,#REF!,#REF!,0,0,1)</f>
        <v>#REF!</v>
      </c>
      <c r="Q19" s="85"/>
      <c r="R19" s="85"/>
      <c r="S19" s="85"/>
      <c r="T19" s="85"/>
      <c r="U19" s="85"/>
      <c r="V19" s="85"/>
    </row>
    <row r="20" spans="1:22" x14ac:dyDescent="0.25">
      <c r="A20" s="50"/>
      <c r="B20" s="15" t="str">
        <f>COA!B111</f>
        <v>5530 Cost of Goods Sold:Disposal/Landfill  - COS</v>
      </c>
      <c r="C20" s="504">
        <f>SUMIF('PL.2 - FY23'!G:G,B20,'PL.2 - FY23'!H:H)</f>
        <v>0</v>
      </c>
      <c r="D20" s="127">
        <f>_xlfn.XLOOKUP(B20,'AJE.2B - F24'!A:A,'AJE.2B - F24'!F:F,0,0,1)</f>
        <v>0</v>
      </c>
      <c r="E20" s="127"/>
      <c r="F20" s="219">
        <f t="shared" si="0"/>
        <v>0</v>
      </c>
      <c r="G20" s="420"/>
      <c r="H20" s="504">
        <f>SUMIF('PL.2 - FY23'!G:G,B20,'PL.2 - FY23'!P:P)</f>
        <v>0</v>
      </c>
      <c r="I20" s="127">
        <f>_xlfn.XLOOKUP(B20,'AJE.2B - F24'!A:A,'AJE.2B - F24'!M:M,0,0,1)</f>
        <v>0</v>
      </c>
      <c r="J20" s="127"/>
      <c r="K20" s="219">
        <f t="shared" si="1"/>
        <v>0</v>
      </c>
      <c r="L20" s="178" t="str">
        <f>_xlfn.XLOOKUP($B20,COA!$B:$B,COA!$C:$C,0,0,1)</f>
        <v>Cost of goods sold</v>
      </c>
      <c r="M20" s="178" t="str">
        <f>_xlfn.XLOOKUP($B20,COA!$B:$B,COA!$D:$D,0,0,1)</f>
        <v>Cost of goods sold</v>
      </c>
      <c r="N20" s="178" t="str">
        <f>_xlfn.XLOOKUP($B20,COA!$B:$B,COA!$E:$E,0,0,1)</f>
        <v>Accumulated deficit</v>
      </c>
      <c r="P20" s="85" t="e">
        <f>_xlfn.XLOOKUP(N20,#REF!,#REF!,0,0,1)</f>
        <v>#REF!</v>
      </c>
      <c r="Q20" s="85"/>
      <c r="R20" s="85"/>
      <c r="S20" s="85"/>
      <c r="T20" s="85"/>
      <c r="U20" s="85"/>
      <c r="V20" s="85"/>
    </row>
    <row r="21" spans="1:22" x14ac:dyDescent="0.25">
      <c r="A21" s="50"/>
      <c r="B21" s="15" t="str">
        <f>COA!B112</f>
        <v>5535 Cost of Goods Sold:Inventory Write Off  - COS</v>
      </c>
      <c r="C21" s="504">
        <f>SUMIF('PL.2 - FY23'!G:G,B21,'PL.2 - FY23'!H:H)</f>
        <v>0</v>
      </c>
      <c r="D21" s="127">
        <f>_xlfn.XLOOKUP(B21,'AJE.2B - F24'!A:A,'AJE.2B - F24'!F:F,0,0,1)</f>
        <v>0</v>
      </c>
      <c r="E21" s="127"/>
      <c r="F21" s="219">
        <f t="shared" si="0"/>
        <v>0</v>
      </c>
      <c r="G21" s="420"/>
      <c r="H21" s="504">
        <f>SUMIF('PL.2 - FY23'!G:G,B21,'PL.2 - FY23'!P:P)</f>
        <v>0</v>
      </c>
      <c r="I21" s="127">
        <f>_xlfn.XLOOKUP(B21,'AJE.2B - F24'!A:A,'AJE.2B - F24'!M:M,0,0,1)</f>
        <v>0</v>
      </c>
      <c r="J21" s="127"/>
      <c r="K21" s="219">
        <f t="shared" si="1"/>
        <v>0</v>
      </c>
      <c r="L21" s="178" t="str">
        <f>_xlfn.XLOOKUP($B21,COA!$B:$B,COA!$C:$C,0,0,1)</f>
        <v>Cost of goods sold</v>
      </c>
      <c r="M21" s="178" t="str">
        <f>_xlfn.XLOOKUP($B21,COA!$B:$B,COA!$D:$D,0,0,1)</f>
        <v>Cost of goods sold</v>
      </c>
      <c r="N21" s="178" t="str">
        <f>_xlfn.XLOOKUP($B21,COA!$B:$B,COA!$E:$E,0,0,1)</f>
        <v>Accumulated deficit</v>
      </c>
      <c r="P21" s="85" t="e">
        <f>_xlfn.XLOOKUP(N21,#REF!,#REF!,0,0,1)</f>
        <v>#REF!</v>
      </c>
      <c r="Q21" s="85"/>
      <c r="R21" s="85"/>
      <c r="S21" s="85"/>
      <c r="T21" s="85"/>
      <c r="U21" s="85"/>
      <c r="V21" s="85"/>
    </row>
    <row r="22" spans="1:22" x14ac:dyDescent="0.25">
      <c r="A22" s="50"/>
      <c r="B22" s="15" t="str">
        <f>COA!B113</f>
        <v>5540 Cost of Goods Sold:Equipment Fuel  - COS</v>
      </c>
      <c r="C22" s="504">
        <f>SUMIF('PL.2 - FY23'!G:G,B22,'PL.2 - FY23'!H:H)</f>
        <v>0</v>
      </c>
      <c r="D22" s="127">
        <f>_xlfn.XLOOKUP(B22,'AJE.2B - F24'!A:A,'AJE.2B - F24'!F:F,0,0,1)</f>
        <v>0</v>
      </c>
      <c r="E22" s="127"/>
      <c r="F22" s="219">
        <f t="shared" si="0"/>
        <v>0</v>
      </c>
      <c r="G22" s="420"/>
      <c r="H22" s="504">
        <f>SUMIF('PL.2 - FY23'!G:G,B22,'PL.2 - FY23'!P:P)</f>
        <v>0</v>
      </c>
      <c r="I22" s="127">
        <f>_xlfn.XLOOKUP(B22,'AJE.2B - F24'!A:A,'AJE.2B - F24'!M:M,0,0,1)</f>
        <v>0</v>
      </c>
      <c r="J22" s="127"/>
      <c r="K22" s="219">
        <f t="shared" si="1"/>
        <v>0</v>
      </c>
      <c r="L22" s="178" t="str">
        <f>_xlfn.XLOOKUP($B22,COA!$B:$B,COA!$C:$C,0,0,1)</f>
        <v>Cost of goods sold</v>
      </c>
      <c r="M22" s="178" t="str">
        <f>_xlfn.XLOOKUP($B22,COA!$B:$B,COA!$D:$D,0,0,1)</f>
        <v>Cost of goods sold</v>
      </c>
      <c r="N22" s="178" t="str">
        <f>_xlfn.XLOOKUP($B22,COA!$B:$B,COA!$E:$E,0,0,1)</f>
        <v>Accumulated deficit</v>
      </c>
      <c r="P22" s="85" t="e">
        <f>_xlfn.XLOOKUP(N22,#REF!,#REF!,0,0,1)</f>
        <v>#REF!</v>
      </c>
      <c r="Q22" s="85"/>
      <c r="R22" s="85"/>
      <c r="S22" s="85"/>
      <c r="T22" s="85"/>
      <c r="U22" s="85"/>
      <c r="V22" s="85"/>
    </row>
    <row r="23" spans="1:22" x14ac:dyDescent="0.25">
      <c r="A23" s="50"/>
      <c r="B23" s="15" t="str">
        <f>COA!B114</f>
        <v>5545 Cost of Goods Sold:Equipment Leasing  - COS</v>
      </c>
      <c r="C23" s="504">
        <f>SUMIF('PL.2 - FY23'!G:G,B23,'PL.2 - FY23'!H:H)</f>
        <v>0</v>
      </c>
      <c r="D23" s="127">
        <f>_xlfn.XLOOKUP(B23,'AJE.2B - F24'!A:A,'AJE.2B - F24'!F:F,0,0,1)</f>
        <v>0</v>
      </c>
      <c r="E23" s="127"/>
      <c r="F23" s="219">
        <f t="shared" si="0"/>
        <v>0</v>
      </c>
      <c r="G23" s="420"/>
      <c r="H23" s="504">
        <f>SUMIF('PL.2 - FY23'!G:G,B23,'PL.2 - FY23'!P:P)</f>
        <v>0</v>
      </c>
      <c r="I23" s="127">
        <f>_xlfn.XLOOKUP(B23,'AJE.2B - F24'!A:A,'AJE.2B - F24'!M:M,0,0,1)</f>
        <v>0</v>
      </c>
      <c r="J23" s="127"/>
      <c r="K23" s="219">
        <f t="shared" si="1"/>
        <v>0</v>
      </c>
      <c r="L23" s="178" t="str">
        <f>_xlfn.XLOOKUP($B23,COA!$B:$B,COA!$C:$C,0,0,1)</f>
        <v>Cost of goods sold</v>
      </c>
      <c r="M23" s="178" t="str">
        <f>_xlfn.XLOOKUP($B23,COA!$B:$B,COA!$D:$D,0,0,1)</f>
        <v>Cost of goods sold</v>
      </c>
      <c r="N23" s="178" t="str">
        <f>_xlfn.XLOOKUP($B23,COA!$B:$B,COA!$E:$E,0,0,1)</f>
        <v>Accumulated deficit</v>
      </c>
      <c r="P23" s="85" t="e">
        <f>_xlfn.XLOOKUP(N23,#REF!,#REF!,0,0,1)</f>
        <v>#REF!</v>
      </c>
      <c r="Q23" s="85"/>
      <c r="R23" s="85"/>
      <c r="S23" s="85"/>
      <c r="T23" s="85"/>
      <c r="U23" s="85"/>
      <c r="V23" s="85"/>
    </row>
    <row r="24" spans="1:22" x14ac:dyDescent="0.25">
      <c r="A24" s="50"/>
      <c r="B24" s="15" t="str">
        <f>COA!B115</f>
        <v>5511 Supplies and materials - COS</v>
      </c>
      <c r="C24" s="504">
        <f>SUMIF('PL.2 - FY23'!G:G,B24,'PL.2 - FY23'!H:H)</f>
        <v>0</v>
      </c>
      <c r="D24" s="127">
        <f>_xlfn.XLOOKUP(B24,'AJE.2B - F24'!A:A,'AJE.2B - F24'!F:F,0,0,1)</f>
        <v>0</v>
      </c>
      <c r="E24" s="127"/>
      <c r="F24" s="219">
        <f t="shared" si="0"/>
        <v>0</v>
      </c>
      <c r="G24" s="420"/>
      <c r="H24" s="504">
        <f>SUMIF('PL.2 - FY23'!G:G,B24,'PL.2 - FY23'!P:P)</f>
        <v>0</v>
      </c>
      <c r="I24" s="127">
        <f>_xlfn.XLOOKUP(B24,'AJE.2B - F24'!A:A,'AJE.2B - F24'!M:M,0,0,1)</f>
        <v>0</v>
      </c>
      <c r="J24" s="127"/>
      <c r="K24" s="219">
        <f t="shared" si="1"/>
        <v>0</v>
      </c>
      <c r="L24" s="178" t="str">
        <f>_xlfn.XLOOKUP($B24,COA!$B:$B,COA!$C:$C,0,0,1)</f>
        <v>Cost of goods sold</v>
      </c>
      <c r="M24" s="178" t="str">
        <f>_xlfn.XLOOKUP($B24,COA!$B:$B,COA!$D:$D,0,0,1)</f>
        <v>Cost of goods sold</v>
      </c>
      <c r="N24" s="178" t="str">
        <f>_xlfn.XLOOKUP($B24,COA!$B:$B,COA!$E:$E,0,0,1)</f>
        <v>Accumulated deficit</v>
      </c>
      <c r="P24" s="85" t="e">
        <f>_xlfn.XLOOKUP(N24,#REF!,#REF!,0,0,1)</f>
        <v>#REF!</v>
      </c>
      <c r="Q24" s="85"/>
      <c r="R24" s="85"/>
      <c r="S24" s="85"/>
      <c r="T24" s="85"/>
      <c r="U24" s="85"/>
      <c r="V24" s="85"/>
    </row>
    <row r="25" spans="1:22" x14ac:dyDescent="0.25">
      <c r="A25" s="50"/>
      <c r="B25" s="15" t="str">
        <f>COA!B116</f>
        <v>5998 Uncategorized Income</v>
      </c>
      <c r="C25" s="504">
        <f>SUMIF('PL.2 - FY23'!G:G,B25,'PL.2 - FY23'!H:H)</f>
        <v>0</v>
      </c>
      <c r="D25" s="127">
        <f>_xlfn.XLOOKUP(B25,'AJE.2B - F24'!A:A,'AJE.2B - F24'!F:F,0,0,1)</f>
        <v>0</v>
      </c>
      <c r="E25" s="127"/>
      <c r="F25" s="219">
        <f t="shared" si="0"/>
        <v>0</v>
      </c>
      <c r="G25" s="420"/>
      <c r="H25" s="504">
        <f>SUMIF('PL.2 - FY23'!G:G,B25,'PL.2 - FY23'!P:P)</f>
        <v>0</v>
      </c>
      <c r="I25" s="127">
        <f>_xlfn.XLOOKUP(B25,'AJE.2B - F24'!A:A,'AJE.2B - F24'!M:M,0,0,1)</f>
        <v>0</v>
      </c>
      <c r="J25" s="127"/>
      <c r="K25" s="219">
        <f t="shared" si="1"/>
        <v>0</v>
      </c>
      <c r="L25" s="178" t="str">
        <f>_xlfn.XLOOKUP($B25,COA!$B:$B,COA!$C:$C,0,0,1)</f>
        <v xml:space="preserve">Other income </v>
      </c>
      <c r="M25" s="178" t="str">
        <f>_xlfn.XLOOKUP($B25,COA!$B:$B,COA!$D:$D,0,0,1)</f>
        <v xml:space="preserve">Other income </v>
      </c>
      <c r="N25" s="178" t="str">
        <f>_xlfn.XLOOKUP($B25,COA!$B:$B,COA!$E:$E,0,0,1)</f>
        <v>Accumulated deficit</v>
      </c>
      <c r="P25" s="85" t="e">
        <f>_xlfn.XLOOKUP(N25,#REF!,#REF!,0,0,1)</f>
        <v>#REF!</v>
      </c>
      <c r="Q25" s="85"/>
      <c r="R25" s="85"/>
      <c r="S25" s="85"/>
      <c r="T25" s="85"/>
      <c r="U25" s="85"/>
      <c r="V25" s="85"/>
    </row>
    <row r="26" spans="1:22" x14ac:dyDescent="0.25">
      <c r="A26" s="50"/>
      <c r="B26" s="15" t="str">
        <f>COA!B117</f>
        <v>5999 Uncategorized Income</v>
      </c>
      <c r="C26" s="504">
        <f>SUMIF('PL.2 - FY23'!G:G,B26,'PL.2 - FY23'!H:H)</f>
        <v>0</v>
      </c>
      <c r="D26" s="127">
        <f>_xlfn.XLOOKUP(B26,'AJE.2B - F24'!A:A,'AJE.2B - F24'!F:F,0,0,1)</f>
        <v>0</v>
      </c>
      <c r="E26" s="127"/>
      <c r="F26" s="219">
        <f t="shared" si="0"/>
        <v>0</v>
      </c>
      <c r="G26" s="420"/>
      <c r="H26" s="504">
        <f>SUMIF('PL.2 - FY23'!G:G,B26,'PL.2 - FY23'!P:P)</f>
        <v>0</v>
      </c>
      <c r="I26" s="127">
        <f>_xlfn.XLOOKUP(B26,'AJE.2B - F24'!A:A,'AJE.2B - F24'!M:M,0,0,1)</f>
        <v>0</v>
      </c>
      <c r="J26" s="127"/>
      <c r="K26" s="219">
        <f t="shared" si="1"/>
        <v>0</v>
      </c>
      <c r="L26" s="178" t="str">
        <f>_xlfn.XLOOKUP($B26,COA!$B:$B,COA!$C:$C,0,0,1)</f>
        <v>Revenues</v>
      </c>
      <c r="M26" s="178" t="str">
        <f>_xlfn.XLOOKUP($B26,COA!$B:$B,COA!$D:$D,0,0,1)</f>
        <v>Revenues</v>
      </c>
      <c r="N26" s="178" t="str">
        <f>_xlfn.XLOOKUP($B26,COA!$B:$B,COA!$E:$E,0,0,1)</f>
        <v>Accumulated deficit</v>
      </c>
      <c r="P26" s="85" t="e">
        <f>_xlfn.XLOOKUP(N26,#REF!,#REF!,0,0,1)</f>
        <v>#REF!</v>
      </c>
      <c r="Q26" s="85"/>
      <c r="R26" s="85"/>
      <c r="S26" s="85"/>
      <c r="T26" s="85"/>
      <c r="U26" s="85"/>
      <c r="V26" s="85"/>
    </row>
    <row r="27" spans="1:22" x14ac:dyDescent="0.25">
      <c r="A27" s="50"/>
      <c r="B27" s="15" t="str">
        <f>COA!B118</f>
        <v>5999 Unapplied Cash Payment Income</v>
      </c>
      <c r="C27" s="504">
        <f>SUMIF('PL.2 - FY23'!G:G,B27,'PL.2 - FY23'!H:H)</f>
        <v>0</v>
      </c>
      <c r="D27" s="127">
        <f>_xlfn.XLOOKUP(B27,'AJE.2B - F24'!A:A,'AJE.2B - F24'!F:F,0,0,1)</f>
        <v>0</v>
      </c>
      <c r="E27" s="127"/>
      <c r="F27" s="219">
        <f t="shared" si="0"/>
        <v>0</v>
      </c>
      <c r="G27" s="506"/>
      <c r="H27" s="504">
        <f>SUMIF('PL.2 - FY23'!G:G,B27,'PL.2 - FY23'!P:P)</f>
        <v>0</v>
      </c>
      <c r="I27" s="127">
        <f>_xlfn.XLOOKUP(B27,'AJE.2B - F24'!A:A,'AJE.2B - F24'!M:M,0,0,1)</f>
        <v>0</v>
      </c>
      <c r="J27" s="127"/>
      <c r="K27" s="219">
        <f t="shared" si="1"/>
        <v>0</v>
      </c>
      <c r="L27" s="178" t="str">
        <f>_xlfn.XLOOKUP($B27,COA!$B:$B,COA!$C:$C,0,0,1)</f>
        <v xml:space="preserve">Other income </v>
      </c>
      <c r="M27" s="178" t="str">
        <f>_xlfn.XLOOKUP($B27,COA!$B:$B,COA!$D:$D,0,0,1)</f>
        <v xml:space="preserve">Other income </v>
      </c>
      <c r="N27" s="178" t="str">
        <f>_xlfn.XLOOKUP($B27,COA!$B:$B,COA!$E:$E,0,0,1)</f>
        <v>Accumulated deficit</v>
      </c>
      <c r="P27" s="85" t="e">
        <f>_xlfn.XLOOKUP(N27,#REF!,#REF!,0,0,1)</f>
        <v>#REF!</v>
      </c>
      <c r="Q27" s="85"/>
      <c r="R27" s="85"/>
      <c r="S27" s="85"/>
      <c r="T27" s="85"/>
      <c r="U27" s="85"/>
      <c r="V27" s="85"/>
    </row>
    <row r="28" spans="1:22" x14ac:dyDescent="0.25">
      <c r="A28" s="50"/>
      <c r="B28" s="15" t="str">
        <f>COA!B119</f>
        <v>6000 Payroll Expenses</v>
      </c>
      <c r="C28" s="504">
        <f>SUMIF('PL.2 - FY23'!G:G,B28,'PL.2 - FY23'!H:H)</f>
        <v>0</v>
      </c>
      <c r="D28" s="127">
        <f>_xlfn.XLOOKUP(B28,'AJE.2B - F24'!A:A,'AJE.2B - F24'!F:F,0,0,1)</f>
        <v>0</v>
      </c>
      <c r="E28" s="127"/>
      <c r="F28" s="219">
        <f t="shared" si="0"/>
        <v>0</v>
      </c>
      <c r="G28" s="506"/>
      <c r="H28" s="504">
        <f>SUMIF('PL.2 - FY23'!G:G,B28,'PL.2 - FY23'!P:P)</f>
        <v>0</v>
      </c>
      <c r="I28" s="127">
        <f>_xlfn.XLOOKUP(B28,'AJE.2B - F24'!A:A,'AJE.2B - F24'!M:M,0,0,1)</f>
        <v>0</v>
      </c>
      <c r="J28" s="127"/>
      <c r="K28" s="219">
        <f t="shared" si="1"/>
        <v>0</v>
      </c>
      <c r="L28" s="178" t="str">
        <f>_xlfn.XLOOKUP($B28,COA!$B:$B,COA!$C:$C,0,0,1)</f>
        <v>General and administration</v>
      </c>
      <c r="M28" s="178" t="str">
        <f>_xlfn.XLOOKUP($B28,COA!$B:$B,COA!$D:$D,0,0,1)</f>
        <v xml:space="preserve">Salaries, wages, and benefits </v>
      </c>
      <c r="N28" s="178" t="str">
        <f>_xlfn.XLOOKUP($B28,COA!$B:$B,COA!$E:$E,0,0,1)</f>
        <v>Accumulated deficit</v>
      </c>
      <c r="P28" s="85" t="e">
        <f>_xlfn.XLOOKUP(N28,#REF!,#REF!,0,0,1)</f>
        <v>#REF!</v>
      </c>
      <c r="Q28" s="85"/>
      <c r="R28" s="85"/>
      <c r="S28" s="85"/>
      <c r="T28" s="85"/>
      <c r="U28" s="85"/>
      <c r="V28" s="85"/>
    </row>
    <row r="29" spans="1:22" x14ac:dyDescent="0.25">
      <c r="A29" s="50"/>
      <c r="B29" s="15" t="str">
        <f>COA!B120</f>
        <v>6001 Payroll Expenses:Management Salaries</v>
      </c>
      <c r="C29" s="504">
        <f>SUMIF('PL.2 - FY23'!G:G,B29,'PL.2 - FY23'!H:H)</f>
        <v>0</v>
      </c>
      <c r="D29" s="127">
        <f>_xlfn.XLOOKUP(B29,'AJE.2B - F24'!A:A,'AJE.2B - F24'!F:F,0,0,1)</f>
        <v>0</v>
      </c>
      <c r="E29" s="127"/>
      <c r="F29" s="219">
        <f t="shared" si="0"/>
        <v>0</v>
      </c>
      <c r="G29" s="506"/>
      <c r="H29" s="504">
        <f>SUMIF('PL.2 - FY23'!G:G,B29,'PL.2 - FY23'!P:P)</f>
        <v>0</v>
      </c>
      <c r="I29" s="127">
        <f>_xlfn.XLOOKUP(B29,'AJE.2B - F24'!A:A,'AJE.2B - F24'!M:M,0,0,1)</f>
        <v>0</v>
      </c>
      <c r="J29" s="127"/>
      <c r="K29" s="219">
        <f t="shared" si="1"/>
        <v>0</v>
      </c>
      <c r="L29" s="178" t="str">
        <f>_xlfn.XLOOKUP($B29,COA!$B:$B,COA!$C:$C,0,0,1)</f>
        <v>General and administration</v>
      </c>
      <c r="M29" s="178" t="str">
        <f>_xlfn.XLOOKUP($B29,COA!$B:$B,COA!$D:$D,0,0,1)</f>
        <v xml:space="preserve">Salaries, wages, and benefits </v>
      </c>
      <c r="N29" s="178" t="str">
        <f>_xlfn.XLOOKUP($B29,COA!$B:$B,COA!$E:$E,0,0,1)</f>
        <v>Accumulated deficit</v>
      </c>
      <c r="P29" s="85" t="e">
        <f>_xlfn.XLOOKUP(N29,#REF!,#REF!,0,0,1)</f>
        <v>#REF!</v>
      </c>
      <c r="Q29" s="85"/>
      <c r="R29" s="85"/>
      <c r="S29" s="85"/>
      <c r="T29" s="85"/>
      <c r="U29" s="85"/>
      <c r="V29" s="85"/>
    </row>
    <row r="30" spans="1:22" x14ac:dyDescent="0.25">
      <c r="A30" s="50"/>
      <c r="B30" s="15" t="str">
        <f>COA!B121</f>
        <v>6002 Payroll Expenses:Wages</v>
      </c>
      <c r="C30" s="504">
        <f>SUMIF('PL.2 - FY23'!G:G,B30,'PL.2 - FY23'!H:H)</f>
        <v>0</v>
      </c>
      <c r="D30" s="127">
        <f>_xlfn.XLOOKUP(B30,'AJE.2B - F24'!A:A,'AJE.2B - F24'!F:F,0,0,1)</f>
        <v>0</v>
      </c>
      <c r="E30" s="127"/>
      <c r="F30" s="219">
        <f t="shared" si="0"/>
        <v>0</v>
      </c>
      <c r="G30" s="420"/>
      <c r="H30" s="504">
        <f>SUMIF('PL.2 - FY23'!G:G,B30,'PL.2 - FY23'!P:P)</f>
        <v>0</v>
      </c>
      <c r="I30" s="127">
        <f>_xlfn.XLOOKUP(B30,'AJE.2B - F24'!A:A,'AJE.2B - F24'!M:M,0,0,1)</f>
        <v>0</v>
      </c>
      <c r="J30" s="127"/>
      <c r="K30" s="219">
        <f t="shared" si="1"/>
        <v>0</v>
      </c>
      <c r="L30" s="178" t="str">
        <f>_xlfn.XLOOKUP($B30,COA!$B:$B,COA!$C:$C,0,0,1)</f>
        <v>General and administration</v>
      </c>
      <c r="M30" s="178" t="str">
        <f>_xlfn.XLOOKUP($B30,COA!$B:$B,COA!$D:$D,0,0,1)</f>
        <v xml:space="preserve">Salaries, wages, and benefits </v>
      </c>
      <c r="N30" s="178" t="str">
        <f>_xlfn.XLOOKUP($B30,COA!$B:$B,COA!$E:$E,0,0,1)</f>
        <v>Accumulated deficit</v>
      </c>
      <c r="P30" s="85" t="e">
        <f>_xlfn.XLOOKUP(N30,#REF!,#REF!,0,0,1)</f>
        <v>#REF!</v>
      </c>
      <c r="Q30" s="85"/>
      <c r="R30" s="85"/>
      <c r="S30" s="85"/>
      <c r="T30" s="85"/>
      <c r="U30" s="85"/>
      <c r="V30" s="85"/>
    </row>
    <row r="31" spans="1:22" x14ac:dyDescent="0.25">
      <c r="A31" s="50"/>
      <c r="B31" s="15" t="str">
        <f>COA!B122</f>
        <v>6003 Payroll Expenses:Vacation Pay</v>
      </c>
      <c r="C31" s="504">
        <f>SUMIF('PL.2 - FY23'!G:G,B31,'PL.2 - FY23'!H:H)</f>
        <v>0</v>
      </c>
      <c r="D31" s="127">
        <f>_xlfn.XLOOKUP(B31,'AJE.2B - F24'!A:A,'AJE.2B - F24'!F:F,0,0,1)</f>
        <v>0</v>
      </c>
      <c r="E31" s="127"/>
      <c r="F31" s="219">
        <f t="shared" si="0"/>
        <v>0</v>
      </c>
      <c r="G31" s="420"/>
      <c r="H31" s="504">
        <f>SUMIF('PL.2 - FY23'!G:G,B31,'PL.2 - FY23'!P:P)</f>
        <v>0</v>
      </c>
      <c r="I31" s="127">
        <f>_xlfn.XLOOKUP(B31,'AJE.2B - F24'!A:A,'AJE.2B - F24'!M:M,0,0,1)</f>
        <v>0</v>
      </c>
      <c r="J31" s="127"/>
      <c r="K31" s="219">
        <f t="shared" si="1"/>
        <v>0</v>
      </c>
      <c r="L31" s="178" t="str">
        <f>_xlfn.XLOOKUP($B31,COA!$B:$B,COA!$C:$C,0,0,1)</f>
        <v>General and administration</v>
      </c>
      <c r="M31" s="178" t="str">
        <f>_xlfn.XLOOKUP($B31,COA!$B:$B,COA!$D:$D,0,0,1)</f>
        <v xml:space="preserve">Salaries, wages, and benefits </v>
      </c>
      <c r="N31" s="178" t="str">
        <f>_xlfn.XLOOKUP($B31,COA!$B:$B,COA!$E:$E,0,0,1)</f>
        <v>Accumulated deficit</v>
      </c>
      <c r="P31" s="85" t="e">
        <f>_xlfn.XLOOKUP(N31,#REF!,#REF!,0,0,1)</f>
        <v>#REF!</v>
      </c>
      <c r="Q31" s="85"/>
      <c r="R31" s="85"/>
      <c r="S31" s="85"/>
      <c r="T31" s="85"/>
      <c r="U31" s="85"/>
      <c r="V31" s="85"/>
    </row>
    <row r="32" spans="1:22" x14ac:dyDescent="0.25">
      <c r="A32" s="50"/>
      <c r="B32" s="15" t="str">
        <f>COA!B123</f>
        <v>6004 Payroll Expenses:Employer Taxes</v>
      </c>
      <c r="C32" s="504">
        <f>SUMIF('PL.2 - FY23'!G:G,B32,'PL.2 - FY23'!H:H)</f>
        <v>0</v>
      </c>
      <c r="D32" s="127">
        <f>_xlfn.XLOOKUP(B32,'AJE.2B - F24'!A:A,'AJE.2B - F24'!F:F,0,0,1)</f>
        <v>0</v>
      </c>
      <c r="E32" s="127"/>
      <c r="F32" s="219">
        <f t="shared" si="0"/>
        <v>0</v>
      </c>
      <c r="G32" s="420"/>
      <c r="H32" s="504">
        <f>SUMIF('PL.2 - FY23'!G:G,B32,'PL.2 - FY23'!P:P)</f>
        <v>0</v>
      </c>
      <c r="I32" s="127">
        <f>_xlfn.XLOOKUP(B32,'AJE.2B - F24'!A:A,'AJE.2B - F24'!M:M,0,0,1)</f>
        <v>0</v>
      </c>
      <c r="J32" s="127"/>
      <c r="K32" s="219">
        <f t="shared" si="1"/>
        <v>0</v>
      </c>
      <c r="L32" s="178" t="str">
        <f>_xlfn.XLOOKUP($B32,COA!$B:$B,COA!$C:$C,0,0,1)</f>
        <v>General and administration</v>
      </c>
      <c r="M32" s="178" t="str">
        <f>_xlfn.XLOOKUP($B32,COA!$B:$B,COA!$D:$D,0,0,1)</f>
        <v xml:space="preserve">Salaries, wages, and benefits </v>
      </c>
      <c r="N32" s="178" t="str">
        <f>_xlfn.XLOOKUP($B32,COA!$B:$B,COA!$E:$E,0,0,1)</f>
        <v>Accumulated deficit</v>
      </c>
      <c r="P32" s="85" t="e">
        <f>_xlfn.XLOOKUP(N32,#REF!,#REF!,0,0,1)</f>
        <v>#REF!</v>
      </c>
      <c r="Q32" s="85"/>
      <c r="R32" s="85"/>
      <c r="S32" s="85"/>
      <c r="T32" s="85"/>
      <c r="U32" s="85"/>
      <c r="V32" s="85"/>
    </row>
    <row r="33" spans="1:22" x14ac:dyDescent="0.25">
      <c r="A33" s="50"/>
      <c r="B33" s="15" t="str">
        <f>COA!B124</f>
        <v>6005 Payroll Expenses:WCB Expense</v>
      </c>
      <c r="C33" s="504">
        <f>SUMIF('PL.2 - FY23'!G:G,B33,'PL.2 - FY23'!H:H)</f>
        <v>0</v>
      </c>
      <c r="D33" s="127">
        <f>_xlfn.XLOOKUP(B33,'AJE.2B - F24'!A:A,'AJE.2B - F24'!F:F,0,0,1)</f>
        <v>0</v>
      </c>
      <c r="E33" s="127"/>
      <c r="F33" s="219">
        <f t="shared" si="0"/>
        <v>0</v>
      </c>
      <c r="G33" s="420"/>
      <c r="H33" s="504">
        <f>SUMIF('PL.2 - FY23'!G:G,B33,'PL.2 - FY23'!P:P)</f>
        <v>0</v>
      </c>
      <c r="I33" s="127">
        <f>_xlfn.XLOOKUP(B33,'AJE.2B - F24'!A:A,'AJE.2B - F24'!M:M,0,0,1)</f>
        <v>0</v>
      </c>
      <c r="J33" s="127"/>
      <c r="K33" s="219">
        <f t="shared" si="1"/>
        <v>0</v>
      </c>
      <c r="L33" s="178" t="str">
        <f>_xlfn.XLOOKUP($B33,COA!$B:$B,COA!$C:$C,0,0,1)</f>
        <v>General and administration</v>
      </c>
      <c r="M33" s="178" t="str">
        <f>_xlfn.XLOOKUP($B33,COA!$B:$B,COA!$D:$D,0,0,1)</f>
        <v xml:space="preserve">Salaries, wages, and benefits </v>
      </c>
      <c r="N33" s="178" t="str">
        <f>_xlfn.XLOOKUP($B33,COA!$B:$B,COA!$E:$E,0,0,1)</f>
        <v>Accumulated deficit</v>
      </c>
      <c r="P33" s="85" t="e">
        <f>_xlfn.XLOOKUP(N33,#REF!,#REF!,0,0,1)</f>
        <v>#REF!</v>
      </c>
      <c r="Q33" s="85"/>
      <c r="R33" s="85"/>
      <c r="S33" s="85"/>
      <c r="T33" s="85"/>
      <c r="U33" s="85"/>
      <c r="V33" s="85"/>
    </row>
    <row r="34" spans="1:22" x14ac:dyDescent="0.25">
      <c r="A34" s="50"/>
      <c r="B34" s="15" t="str">
        <f>COA!B125</f>
        <v>6010 Other G&amp;A</v>
      </c>
      <c r="C34" s="504">
        <f>SUMIF('PL.2 - FY23'!G:G,B34,'PL.2 - FY23'!H:H)</f>
        <v>0</v>
      </c>
      <c r="D34" s="127">
        <f>_xlfn.XLOOKUP(B34,'AJE.2B - F24'!A:A,'AJE.2B - F24'!F:F,0,0,1)</f>
        <v>0</v>
      </c>
      <c r="E34" s="127"/>
      <c r="F34" s="219">
        <f t="shared" si="0"/>
        <v>0</v>
      </c>
      <c r="G34" s="420"/>
      <c r="H34" s="504">
        <f>SUMIF('PL.2 - FY23'!G:G,B34,'PL.2 - FY23'!P:P)</f>
        <v>0</v>
      </c>
      <c r="I34" s="127">
        <f>_xlfn.XLOOKUP(B34,'AJE.2B - F24'!A:A,'AJE.2B - F24'!M:M,0,0,1)</f>
        <v>0</v>
      </c>
      <c r="J34" s="127"/>
      <c r="K34" s="219">
        <f t="shared" si="1"/>
        <v>0</v>
      </c>
      <c r="L34" s="178" t="str">
        <f>_xlfn.XLOOKUP($B34,COA!$B:$B,COA!$C:$C,0,0,1)</f>
        <v>General and administration</v>
      </c>
      <c r="M34" s="178" t="str">
        <f>_xlfn.XLOOKUP($B34,COA!$B:$B,COA!$D:$D,0,0,1)</f>
        <v>Office expenses</v>
      </c>
      <c r="N34" s="178" t="str">
        <f>_xlfn.XLOOKUP($B34,COA!$B:$B,COA!$E:$E,0,0,1)</f>
        <v>Accumulated deficit</v>
      </c>
      <c r="P34" s="85" t="e">
        <f>_xlfn.XLOOKUP(N34,#REF!,#REF!,0,0,1)</f>
        <v>#REF!</v>
      </c>
      <c r="Q34" s="85"/>
      <c r="R34" s="85"/>
      <c r="S34" s="85"/>
      <c r="T34" s="85"/>
      <c r="U34" s="85"/>
      <c r="V34" s="85"/>
    </row>
    <row r="35" spans="1:22" x14ac:dyDescent="0.25">
      <c r="A35" s="50"/>
      <c r="B35" s="15" t="str">
        <f>COA!B126</f>
        <v>6011 Bank charges</v>
      </c>
      <c r="C35" s="504">
        <f>SUMIF('PL.2 - FY23'!G:G,B35,'PL.2 - FY23'!H:H)</f>
        <v>0</v>
      </c>
      <c r="D35" s="127">
        <f>_xlfn.XLOOKUP(B35,'AJE.2B - F24'!A:A,'AJE.2B - F24'!F:F,0,0,1)</f>
        <v>0</v>
      </c>
      <c r="E35" s="127"/>
      <c r="F35" s="219">
        <f t="shared" si="0"/>
        <v>0</v>
      </c>
      <c r="G35" s="420"/>
      <c r="H35" s="504">
        <f>SUMIF('PL.2 - FY23'!G:G,B35,'PL.2 - FY23'!P:P)</f>
        <v>333.09</v>
      </c>
      <c r="I35" s="127">
        <f>_xlfn.XLOOKUP(B35,'AJE.2B - F24'!A:A,'AJE.2B - F24'!M:M,0,0,1)</f>
        <v>0</v>
      </c>
      <c r="J35" s="127"/>
      <c r="K35" s="219">
        <f t="shared" si="1"/>
        <v>333</v>
      </c>
      <c r="L35" s="178" t="str">
        <f>_xlfn.XLOOKUP($B35,COA!$B:$B,COA!$C:$C,0,0,1)</f>
        <v>General and administration</v>
      </c>
      <c r="M35" s="178" t="str">
        <f>_xlfn.XLOOKUP($B35,COA!$B:$B,COA!$D:$D,0,0,1)</f>
        <v>Bank fees</v>
      </c>
      <c r="N35" s="178" t="str">
        <f>_xlfn.XLOOKUP($B35,COA!$B:$B,COA!$E:$E,0,0,1)</f>
        <v>Accumulated deficit</v>
      </c>
      <c r="P35" s="85" t="e">
        <f>_xlfn.XLOOKUP(N35,#REF!,#REF!,0,0,1)</f>
        <v>#REF!</v>
      </c>
      <c r="Q35" s="85"/>
      <c r="R35" s="85"/>
      <c r="S35" s="85"/>
      <c r="T35" s="85"/>
      <c r="U35" s="85"/>
      <c r="V35" s="85"/>
    </row>
    <row r="36" spans="1:22" x14ac:dyDescent="0.25">
      <c r="A36" s="50"/>
      <c r="B36" s="15" t="str">
        <f>COA!B127</f>
        <v>6012 Bad debts</v>
      </c>
      <c r="C36" s="504">
        <f>SUMIF('PL.2 - FY23'!G:G,B36,'PL.2 - FY23'!H:H)</f>
        <v>0</v>
      </c>
      <c r="D36" s="127">
        <f>_xlfn.XLOOKUP(B36,'AJE.2B - F24'!A:A,'AJE.2B - F24'!F:F,0,0,1)</f>
        <v>0</v>
      </c>
      <c r="E36" s="127"/>
      <c r="F36" s="219">
        <f t="shared" si="0"/>
        <v>0</v>
      </c>
      <c r="G36" s="420"/>
      <c r="H36" s="504">
        <f>SUMIF('PL.2 - FY23'!G:G,B36,'PL.2 - FY23'!P:P)</f>
        <v>0</v>
      </c>
      <c r="I36" s="127">
        <f>_xlfn.XLOOKUP(B36,'AJE.2B - F24'!A:A,'AJE.2B - F24'!M:M,0,0,1)</f>
        <v>0</v>
      </c>
      <c r="J36" s="127"/>
      <c r="K36" s="219">
        <f t="shared" si="1"/>
        <v>0</v>
      </c>
      <c r="L36" s="178" t="str">
        <f>_xlfn.XLOOKUP($B36,COA!$B:$B,COA!$C:$C,0,0,1)</f>
        <v>General and administration</v>
      </c>
      <c r="M36" s="178" t="str">
        <f>_xlfn.XLOOKUP($B36,COA!$B:$B,COA!$D:$D,0,0,1)</f>
        <v>Bad debt expense</v>
      </c>
      <c r="N36" s="178" t="str">
        <f>_xlfn.XLOOKUP($B36,COA!$B:$B,COA!$E:$E,0,0,1)</f>
        <v>Accumulated deficit</v>
      </c>
      <c r="P36" s="85" t="e">
        <f>_xlfn.XLOOKUP(N36,#REF!,#REF!,0,0,1)</f>
        <v>#REF!</v>
      </c>
      <c r="Q36" s="85"/>
      <c r="R36" s="85"/>
      <c r="S36" s="85"/>
      <c r="T36" s="85"/>
      <c r="U36" s="85"/>
      <c r="V36" s="85"/>
    </row>
    <row r="37" spans="1:22" x14ac:dyDescent="0.25">
      <c r="A37" s="50"/>
      <c r="B37" s="15" t="str">
        <f>COA!B128</f>
        <v>6012 Bad Debt</v>
      </c>
      <c r="C37" s="504">
        <f>SUMIF('PL.2 - FY23'!G:G,B37,'PL.2 - FY23'!H:H)</f>
        <v>0</v>
      </c>
      <c r="D37" s="127">
        <f>_xlfn.XLOOKUP(B37,'AJE.2B - F24'!A:A,'AJE.2B - F24'!F:F,0,0,1)</f>
        <v>0</v>
      </c>
      <c r="E37" s="127"/>
      <c r="F37" s="219">
        <f t="shared" si="0"/>
        <v>0</v>
      </c>
      <c r="G37" s="420"/>
      <c r="H37" s="504">
        <f>SUMIF('PL.2 - FY23'!G:G,B37,'PL.2 - FY23'!P:P)</f>
        <v>0</v>
      </c>
      <c r="I37" s="127">
        <f>_xlfn.XLOOKUP(B37,'AJE.2B - F24'!A:A,'AJE.2B - F24'!M:M,0,0,1)</f>
        <v>0</v>
      </c>
      <c r="J37" s="127"/>
      <c r="K37" s="219">
        <f t="shared" si="1"/>
        <v>0</v>
      </c>
      <c r="L37" s="178" t="str">
        <f>_xlfn.XLOOKUP($B37,COA!$B:$B,COA!$C:$C,0,0,1)</f>
        <v>General and administration</v>
      </c>
      <c r="M37" s="178" t="str">
        <f>_xlfn.XLOOKUP($B37,COA!$B:$B,COA!$D:$D,0,0,1)</f>
        <v>Bad debt expense</v>
      </c>
      <c r="N37" s="178" t="str">
        <f>_xlfn.XLOOKUP($B37,COA!$B:$B,COA!$E:$E,0,0,1)</f>
        <v>Accumulated deficit</v>
      </c>
      <c r="P37" s="85" t="e">
        <f>_xlfn.XLOOKUP(N37,#REF!,#REF!,0,0,1)</f>
        <v>#REF!</v>
      </c>
      <c r="Q37" s="85"/>
      <c r="R37" s="85"/>
      <c r="S37" s="85"/>
      <c r="T37" s="85"/>
      <c r="U37" s="85"/>
      <c r="V37" s="85"/>
    </row>
    <row r="38" spans="1:22" x14ac:dyDescent="0.25">
      <c r="A38" s="50"/>
      <c r="B38" s="15" t="str">
        <f>COA!B129</f>
        <v>6013 Interest expense</v>
      </c>
      <c r="C38" s="504">
        <f>SUMIF('PL.2 - FY23'!G:G,B38,'PL.2 - FY23'!H:H)</f>
        <v>0</v>
      </c>
      <c r="D38" s="127">
        <f>_xlfn.XLOOKUP(B38,'AJE.2B - F24'!A:A,'AJE.2B - F24'!F:F,0,0,1)</f>
        <v>0</v>
      </c>
      <c r="E38" s="127"/>
      <c r="F38" s="219">
        <f t="shared" si="0"/>
        <v>0</v>
      </c>
      <c r="G38" s="420"/>
      <c r="H38" s="504">
        <f>SUMIF('PL.2 - FY23'!G:G,B38,'PL.2 - FY23'!P:P)</f>
        <v>0</v>
      </c>
      <c r="I38" s="127">
        <f>_xlfn.XLOOKUP(B38,'AJE.2B - F24'!A:A,'AJE.2B - F24'!M:M,0,0,1)</f>
        <v>0</v>
      </c>
      <c r="J38" s="127"/>
      <c r="K38" s="219">
        <f t="shared" si="1"/>
        <v>0</v>
      </c>
      <c r="L38" s="178" t="str">
        <f>_xlfn.XLOOKUP($B38,COA!$B:$B,COA!$C:$C,0,0,1)</f>
        <v>Interest expense</v>
      </c>
      <c r="M38" s="178" t="str">
        <f>_xlfn.XLOOKUP($B38,COA!$B:$B,COA!$D:$D,0,0,1)</f>
        <v>Interest expense</v>
      </c>
      <c r="N38" s="178" t="str">
        <f>_xlfn.XLOOKUP($B38,COA!$B:$B,COA!$E:$E,0,0,1)</f>
        <v>Accumulated deficit</v>
      </c>
      <c r="P38" s="85" t="e">
        <f>_xlfn.XLOOKUP(N38,#REF!,#REF!,0,0,1)</f>
        <v>#REF!</v>
      </c>
      <c r="Q38" s="85"/>
      <c r="R38" s="85"/>
      <c r="S38" s="85"/>
      <c r="T38" s="85"/>
      <c r="U38" s="85"/>
      <c r="V38" s="85"/>
    </row>
    <row r="39" spans="1:22" x14ac:dyDescent="0.25">
      <c r="A39" s="50"/>
      <c r="B39" s="15" t="str">
        <f>COA!B130</f>
        <v>6015 Accounting Fees</v>
      </c>
      <c r="C39" s="504">
        <f>SUMIF('PL.2 - FY23'!G:G,B39,'PL.2 - FY23'!H:H)</f>
        <v>600</v>
      </c>
      <c r="D39" s="127">
        <f>_xlfn.XLOOKUP(B39,'AJE.2B - F24'!A:A,'AJE.2B - F24'!F:F,0,0,1)</f>
        <v>0</v>
      </c>
      <c r="E39" s="127"/>
      <c r="F39" s="219">
        <f t="shared" si="0"/>
        <v>600</v>
      </c>
      <c r="G39" s="420"/>
      <c r="H39" s="504">
        <f>SUMIF('PL.2 - FY23'!G:G,B39,'PL.2 - FY23'!P:P)</f>
        <v>-4704.55</v>
      </c>
      <c r="I39" s="127">
        <f>_xlfn.XLOOKUP(B39,'AJE.2B - F24'!A:A,'AJE.2B - F24'!M:M,0,0,1)</f>
        <v>0</v>
      </c>
      <c r="J39" s="127"/>
      <c r="K39" s="219">
        <f t="shared" si="1"/>
        <v>-4705</v>
      </c>
      <c r="L39" s="178" t="str">
        <f>_xlfn.XLOOKUP($B39,COA!$B:$B,COA!$C:$C,0,0,1)</f>
        <v>General and administration</v>
      </c>
      <c r="M39" s="178" t="str">
        <f>_xlfn.XLOOKUP($B39,COA!$B:$B,COA!$D:$D,0,0,1)</f>
        <v>Professional fees</v>
      </c>
      <c r="N39" s="178" t="str">
        <f>_xlfn.XLOOKUP($B39,COA!$B:$B,COA!$E:$E,0,0,1)</f>
        <v>Accumulated deficit</v>
      </c>
      <c r="P39" s="85" t="e">
        <f>_xlfn.XLOOKUP(N39,#REF!,#REF!,0,0,1)</f>
        <v>#REF!</v>
      </c>
      <c r="Q39" s="85"/>
      <c r="R39" s="85"/>
      <c r="S39" s="85"/>
      <c r="T39" s="85"/>
      <c r="U39" s="85"/>
      <c r="V39" s="85"/>
    </row>
    <row r="40" spans="1:22" x14ac:dyDescent="0.25">
      <c r="A40" s="50"/>
      <c r="B40" s="15" t="str">
        <f>COA!B131</f>
        <v>6015 Accounting &amp; Legal</v>
      </c>
      <c r="C40" s="504">
        <f>SUMIF('PL.2 - FY23'!G:G,B40,'PL.2 - FY23'!H:H)</f>
        <v>0</v>
      </c>
      <c r="D40" s="127">
        <f>_xlfn.XLOOKUP(B40,'AJE.2B - F24'!A:A,'AJE.2B - F24'!F:F,0,0,1)</f>
        <v>0</v>
      </c>
      <c r="E40" s="127"/>
      <c r="F40" s="219">
        <f t="shared" si="0"/>
        <v>0</v>
      </c>
      <c r="G40" s="420"/>
      <c r="H40" s="504">
        <f>SUMIF('PL.2 - FY23'!G:G,B40,'PL.2 - FY23'!P:P)</f>
        <v>0</v>
      </c>
      <c r="I40" s="127">
        <f>_xlfn.XLOOKUP(B40,'AJE.2B - F24'!A:A,'AJE.2B - F24'!M:M,0,0,1)</f>
        <v>0</v>
      </c>
      <c r="J40" s="127"/>
      <c r="K40" s="219">
        <f t="shared" si="1"/>
        <v>0</v>
      </c>
      <c r="L40" s="178" t="str">
        <f>_xlfn.XLOOKUP($B40,COA!$B:$B,COA!$C:$C,0,0,1)</f>
        <v>General and administration</v>
      </c>
      <c r="M40" s="178" t="str">
        <f>_xlfn.XLOOKUP($B40,COA!$B:$B,COA!$D:$D,0,0,1)</f>
        <v>Professional fees</v>
      </c>
      <c r="N40" s="178" t="str">
        <f>_xlfn.XLOOKUP($B40,COA!$B:$B,COA!$E:$E,0,0,1)</f>
        <v>Accumulated deficit</v>
      </c>
      <c r="P40" s="85" t="e">
        <f>_xlfn.XLOOKUP(N40,#REF!,#REF!,0,0,1)</f>
        <v>#REF!</v>
      </c>
      <c r="Q40" s="85"/>
      <c r="R40" s="85"/>
      <c r="S40" s="85"/>
      <c r="T40" s="85"/>
      <c r="U40" s="85"/>
      <c r="V40" s="85"/>
    </row>
    <row r="41" spans="1:22" x14ac:dyDescent="0.25">
      <c r="A41" s="50"/>
      <c r="B41" s="15" t="str">
        <f>COA!B132</f>
        <v>6016 Legal and professional fees</v>
      </c>
      <c r="C41" s="504">
        <f>SUMIF('PL.2 - FY23'!G:G,B41,'PL.2 - FY23'!H:H)</f>
        <v>5000</v>
      </c>
      <c r="D41" s="127">
        <f>_xlfn.XLOOKUP(B41,'AJE.2B - F24'!A:A,'AJE.2B - F24'!F:F,0,0,1)</f>
        <v>0</v>
      </c>
      <c r="E41" s="127"/>
      <c r="F41" s="219">
        <f t="shared" si="0"/>
        <v>5000</v>
      </c>
      <c r="G41" s="420"/>
      <c r="H41" s="504">
        <f>SUMIF('PL.2 - FY23'!G:G,B41,'PL.2 - FY23'!P:P)</f>
        <v>16500.75</v>
      </c>
      <c r="I41" s="127">
        <f>_xlfn.XLOOKUP(B41,'AJE.2B - F24'!A:A,'AJE.2B - F24'!M:M,0,0,1)</f>
        <v>0</v>
      </c>
      <c r="J41" s="127"/>
      <c r="K41" s="219">
        <f t="shared" si="1"/>
        <v>16501</v>
      </c>
      <c r="L41" s="178" t="str">
        <f>_xlfn.XLOOKUP($B41,COA!$B:$B,COA!$C:$C,0,0,1)</f>
        <v>General and administration</v>
      </c>
      <c r="M41" s="178" t="str">
        <f>_xlfn.XLOOKUP($B41,COA!$B:$B,COA!$D:$D,0,0,1)</f>
        <v>Professional fees</v>
      </c>
      <c r="N41" s="178" t="str">
        <f>_xlfn.XLOOKUP($B41,COA!$B:$B,COA!$E:$E,0,0,1)</f>
        <v>Accumulated deficit</v>
      </c>
      <c r="P41" s="85" t="e">
        <f>_xlfn.XLOOKUP(N41,#REF!,#REF!,0,0,1)</f>
        <v>#REF!</v>
      </c>
      <c r="Q41" s="85"/>
      <c r="R41" s="85"/>
      <c r="S41" s="85"/>
      <c r="T41" s="85"/>
      <c r="U41" s="85"/>
      <c r="V41" s="85"/>
    </row>
    <row r="42" spans="1:22" x14ac:dyDescent="0.25">
      <c r="A42" s="50"/>
      <c r="B42" s="15" t="str">
        <f>COA!B133</f>
        <v>6016 Consulting Expense</v>
      </c>
      <c r="C42" s="504">
        <f>SUMIF('PL.2 - FY23'!G:G,B42,'PL.2 - FY23'!H:H)</f>
        <v>0</v>
      </c>
      <c r="D42" s="127">
        <f>_xlfn.XLOOKUP(B42,'AJE.2B - F24'!A:A,'AJE.2B - F24'!F:F,0,0,1)</f>
        <v>0</v>
      </c>
      <c r="E42" s="127"/>
      <c r="F42" s="219">
        <f t="shared" si="0"/>
        <v>0</v>
      </c>
      <c r="G42" s="420"/>
      <c r="H42" s="504">
        <f>SUMIF('PL.2 - FY23'!G:G,B42,'PL.2 - FY23'!P:P)</f>
        <v>0</v>
      </c>
      <c r="I42" s="127">
        <f>_xlfn.XLOOKUP(B42,'AJE.2B - F24'!A:A,'AJE.2B - F24'!M:M,0,0,1)</f>
        <v>0</v>
      </c>
      <c r="J42" s="127"/>
      <c r="K42" s="219">
        <f t="shared" si="1"/>
        <v>0</v>
      </c>
      <c r="L42" s="178" t="str">
        <f>_xlfn.XLOOKUP($B42,COA!$B:$B,COA!$C:$C,0,0,1)</f>
        <v>General and administration</v>
      </c>
      <c r="M42" s="178" t="str">
        <f>_xlfn.XLOOKUP($B42,COA!$B:$B,COA!$D:$D,0,0,1)</f>
        <v>Consulting expense</v>
      </c>
      <c r="N42" s="178" t="str">
        <f>_xlfn.XLOOKUP($B42,COA!$B:$B,COA!$E:$E,0,0,1)</f>
        <v>Accumulated deficit</v>
      </c>
      <c r="P42" s="85" t="e">
        <f>_xlfn.XLOOKUP(N42,#REF!,#REF!,0,0,1)</f>
        <v>#REF!</v>
      </c>
      <c r="Q42" s="85"/>
      <c r="R42" s="85"/>
      <c r="S42" s="85"/>
      <c r="T42" s="85"/>
      <c r="U42" s="85"/>
      <c r="V42" s="85"/>
    </row>
    <row r="43" spans="1:22" x14ac:dyDescent="0.25">
      <c r="A43" s="50"/>
      <c r="B43" s="15" t="str">
        <f>COA!B134</f>
        <v>6017 Consulting Fees</v>
      </c>
      <c r="C43" s="504">
        <f>SUMIF('PL.2 - FY23'!G:G,B43,'PL.2 - FY23'!H:H)</f>
        <v>10000</v>
      </c>
      <c r="D43" s="127">
        <f>_xlfn.XLOOKUP(B43,'AJE.2B - F24'!A:A,'AJE.2B - F24'!F:F,0,0,1)</f>
        <v>0</v>
      </c>
      <c r="E43" s="127"/>
      <c r="F43" s="219">
        <f t="shared" si="0"/>
        <v>10000</v>
      </c>
      <c r="G43" s="420"/>
      <c r="H43" s="504">
        <f>SUMIF('PL.2 - FY23'!G:G,B43,'PL.2 - FY23'!P:P)</f>
        <v>1288080</v>
      </c>
      <c r="I43" s="127">
        <f>_xlfn.XLOOKUP(B43,'AJE.2B - F24'!A:A,'AJE.2B - F24'!M:M,0,0,1)</f>
        <v>0</v>
      </c>
      <c r="J43" s="127"/>
      <c r="K43" s="219">
        <f t="shared" si="1"/>
        <v>1288080</v>
      </c>
      <c r="L43" s="178" t="str">
        <f>_xlfn.XLOOKUP($B43,COA!$B:$B,COA!$C:$C,0,0,1)</f>
        <v>General and administration</v>
      </c>
      <c r="M43" s="178" t="str">
        <f>_xlfn.XLOOKUP($B43,COA!$B:$B,COA!$D:$D,0,0,1)</f>
        <v>Consulting expense</v>
      </c>
      <c r="N43" s="178" t="str">
        <f>_xlfn.XLOOKUP($B43,COA!$B:$B,COA!$E:$E,0,0,1)</f>
        <v>Accumulated deficit</v>
      </c>
      <c r="P43" s="85" t="e">
        <f>_xlfn.XLOOKUP(N43,#REF!,#REF!,0,0,1)</f>
        <v>#REF!</v>
      </c>
      <c r="Q43" s="85"/>
      <c r="R43" s="85"/>
      <c r="S43" s="85"/>
      <c r="T43" s="85"/>
      <c r="U43" s="85"/>
      <c r="V43" s="85"/>
    </row>
    <row r="44" spans="1:22" x14ac:dyDescent="0.25">
      <c r="A44" s="50"/>
      <c r="B44" s="15" t="str">
        <f>COA!B135</f>
        <v>6018 Dues and Subscription</v>
      </c>
      <c r="C44" s="504">
        <f>SUMIF('PL.2 - FY23'!G:G,B44,'PL.2 - FY23'!H:H)</f>
        <v>0</v>
      </c>
      <c r="D44" s="127">
        <f>_xlfn.XLOOKUP(B44,'AJE.2B - F24'!A:A,'AJE.2B - F24'!F:F,0,0,1)</f>
        <v>0</v>
      </c>
      <c r="E44" s="127"/>
      <c r="F44" s="219">
        <f t="shared" si="0"/>
        <v>0</v>
      </c>
      <c r="G44" s="420"/>
      <c r="H44" s="504">
        <f>SUMIF('PL.2 - FY23'!G:G,B44,'PL.2 - FY23'!P:P)</f>
        <v>0</v>
      </c>
      <c r="I44" s="127">
        <f>_xlfn.XLOOKUP(B44,'AJE.2B - F24'!A:A,'AJE.2B - F24'!M:M,0,0,1)</f>
        <v>0</v>
      </c>
      <c r="J44" s="127"/>
      <c r="K44" s="219">
        <f t="shared" si="1"/>
        <v>0</v>
      </c>
      <c r="L44" s="178" t="str">
        <f>_xlfn.XLOOKUP($B44,COA!$B:$B,COA!$C:$C,0,0,1)</f>
        <v>General and administration</v>
      </c>
      <c r="M44" s="178" t="str">
        <f>_xlfn.XLOOKUP($B44,COA!$B:$B,COA!$D:$D,0,0,1)</f>
        <v>Dues, licenses, and permits</v>
      </c>
      <c r="N44" s="178" t="str">
        <f>_xlfn.XLOOKUP($B44,COA!$B:$B,COA!$E:$E,0,0,1)</f>
        <v>Accumulated deficit</v>
      </c>
      <c r="P44" s="85" t="e">
        <f>_xlfn.XLOOKUP(N44,#REF!,#REF!,0,0,1)</f>
        <v>#REF!</v>
      </c>
      <c r="Q44" s="85"/>
      <c r="R44" s="85"/>
      <c r="S44" s="85"/>
      <c r="T44" s="85"/>
      <c r="U44" s="85"/>
      <c r="V44" s="85"/>
    </row>
    <row r="45" spans="1:22" x14ac:dyDescent="0.25">
      <c r="A45" s="50"/>
      <c r="B45" s="15" t="str">
        <f>COA!B136</f>
        <v>6020 Advertising &amp; Promotion</v>
      </c>
      <c r="C45" s="504">
        <f>SUMIF('PL.2 - FY23'!G:G,B45,'PL.2 - FY23'!H:H)</f>
        <v>0</v>
      </c>
      <c r="D45" s="127">
        <f>_xlfn.XLOOKUP(B45,'AJE.2B - F24'!A:A,'AJE.2B - F24'!F:F,0,0,1)</f>
        <v>0</v>
      </c>
      <c r="E45" s="127"/>
      <c r="F45" s="219">
        <f t="shared" si="0"/>
        <v>0</v>
      </c>
      <c r="G45" s="420"/>
      <c r="H45" s="504">
        <f>SUMIF('PL.2 - FY23'!G:G,B45,'PL.2 - FY23'!P:P)</f>
        <v>10000</v>
      </c>
      <c r="I45" s="127">
        <f>_xlfn.XLOOKUP(B45,'AJE.2B - F24'!A:A,'AJE.2B - F24'!M:M,0,0,1)</f>
        <v>0</v>
      </c>
      <c r="J45" s="127"/>
      <c r="K45" s="219">
        <f t="shared" si="1"/>
        <v>10000</v>
      </c>
      <c r="L45" s="178" t="str">
        <f>_xlfn.XLOOKUP($B45,COA!$B:$B,COA!$C:$C,0,0,1)</f>
        <v>Sales and marketing</v>
      </c>
      <c r="M45" s="178" t="str">
        <f>_xlfn.XLOOKUP($B45,COA!$B:$B,COA!$D:$D,0,0,1)</f>
        <v>Advertising and marketing</v>
      </c>
      <c r="N45" s="178" t="str">
        <f>_xlfn.XLOOKUP($B45,COA!$B:$B,COA!$E:$E,0,0,1)</f>
        <v>Accumulated deficit</v>
      </c>
      <c r="P45" s="85" t="e">
        <f>_xlfn.XLOOKUP(N45,#REF!,#REF!,0,0,1)</f>
        <v>#REF!</v>
      </c>
      <c r="Q45" s="85"/>
      <c r="R45" s="85"/>
      <c r="S45" s="85"/>
      <c r="T45" s="85"/>
      <c r="U45" s="85"/>
      <c r="V45" s="85"/>
    </row>
    <row r="46" spans="1:22" x14ac:dyDescent="0.25">
      <c r="A46" s="50"/>
      <c r="B46" s="15" t="str">
        <f>COA!B137</f>
        <v>6021 Tradeshows and conventions</v>
      </c>
      <c r="C46" s="504">
        <f>SUMIF('PL.2 - FY23'!G:G,B46,'PL.2 - FY23'!H:H)</f>
        <v>0</v>
      </c>
      <c r="D46" s="127">
        <f>_xlfn.XLOOKUP(B46,'AJE.2B - F24'!A:A,'AJE.2B - F24'!F:F,0,0,1)</f>
        <v>0</v>
      </c>
      <c r="E46" s="127"/>
      <c r="F46" s="219">
        <f t="shared" si="0"/>
        <v>0</v>
      </c>
      <c r="G46" s="420"/>
      <c r="H46" s="504">
        <f>SUMIF('PL.2 - FY23'!G:G,B46,'PL.2 - FY23'!P:P)</f>
        <v>0</v>
      </c>
      <c r="I46" s="127">
        <f>_xlfn.XLOOKUP(B46,'AJE.2B - F24'!A:A,'AJE.2B - F24'!M:M,0,0,1)</f>
        <v>0</v>
      </c>
      <c r="J46" s="127"/>
      <c r="K46" s="219">
        <f t="shared" si="1"/>
        <v>0</v>
      </c>
      <c r="L46" s="178" t="str">
        <f>_xlfn.XLOOKUP($B46,COA!$B:$B,COA!$C:$C,0,0,1)</f>
        <v>Sales and marketing</v>
      </c>
      <c r="M46" s="178" t="str">
        <f>_xlfn.XLOOKUP($B46,COA!$B:$B,COA!$D:$D,0,0,1)</f>
        <v>Advertising and marketing</v>
      </c>
      <c r="N46" s="178" t="str">
        <f>_xlfn.XLOOKUP($B46,COA!$B:$B,COA!$E:$E,0,0,1)</f>
        <v>Accumulated deficit</v>
      </c>
      <c r="P46" s="85" t="e">
        <f>_xlfn.XLOOKUP(N46,#REF!,#REF!,0,0,1)</f>
        <v>#REF!</v>
      </c>
      <c r="Q46" s="85"/>
      <c r="R46" s="85"/>
      <c r="S46" s="85"/>
      <c r="T46" s="85"/>
      <c r="U46" s="85"/>
      <c r="V46" s="85"/>
    </row>
    <row r="47" spans="1:22" x14ac:dyDescent="0.25">
      <c r="A47" s="50"/>
      <c r="B47" s="15" t="str">
        <f>COA!B138</f>
        <v>6025 Dues and Subscriptions</v>
      </c>
      <c r="C47" s="504">
        <f>SUMIF('PL.2 - FY23'!G:G,B47,'PL.2 - FY23'!H:H)</f>
        <v>0</v>
      </c>
      <c r="D47" s="127">
        <f>_xlfn.XLOOKUP(B47,'AJE.2B - F24'!A:A,'AJE.2B - F24'!F:F,0,0,1)</f>
        <v>0</v>
      </c>
      <c r="E47" s="127"/>
      <c r="F47" s="219">
        <f t="shared" si="0"/>
        <v>0</v>
      </c>
      <c r="G47" s="420"/>
      <c r="H47" s="504">
        <f>SUMIF('PL.2 - FY23'!G:G,B47,'PL.2 - FY23'!P:P)</f>
        <v>0</v>
      </c>
      <c r="I47" s="127">
        <f>_xlfn.XLOOKUP(B47,'AJE.2B - F24'!A:A,'AJE.2B - F24'!M:M,0,0,1)</f>
        <v>0</v>
      </c>
      <c r="J47" s="127"/>
      <c r="K47" s="219">
        <f t="shared" si="1"/>
        <v>0</v>
      </c>
      <c r="L47" s="178" t="str">
        <f>_xlfn.XLOOKUP($B47,COA!$B:$B,COA!$C:$C,0,0,1)</f>
        <v>General and administration</v>
      </c>
      <c r="M47" s="178" t="str">
        <f>_xlfn.XLOOKUP($B47,COA!$B:$B,COA!$D:$D,0,0,1)</f>
        <v>Dues, licenses, and permits</v>
      </c>
      <c r="N47" s="178" t="str">
        <f>_xlfn.XLOOKUP($B47,COA!$B:$B,COA!$E:$E,0,0,1)</f>
        <v>Accumulated deficit</v>
      </c>
      <c r="P47" s="85" t="e">
        <f>_xlfn.XLOOKUP(N47,#REF!,#REF!,0,0,1)</f>
        <v>#REF!</v>
      </c>
      <c r="Q47" s="85"/>
      <c r="R47" s="85"/>
      <c r="S47" s="85"/>
      <c r="T47" s="85"/>
      <c r="U47" s="85"/>
      <c r="V47" s="85"/>
    </row>
    <row r="48" spans="1:22" x14ac:dyDescent="0.25">
      <c r="A48" s="50"/>
      <c r="B48" s="15" t="str">
        <f>COA!B139</f>
        <v>6025 Automobile</v>
      </c>
      <c r="C48" s="504">
        <f>SUMIF('PL.2 - FY23'!G:G,B48,'PL.2 - FY23'!H:H)</f>
        <v>0</v>
      </c>
      <c r="D48" s="127">
        <f>_xlfn.XLOOKUP(B48,'AJE.2B - F24'!A:A,'AJE.2B - F24'!F:F,0,0,1)</f>
        <v>0</v>
      </c>
      <c r="E48" s="127"/>
      <c r="F48" s="219">
        <f t="shared" si="0"/>
        <v>0</v>
      </c>
      <c r="G48" s="420"/>
      <c r="H48" s="504">
        <f>SUMIF('PL.2 - FY23'!G:G,B48,'PL.2 - FY23'!P:P)</f>
        <v>0</v>
      </c>
      <c r="I48" s="127">
        <f>_xlfn.XLOOKUP(B48,'AJE.2B - F24'!A:A,'AJE.2B - F24'!M:M,0,0,1)</f>
        <v>0</v>
      </c>
      <c r="J48" s="127"/>
      <c r="K48" s="219">
        <f t="shared" si="1"/>
        <v>0</v>
      </c>
      <c r="L48" s="178" t="str">
        <f>_xlfn.XLOOKUP($B48,COA!$B:$B,COA!$C:$C,0,0,1)</f>
        <v>General and administration</v>
      </c>
      <c r="M48" s="178" t="str">
        <f>_xlfn.XLOOKUP($B48,COA!$B:$B,COA!$D:$D,0,0,1)</f>
        <v>Other miscellaneous</v>
      </c>
      <c r="N48" s="178" t="str">
        <f>_xlfn.XLOOKUP($B48,COA!$B:$B,COA!$E:$E,0,0,1)</f>
        <v>Accumulated deficit</v>
      </c>
      <c r="P48" s="85" t="e">
        <f>_xlfn.XLOOKUP(N48,#REF!,#REF!,0,0,1)</f>
        <v>#REF!</v>
      </c>
      <c r="Q48" s="85"/>
      <c r="R48" s="85"/>
      <c r="S48" s="85"/>
      <c r="T48" s="85"/>
      <c r="U48" s="85"/>
      <c r="V48" s="85"/>
    </row>
    <row r="49" spans="1:22" x14ac:dyDescent="0.25">
      <c r="A49" s="50"/>
      <c r="B49" s="15" t="str">
        <f>COA!B140</f>
        <v>6026 Fuel / Industrial Gas</v>
      </c>
      <c r="C49" s="504">
        <f>SUMIF('PL.2 - FY23'!G:G,B49,'PL.2 - FY23'!H:H)</f>
        <v>0</v>
      </c>
      <c r="D49" s="127">
        <f>_xlfn.XLOOKUP(B49,'AJE.2B - F24'!A:A,'AJE.2B - F24'!F:F,0,0,1)</f>
        <v>0</v>
      </c>
      <c r="E49" s="127"/>
      <c r="F49" s="219">
        <f t="shared" si="0"/>
        <v>0</v>
      </c>
      <c r="G49" s="420"/>
      <c r="H49" s="504">
        <f>SUMIF('PL.2 - FY23'!G:G,B49,'PL.2 - FY23'!P:P)</f>
        <v>0</v>
      </c>
      <c r="I49" s="127">
        <f>_xlfn.XLOOKUP(B49,'AJE.2B - F24'!A:A,'AJE.2B - F24'!M:M,0,0,1)</f>
        <v>0</v>
      </c>
      <c r="J49" s="127"/>
      <c r="K49" s="219">
        <f t="shared" si="1"/>
        <v>0</v>
      </c>
      <c r="L49" s="178" t="str">
        <f>_xlfn.XLOOKUP($B49,COA!$B:$B,COA!$C:$C,0,0,1)</f>
        <v>General and administration</v>
      </c>
      <c r="M49" s="178" t="str">
        <f>_xlfn.XLOOKUP($B49,COA!$B:$B,COA!$D:$D,0,0,1)</f>
        <v>Other miscellaneous</v>
      </c>
      <c r="N49" s="178" t="str">
        <f>_xlfn.XLOOKUP($B49,COA!$B:$B,COA!$E:$E,0,0,1)</f>
        <v>Accumulated deficit</v>
      </c>
      <c r="P49" s="85" t="e">
        <f>_xlfn.XLOOKUP(N49,#REF!,#REF!,0,0,1)</f>
        <v>#REF!</v>
      </c>
      <c r="Q49" s="85"/>
      <c r="R49" s="85"/>
      <c r="S49" s="85"/>
      <c r="T49" s="85"/>
      <c r="U49" s="85"/>
      <c r="V49" s="85"/>
    </row>
    <row r="50" spans="1:22" x14ac:dyDescent="0.25">
      <c r="A50" s="50"/>
      <c r="B50" s="15" t="str">
        <f>COA!B141</f>
        <v>6030 Communications</v>
      </c>
      <c r="C50" s="504">
        <f>SUMIF('PL.2 - FY23'!G:G,B50,'PL.2 - FY23'!H:H)</f>
        <v>0</v>
      </c>
      <c r="D50" s="127">
        <f>_xlfn.XLOOKUP(B50,'AJE.2B - F24'!A:A,'AJE.2B - F24'!F:F,0,0,1)</f>
        <v>0</v>
      </c>
      <c r="E50" s="127"/>
      <c r="F50" s="219">
        <f t="shared" si="0"/>
        <v>0</v>
      </c>
      <c r="G50" s="420"/>
      <c r="H50" s="504">
        <f>SUMIF('PL.2 - FY23'!G:G,B50,'PL.2 - FY23'!P:P)</f>
        <v>0</v>
      </c>
      <c r="I50" s="127">
        <f>_xlfn.XLOOKUP(B50,'AJE.2B - F24'!A:A,'AJE.2B - F24'!M:M,0,0,1)</f>
        <v>0</v>
      </c>
      <c r="J50" s="127"/>
      <c r="K50" s="219">
        <f t="shared" si="1"/>
        <v>0</v>
      </c>
      <c r="L50" s="178" t="str">
        <f>_xlfn.XLOOKUP($B50,COA!$B:$B,COA!$C:$C,0,0,1)</f>
        <v>General and administration</v>
      </c>
      <c r="M50" s="178" t="str">
        <f>_xlfn.XLOOKUP($B50,COA!$B:$B,COA!$D:$D,0,0,1)</f>
        <v>Communications</v>
      </c>
      <c r="N50" s="178" t="str">
        <f>_xlfn.XLOOKUP($B50,COA!$B:$B,COA!$E:$E,0,0,1)</f>
        <v>Accumulated deficit</v>
      </c>
      <c r="P50" s="85" t="e">
        <f>_xlfn.XLOOKUP(N50,#REF!,#REF!,0,0,1)</f>
        <v>#REF!</v>
      </c>
      <c r="Q50" s="85"/>
      <c r="R50" s="85"/>
      <c r="S50" s="85"/>
      <c r="T50" s="85"/>
      <c r="U50" s="85"/>
      <c r="V50" s="85"/>
    </row>
    <row r="51" spans="1:22" x14ac:dyDescent="0.25">
      <c r="A51" s="50"/>
      <c r="B51" s="15" t="str">
        <f>COA!B142</f>
        <v>6031 IT Expense</v>
      </c>
      <c r="C51" s="504">
        <f>SUMIF('PL.2 - FY23'!G:G,B51,'PL.2 - FY23'!H:H)</f>
        <v>0</v>
      </c>
      <c r="D51" s="127">
        <f>_xlfn.XLOOKUP(B51,'AJE.2B - F24'!A:A,'AJE.2B - F24'!F:F,0,0,1)</f>
        <v>0</v>
      </c>
      <c r="E51" s="127"/>
      <c r="F51" s="219">
        <f t="shared" si="0"/>
        <v>0</v>
      </c>
      <c r="G51" s="420"/>
      <c r="H51" s="504">
        <f>SUMIF('PL.2 - FY23'!G:G,B51,'PL.2 - FY23'!P:P)</f>
        <v>0</v>
      </c>
      <c r="I51" s="127">
        <f>_xlfn.XLOOKUP(B51,'AJE.2B - F24'!A:A,'AJE.2B - F24'!M:M,0,0,1)</f>
        <v>0</v>
      </c>
      <c r="J51" s="127"/>
      <c r="K51" s="219">
        <f t="shared" si="1"/>
        <v>0</v>
      </c>
      <c r="L51" s="178" t="str">
        <f>_xlfn.XLOOKUP($B51,COA!$B:$B,COA!$C:$C,0,0,1)</f>
        <v>General and administration</v>
      </c>
      <c r="M51" s="178" t="str">
        <f>_xlfn.XLOOKUP($B51,COA!$B:$B,COA!$D:$D,0,0,1)</f>
        <v>Office expenses</v>
      </c>
      <c r="N51" s="178" t="str">
        <f>_xlfn.XLOOKUP($B51,COA!$B:$B,COA!$E:$E,0,0,1)</f>
        <v>Accumulated deficit</v>
      </c>
      <c r="P51" s="85" t="e">
        <f>_xlfn.XLOOKUP(N51,#REF!,#REF!,0,0,1)</f>
        <v>#REF!</v>
      </c>
      <c r="Q51" s="85"/>
      <c r="R51" s="85"/>
      <c r="S51" s="85"/>
      <c r="T51" s="85"/>
      <c r="U51" s="85"/>
      <c r="V51" s="85"/>
    </row>
    <row r="52" spans="1:22" x14ac:dyDescent="0.25">
      <c r="A52" s="50"/>
      <c r="B52" s="15" t="str">
        <f>COA!B143</f>
        <v>6040 Meals and entertainment</v>
      </c>
      <c r="C52" s="504">
        <f>SUMIF('PL.2 - FY23'!G:G,B52,'PL.2 - FY23'!H:H)</f>
        <v>0</v>
      </c>
      <c r="D52" s="127">
        <f>_xlfn.XLOOKUP(B52,'AJE.2B - F24'!A:A,'AJE.2B - F24'!F:F,0,0,1)</f>
        <v>0</v>
      </c>
      <c r="E52" s="127"/>
      <c r="F52" s="219">
        <f t="shared" si="0"/>
        <v>0</v>
      </c>
      <c r="G52" s="420"/>
      <c r="H52" s="504">
        <f>SUMIF('PL.2 - FY23'!G:G,B52,'PL.2 - FY23'!P:P)</f>
        <v>0</v>
      </c>
      <c r="I52" s="127">
        <f>_xlfn.XLOOKUP(B52,'AJE.2B - F24'!A:A,'AJE.2B - F24'!M:M,0,0,1)</f>
        <v>0</v>
      </c>
      <c r="J52" s="127"/>
      <c r="K52" s="219">
        <f t="shared" si="1"/>
        <v>0</v>
      </c>
      <c r="L52" s="178" t="str">
        <f>_xlfn.XLOOKUP($B52,COA!$B:$B,COA!$C:$C,0,0,1)</f>
        <v>General and administration</v>
      </c>
      <c r="M52" s="178" t="str">
        <f>_xlfn.XLOOKUP($B52,COA!$B:$B,COA!$D:$D,0,0,1)</f>
        <v>Meals and entertainment</v>
      </c>
      <c r="N52" s="178" t="str">
        <f>_xlfn.XLOOKUP($B52,COA!$B:$B,COA!$E:$E,0,0,1)</f>
        <v>Accumulated deficit</v>
      </c>
      <c r="P52" s="85" t="e">
        <f>_xlfn.XLOOKUP(N52,#REF!,#REF!,0,0,1)</f>
        <v>#REF!</v>
      </c>
      <c r="Q52" s="85"/>
      <c r="R52" s="85"/>
      <c r="S52" s="85"/>
      <c r="T52" s="85"/>
      <c r="U52" s="85"/>
      <c r="V52" s="85"/>
    </row>
    <row r="53" spans="1:22" x14ac:dyDescent="0.25">
      <c r="A53" s="50"/>
      <c r="B53" s="15" t="str">
        <f>COA!B144</f>
        <v>6041 Travel Meals</v>
      </c>
      <c r="C53" s="504">
        <f>SUMIF('PL.2 - FY23'!G:G,B53,'PL.2 - FY23'!H:H)</f>
        <v>0</v>
      </c>
      <c r="D53" s="127">
        <f>_xlfn.XLOOKUP(B53,'AJE.2B - F24'!A:A,'AJE.2B - F24'!F:F,0,0,1)</f>
        <v>0</v>
      </c>
      <c r="E53" s="127"/>
      <c r="F53" s="219">
        <f t="shared" si="0"/>
        <v>0</v>
      </c>
      <c r="G53" s="420"/>
      <c r="H53" s="504">
        <f>SUMIF('PL.2 - FY23'!G:G,B53,'PL.2 - FY23'!P:P)</f>
        <v>0</v>
      </c>
      <c r="I53" s="127">
        <f>_xlfn.XLOOKUP(B53,'AJE.2B - F24'!A:A,'AJE.2B - F24'!M:M,0,0,1)</f>
        <v>0</v>
      </c>
      <c r="J53" s="127"/>
      <c r="K53" s="219">
        <f t="shared" si="1"/>
        <v>0</v>
      </c>
      <c r="L53" s="178" t="str">
        <f>_xlfn.XLOOKUP($B53,COA!$B:$B,COA!$C:$C,0,0,1)</f>
        <v>General and administration</v>
      </c>
      <c r="M53" s="178" t="str">
        <f>_xlfn.XLOOKUP($B53,COA!$B:$B,COA!$D:$D,0,0,1)</f>
        <v>Travel expenses</v>
      </c>
      <c r="N53" s="178" t="str">
        <f>_xlfn.XLOOKUP($B53,COA!$B:$B,COA!$E:$E,0,0,1)</f>
        <v>Accumulated deficit</v>
      </c>
      <c r="P53" s="85" t="e">
        <f>_xlfn.XLOOKUP(N53,#REF!,#REF!,0,0,1)</f>
        <v>#REF!</v>
      </c>
      <c r="Q53" s="85"/>
      <c r="R53" s="85"/>
      <c r="S53" s="85"/>
      <c r="T53" s="85"/>
      <c r="U53" s="85"/>
      <c r="V53" s="85"/>
    </row>
    <row r="54" spans="1:22" x14ac:dyDescent="0.25">
      <c r="A54" s="50"/>
      <c r="B54" s="15" t="str">
        <f>COA!B145</f>
        <v>6042 Travel</v>
      </c>
      <c r="C54" s="504">
        <f>SUMIF('PL.2 - FY23'!G:G,B54,'PL.2 - FY23'!H:H)</f>
        <v>0</v>
      </c>
      <c r="D54" s="127">
        <f>_xlfn.XLOOKUP(B54,'AJE.2B - F24'!A:A,'AJE.2B - F24'!F:F,0,0,1)</f>
        <v>0</v>
      </c>
      <c r="E54" s="127"/>
      <c r="F54" s="219">
        <f t="shared" si="0"/>
        <v>0</v>
      </c>
      <c r="G54" s="420"/>
      <c r="H54" s="504">
        <f>SUMIF('PL.2 - FY23'!G:G,B54,'PL.2 - FY23'!P:P)</f>
        <v>0</v>
      </c>
      <c r="I54" s="127">
        <f>_xlfn.XLOOKUP(B54,'AJE.2B - F24'!A:A,'AJE.2B - F24'!M:M,0,0,1)</f>
        <v>0</v>
      </c>
      <c r="J54" s="127"/>
      <c r="K54" s="219">
        <f t="shared" si="1"/>
        <v>0</v>
      </c>
      <c r="L54" s="178" t="str">
        <f>_xlfn.XLOOKUP($B54,COA!$B:$B,COA!$C:$C,0,0,1)</f>
        <v>General and administration</v>
      </c>
      <c r="M54" s="178" t="str">
        <f>_xlfn.XLOOKUP($B54,COA!$B:$B,COA!$D:$D,0,0,1)</f>
        <v>Travel expenses</v>
      </c>
      <c r="N54" s="178" t="str">
        <f>_xlfn.XLOOKUP($B54,COA!$B:$B,COA!$E:$E,0,0,1)</f>
        <v>Accumulated deficit</v>
      </c>
      <c r="P54" s="85" t="e">
        <f>_xlfn.XLOOKUP(N54,#REF!,#REF!,0,0,1)</f>
        <v>#REF!</v>
      </c>
      <c r="Q54" s="85"/>
      <c r="R54" s="85"/>
      <c r="S54" s="85"/>
      <c r="T54" s="85"/>
      <c r="U54" s="85"/>
      <c r="V54" s="85"/>
    </row>
    <row r="55" spans="1:22" x14ac:dyDescent="0.25">
      <c r="A55" s="50"/>
      <c r="B55" s="15" t="str">
        <f>COA!B146</f>
        <v>6043 Transfer agent and regulatory expenses</v>
      </c>
      <c r="C55" s="504">
        <f>SUMIF('PL.2 - FY23'!G:G,B55,'PL.2 - FY23'!H:H)</f>
        <v>0</v>
      </c>
      <c r="D55" s="127">
        <f>_xlfn.XLOOKUP(B55,'AJE.2B - F24'!A:A,'AJE.2B - F24'!F:F,0,0,1)</f>
        <v>0</v>
      </c>
      <c r="E55" s="127"/>
      <c r="F55" s="219">
        <f t="shared" si="0"/>
        <v>0</v>
      </c>
      <c r="G55" s="420"/>
      <c r="H55" s="504">
        <f>SUMIF('PL.2 - FY23'!G:G,B55,'PL.2 - FY23'!P:P)</f>
        <v>0</v>
      </c>
      <c r="I55" s="127">
        <f>_xlfn.XLOOKUP(B55,'AJE.2B - F24'!A:A,'AJE.2B - F24'!M:M,0,0,1)</f>
        <v>0</v>
      </c>
      <c r="J55" s="127"/>
      <c r="K55" s="219">
        <f t="shared" si="1"/>
        <v>0</v>
      </c>
      <c r="L55" s="178" t="str">
        <f>_xlfn.XLOOKUP($B55,COA!$B:$B,COA!$C:$C,0,0,1)</f>
        <v>General and administration</v>
      </c>
      <c r="M55" s="178" t="str">
        <f>_xlfn.XLOOKUP($B55,COA!$B:$B,COA!$D:$D,0,0,1)</f>
        <v>Transfer agent and regulatory expenses</v>
      </c>
      <c r="N55" s="178" t="str">
        <f>_xlfn.XLOOKUP($B55,COA!$B:$B,COA!$E:$E,0,0,1)</f>
        <v>Accumulated deficit</v>
      </c>
      <c r="P55" s="85" t="e">
        <f>_xlfn.XLOOKUP(N55,#REF!,#REF!,0,0,1)</f>
        <v>#REF!</v>
      </c>
      <c r="Q55" s="85"/>
      <c r="R55" s="85"/>
      <c r="S55" s="85"/>
      <c r="T55" s="85"/>
      <c r="U55" s="85"/>
      <c r="V55" s="85"/>
    </row>
    <row r="56" spans="1:22" x14ac:dyDescent="0.25">
      <c r="A56" s="50"/>
      <c r="B56" s="15" t="str">
        <f>COA!B147</f>
        <v>6050 Insurance</v>
      </c>
      <c r="C56" s="504">
        <f>SUMIF('PL.2 - FY23'!G:G,B56,'PL.2 - FY23'!H:H)</f>
        <v>0</v>
      </c>
      <c r="D56" s="127">
        <f>_xlfn.XLOOKUP(B56,'AJE.2B - F24'!A:A,'AJE.2B - F24'!F:F,0,0,1)</f>
        <v>0</v>
      </c>
      <c r="E56" s="127"/>
      <c r="F56" s="219">
        <f t="shared" si="0"/>
        <v>0</v>
      </c>
      <c r="G56" s="420"/>
      <c r="H56" s="504">
        <f>SUMIF('PL.2 - FY23'!G:G,B56,'PL.2 - FY23'!P:P)</f>
        <v>0</v>
      </c>
      <c r="I56" s="127">
        <f>_xlfn.XLOOKUP(B56,'AJE.2B - F24'!A:A,'AJE.2B - F24'!M:M,0,0,1)</f>
        <v>0</v>
      </c>
      <c r="J56" s="127"/>
      <c r="K56" s="219">
        <f t="shared" si="1"/>
        <v>0</v>
      </c>
      <c r="L56" s="178" t="str">
        <f>_xlfn.XLOOKUP($B56,COA!$B:$B,COA!$C:$C,0,0,1)</f>
        <v>General and administration</v>
      </c>
      <c r="M56" s="178" t="str">
        <f>_xlfn.XLOOKUP($B56,COA!$B:$B,COA!$D:$D,0,0,1)</f>
        <v>Insurance</v>
      </c>
      <c r="N56" s="178" t="str">
        <f>_xlfn.XLOOKUP($B56,COA!$B:$B,COA!$E:$E,0,0,1)</f>
        <v>Accumulated deficit</v>
      </c>
      <c r="P56" s="85" t="e">
        <f>_xlfn.XLOOKUP(N56,#REF!,#REF!,0,0,1)</f>
        <v>#REF!</v>
      </c>
      <c r="Q56" s="85"/>
      <c r="R56" s="85"/>
      <c r="S56" s="85"/>
      <c r="T56" s="85"/>
      <c r="U56" s="85"/>
      <c r="V56" s="85"/>
    </row>
    <row r="57" spans="1:22" x14ac:dyDescent="0.25">
      <c r="A57" s="50"/>
      <c r="B57" s="15" t="str">
        <f>COA!B148</f>
        <v>6060 Office expenses</v>
      </c>
      <c r="C57" s="504">
        <f>SUMIF('PL.2 - FY23'!G:G,B57,'PL.2 - FY23'!H:H)</f>
        <v>1875.35</v>
      </c>
      <c r="D57" s="127">
        <f>_xlfn.XLOOKUP(B57,'AJE.2B - F24'!A:A,'AJE.2B - F24'!F:F,0,0,1)</f>
        <v>0</v>
      </c>
      <c r="E57" s="127"/>
      <c r="F57" s="219">
        <f t="shared" si="0"/>
        <v>1875</v>
      </c>
      <c r="G57" s="420"/>
      <c r="H57" s="504">
        <f>SUMIF('PL.2 - FY23'!G:G,B57,'PL.2 - FY23'!P:P)</f>
        <v>9297.11</v>
      </c>
      <c r="I57" s="127">
        <f>_xlfn.XLOOKUP(B57,'AJE.2B - F24'!A:A,'AJE.2B - F24'!M:M,0,0,1)</f>
        <v>0</v>
      </c>
      <c r="J57" s="127"/>
      <c r="K57" s="219">
        <f t="shared" si="1"/>
        <v>9297</v>
      </c>
      <c r="L57" s="178" t="str">
        <f>_xlfn.XLOOKUP($B57,COA!$B:$B,COA!$C:$C,0,0,1)</f>
        <v>General and administration</v>
      </c>
      <c r="M57" s="178" t="str">
        <f>_xlfn.XLOOKUP($B57,COA!$B:$B,COA!$D:$D,0,0,1)</f>
        <v>Office expenses</v>
      </c>
      <c r="N57" s="178" t="str">
        <f>_xlfn.XLOOKUP($B57,COA!$B:$B,COA!$E:$E,0,0,1)</f>
        <v>Accumulated deficit</v>
      </c>
      <c r="P57" s="85" t="e">
        <f>_xlfn.XLOOKUP(N57,#REF!,#REF!,0,0,1)</f>
        <v>#REF!</v>
      </c>
      <c r="Q57" s="85"/>
      <c r="R57" s="85"/>
      <c r="S57" s="85"/>
      <c r="T57" s="85"/>
      <c r="U57" s="85"/>
      <c r="V57" s="85"/>
    </row>
    <row r="58" spans="1:22" x14ac:dyDescent="0.25">
      <c r="A58" s="50"/>
      <c r="B58" s="15" t="str">
        <f>COA!B149</f>
        <v>6060 Repairs and Maintenance</v>
      </c>
      <c r="C58" s="504">
        <f>SUMIF('PL.2 - FY23'!G:G,B58,'PL.2 - FY23'!H:H)</f>
        <v>0</v>
      </c>
      <c r="D58" s="127">
        <f>_xlfn.XLOOKUP(B58,'AJE.2B - F24'!A:A,'AJE.2B - F24'!F:F,0,0,1)</f>
        <v>0</v>
      </c>
      <c r="E58" s="127"/>
      <c r="F58" s="219">
        <f t="shared" si="0"/>
        <v>0</v>
      </c>
      <c r="G58" s="420"/>
      <c r="H58" s="504">
        <f>SUMIF('PL.2 - FY23'!G:G,B58,'PL.2 - FY23'!P:P)</f>
        <v>0</v>
      </c>
      <c r="I58" s="127">
        <f>_xlfn.XLOOKUP(B58,'AJE.2B - F24'!A:A,'AJE.2B - F24'!M:M,0,0,1)</f>
        <v>0</v>
      </c>
      <c r="J58" s="127"/>
      <c r="K58" s="219">
        <f t="shared" si="1"/>
        <v>0</v>
      </c>
      <c r="L58" s="178" t="str">
        <f>_xlfn.XLOOKUP($B58,COA!$B:$B,COA!$C:$C,0,0,1)</f>
        <v>General and administration</v>
      </c>
      <c r="M58" s="178" t="str">
        <f>_xlfn.XLOOKUP($B58,COA!$B:$B,COA!$D:$D,0,0,1)</f>
        <v>Repairs and maintenance</v>
      </c>
      <c r="N58" s="178" t="str">
        <f>_xlfn.XLOOKUP($B58,COA!$B:$B,COA!$E:$E,0,0,1)</f>
        <v>Accumulated deficit</v>
      </c>
      <c r="P58" s="85" t="e">
        <f>_xlfn.XLOOKUP(N58,#REF!,#REF!,0,0,1)</f>
        <v>#REF!</v>
      </c>
      <c r="Q58" s="85"/>
      <c r="R58" s="85"/>
      <c r="S58" s="85"/>
      <c r="T58" s="85"/>
      <c r="U58" s="85"/>
      <c r="V58" s="85"/>
    </row>
    <row r="59" spans="1:22" x14ac:dyDescent="0.25">
      <c r="A59" s="50"/>
      <c r="B59" s="15" t="str">
        <f>COA!B150</f>
        <v>6061 Other general and administrative expenses</v>
      </c>
      <c r="C59" s="504">
        <f>SUMIF('PL.2 - FY23'!G:G,B59,'PL.2 - FY23'!H:H)</f>
        <v>0</v>
      </c>
      <c r="D59" s="127">
        <f>_xlfn.XLOOKUP(B59,'AJE.2B - F24'!A:A,'AJE.2B - F24'!F:F,0,0,1)</f>
        <v>0</v>
      </c>
      <c r="E59" s="127"/>
      <c r="F59" s="219">
        <f t="shared" si="0"/>
        <v>0</v>
      </c>
      <c r="G59" s="420"/>
      <c r="H59" s="504">
        <f>SUMIF('PL.2 - FY23'!G:G,B59,'PL.2 - FY23'!P:P)</f>
        <v>0</v>
      </c>
      <c r="I59" s="127">
        <f>_xlfn.XLOOKUP(B59,'AJE.2B - F24'!A:A,'AJE.2B - F24'!M:M,0,0,1)</f>
        <v>0</v>
      </c>
      <c r="J59" s="127"/>
      <c r="K59" s="219">
        <f t="shared" si="1"/>
        <v>0</v>
      </c>
      <c r="L59" s="178" t="str">
        <f>_xlfn.XLOOKUP($B59,COA!$B:$B,COA!$C:$C,0,0,1)</f>
        <v>General and administration</v>
      </c>
      <c r="M59" s="178" t="str">
        <f>_xlfn.XLOOKUP($B59,COA!$B:$B,COA!$D:$D,0,0,1)</f>
        <v>Other miscellaneous</v>
      </c>
      <c r="N59" s="178" t="str">
        <f>_xlfn.XLOOKUP($B59,COA!$B:$B,COA!$E:$E,0,0,1)</f>
        <v>Accumulated deficit</v>
      </c>
      <c r="P59" s="85" t="e">
        <f>_xlfn.XLOOKUP(N59,#REF!,#REF!,0,0,1)</f>
        <v>#REF!</v>
      </c>
      <c r="Q59" s="85"/>
      <c r="R59" s="85"/>
      <c r="S59" s="85"/>
      <c r="T59" s="85"/>
      <c r="U59" s="85"/>
      <c r="V59" s="85"/>
    </row>
    <row r="60" spans="1:22" x14ac:dyDescent="0.25">
      <c r="A60" s="50"/>
      <c r="B60" s="15" t="str">
        <f>COA!B151</f>
        <v>6065 Rent</v>
      </c>
      <c r="C60" s="504">
        <f>SUMIF('PL.2 - FY23'!G:G,B60,'PL.2 - FY23'!H:H)</f>
        <v>0</v>
      </c>
      <c r="D60" s="127">
        <f>_xlfn.XLOOKUP(B60,'AJE.2B - F24'!A:A,'AJE.2B - F24'!F:F,0,0,1)</f>
        <v>0</v>
      </c>
      <c r="E60" s="127"/>
      <c r="F60" s="219">
        <f t="shared" si="0"/>
        <v>0</v>
      </c>
      <c r="G60" s="420"/>
      <c r="H60" s="504">
        <f>SUMIF('PL.2 - FY23'!G:G,B60,'PL.2 - FY23'!P:P)</f>
        <v>0</v>
      </c>
      <c r="I60" s="127">
        <f>_xlfn.XLOOKUP(B60,'AJE.2B - F24'!A:A,'AJE.2B - F24'!M:M,0,0,1)</f>
        <v>0</v>
      </c>
      <c r="J60" s="127"/>
      <c r="K60" s="219">
        <f t="shared" si="1"/>
        <v>0</v>
      </c>
      <c r="L60" s="178" t="str">
        <f>_xlfn.XLOOKUP($B60,COA!$B:$B,COA!$C:$C,0,0,1)</f>
        <v>General and administration</v>
      </c>
      <c r="M60" s="178" t="str">
        <f>_xlfn.XLOOKUP($B60,COA!$B:$B,COA!$D:$D,0,0,1)</f>
        <v>Rent</v>
      </c>
      <c r="N60" s="178" t="str">
        <f>_xlfn.XLOOKUP($B60,COA!$B:$B,COA!$E:$E,0,0,1)</f>
        <v>Accumulated deficit</v>
      </c>
      <c r="P60" s="85" t="e">
        <f>_xlfn.XLOOKUP(N60,#REF!,#REF!,0,0,1)</f>
        <v>#REF!</v>
      </c>
      <c r="Q60" s="85"/>
      <c r="R60" s="85"/>
      <c r="S60" s="85"/>
      <c r="T60" s="85"/>
      <c r="U60" s="85"/>
      <c r="V60" s="85"/>
    </row>
    <row r="61" spans="1:22" x14ac:dyDescent="0.25">
      <c r="A61" s="50"/>
      <c r="B61" s="15" t="str">
        <f>COA!B152</f>
        <v>6066 Utilities</v>
      </c>
      <c r="C61" s="504">
        <f>SUMIF('PL.2 - FY23'!G:G,B61,'PL.2 - FY23'!H:H)</f>
        <v>0</v>
      </c>
      <c r="D61" s="127">
        <f>_xlfn.XLOOKUP(B61,'AJE.2B - F24'!A:A,'AJE.2B - F24'!F:F,0,0,1)</f>
        <v>0</v>
      </c>
      <c r="E61" s="127"/>
      <c r="F61" s="219">
        <f t="shared" si="0"/>
        <v>0</v>
      </c>
      <c r="G61" s="420"/>
      <c r="H61" s="504">
        <f>SUMIF('PL.2 - FY23'!G:G,B61,'PL.2 - FY23'!P:P)</f>
        <v>0</v>
      </c>
      <c r="I61" s="127">
        <f>_xlfn.XLOOKUP(B61,'AJE.2B - F24'!A:A,'AJE.2B - F24'!M:M,0,0,1)</f>
        <v>0</v>
      </c>
      <c r="J61" s="127"/>
      <c r="K61" s="219">
        <f t="shared" si="1"/>
        <v>0</v>
      </c>
      <c r="L61" s="178" t="str">
        <f>_xlfn.XLOOKUP($B61,COA!$B:$B,COA!$C:$C,0,0,1)</f>
        <v>General and administration</v>
      </c>
      <c r="M61" s="178" t="str">
        <f>_xlfn.XLOOKUP($B61,COA!$B:$B,COA!$D:$D,0,0,1)</f>
        <v>Utilities</v>
      </c>
      <c r="N61" s="178" t="str">
        <f>_xlfn.XLOOKUP($B61,COA!$B:$B,COA!$E:$E,0,0,1)</f>
        <v>Accumulated deficit</v>
      </c>
      <c r="P61" s="85" t="e">
        <f>_xlfn.XLOOKUP(N61,#REF!,#REF!,0,0,1)</f>
        <v>#REF!</v>
      </c>
      <c r="Q61" s="85"/>
      <c r="R61" s="85"/>
      <c r="S61" s="85"/>
      <c r="T61" s="85"/>
      <c r="U61" s="85"/>
      <c r="V61" s="85"/>
    </row>
    <row r="62" spans="1:22" x14ac:dyDescent="0.25">
      <c r="A62" s="50"/>
      <c r="B62" s="15" t="str">
        <f>COA!B153</f>
        <v>6068 Shipping, Freight, and Delivery</v>
      </c>
      <c r="C62" s="504">
        <f>SUMIF('PL.2 - FY23'!G:G,B62,'PL.2 - FY23'!H:H)</f>
        <v>0</v>
      </c>
      <c r="D62" s="127">
        <f>_xlfn.XLOOKUP(B62,'AJE.2B - F24'!A:A,'AJE.2B - F24'!F:F,0,0,1)</f>
        <v>0</v>
      </c>
      <c r="E62" s="127"/>
      <c r="F62" s="219">
        <f t="shared" si="0"/>
        <v>0</v>
      </c>
      <c r="G62" s="420"/>
      <c r="H62" s="504">
        <f>SUMIF('PL.2 - FY23'!G:G,B62,'PL.2 - FY23'!P:P)</f>
        <v>0</v>
      </c>
      <c r="I62" s="127">
        <f>_xlfn.XLOOKUP(B62,'AJE.2B - F24'!A:A,'AJE.2B - F24'!M:M,0,0,1)</f>
        <v>0</v>
      </c>
      <c r="J62" s="127"/>
      <c r="K62" s="219">
        <f t="shared" si="1"/>
        <v>0</v>
      </c>
      <c r="L62" s="178" t="str">
        <f>_xlfn.XLOOKUP($B62,COA!$B:$B,COA!$C:$C,0,0,1)</f>
        <v>General and administration</v>
      </c>
      <c r="M62" s="178" t="str">
        <f>_xlfn.XLOOKUP($B62,COA!$B:$B,COA!$D:$D,0,0,1)</f>
        <v>Shipping expense</v>
      </c>
      <c r="N62" s="178" t="str">
        <f>_xlfn.XLOOKUP($B62,COA!$B:$B,COA!$E:$E,0,0,1)</f>
        <v>Accumulated deficit</v>
      </c>
      <c r="P62" s="85" t="e">
        <f>_xlfn.XLOOKUP(N62,#REF!,#REF!,0,0,1)</f>
        <v>#REF!</v>
      </c>
      <c r="Q62" s="85"/>
      <c r="R62" s="85"/>
      <c r="S62" s="85"/>
      <c r="T62" s="85"/>
      <c r="U62" s="85"/>
      <c r="V62" s="85"/>
    </row>
    <row r="63" spans="1:22" x14ac:dyDescent="0.25">
      <c r="A63" s="50"/>
      <c r="B63" s="15" t="str">
        <f>COA!B154</f>
        <v>6070 Office Supplies</v>
      </c>
      <c r="C63" s="504">
        <f>SUMIF('PL.2 - FY23'!G:G,B63,'PL.2 - FY23'!H:H)</f>
        <v>0</v>
      </c>
      <c r="D63" s="127">
        <f>_xlfn.XLOOKUP(B63,'AJE.2B - F24'!A:A,'AJE.2B - F24'!F:F,0,0,1)</f>
        <v>0</v>
      </c>
      <c r="E63" s="127"/>
      <c r="F63" s="219">
        <f t="shared" si="0"/>
        <v>0</v>
      </c>
      <c r="G63" s="420"/>
      <c r="H63" s="504">
        <f>SUMIF('PL.2 - FY23'!G:G,B63,'PL.2 - FY23'!P:P)</f>
        <v>0</v>
      </c>
      <c r="I63" s="127">
        <f>_xlfn.XLOOKUP(B63,'AJE.2B - F24'!A:A,'AJE.2B - F24'!M:M,0,0,1)</f>
        <v>0</v>
      </c>
      <c r="J63" s="127"/>
      <c r="K63" s="219">
        <f t="shared" si="1"/>
        <v>0</v>
      </c>
      <c r="L63" s="178" t="str">
        <f>_xlfn.XLOOKUP($B63,COA!$B:$B,COA!$C:$C,0,0,1)</f>
        <v>General and administration</v>
      </c>
      <c r="M63" s="178" t="str">
        <f>_xlfn.XLOOKUP($B63,COA!$B:$B,COA!$D:$D,0,0,1)</f>
        <v>Office expenses</v>
      </c>
      <c r="N63" s="178" t="str">
        <f>_xlfn.XLOOKUP($B63,COA!$B:$B,COA!$E:$E,0,0,1)</f>
        <v>Accumulated deficit</v>
      </c>
      <c r="P63" s="85" t="e">
        <f>_xlfn.XLOOKUP(N63,#REF!,#REF!,0,0,1)</f>
        <v>#REF!</v>
      </c>
      <c r="Q63" s="85"/>
      <c r="R63" s="85"/>
      <c r="S63" s="85"/>
      <c r="T63" s="85"/>
      <c r="U63" s="85"/>
      <c r="V63" s="85"/>
    </row>
    <row r="64" spans="1:22" x14ac:dyDescent="0.25">
      <c r="A64" s="50"/>
      <c r="B64" s="15" t="str">
        <f>COA!B155</f>
        <v>6075 Minor shop tools</v>
      </c>
      <c r="C64" s="504">
        <f>SUMIF('PL.2 - FY23'!G:G,B64,'PL.2 - FY23'!H:H)</f>
        <v>0</v>
      </c>
      <c r="D64" s="127">
        <f>_xlfn.XLOOKUP(B64,'AJE.2B - F24'!A:A,'AJE.2B - F24'!F:F,0,0,1)</f>
        <v>0</v>
      </c>
      <c r="E64" s="127"/>
      <c r="F64" s="219">
        <f t="shared" si="0"/>
        <v>0</v>
      </c>
      <c r="G64" s="420"/>
      <c r="H64" s="504">
        <f>SUMIF('PL.2 - FY23'!G:G,B64,'PL.2 - FY23'!P:P)</f>
        <v>0</v>
      </c>
      <c r="I64" s="127">
        <f>_xlfn.XLOOKUP(B64,'AJE.2B - F24'!A:A,'AJE.2B - F24'!M:M,0,0,1)</f>
        <v>0</v>
      </c>
      <c r="J64" s="127"/>
      <c r="K64" s="219">
        <f t="shared" si="1"/>
        <v>0</v>
      </c>
      <c r="L64" s="178" t="str">
        <f>_xlfn.XLOOKUP($B64,COA!$B:$B,COA!$C:$C,0,0,1)</f>
        <v>General and administration</v>
      </c>
      <c r="M64" s="178" t="str">
        <f>_xlfn.XLOOKUP($B64,COA!$B:$B,COA!$D:$D,0,0,1)</f>
        <v>Shop supplies</v>
      </c>
      <c r="N64" s="178" t="str">
        <f>_xlfn.XLOOKUP($B64,COA!$B:$B,COA!$E:$E,0,0,1)</f>
        <v>Accumulated deficit</v>
      </c>
      <c r="P64" s="85" t="e">
        <f>_xlfn.XLOOKUP(N64,#REF!,#REF!,0,0,1)</f>
        <v>#REF!</v>
      </c>
      <c r="Q64" s="85"/>
      <c r="R64" s="85"/>
      <c r="S64" s="85"/>
      <c r="T64" s="85"/>
      <c r="U64" s="85"/>
      <c r="V64" s="85"/>
    </row>
    <row r="65" spans="1:22" x14ac:dyDescent="0.25">
      <c r="A65" s="50"/>
      <c r="B65" s="15" t="str">
        <f>COA!B156</f>
        <v>6076 Disposal/Landfill</v>
      </c>
      <c r="C65" s="504">
        <f>SUMIF('PL.2 - FY23'!G:G,B65,'PL.2 - FY23'!H:H)</f>
        <v>0</v>
      </c>
      <c r="D65" s="127">
        <f>_xlfn.XLOOKUP(B65,'AJE.2B - F24'!A:A,'AJE.2B - F24'!F:F,0,0,1)</f>
        <v>0</v>
      </c>
      <c r="E65" s="127"/>
      <c r="F65" s="219">
        <f t="shared" si="0"/>
        <v>0</v>
      </c>
      <c r="G65" s="420"/>
      <c r="H65" s="504">
        <f>SUMIF('PL.2 - FY23'!G:G,B65,'PL.2 - FY23'!P:P)</f>
        <v>0</v>
      </c>
      <c r="I65" s="127">
        <f>_xlfn.XLOOKUP(B65,'AJE.2B - F24'!A:A,'AJE.2B - F24'!M:M,0,0,1)</f>
        <v>0</v>
      </c>
      <c r="J65" s="127"/>
      <c r="K65" s="219">
        <f t="shared" si="1"/>
        <v>0</v>
      </c>
      <c r="L65" s="178" t="str">
        <f>_xlfn.XLOOKUP($B65,COA!$B:$B,COA!$C:$C,0,0,1)</f>
        <v>General and administration</v>
      </c>
      <c r="M65" s="178" t="str">
        <f>_xlfn.XLOOKUP($B65,COA!$B:$B,COA!$D:$D,0,0,1)</f>
        <v>Other miscellaneous</v>
      </c>
      <c r="N65" s="178" t="str">
        <f>_xlfn.XLOOKUP($B65,COA!$B:$B,COA!$E:$E,0,0,1)</f>
        <v>Accumulated deficit</v>
      </c>
      <c r="P65" s="85" t="e">
        <f>_xlfn.XLOOKUP(N65,#REF!,#REF!,0,0,1)</f>
        <v>#REF!</v>
      </c>
      <c r="Q65" s="85"/>
      <c r="R65" s="85"/>
      <c r="S65" s="85"/>
      <c r="T65" s="85"/>
      <c r="U65" s="85"/>
      <c r="V65" s="85"/>
    </row>
    <row r="66" spans="1:22" x14ac:dyDescent="0.25">
      <c r="A66" s="50"/>
      <c r="B66" s="15" t="str">
        <f>COA!B157</f>
        <v>6080 PST Expense (BC)</v>
      </c>
      <c r="C66" s="504">
        <f>SUMIF('PL.2 - FY23'!G:G,B66,'PL.2 - FY23'!H:H)</f>
        <v>0</v>
      </c>
      <c r="D66" s="127">
        <f>_xlfn.XLOOKUP(B66,'AJE.2B - F24'!A:A,'AJE.2B - F24'!F:F,0,0,1)</f>
        <v>0</v>
      </c>
      <c r="E66" s="127"/>
      <c r="F66" s="219">
        <f t="shared" si="0"/>
        <v>0</v>
      </c>
      <c r="G66" s="420"/>
      <c r="H66" s="504">
        <f>SUMIF('PL.2 - FY23'!G:G,B66,'PL.2 - FY23'!P:P)</f>
        <v>0</v>
      </c>
      <c r="I66" s="127">
        <f>_xlfn.XLOOKUP(B66,'AJE.2B - F24'!A:A,'AJE.2B - F24'!M:M,0,0,1)</f>
        <v>0</v>
      </c>
      <c r="J66" s="127"/>
      <c r="K66" s="219">
        <f t="shared" si="1"/>
        <v>0</v>
      </c>
      <c r="L66" s="178" t="str">
        <f>_xlfn.XLOOKUP($B66,COA!$B:$B,COA!$C:$C,0,0,1)</f>
        <v>General and administration</v>
      </c>
      <c r="M66" s="178" t="str">
        <f>_xlfn.XLOOKUP($B66,COA!$B:$B,COA!$D:$D,0,0,1)</f>
        <v>Taxes and licenses</v>
      </c>
      <c r="N66" s="178" t="str">
        <f>_xlfn.XLOOKUP($B66,COA!$B:$B,COA!$E:$E,0,0,1)</f>
        <v>Accumulated deficit</v>
      </c>
      <c r="P66" s="85" t="e">
        <f>_xlfn.XLOOKUP(N66,#REF!,#REF!,0,0,1)</f>
        <v>#REF!</v>
      </c>
      <c r="Q66" s="85"/>
      <c r="R66" s="85"/>
      <c r="S66" s="85"/>
      <c r="T66" s="85"/>
      <c r="U66" s="85"/>
      <c r="V66" s="85"/>
    </row>
    <row r="67" spans="1:22" x14ac:dyDescent="0.25">
      <c r="A67" s="50"/>
      <c r="B67" s="15" t="str">
        <f>COA!B158</f>
        <v>6080 Shop and other supplies</v>
      </c>
      <c r="C67" s="504">
        <f>SUMIF('PL.2 - FY23'!G:G,B67,'PL.2 - FY23'!H:H)</f>
        <v>0</v>
      </c>
      <c r="D67" s="127">
        <f>_xlfn.XLOOKUP(B67,'AJE.2B - F24'!A:A,'AJE.2B - F24'!F:F,0,0,1)</f>
        <v>0</v>
      </c>
      <c r="E67" s="127"/>
      <c r="F67" s="219">
        <f t="shared" si="0"/>
        <v>0</v>
      </c>
      <c r="G67" s="420"/>
      <c r="H67" s="504">
        <f>SUMIF('PL.2 - FY23'!G:G,B67,'PL.2 - FY23'!P:P)</f>
        <v>0</v>
      </c>
      <c r="I67" s="127">
        <f>_xlfn.XLOOKUP(B67,'AJE.2B - F24'!A:A,'AJE.2B - F24'!M:M,0,0,1)</f>
        <v>0</v>
      </c>
      <c r="J67" s="127"/>
      <c r="K67" s="219">
        <f t="shared" si="1"/>
        <v>0</v>
      </c>
      <c r="L67" s="178" t="str">
        <f>_xlfn.XLOOKUP($B67,COA!$B:$B,COA!$C:$C,0,0,1)</f>
        <v>General and administration</v>
      </c>
      <c r="M67" s="178" t="str">
        <f>_xlfn.XLOOKUP($B67,COA!$B:$B,COA!$D:$D,0,0,1)</f>
        <v>Shop supplies</v>
      </c>
      <c r="N67" s="178" t="str">
        <f>_xlfn.XLOOKUP($B67,COA!$B:$B,COA!$E:$E,0,0,1)</f>
        <v>Accumulated deficit</v>
      </c>
      <c r="P67" s="85" t="e">
        <f>_xlfn.XLOOKUP(N67,#REF!,#REF!,0,0,1)</f>
        <v>#REF!</v>
      </c>
      <c r="Q67" s="85"/>
      <c r="R67" s="85"/>
      <c r="S67" s="85"/>
      <c r="T67" s="85"/>
      <c r="U67" s="85"/>
      <c r="V67" s="85"/>
    </row>
    <row r="68" spans="1:22" x14ac:dyDescent="0.25">
      <c r="A68" s="50"/>
      <c r="B68" s="15" t="str">
        <f>COA!B159</f>
        <v>6085 Depreciation</v>
      </c>
      <c r="C68" s="504">
        <f>SUMIF('PL.2 - FY23'!G:G,B68,'PL.2 - FY23'!H:H)</f>
        <v>0</v>
      </c>
      <c r="D68" s="127">
        <f>_xlfn.XLOOKUP(B68,'AJE.2B - F24'!A:A,'AJE.2B - F24'!F:F,0,0,1)</f>
        <v>0</v>
      </c>
      <c r="E68" s="127"/>
      <c r="F68" s="219">
        <f t="shared" si="0"/>
        <v>0</v>
      </c>
      <c r="G68" s="420"/>
      <c r="H68" s="504">
        <f>SUMIF('PL.2 - FY23'!G:G,B68,'PL.2 - FY23'!P:P)</f>
        <v>0</v>
      </c>
      <c r="I68" s="127">
        <f>_xlfn.XLOOKUP(B68,'AJE.2B - F24'!A:A,'AJE.2B - F24'!M:M,0,0,1)</f>
        <v>1204016</v>
      </c>
      <c r="J68" s="127"/>
      <c r="K68" s="219">
        <f t="shared" si="1"/>
        <v>1204016</v>
      </c>
      <c r="L68" s="178" t="str">
        <f>_xlfn.XLOOKUP($B68,COA!$B:$B,COA!$C:$C,0,0,1)</f>
        <v>General and administration</v>
      </c>
      <c r="M68" s="178" t="str">
        <f>_xlfn.XLOOKUP($B68,COA!$B:$B,COA!$D:$D,0,0,1)</f>
        <v>Depreciation and amortization</v>
      </c>
      <c r="N68" s="178" t="str">
        <f>_xlfn.XLOOKUP($B68,COA!$B:$B,COA!$E:$E,0,0,1)</f>
        <v>Accumulated deficit</v>
      </c>
      <c r="P68" s="85" t="e">
        <f>_xlfn.XLOOKUP(N68,#REF!,#REF!,0,0,1)</f>
        <v>#REF!</v>
      </c>
      <c r="Q68" s="85"/>
      <c r="R68" s="85"/>
      <c r="S68" s="85"/>
      <c r="T68" s="85"/>
      <c r="U68" s="85"/>
      <c r="V68" s="85"/>
    </row>
    <row r="69" spans="1:22" x14ac:dyDescent="0.25">
      <c r="A69" s="50"/>
      <c r="B69" s="15" t="str">
        <f>COA!B160</f>
        <v>6090 Corporate Tax Expense</v>
      </c>
      <c r="C69" s="504">
        <f>SUMIF('PL.2 - FY23'!G:G,B69,'PL.2 - FY23'!H:H)</f>
        <v>0</v>
      </c>
      <c r="D69" s="127">
        <f>_xlfn.XLOOKUP(B69,'AJE.2B - F24'!A:A,'AJE.2B - F24'!F:F,0,0,1)</f>
        <v>0</v>
      </c>
      <c r="E69" s="127"/>
      <c r="F69" s="219">
        <f t="shared" si="0"/>
        <v>0</v>
      </c>
      <c r="G69" s="420"/>
      <c r="H69" s="504">
        <f>SUMIF('PL.2 - FY23'!G:G,B69,'PL.2 - FY23'!P:P)</f>
        <v>0</v>
      </c>
      <c r="I69" s="127">
        <f>_xlfn.XLOOKUP(B69,'AJE.2B - F24'!A:A,'AJE.2B - F24'!M:M,0,0,1)</f>
        <v>0</v>
      </c>
      <c r="J69" s="127"/>
      <c r="K69" s="219">
        <f t="shared" si="1"/>
        <v>0</v>
      </c>
      <c r="L69" s="178" t="str">
        <f>_xlfn.XLOOKUP($B69,COA!$B:$B,COA!$C:$C,0,0,1)</f>
        <v>General and administration</v>
      </c>
      <c r="M69" s="178" t="str">
        <f>_xlfn.XLOOKUP($B69,COA!$B:$B,COA!$D:$D,0,0,1)</f>
        <v>Current tax recovery (expense)</v>
      </c>
      <c r="N69" s="178" t="str">
        <f>_xlfn.XLOOKUP($B69,COA!$B:$B,COA!$E:$E,0,0,1)</f>
        <v>Accumulated deficit</v>
      </c>
      <c r="P69" s="85" t="e">
        <f>_xlfn.XLOOKUP(N69,#REF!,#REF!,0,0,1)</f>
        <v>#REF!</v>
      </c>
      <c r="Q69" s="85"/>
      <c r="R69" s="85"/>
      <c r="S69" s="85"/>
      <c r="T69" s="85"/>
      <c r="U69" s="85"/>
      <c r="V69" s="85"/>
    </row>
    <row r="70" spans="1:22" x14ac:dyDescent="0.25">
      <c r="A70" s="50"/>
      <c r="B70" s="15" t="str">
        <f>COA!B161</f>
        <v>6092 Penalties</v>
      </c>
      <c r="C70" s="504">
        <f>SUMIF('PL.2 - FY23'!G:G,B70,'PL.2 - FY23'!H:H)</f>
        <v>0</v>
      </c>
      <c r="D70" s="127">
        <f>_xlfn.XLOOKUP(B70,'AJE.2B - F24'!A:A,'AJE.2B - F24'!F:F,0,0,1)</f>
        <v>0</v>
      </c>
      <c r="E70" s="127"/>
      <c r="F70" s="219">
        <f t="shared" ref="F70:F85" si="2">ROUND(SUM(C70:E70),0)</f>
        <v>0</v>
      </c>
      <c r="G70" s="420"/>
      <c r="H70" s="504">
        <f>SUMIF('PL.2 - FY23'!G:G,B70,'PL.2 - FY23'!P:P)</f>
        <v>0</v>
      </c>
      <c r="I70" s="127">
        <f>_xlfn.XLOOKUP(B70,'AJE.2B - F24'!A:A,'AJE.2B - F24'!M:M,0,0,1)</f>
        <v>0</v>
      </c>
      <c r="J70" s="127"/>
      <c r="K70" s="219">
        <f t="shared" ref="K70:K85" si="3">ROUND(SUM(H70:J70),0)</f>
        <v>0</v>
      </c>
      <c r="L70" s="178" t="str">
        <f>_xlfn.XLOOKUP($B70,COA!$B:$B,COA!$C:$C,0,0,1)</f>
        <v>General and administration</v>
      </c>
      <c r="M70" s="178" t="str">
        <f>_xlfn.XLOOKUP($B70,COA!$B:$B,COA!$D:$D,0,0,1)</f>
        <v>Interest expense</v>
      </c>
      <c r="N70" s="178" t="str">
        <f>_xlfn.XLOOKUP($B70,COA!$B:$B,COA!$E:$E,0,0,1)</f>
        <v>Accumulated deficit</v>
      </c>
      <c r="P70" s="85" t="e">
        <f>_xlfn.XLOOKUP(N70,#REF!,#REF!,0,0,1)</f>
        <v>#REF!</v>
      </c>
      <c r="Q70" s="85"/>
      <c r="R70" s="85"/>
      <c r="S70" s="85"/>
      <c r="T70" s="85"/>
      <c r="U70" s="85"/>
      <c r="V70" s="85"/>
    </row>
    <row r="71" spans="1:22" x14ac:dyDescent="0.25">
      <c r="A71" s="50"/>
      <c r="B71" s="15" t="str">
        <f>COA!B162</f>
        <v>6092 Penalities</v>
      </c>
      <c r="C71" s="504">
        <f>SUMIF('PL.2 - FY23'!G:G,B71,'PL.2 - FY23'!H:H)</f>
        <v>0</v>
      </c>
      <c r="D71" s="127">
        <f>_xlfn.XLOOKUP(B71,'AJE.2B - F24'!A:A,'AJE.2B - F24'!F:F,0,0,1)</f>
        <v>0</v>
      </c>
      <c r="E71" s="127"/>
      <c r="F71" s="219">
        <f t="shared" si="2"/>
        <v>0</v>
      </c>
      <c r="G71" s="420"/>
      <c r="H71" s="504">
        <f>SUMIF('PL.2 - FY23'!G:G,B71,'PL.2 - FY23'!P:P)</f>
        <v>0</v>
      </c>
      <c r="I71" s="127">
        <f>_xlfn.XLOOKUP(B71,'AJE.2B - F24'!A:A,'AJE.2B - F24'!M:M,0,0,1)</f>
        <v>0</v>
      </c>
      <c r="J71" s="127"/>
      <c r="K71" s="219">
        <f t="shared" si="3"/>
        <v>0</v>
      </c>
      <c r="L71" s="178" t="str">
        <f>_xlfn.XLOOKUP($B71,COA!$B:$B,COA!$C:$C,0,0,1)</f>
        <v>General and administration</v>
      </c>
      <c r="M71" s="178" t="str">
        <f>_xlfn.XLOOKUP($B71,COA!$B:$B,COA!$D:$D,0,0,1)</f>
        <v xml:space="preserve">Interest and penalties </v>
      </c>
      <c r="N71" s="178" t="str">
        <f>_xlfn.XLOOKUP($B71,COA!$B:$B,COA!$E:$E,0,0,1)</f>
        <v>Accumulated deficit</v>
      </c>
      <c r="P71" s="85" t="e">
        <f>_xlfn.XLOOKUP(N71,#REF!,#REF!,0,0,1)</f>
        <v>#REF!</v>
      </c>
      <c r="Q71" s="85"/>
      <c r="R71" s="85"/>
      <c r="S71" s="85"/>
      <c r="T71" s="85"/>
      <c r="U71" s="85"/>
      <c r="V71" s="85"/>
    </row>
    <row r="72" spans="1:22" x14ac:dyDescent="0.25">
      <c r="A72" s="50"/>
      <c r="B72" s="15" t="str">
        <f>COA!B163</f>
        <v>6100 Listing expense</v>
      </c>
      <c r="C72" s="504">
        <f>SUMIF('PL.2 - FY23'!G:G,B72,'PL.2 - FY23'!H:H)</f>
        <v>0</v>
      </c>
      <c r="D72" s="127">
        <f>_xlfn.XLOOKUP(B72,'AJE.2B - F24'!A:A,'AJE.2B - F24'!F:F,0,0,1)</f>
        <v>0</v>
      </c>
      <c r="E72" s="127"/>
      <c r="F72" s="219">
        <f t="shared" si="2"/>
        <v>0</v>
      </c>
      <c r="G72" s="420"/>
      <c r="H72" s="504">
        <f>SUMIF('PL.2 - FY23'!G:G,B72,'PL.2 - FY23'!P:P)</f>
        <v>0</v>
      </c>
      <c r="I72" s="127">
        <f>_xlfn.XLOOKUP(B72,'AJE.2B - F24'!A:A,'AJE.2B - F24'!M:M,0,0,1)</f>
        <v>0</v>
      </c>
      <c r="J72" s="127"/>
      <c r="K72" s="219">
        <f t="shared" si="3"/>
        <v>0</v>
      </c>
      <c r="L72" s="178" t="str">
        <f>_xlfn.XLOOKUP($B72,COA!$B:$B,COA!$C:$C,0,0,1)</f>
        <v>General and administration</v>
      </c>
      <c r="M72" s="178" t="str">
        <f>_xlfn.XLOOKUP($B72,COA!$B:$B,COA!$D:$D,0,0,1)</f>
        <v>Listing expense</v>
      </c>
      <c r="N72" s="178" t="str">
        <f>_xlfn.XLOOKUP($B72,COA!$B:$B,COA!$E:$E,0,0,1)</f>
        <v>Accumulated deficit</v>
      </c>
      <c r="P72" s="85" t="e">
        <f>_xlfn.XLOOKUP(N72,#REF!,#REF!,0,0,1)</f>
        <v>#REF!</v>
      </c>
      <c r="Q72" s="85"/>
      <c r="R72" s="85"/>
      <c r="S72" s="85"/>
      <c r="T72" s="85"/>
      <c r="U72" s="85"/>
      <c r="V72" s="85"/>
    </row>
    <row r="73" spans="1:22" x14ac:dyDescent="0.25">
      <c r="A73" s="50"/>
      <c r="B73" s="15" t="str">
        <f>COA!B164</f>
        <v>6300 Unapplied Cash Bill Payment Expense</v>
      </c>
      <c r="C73" s="504">
        <f>SUMIF('PL.2 - FY23'!G:G,B73,'PL.2 - FY23'!H:H)</f>
        <v>0</v>
      </c>
      <c r="D73" s="127">
        <f>_xlfn.XLOOKUP(B73,'AJE.2B - F24'!A:A,'AJE.2B - F24'!F:F,0,0,1)</f>
        <v>0</v>
      </c>
      <c r="E73" s="127"/>
      <c r="F73" s="219">
        <f t="shared" si="2"/>
        <v>0</v>
      </c>
      <c r="G73" s="420"/>
      <c r="H73" s="504">
        <f>SUMIF('PL.2 - FY23'!G:G,B73,'PL.2 - FY23'!P:P)</f>
        <v>0</v>
      </c>
      <c r="I73" s="127">
        <f>_xlfn.XLOOKUP(B73,'AJE.2B - F24'!A:A,'AJE.2B - F24'!M:M,0,0,1)</f>
        <v>0</v>
      </c>
      <c r="J73" s="127"/>
      <c r="K73" s="219">
        <f t="shared" si="3"/>
        <v>0</v>
      </c>
      <c r="L73" s="178" t="str">
        <f>_xlfn.XLOOKUP($B73,COA!$B:$B,COA!$C:$C,0,0,1)</f>
        <v>General and administration</v>
      </c>
      <c r="M73" s="178" t="str">
        <f>_xlfn.XLOOKUP($B73,COA!$B:$B,COA!$D:$D,0,0,1)</f>
        <v>Other miscellaneous</v>
      </c>
      <c r="N73" s="178" t="str">
        <f>_xlfn.XLOOKUP($B73,COA!$B:$B,COA!$E:$E,0,0,1)</f>
        <v>Accumulated deficit</v>
      </c>
      <c r="P73" s="85" t="e">
        <f>_xlfn.XLOOKUP(N73,#REF!,#REF!,0,0,1)</f>
        <v>#REF!</v>
      </c>
      <c r="Q73" s="85"/>
      <c r="R73" s="85"/>
      <c r="S73" s="85"/>
      <c r="T73" s="85"/>
      <c r="U73" s="85"/>
      <c r="V73" s="85"/>
    </row>
    <row r="74" spans="1:22" x14ac:dyDescent="0.25">
      <c r="A74" s="50"/>
      <c r="B74" s="15" t="str">
        <f>COA!B167</f>
        <v>6997 Unapplied Cash Bill Payment Expense</v>
      </c>
      <c r="C74" s="504">
        <f>SUMIF('PL.2 - FY23'!G:G,B74,'PL.2 - FY23'!H:H)</f>
        <v>0</v>
      </c>
      <c r="D74" s="127">
        <f>_xlfn.XLOOKUP(B74,'AJE.2B - F24'!A:A,'AJE.2B - F24'!F:F,0,0,1)</f>
        <v>0</v>
      </c>
      <c r="E74" s="127"/>
      <c r="F74" s="219">
        <f t="shared" si="2"/>
        <v>0</v>
      </c>
      <c r="G74" s="420"/>
      <c r="H74" s="504">
        <f>SUMIF('PL.2 - FY23'!G:G,B74,'PL.2 - FY23'!P:P)</f>
        <v>0</v>
      </c>
      <c r="I74" s="127">
        <f>_xlfn.XLOOKUP(B74,'AJE.2B - F24'!A:A,'AJE.2B - F24'!M:M,0,0,1)</f>
        <v>0</v>
      </c>
      <c r="J74" s="127"/>
      <c r="K74" s="219">
        <f t="shared" si="3"/>
        <v>0</v>
      </c>
      <c r="L74" s="178" t="str">
        <f>_xlfn.XLOOKUP($B74,COA!$B:$B,COA!$C:$C,0,0,1)</f>
        <v>Other expenses</v>
      </c>
      <c r="M74" s="178" t="str">
        <f>_xlfn.XLOOKUP($B74,COA!$B:$B,COA!$D:$D,0,0,1)</f>
        <v>Other miscellaneous</v>
      </c>
      <c r="N74" s="178" t="str">
        <f>_xlfn.XLOOKUP($B74,COA!$B:$B,COA!$E:$E,0,0,1)</f>
        <v>Accumulated deficit</v>
      </c>
      <c r="P74" s="85" t="e">
        <f>_xlfn.XLOOKUP(N74,#REF!,#REF!,0,0,1)</f>
        <v>#REF!</v>
      </c>
      <c r="Q74" s="85"/>
      <c r="R74" s="85"/>
      <c r="S74" s="85"/>
      <c r="T74" s="85"/>
      <c r="U74" s="85"/>
      <c r="V74" s="85"/>
    </row>
    <row r="75" spans="1:22" x14ac:dyDescent="0.25">
      <c r="A75" s="50"/>
      <c r="B75" s="15" t="str">
        <f>COA!B168</f>
        <v>6998 Uncategorized Expense</v>
      </c>
      <c r="C75" s="504">
        <f>SUMIF('PL.2 - FY23'!G:G,B75,'PL.2 - FY23'!H:H)</f>
        <v>0</v>
      </c>
      <c r="D75" s="127">
        <f>_xlfn.XLOOKUP(B75,'AJE.2B - F24'!A:A,'AJE.2B - F24'!F:F,0,0,1)</f>
        <v>0</v>
      </c>
      <c r="E75" s="127"/>
      <c r="F75" s="219">
        <f t="shared" si="2"/>
        <v>0</v>
      </c>
      <c r="G75" s="420"/>
      <c r="H75" s="504">
        <f>SUMIF('PL.2 - FY23'!G:G,B75,'PL.2 - FY23'!P:P)</f>
        <v>0</v>
      </c>
      <c r="I75" s="127">
        <f>_xlfn.XLOOKUP(B75,'AJE.2B - F24'!A:A,'AJE.2B - F24'!M:M,0,0,1)</f>
        <v>0</v>
      </c>
      <c r="J75" s="127"/>
      <c r="K75" s="219">
        <f t="shared" si="3"/>
        <v>0</v>
      </c>
      <c r="L75" s="178" t="str">
        <f>_xlfn.XLOOKUP($B75,COA!$B:$B,COA!$C:$C,0,0,1)</f>
        <v>General and administration</v>
      </c>
      <c r="M75" s="178" t="str">
        <f>_xlfn.XLOOKUP($B75,COA!$B:$B,COA!$D:$D,0,0,1)</f>
        <v>Other miscellaneous</v>
      </c>
      <c r="N75" s="178" t="str">
        <f>_xlfn.XLOOKUP($B75,COA!$B:$B,COA!$E:$E,0,0,1)</f>
        <v>Accumulated deficit</v>
      </c>
      <c r="P75" s="85" t="e">
        <f>_xlfn.XLOOKUP(N75,#REF!,#REF!,0,0,1)</f>
        <v>#REF!</v>
      </c>
      <c r="Q75" s="85"/>
      <c r="R75" s="85"/>
      <c r="S75" s="85"/>
      <c r="T75" s="85"/>
      <c r="U75" s="85"/>
      <c r="V75" s="85"/>
    </row>
    <row r="76" spans="1:22" x14ac:dyDescent="0.25">
      <c r="A76" s="50"/>
      <c r="B76" s="15" t="str">
        <f>COA!B169</f>
        <v>6999 Miscellaneous</v>
      </c>
      <c r="C76" s="504">
        <f>SUMIF('PL.2 - FY23'!G:G,B76,'PL.2 - FY23'!H:H)</f>
        <v>0</v>
      </c>
      <c r="D76" s="127">
        <f>_xlfn.XLOOKUP(B76,'AJE.2B - F24'!A:A,'AJE.2B - F24'!F:F,0,0,1)</f>
        <v>0</v>
      </c>
      <c r="E76" s="127"/>
      <c r="F76" s="219">
        <f t="shared" si="2"/>
        <v>0</v>
      </c>
      <c r="G76" s="420"/>
      <c r="H76" s="504">
        <f>SUMIF('PL.2 - FY23'!G:G,B76,'PL.2 - FY23'!P:P)</f>
        <v>0</v>
      </c>
      <c r="I76" s="127">
        <f>_xlfn.XLOOKUP(B76,'AJE.2B - F24'!A:A,'AJE.2B - F24'!M:M,0,0,1)</f>
        <v>0</v>
      </c>
      <c r="J76" s="127"/>
      <c r="K76" s="219">
        <f t="shared" si="3"/>
        <v>0</v>
      </c>
      <c r="L76" s="178" t="str">
        <f>_xlfn.XLOOKUP($B76,COA!$B:$B,COA!$C:$C,0,0,1)</f>
        <v>General and administration</v>
      </c>
      <c r="M76" s="178" t="str">
        <f>_xlfn.XLOOKUP($B76,COA!$B:$B,COA!$D:$D,0,0,1)</f>
        <v>Other miscellaneous</v>
      </c>
      <c r="N76" s="178" t="str">
        <f>_xlfn.XLOOKUP($B76,COA!$B:$B,COA!$E:$E,0,0,1)</f>
        <v>Accumulated deficit</v>
      </c>
      <c r="P76" s="85" t="e">
        <f>_xlfn.XLOOKUP(N76,#REF!,#REF!,0,0,1)</f>
        <v>#REF!</v>
      </c>
      <c r="Q76" s="85"/>
      <c r="R76" s="85"/>
      <c r="S76" s="85"/>
      <c r="T76" s="85"/>
      <c r="U76" s="85"/>
      <c r="V76" s="85"/>
    </row>
    <row r="77" spans="1:22" x14ac:dyDescent="0.25">
      <c r="A77" s="50"/>
      <c r="B77" s="15" t="str">
        <f>COA!B170</f>
        <v>7000 Reconciliation Discrepancies</v>
      </c>
      <c r="C77" s="504">
        <f>SUMIF('PL.2 - FY23'!G:G,B77,'PL.2 - FY23'!H:H)</f>
        <v>0</v>
      </c>
      <c r="D77" s="127">
        <f>_xlfn.XLOOKUP(B77,'AJE.2B - F24'!A:A,'AJE.2B - F24'!F:F,0,0,1)</f>
        <v>0</v>
      </c>
      <c r="E77" s="127"/>
      <c r="F77" s="219">
        <f t="shared" si="2"/>
        <v>0</v>
      </c>
      <c r="G77" s="420"/>
      <c r="H77" s="504">
        <f>SUMIF('PL.2 - FY23'!G:G,B77,'PL.2 - FY23'!P:P)</f>
        <v>0</v>
      </c>
      <c r="I77" s="127">
        <f>_xlfn.XLOOKUP(B77,'AJE.2B - F24'!A:A,'AJE.2B - F24'!M:M,0,0,1)</f>
        <v>0</v>
      </c>
      <c r="J77" s="127"/>
      <c r="K77" s="219">
        <f t="shared" si="3"/>
        <v>0</v>
      </c>
      <c r="L77" s="178" t="str">
        <f>_xlfn.XLOOKUP($B77,COA!$B:$B,COA!$C:$C,0,0,1)</f>
        <v>General and administration</v>
      </c>
      <c r="M77" s="178" t="str">
        <f>_xlfn.XLOOKUP($B77,COA!$B:$B,COA!$D:$D,0,0,1)</f>
        <v>Other miscellaneous</v>
      </c>
      <c r="N77" s="178" t="str">
        <f>_xlfn.XLOOKUP($B77,COA!$B:$B,COA!$E:$E,0,0,1)</f>
        <v>Accumulated deficit</v>
      </c>
      <c r="P77" s="85" t="e">
        <f>_xlfn.XLOOKUP(N77,#REF!,#REF!,0,0,1)</f>
        <v>#REF!</v>
      </c>
      <c r="Q77" s="85"/>
      <c r="R77" s="85"/>
      <c r="S77" s="85"/>
      <c r="T77" s="85"/>
      <c r="U77" s="85"/>
      <c r="V77" s="85"/>
    </row>
    <row r="78" spans="1:22" x14ac:dyDescent="0.25">
      <c r="A78" s="50"/>
      <c r="B78" s="15" t="str">
        <f>COA!B171</f>
        <v>8000 Exchange Gain or Loss</v>
      </c>
      <c r="C78" s="504">
        <f>SUMIF('PL.2 - FY23'!G:G,B78,'PL.2 - FY23'!H:H)</f>
        <v>0</v>
      </c>
      <c r="D78" s="127">
        <f>_xlfn.XLOOKUP(B78,'AJE.2B - F24'!A:A,'AJE.2B - F24'!F:F,0,0,1)</f>
        <v>0</v>
      </c>
      <c r="E78" s="127"/>
      <c r="F78" s="219">
        <f t="shared" si="2"/>
        <v>0</v>
      </c>
      <c r="G78" s="420"/>
      <c r="H78" s="504">
        <f>SUMIF('PL.2 - FY23'!G:G,B78,'PL.2 - FY23'!P:P)</f>
        <v>0</v>
      </c>
      <c r="I78" s="127">
        <f>_xlfn.XLOOKUP(B78,'AJE.2B - F24'!A:A,'AJE.2B - F24'!M:M,0,0,1)</f>
        <v>0</v>
      </c>
      <c r="J78" s="127"/>
      <c r="K78" s="219">
        <f t="shared" si="3"/>
        <v>0</v>
      </c>
      <c r="L78" s="178" t="str">
        <f>_xlfn.XLOOKUP($B78,COA!$B:$B,COA!$C:$C,0,0,1)</f>
        <v>General and administration</v>
      </c>
      <c r="M78" s="178" t="str">
        <f>_xlfn.XLOOKUP($B78,COA!$B:$B,COA!$D:$D,0,0,1)</f>
        <v>Foreign exchange</v>
      </c>
      <c r="N78" s="178" t="str">
        <f>_xlfn.XLOOKUP($B78,COA!$B:$B,COA!$E:$E,0,0,1)</f>
        <v>Accumulated deficit</v>
      </c>
      <c r="P78" s="85" t="e">
        <f>_xlfn.XLOOKUP(N78,#REF!,#REF!,0,0,1)</f>
        <v>#REF!</v>
      </c>
      <c r="Q78" s="85"/>
      <c r="R78" s="85"/>
      <c r="S78" s="85"/>
      <c r="T78" s="85"/>
      <c r="U78" s="85"/>
      <c r="V78" s="85"/>
    </row>
    <row r="79" spans="1:22" x14ac:dyDescent="0.25">
      <c r="A79" s="50"/>
      <c r="B79" s="15" t="str">
        <f>COA!B172</f>
        <v>IMP1 - Warranty expense</v>
      </c>
      <c r="C79" s="504">
        <f>SUMIF('PL.2 - FY23'!G:G,B79,'PL.2 - FY23'!H:H)</f>
        <v>0</v>
      </c>
      <c r="D79" s="127">
        <f>_xlfn.XLOOKUP(B79,'AJE.2B - F24'!A:A,'AJE.2B - F24'!F:F,0,0,1)</f>
        <v>0</v>
      </c>
      <c r="E79" s="127"/>
      <c r="F79" s="219">
        <f t="shared" si="2"/>
        <v>0</v>
      </c>
      <c r="G79" s="420"/>
      <c r="H79" s="504">
        <f>SUMIF('PL.2 - FY23'!G:G,B79,'PL.2 - FY23'!P:P)</f>
        <v>0</v>
      </c>
      <c r="I79" s="127">
        <f>_xlfn.XLOOKUP(B79,'AJE.2B - F24'!A:A,'AJE.2B - F24'!M:M,0,0,1)</f>
        <v>0</v>
      </c>
      <c r="J79" s="127"/>
      <c r="K79" s="219">
        <f t="shared" si="3"/>
        <v>0</v>
      </c>
      <c r="L79" s="178" t="str">
        <f>_xlfn.XLOOKUP($B79,COA!$B:$B,COA!$C:$C,0,0,1)</f>
        <v>General and administration</v>
      </c>
      <c r="M79" s="178" t="str">
        <f>_xlfn.XLOOKUP($B79,COA!$B:$B,COA!$D:$D,0,0,1)</f>
        <v>Warranty expense</v>
      </c>
      <c r="N79" s="178" t="str">
        <f>_xlfn.XLOOKUP($B79,COA!$B:$B,COA!$E:$E,0,0,1)</f>
        <v>Accumulated deficit</v>
      </c>
      <c r="P79" s="85" t="e">
        <f>_xlfn.XLOOKUP(N79,#REF!,#REF!,0,0,1)</f>
        <v>#REF!</v>
      </c>
      <c r="Q79" s="85"/>
      <c r="R79" s="85"/>
      <c r="S79" s="85"/>
      <c r="T79" s="85"/>
      <c r="U79" s="85"/>
      <c r="V79" s="85"/>
    </row>
    <row r="80" spans="1:22" x14ac:dyDescent="0.25">
      <c r="A80" s="50"/>
      <c r="B80" s="15" t="str">
        <f>COA!B173</f>
        <v>IMP2 - Engineering expense</v>
      </c>
      <c r="C80" s="504">
        <f>SUMIF('PL.2 - FY23'!G:G,B80,'PL.2 - FY23'!H:H)</f>
        <v>0</v>
      </c>
      <c r="D80" s="127">
        <f>_xlfn.XLOOKUP(B80,'AJE.2B - F24'!A:A,'AJE.2B - F24'!F:F,0,0,1)</f>
        <v>0</v>
      </c>
      <c r="E80" s="127"/>
      <c r="F80" s="219">
        <f t="shared" si="2"/>
        <v>0</v>
      </c>
      <c r="G80" s="420"/>
      <c r="H80" s="504">
        <f>SUMIF('PL.2 - FY23'!G:G,B80,'PL.2 - FY23'!P:P)</f>
        <v>0</v>
      </c>
      <c r="I80" s="127">
        <f>_xlfn.XLOOKUP(B80,'AJE.2B - F24'!A:A,'AJE.2B - F24'!M:M,0,0,1)</f>
        <v>0</v>
      </c>
      <c r="J80" s="127"/>
      <c r="K80" s="219">
        <f t="shared" si="3"/>
        <v>0</v>
      </c>
      <c r="L80" s="178" t="str">
        <f>_xlfn.XLOOKUP($B80,COA!$B:$B,COA!$C:$C,0,0,1)</f>
        <v>General and administration</v>
      </c>
      <c r="M80" s="178" t="str">
        <f>_xlfn.XLOOKUP($B80,COA!$B:$B,COA!$D:$D,0,0,1)</f>
        <v>Engineering expense</v>
      </c>
      <c r="N80" s="178" t="str">
        <f>_xlfn.XLOOKUP($B80,COA!$B:$B,COA!$E:$E,0,0,1)</f>
        <v>Accumulated deficit</v>
      </c>
      <c r="P80" s="85" t="e">
        <f>_xlfn.XLOOKUP(N80,#REF!,#REF!,0,0,1)</f>
        <v>#REF!</v>
      </c>
      <c r="Q80" s="85"/>
      <c r="R80" s="85"/>
      <c r="S80" s="85"/>
      <c r="T80" s="85"/>
      <c r="U80" s="85"/>
      <c r="V80" s="85"/>
    </row>
    <row r="81" spans="1:24" x14ac:dyDescent="0.25">
      <c r="A81" s="50"/>
      <c r="B81" s="15" t="str">
        <f>COA!B174</f>
        <v>IMP3 - Commission expense</v>
      </c>
      <c r="C81" s="504">
        <f>SUMIF('PL.2 - FY23'!G:G,B81,'PL.2 - FY23'!H:H)</f>
        <v>0</v>
      </c>
      <c r="D81" s="127">
        <f>_xlfn.XLOOKUP(B81,'AJE.2B - F24'!A:A,'AJE.2B - F24'!F:F,0,0,1)</f>
        <v>0</v>
      </c>
      <c r="E81" s="127"/>
      <c r="F81" s="219">
        <f t="shared" si="2"/>
        <v>0</v>
      </c>
      <c r="G81" s="420"/>
      <c r="H81" s="504">
        <f>SUMIF('PL.2 - FY23'!G:G,B81,'PL.2 - FY23'!P:P)</f>
        <v>0</v>
      </c>
      <c r="I81" s="127">
        <f>_xlfn.XLOOKUP(B81,'AJE.2B - F24'!A:A,'AJE.2B - F24'!M:M,0,0,1)</f>
        <v>0</v>
      </c>
      <c r="J81" s="127"/>
      <c r="K81" s="219">
        <f t="shared" si="3"/>
        <v>0</v>
      </c>
      <c r="L81" s="178" t="str">
        <f>_xlfn.XLOOKUP($B81,COA!$B:$B,COA!$C:$C,0,0,1)</f>
        <v>Cost of goods sold</v>
      </c>
      <c r="M81" s="178" t="str">
        <f>_xlfn.XLOOKUP($B81,COA!$B:$B,COA!$D:$D,0,0,1)</f>
        <v>Cost of goods sold</v>
      </c>
      <c r="N81" s="178" t="str">
        <f>_xlfn.XLOOKUP($B81,COA!$B:$B,COA!$E:$E,0,0,1)</f>
        <v>Accumulated deficit</v>
      </c>
      <c r="P81" s="85" t="e">
        <f>_xlfn.XLOOKUP(N81,#REF!,#REF!,0,0,1)</f>
        <v>#REF!</v>
      </c>
      <c r="Q81" s="85"/>
      <c r="R81" s="85"/>
      <c r="S81" s="85"/>
      <c r="T81" s="85"/>
      <c r="U81" s="85"/>
      <c r="V81" s="85"/>
    </row>
    <row r="82" spans="1:24" x14ac:dyDescent="0.25">
      <c r="A82" s="50"/>
      <c r="B82" s="15" t="str">
        <f>COA!B175</f>
        <v>IMP4 - Warranty Liability</v>
      </c>
      <c r="C82" s="504">
        <f>SUMIF('PL.2 - FY23'!G:G,B82,'PL.2 - FY23'!H:H)</f>
        <v>0</v>
      </c>
      <c r="D82" s="127">
        <f>_xlfn.XLOOKUP(B82,'AJE.2B - F24'!A:A,'AJE.2B - F24'!F:F,0,0,1)</f>
        <v>0</v>
      </c>
      <c r="E82" s="127"/>
      <c r="F82" s="219">
        <f t="shared" si="2"/>
        <v>0</v>
      </c>
      <c r="G82" s="420"/>
      <c r="H82" s="504">
        <f>SUMIF('PL.2 - FY23'!G:G,B82,'PL.2 - FY23'!P:P)</f>
        <v>0</v>
      </c>
      <c r="I82" s="127">
        <f>_xlfn.XLOOKUP(B82,'AJE.2B - F24'!A:A,'AJE.2B - F24'!M:M,0,0,1)</f>
        <v>0</v>
      </c>
      <c r="J82" s="127"/>
      <c r="K82" s="219">
        <f t="shared" si="3"/>
        <v>0</v>
      </c>
      <c r="L82" s="178" t="str">
        <f>_xlfn.XLOOKUP($B82,COA!$B:$B,COA!$C:$C,0,0,1)</f>
        <v>Warranty liability</v>
      </c>
      <c r="M82" s="178" t="str">
        <f>_xlfn.XLOOKUP($B82,COA!$B:$B,COA!$D:$D,0,0,1)</f>
        <v>Warranty liability</v>
      </c>
      <c r="N82" s="178" t="str">
        <f>_xlfn.XLOOKUP($B82,COA!$B:$B,COA!$E:$E,0,0,1)</f>
        <v>Warranty liability</v>
      </c>
      <c r="P82" s="85" t="e">
        <f>_xlfn.XLOOKUP(N82,#REF!,#REF!,0,0,1)</f>
        <v>#REF!</v>
      </c>
      <c r="Q82" s="85"/>
      <c r="R82" s="85"/>
      <c r="S82" s="85"/>
      <c r="T82" s="85"/>
      <c r="U82" s="85"/>
      <c r="V82" s="85"/>
    </row>
    <row r="83" spans="1:24" x14ac:dyDescent="0.25">
      <c r="A83" s="50"/>
      <c r="B83" s="15" t="str">
        <f>COA!B176</f>
        <v>IMP5 - R&amp;D</v>
      </c>
      <c r="C83" s="504">
        <f>SUMIF('PL.2 - FY23'!G:G,B83,'PL.2 - FY23'!H:H)</f>
        <v>0</v>
      </c>
      <c r="D83" s="127">
        <f>_xlfn.XLOOKUP(B83,'AJE.2B - F24'!A:A,'AJE.2B - F24'!F:F,0,0,1)</f>
        <v>0</v>
      </c>
      <c r="E83" s="127"/>
      <c r="F83" s="219">
        <f t="shared" si="2"/>
        <v>0</v>
      </c>
      <c r="G83" s="420"/>
      <c r="H83" s="504">
        <f>SUMIF('PL.2 - FY23'!G:G,B83,'PL.2 - FY23'!P:P)</f>
        <v>0</v>
      </c>
      <c r="I83" s="127">
        <f>_xlfn.XLOOKUP(B83,'AJE.2B - F24'!A:A,'AJE.2B - F24'!M:M,0,0,1)</f>
        <v>0</v>
      </c>
      <c r="J83" s="127"/>
      <c r="K83" s="219">
        <f t="shared" si="3"/>
        <v>0</v>
      </c>
      <c r="L83" s="178" t="str">
        <f>_xlfn.XLOOKUP($B83,COA!$B:$B,COA!$C:$C,0,0,1)</f>
        <v>General and administration</v>
      </c>
      <c r="M83" s="178" t="str">
        <f>_xlfn.XLOOKUP($B83,COA!$B:$B,COA!$D:$D,0,0,1)</f>
        <v>Other expenses</v>
      </c>
      <c r="N83" s="178" t="str">
        <f>_xlfn.XLOOKUP($B83,COA!$B:$B,COA!$E:$E,0,0,1)</f>
        <v>Accumulated deficit</v>
      </c>
      <c r="P83" s="85" t="e">
        <f>_xlfn.XLOOKUP(N83,#REF!,#REF!,0,0,1)</f>
        <v>#REF!</v>
      </c>
      <c r="Q83" s="85"/>
      <c r="R83" s="85"/>
      <c r="S83" s="85"/>
      <c r="T83" s="85"/>
      <c r="U83" s="85"/>
      <c r="V83" s="85"/>
    </row>
    <row r="84" spans="1:24" x14ac:dyDescent="0.25">
      <c r="A84" s="50"/>
      <c r="B84" s="15" t="str">
        <f>COA!B177</f>
        <v>IMP6 - Acquisition costs</v>
      </c>
      <c r="C84" s="504">
        <f>SUMIF('PL.2 - FY23'!G:G,B84,'PL.2 - FY23'!H:H)</f>
        <v>0</v>
      </c>
      <c r="D84" s="127">
        <f>_xlfn.XLOOKUP(B84,'AJE.2B - F24'!A:A,'AJE.2B - F24'!F:F,0,0,1)</f>
        <v>0</v>
      </c>
      <c r="E84" s="127"/>
      <c r="F84" s="219">
        <f t="shared" si="2"/>
        <v>0</v>
      </c>
      <c r="G84" s="420"/>
      <c r="H84" s="504">
        <f>SUMIF('PL.2 - FY23'!G:G,B84,'PL.2 - FY23'!P:P)</f>
        <v>0</v>
      </c>
      <c r="I84" s="127">
        <f>_xlfn.XLOOKUP(B84,'AJE.2B - F24'!A:A,'AJE.2B - F24'!M:M,0,0,1)</f>
        <v>0</v>
      </c>
      <c r="J84" s="127"/>
      <c r="K84" s="219">
        <f t="shared" si="3"/>
        <v>0</v>
      </c>
      <c r="L84" s="178" t="str">
        <f>_xlfn.XLOOKUP($B84,COA!$B:$B,COA!$C:$C,0,0,1)</f>
        <v>General and administration</v>
      </c>
      <c r="M84" s="178" t="str">
        <f>_xlfn.XLOOKUP($B84,COA!$B:$B,COA!$D:$D,0,0,1)</f>
        <v>Acquisition expense</v>
      </c>
      <c r="N84" s="178" t="str">
        <f>_xlfn.XLOOKUP($B84,COA!$B:$B,COA!$E:$E,0,0,1)</f>
        <v>Accumulated deficit</v>
      </c>
      <c r="P84" s="85" t="e">
        <f>_xlfn.XLOOKUP(N84,#REF!,#REF!,0,0,1)</f>
        <v>#REF!</v>
      </c>
      <c r="Q84" s="85"/>
      <c r="R84" s="85"/>
      <c r="S84" s="85"/>
      <c r="T84" s="85"/>
      <c r="U84" s="85"/>
      <c r="V84" s="85"/>
    </row>
    <row r="85" spans="1:24" x14ac:dyDescent="0.25">
      <c r="A85" s="50"/>
      <c r="B85" s="15" t="str">
        <f>COA!B178</f>
        <v>IMP9 - Share-based compensation</v>
      </c>
      <c r="C85" s="504">
        <f>SUMIF('PL.2 - FY23'!G:G,B85,'PL.2 - FY23'!H:H)</f>
        <v>0</v>
      </c>
      <c r="D85" s="127">
        <f>_xlfn.XLOOKUP(B85,'AJE.2B - F24'!A:A,'AJE.2B - F24'!F:F,0,0,1)</f>
        <v>0</v>
      </c>
      <c r="E85" s="127"/>
      <c r="F85" s="219">
        <f t="shared" si="2"/>
        <v>0</v>
      </c>
      <c r="G85" s="420"/>
      <c r="H85" s="504">
        <f>SUMIF('PL.2 - FY23'!G:G,B85,'PL.2 - FY23'!P:P)</f>
        <v>0</v>
      </c>
      <c r="I85" s="127">
        <f>_xlfn.XLOOKUP(B85,'AJE.2B - F24'!A:A,'AJE.2B - F24'!M:M,0,0,1)</f>
        <v>0</v>
      </c>
      <c r="J85" s="127"/>
      <c r="K85" s="219">
        <f t="shared" si="3"/>
        <v>0</v>
      </c>
      <c r="L85" s="178" t="str">
        <f>_xlfn.XLOOKUP($B85,COA!$B:$B,COA!$C:$C,0,0,1)</f>
        <v>General and administration</v>
      </c>
      <c r="M85" s="178" t="str">
        <f>_xlfn.XLOOKUP($B85,COA!$B:$B,COA!$D:$D,0,0,1)</f>
        <v>Share based compensation</v>
      </c>
      <c r="N85" s="178" t="str">
        <f>_xlfn.XLOOKUP($B85,COA!$B:$B,COA!$E:$E,0,0,1)</f>
        <v>Accumulated deficit</v>
      </c>
      <c r="P85" s="85" t="e">
        <f>_xlfn.XLOOKUP(N85,#REF!,#REF!,0,0,1)</f>
        <v>#REF!</v>
      </c>
      <c r="Q85" s="85"/>
      <c r="R85" s="85"/>
      <c r="S85" s="85"/>
      <c r="T85" s="85"/>
      <c r="U85" s="85"/>
      <c r="V85" s="85"/>
    </row>
    <row r="86" spans="1:24" x14ac:dyDescent="0.25">
      <c r="A86" s="50"/>
      <c r="B86" s="15"/>
      <c r="C86" s="504"/>
      <c r="D86" s="58"/>
      <c r="E86" s="58"/>
      <c r="F86" s="57"/>
      <c r="G86" s="420"/>
      <c r="H86" s="504"/>
      <c r="I86" s="127"/>
      <c r="J86" s="58"/>
      <c r="K86" s="57"/>
      <c r="L86" s="179"/>
      <c r="M86" s="178"/>
      <c r="N86" s="178"/>
      <c r="O86" s="19"/>
      <c r="P86" s="85" t="e">
        <f>_xlfn.XLOOKUP(N86,#REF!,#REF!,0,0,1)</f>
        <v>#REF!</v>
      </c>
      <c r="Q86" s="87"/>
      <c r="R86" s="87"/>
      <c r="S86" s="87"/>
      <c r="T86" s="87"/>
      <c r="U86" s="85"/>
      <c r="V86" s="85"/>
    </row>
    <row r="87" spans="1:24" ht="12.6" thickBot="1" x14ac:dyDescent="0.35">
      <c r="A87" s="48" t="s">
        <v>0</v>
      </c>
      <c r="B87" s="48"/>
      <c r="C87" s="422">
        <f>SUM(C6:C86)</f>
        <v>17475.349999999999</v>
      </c>
      <c r="D87" s="49">
        <f>SUM(D6:D86)</f>
        <v>0</v>
      </c>
      <c r="E87" s="49">
        <f>SUM(E6:E86)</f>
        <v>0</v>
      </c>
      <c r="F87" s="49">
        <f>SUM(F6:F86)</f>
        <v>17475</v>
      </c>
      <c r="G87" s="420"/>
      <c r="H87" s="422">
        <f>SUM(H6:H86)</f>
        <v>1314306.4000000001</v>
      </c>
      <c r="I87" s="422">
        <f>SUM(I6:I86)</f>
        <v>1204016</v>
      </c>
      <c r="J87" s="422">
        <f>SUM(J6:J86)</f>
        <v>0</v>
      </c>
      <c r="K87" s="422">
        <f>SUM(K6:K86)</f>
        <v>2518322</v>
      </c>
      <c r="L87" s="180"/>
      <c r="M87" s="48"/>
      <c r="N87" s="48"/>
      <c r="O87" s="19"/>
      <c r="P87" s="87"/>
      <c r="Q87" s="87"/>
      <c r="R87" s="87"/>
      <c r="S87" s="87"/>
      <c r="T87" s="87"/>
      <c r="U87" s="85"/>
      <c r="V87" s="85"/>
    </row>
    <row r="88" spans="1:24" ht="12.6" thickTop="1" x14ac:dyDescent="0.3">
      <c r="C88" s="19"/>
      <c r="D88" s="19"/>
      <c r="E88" s="19"/>
      <c r="F88" s="19"/>
      <c r="G88" s="420"/>
      <c r="H88" s="419"/>
      <c r="I88" s="419"/>
      <c r="J88" s="419"/>
      <c r="K88" s="419"/>
      <c r="L88" s="181"/>
      <c r="M88" s="19"/>
      <c r="N88" s="19"/>
      <c r="O88" s="19"/>
      <c r="P88" s="87"/>
      <c r="Q88" s="87"/>
      <c r="R88" s="87"/>
      <c r="S88" s="87"/>
      <c r="T88" s="87"/>
      <c r="U88" s="85"/>
      <c r="V88" s="85"/>
    </row>
    <row r="89" spans="1:24" x14ac:dyDescent="0.25">
      <c r="A89" s="75"/>
      <c r="B89" s="75"/>
      <c r="C89" s="423" t="s">
        <v>266</v>
      </c>
      <c r="F89" s="537">
        <f>F87</f>
        <v>17475</v>
      </c>
      <c r="G89" s="420"/>
      <c r="H89" s="423"/>
      <c r="I89" s="419"/>
      <c r="K89" s="537">
        <f>K87</f>
        <v>2518322</v>
      </c>
      <c r="L89" s="186"/>
      <c r="P89" s="85"/>
      <c r="Q89" s="85"/>
      <c r="R89" s="85"/>
      <c r="S89" s="85"/>
      <c r="T89" s="85"/>
      <c r="U89" s="85"/>
      <c r="V89" s="85"/>
      <c r="X89" s="89" t="s">
        <v>19</v>
      </c>
    </row>
    <row r="90" spans="1:24" x14ac:dyDescent="0.3">
      <c r="C90" s="510" t="s">
        <v>402</v>
      </c>
      <c r="D90" s="19"/>
      <c r="F90" s="536">
        <f>F89+'PL.2 - FY23'!H19</f>
        <v>-0.34999999999854481</v>
      </c>
      <c r="G90" s="420"/>
      <c r="H90" s="510"/>
      <c r="I90" s="419"/>
      <c r="K90" s="536">
        <f>K89+'PL.2 - FY23'!P19</f>
        <v>1204015.5999999999</v>
      </c>
      <c r="L90" s="182"/>
      <c r="P90" s="64">
        <v>44202</v>
      </c>
      <c r="Q90" s="45"/>
      <c r="R90" s="45"/>
      <c r="S90" s="45"/>
      <c r="T90" s="45"/>
      <c r="U90" s="45"/>
      <c r="V90" s="45"/>
      <c r="X90" s="88">
        <f>SUM(Q90:V90)</f>
        <v>0</v>
      </c>
    </row>
    <row r="91" spans="1:24" x14ac:dyDescent="0.3">
      <c r="G91" s="420"/>
      <c r="H91" s="419"/>
      <c r="I91" s="419"/>
      <c r="J91" s="419"/>
      <c r="K91" s="419"/>
      <c r="P91" s="64">
        <f>B2</f>
        <v>45107</v>
      </c>
      <c r="Q91" s="45"/>
      <c r="R91" s="45"/>
      <c r="S91" s="45"/>
      <c r="T91" s="45"/>
      <c r="U91" s="45"/>
      <c r="V91" s="45"/>
      <c r="X91" s="88">
        <f>SUM(Q91:V91)</f>
        <v>0</v>
      </c>
    </row>
    <row r="92" spans="1:24" ht="12.6" thickBot="1" x14ac:dyDescent="0.35">
      <c r="G92" s="420"/>
      <c r="H92" s="419"/>
      <c r="I92" s="419"/>
      <c r="J92" s="419"/>
      <c r="K92" s="419"/>
      <c r="P92" s="56" t="s">
        <v>18</v>
      </c>
      <c r="Q92" s="59">
        <f t="shared" ref="Q92:V92" si="4">Q91-Q90</f>
        <v>0</v>
      </c>
      <c r="R92" s="59">
        <f t="shared" si="4"/>
        <v>0</v>
      </c>
      <c r="S92" s="59">
        <f t="shared" si="4"/>
        <v>0</v>
      </c>
      <c r="T92" s="59">
        <f t="shared" si="4"/>
        <v>0</v>
      </c>
      <c r="U92" s="59">
        <f t="shared" si="4"/>
        <v>0</v>
      </c>
      <c r="V92" s="59">
        <f t="shared" si="4"/>
        <v>0</v>
      </c>
    </row>
    <row r="93" spans="1:24" x14ac:dyDescent="0.3">
      <c r="A93" s="77"/>
      <c r="C93" s="423" t="s">
        <v>1272</v>
      </c>
      <c r="F93" s="1026">
        <f>SUMIF(L:L,"General and administration",F:F)</f>
        <v>17475</v>
      </c>
      <c r="G93" s="420"/>
      <c r="H93" s="419"/>
      <c r="I93" s="419"/>
      <c r="J93" s="419"/>
      <c r="K93" s="1026">
        <f>SUMIF(L:L,"General and administration",K:K)</f>
        <v>2513522</v>
      </c>
      <c r="P93" s="50"/>
      <c r="Q93" s="57"/>
      <c r="R93" s="58"/>
      <c r="S93" s="58"/>
      <c r="T93" s="58"/>
      <c r="U93" s="58"/>
      <c r="V93" s="58"/>
    </row>
    <row r="94" spans="1:24" x14ac:dyDescent="0.3">
      <c r="A94" s="77"/>
      <c r="C94" s="423" t="s">
        <v>1271</v>
      </c>
      <c r="F94" s="1027">
        <f>SUMIF(M:M,"Sales and marketing",F:F)</f>
        <v>0</v>
      </c>
      <c r="G94" s="420"/>
      <c r="H94" s="419"/>
      <c r="I94" s="419"/>
      <c r="J94" s="419"/>
      <c r="K94" s="1027">
        <f>SUMIF(L:L,"Sales and marketing",K:K)</f>
        <v>10000</v>
      </c>
      <c r="P94" s="69" t="s">
        <v>9</v>
      </c>
      <c r="Q94" s="55"/>
      <c r="R94" s="51"/>
      <c r="S94" s="51"/>
      <c r="T94" s="51"/>
      <c r="U94" s="51"/>
      <c r="V94" s="51"/>
    </row>
    <row r="95" spans="1:24" x14ac:dyDescent="0.3">
      <c r="A95" s="77"/>
      <c r="C95" s="423" t="s">
        <v>71</v>
      </c>
      <c r="F95" s="925">
        <f>SUBTOTAL(9,F93:F94)</f>
        <v>17475</v>
      </c>
      <c r="G95" s="420"/>
      <c r="H95" s="419"/>
      <c r="I95" s="419"/>
      <c r="J95" s="419"/>
      <c r="K95" s="925">
        <f>SUBTOTAL(9,K93:K94)</f>
        <v>2523522</v>
      </c>
      <c r="P95" s="53" t="s">
        <v>274</v>
      </c>
      <c r="Q95" s="55">
        <f>ROUND(SUM(R95:V95),0)</f>
        <v>0</v>
      </c>
      <c r="R95" s="51"/>
      <c r="S95" s="51"/>
      <c r="T95" s="51"/>
      <c r="U95" s="51"/>
      <c r="V95" s="51">
        <f>-V91</f>
        <v>0</v>
      </c>
    </row>
    <row r="96" spans="1:24" x14ac:dyDescent="0.3">
      <c r="A96" s="77"/>
      <c r="F96" s="78"/>
      <c r="G96" s="420"/>
      <c r="H96" s="419"/>
      <c r="I96" s="419"/>
      <c r="J96" s="419"/>
      <c r="K96" s="419"/>
      <c r="P96" s="53"/>
      <c r="Q96" s="55"/>
      <c r="R96" s="51"/>
      <c r="S96" s="51"/>
      <c r="T96" s="51"/>
      <c r="U96" s="51"/>
      <c r="V96" s="51"/>
    </row>
    <row r="97" spans="6:22" x14ac:dyDescent="0.3">
      <c r="F97" s="78"/>
      <c r="G97" s="420"/>
      <c r="H97" s="419"/>
      <c r="I97" s="419"/>
      <c r="J97" s="419"/>
      <c r="K97" s="419"/>
      <c r="P97" s="69" t="s">
        <v>46</v>
      </c>
      <c r="Q97" s="55"/>
      <c r="R97" s="51"/>
      <c r="S97" s="51"/>
      <c r="T97" s="51"/>
      <c r="U97" s="51"/>
      <c r="V97" s="51"/>
    </row>
    <row r="98" spans="6:22" x14ac:dyDescent="0.3">
      <c r="F98" s="78"/>
      <c r="G98" s="420"/>
      <c r="H98" s="419"/>
      <c r="I98" s="419"/>
      <c r="J98" s="419"/>
      <c r="K98" s="419"/>
      <c r="P98" s="53" t="s">
        <v>43</v>
      </c>
      <c r="Q98" s="55">
        <f t="shared" ref="Q98:Q103" si="5">ROUND(SUM(R98:V98),0)</f>
        <v>0</v>
      </c>
      <c r="R98" s="51"/>
      <c r="S98" s="51"/>
      <c r="T98" s="51"/>
      <c r="U98" s="51"/>
      <c r="V98" s="51"/>
    </row>
    <row r="99" spans="6:22" x14ac:dyDescent="0.3">
      <c r="F99" s="78"/>
      <c r="G99" s="420"/>
      <c r="H99" s="419"/>
      <c r="I99" s="419"/>
      <c r="J99" s="419"/>
      <c r="K99" s="419"/>
      <c r="P99" s="53" t="s">
        <v>2</v>
      </c>
      <c r="Q99" s="55">
        <f t="shared" si="5"/>
        <v>0</v>
      </c>
      <c r="R99" s="51"/>
      <c r="S99" s="51"/>
      <c r="T99" s="51"/>
      <c r="U99" s="51"/>
      <c r="V99" s="51"/>
    </row>
    <row r="100" spans="6:22" x14ac:dyDescent="0.3">
      <c r="F100" s="78"/>
      <c r="G100" s="420"/>
      <c r="H100" s="419"/>
      <c r="I100" s="419"/>
      <c r="J100" s="419"/>
      <c r="K100" s="419"/>
      <c r="P100" s="53" t="s">
        <v>24</v>
      </c>
      <c r="Q100" s="55">
        <f t="shared" si="5"/>
        <v>0</v>
      </c>
      <c r="R100" s="51"/>
      <c r="S100" s="51"/>
      <c r="T100" s="51"/>
      <c r="U100" s="51"/>
      <c r="V100" s="51"/>
    </row>
    <row r="101" spans="6:22" x14ac:dyDescent="0.3">
      <c r="F101" s="78"/>
      <c r="G101" s="420"/>
      <c r="H101" s="419"/>
      <c r="I101" s="419"/>
      <c r="J101" s="419"/>
      <c r="K101" s="419"/>
      <c r="P101" s="53" t="s">
        <v>21</v>
      </c>
      <c r="Q101" s="55">
        <f t="shared" si="5"/>
        <v>0</v>
      </c>
      <c r="R101" s="51"/>
      <c r="S101" s="51"/>
      <c r="T101" s="51"/>
      <c r="U101" s="51"/>
      <c r="V101" s="51"/>
    </row>
    <row r="102" spans="6:22" x14ac:dyDescent="0.3">
      <c r="F102" s="78"/>
      <c r="G102" s="420"/>
      <c r="H102" s="419"/>
      <c r="I102" s="419"/>
      <c r="J102" s="419"/>
      <c r="K102" s="419"/>
      <c r="P102" s="53" t="s">
        <v>7</v>
      </c>
      <c r="Q102" s="55">
        <f t="shared" si="5"/>
        <v>0</v>
      </c>
      <c r="R102" s="51"/>
      <c r="S102" s="51"/>
      <c r="T102" s="51"/>
      <c r="U102" s="51"/>
      <c r="V102" s="51"/>
    </row>
    <row r="103" spans="6:22" x14ac:dyDescent="0.3">
      <c r="F103" s="78"/>
      <c r="G103" s="420"/>
      <c r="H103" s="419"/>
      <c r="I103" s="419"/>
      <c r="J103" s="419"/>
      <c r="K103" s="419"/>
      <c r="P103" s="53" t="s">
        <v>47</v>
      </c>
      <c r="Q103" s="55">
        <f t="shared" si="5"/>
        <v>0</v>
      </c>
      <c r="R103" s="51"/>
      <c r="S103" s="51"/>
      <c r="T103" s="51"/>
      <c r="U103" s="51"/>
      <c r="V103" s="51"/>
    </row>
    <row r="104" spans="6:22" x14ac:dyDescent="0.3">
      <c r="F104" s="78"/>
      <c r="G104" s="420"/>
      <c r="H104" s="419"/>
      <c r="I104" s="419"/>
      <c r="J104" s="419"/>
      <c r="K104" s="419"/>
      <c r="P104" s="53"/>
      <c r="Q104" s="55"/>
      <c r="R104" s="51"/>
      <c r="S104" s="51"/>
      <c r="T104" s="51"/>
      <c r="U104" s="51"/>
      <c r="V104" s="51"/>
    </row>
    <row r="105" spans="6:22" x14ac:dyDescent="0.3">
      <c r="F105" s="78"/>
      <c r="G105" s="420"/>
      <c r="H105" s="419"/>
      <c r="I105" s="419"/>
      <c r="J105" s="419"/>
      <c r="K105" s="419"/>
      <c r="P105" s="53"/>
      <c r="Q105" s="55"/>
      <c r="R105" s="51"/>
      <c r="S105" s="51"/>
      <c r="T105" s="51"/>
      <c r="U105" s="51"/>
      <c r="V105" s="51"/>
    </row>
    <row r="106" spans="6:22" x14ac:dyDescent="0.3">
      <c r="F106" s="78"/>
      <c r="G106" s="420"/>
      <c r="H106" s="419"/>
      <c r="I106" s="419"/>
      <c r="J106" s="419"/>
      <c r="K106" s="419"/>
      <c r="P106" s="70" t="s">
        <v>52</v>
      </c>
      <c r="Q106" s="55"/>
      <c r="R106" s="51"/>
      <c r="S106" s="51"/>
      <c r="T106" s="51"/>
      <c r="U106" s="51"/>
      <c r="V106" s="51"/>
    </row>
    <row r="107" spans="6:22" x14ac:dyDescent="0.3">
      <c r="F107" s="78"/>
      <c r="G107" s="420"/>
      <c r="H107" s="419"/>
      <c r="I107" s="419"/>
      <c r="J107" s="419"/>
      <c r="K107" s="419"/>
      <c r="P107" s="53" t="s">
        <v>15</v>
      </c>
      <c r="Q107" s="55">
        <f t="shared" ref="Q107:Q113" si="6">ROUND(SUM(R107:V107),0)</f>
        <v>0</v>
      </c>
      <c r="R107" s="51"/>
      <c r="S107" s="51"/>
      <c r="T107" s="51"/>
      <c r="U107" s="51"/>
      <c r="V107" s="51"/>
    </row>
    <row r="108" spans="6:22" x14ac:dyDescent="0.3">
      <c r="F108" s="78"/>
      <c r="G108" s="420"/>
      <c r="H108" s="419"/>
      <c r="I108" s="419"/>
      <c r="J108" s="419"/>
      <c r="K108" s="419"/>
      <c r="P108" s="53" t="s">
        <v>22</v>
      </c>
      <c r="Q108" s="55">
        <f t="shared" si="6"/>
        <v>0</v>
      </c>
      <c r="R108" s="51"/>
      <c r="S108" s="51"/>
      <c r="T108" s="51"/>
      <c r="U108" s="51"/>
      <c r="V108" s="51"/>
    </row>
    <row r="109" spans="6:22" x14ac:dyDescent="0.3">
      <c r="G109" s="420"/>
      <c r="H109" s="419"/>
      <c r="I109" s="419"/>
      <c r="J109" s="419"/>
      <c r="K109" s="419"/>
      <c r="P109" s="53" t="s">
        <v>29</v>
      </c>
      <c r="Q109" s="55">
        <f t="shared" si="6"/>
        <v>0</v>
      </c>
      <c r="R109" s="51"/>
      <c r="S109" s="51"/>
      <c r="T109" s="51"/>
      <c r="U109" s="51"/>
      <c r="V109" s="51"/>
    </row>
    <row r="110" spans="6:22" x14ac:dyDescent="0.3">
      <c r="G110" s="420"/>
      <c r="H110" s="419"/>
      <c r="I110" s="419"/>
      <c r="J110" s="419"/>
      <c r="K110" s="419"/>
      <c r="P110" s="53" t="s">
        <v>3</v>
      </c>
      <c r="Q110" s="55">
        <f t="shared" si="6"/>
        <v>0</v>
      </c>
      <c r="R110" s="51"/>
      <c r="S110" s="51"/>
      <c r="T110" s="51"/>
      <c r="U110" s="51"/>
      <c r="V110" s="51"/>
    </row>
    <row r="111" spans="6:22" x14ac:dyDescent="0.3">
      <c r="G111" s="420"/>
      <c r="H111" s="419"/>
      <c r="I111" s="419"/>
      <c r="J111" s="419"/>
      <c r="K111" s="419"/>
      <c r="P111" s="53" t="s">
        <v>4</v>
      </c>
      <c r="Q111" s="55">
        <f t="shared" si="6"/>
        <v>0</v>
      </c>
      <c r="R111" s="51"/>
      <c r="S111" s="51"/>
      <c r="T111" s="51"/>
      <c r="U111" s="51"/>
      <c r="V111" s="51"/>
    </row>
    <row r="112" spans="6:22" x14ac:dyDescent="0.3">
      <c r="G112" s="420"/>
      <c r="H112" s="419"/>
      <c r="I112" s="419"/>
      <c r="J112" s="419"/>
      <c r="K112" s="419"/>
      <c r="P112" s="53" t="s">
        <v>74</v>
      </c>
      <c r="Q112" s="55">
        <f t="shared" si="6"/>
        <v>0</v>
      </c>
      <c r="R112" s="51"/>
      <c r="S112" s="51"/>
      <c r="T112" s="51"/>
      <c r="U112" s="51"/>
      <c r="V112" s="51"/>
    </row>
    <row r="113" spans="7:24" x14ac:dyDescent="0.3">
      <c r="G113" s="420"/>
      <c r="H113" s="419"/>
      <c r="I113" s="419"/>
      <c r="J113" s="419"/>
      <c r="K113" s="419"/>
      <c r="P113" s="53" t="s">
        <v>50</v>
      </c>
      <c r="Q113" s="55">
        <f t="shared" si="6"/>
        <v>0</v>
      </c>
      <c r="R113" s="51"/>
      <c r="S113" s="51"/>
      <c r="T113" s="51"/>
      <c r="U113" s="51"/>
      <c r="V113" s="51"/>
    </row>
    <row r="114" spans="7:24" ht="12.6" thickBot="1" x14ac:dyDescent="0.35">
      <c r="G114" s="420"/>
      <c r="H114" s="419"/>
      <c r="I114" s="419"/>
      <c r="J114" s="419"/>
      <c r="K114" s="419"/>
      <c r="P114" s="67" t="s">
        <v>51</v>
      </c>
      <c r="Q114" s="281">
        <f>SUM(Q95:Q113)</f>
        <v>0</v>
      </c>
      <c r="R114" s="51"/>
      <c r="S114" s="51"/>
      <c r="T114" s="51"/>
      <c r="U114" s="51"/>
      <c r="V114" s="51"/>
    </row>
    <row r="115" spans="7:24" x14ac:dyDescent="0.3">
      <c r="G115" s="420"/>
      <c r="H115" s="419"/>
      <c r="I115" s="419"/>
      <c r="J115" s="419"/>
      <c r="K115" s="419"/>
      <c r="P115" s="60"/>
      <c r="Q115" s="61"/>
      <c r="R115" s="51"/>
      <c r="S115" s="51"/>
      <c r="T115" s="51"/>
      <c r="U115" s="51"/>
      <c r="V115" s="51"/>
    </row>
    <row r="116" spans="7:24" x14ac:dyDescent="0.3">
      <c r="G116" s="420"/>
      <c r="H116" s="419"/>
      <c r="I116" s="419"/>
      <c r="J116" s="419"/>
      <c r="K116" s="419"/>
      <c r="P116" s="69" t="s">
        <v>12</v>
      </c>
      <c r="Q116" s="55"/>
      <c r="R116" s="51"/>
      <c r="S116" s="51"/>
      <c r="T116" s="51"/>
      <c r="U116" s="51"/>
      <c r="V116" s="51"/>
    </row>
    <row r="117" spans="7:24" x14ac:dyDescent="0.3">
      <c r="G117" s="420"/>
      <c r="H117" s="419"/>
      <c r="I117" s="419"/>
      <c r="J117" s="419"/>
      <c r="K117" s="419"/>
      <c r="P117" s="53" t="s">
        <v>57</v>
      </c>
      <c r="Q117" s="55">
        <f>ROUND(SUM(R117:V117),0)</f>
        <v>0</v>
      </c>
      <c r="R117" s="51"/>
      <c r="S117" s="51"/>
      <c r="T117" s="51"/>
      <c r="U117" s="51"/>
      <c r="V117" s="51"/>
    </row>
    <row r="118" spans="7:24" x14ac:dyDescent="0.3">
      <c r="G118" s="420"/>
      <c r="H118" s="419"/>
      <c r="I118" s="419"/>
      <c r="J118" s="419"/>
      <c r="K118" s="419"/>
      <c r="P118" s="53" t="s">
        <v>58</v>
      </c>
      <c r="Q118" s="55">
        <f>ROUND(SUM(R118:V118),0)</f>
        <v>0</v>
      </c>
      <c r="R118" s="51"/>
      <c r="S118" s="51"/>
      <c r="T118" s="51"/>
      <c r="U118" s="51"/>
      <c r="V118" s="51"/>
    </row>
    <row r="119" spans="7:24" x14ac:dyDescent="0.3">
      <c r="G119" s="420"/>
      <c r="H119" s="419"/>
      <c r="I119" s="419"/>
      <c r="J119" s="419"/>
      <c r="K119" s="419"/>
      <c r="P119" s="53" t="s">
        <v>83</v>
      </c>
      <c r="Q119" s="55">
        <f>ROUND(SUM(R119:V119),0)</f>
        <v>0</v>
      </c>
      <c r="R119" s="51"/>
      <c r="S119" s="51"/>
      <c r="T119" s="51"/>
      <c r="U119" s="51"/>
      <c r="V119" s="51"/>
    </row>
    <row r="120" spans="7:24" x14ac:dyDescent="0.3">
      <c r="G120" s="420"/>
      <c r="H120" s="419"/>
      <c r="I120" s="419"/>
      <c r="J120" s="419"/>
      <c r="K120" s="419"/>
      <c r="P120" s="53"/>
      <c r="Q120" s="55"/>
      <c r="R120" s="51"/>
      <c r="S120" s="51"/>
      <c r="T120" s="51"/>
      <c r="U120" s="51"/>
      <c r="V120" s="51"/>
    </row>
    <row r="121" spans="7:24" ht="12.6" thickBot="1" x14ac:dyDescent="0.35">
      <c r="G121" s="420"/>
      <c r="H121" s="419"/>
      <c r="I121" s="419"/>
      <c r="J121" s="419"/>
      <c r="K121" s="419"/>
      <c r="P121" s="67" t="s">
        <v>122</v>
      </c>
      <c r="Q121" s="68">
        <f>SUM(Q117:Q120)</f>
        <v>0</v>
      </c>
      <c r="R121" s="51"/>
      <c r="S121" s="51"/>
      <c r="T121" s="51"/>
      <c r="U121" s="51"/>
      <c r="V121" s="51"/>
    </row>
    <row r="122" spans="7:24" x14ac:dyDescent="0.3">
      <c r="G122" s="420"/>
      <c r="H122" s="419"/>
      <c r="I122" s="419"/>
      <c r="J122" s="419"/>
      <c r="K122" s="419"/>
      <c r="P122" s="60"/>
      <c r="Q122" s="61"/>
      <c r="R122" s="51"/>
      <c r="S122" s="51"/>
      <c r="T122" s="51"/>
      <c r="U122" s="51"/>
      <c r="V122" s="51"/>
    </row>
    <row r="123" spans="7:24" x14ac:dyDescent="0.3">
      <c r="G123" s="420"/>
      <c r="H123" s="419"/>
      <c r="I123" s="419"/>
      <c r="J123" s="419"/>
      <c r="K123" s="419"/>
      <c r="P123" s="69" t="s">
        <v>14</v>
      </c>
      <c r="Q123" s="55"/>
      <c r="R123" s="51"/>
      <c r="S123" s="51"/>
      <c r="T123" s="51"/>
      <c r="U123" s="51"/>
      <c r="V123" s="51"/>
    </row>
    <row r="124" spans="7:24" x14ac:dyDescent="0.3">
      <c r="G124" s="420"/>
      <c r="H124" s="419"/>
      <c r="I124" s="419"/>
      <c r="J124" s="419"/>
      <c r="K124" s="419"/>
      <c r="P124" s="53" t="s">
        <v>329</v>
      </c>
      <c r="Q124" s="55">
        <f t="shared" ref="Q124:Q135" si="7">ROUND(SUM(R124:V124),0)</f>
        <v>0</v>
      </c>
      <c r="R124" s="51"/>
      <c r="S124" s="51">
        <f>-S91</f>
        <v>0</v>
      </c>
      <c r="T124" s="51">
        <f>-T92</f>
        <v>0</v>
      </c>
      <c r="U124" s="51"/>
      <c r="V124" s="51"/>
    </row>
    <row r="125" spans="7:24" x14ac:dyDescent="0.3">
      <c r="G125" s="420"/>
      <c r="H125" s="419"/>
      <c r="I125" s="419"/>
      <c r="J125" s="419"/>
      <c r="K125" s="419"/>
      <c r="P125" s="53" t="s">
        <v>53</v>
      </c>
      <c r="Q125" s="55">
        <f t="shared" si="7"/>
        <v>0</v>
      </c>
      <c r="R125" s="51"/>
      <c r="S125" s="51"/>
      <c r="T125" s="51"/>
      <c r="U125" s="51"/>
      <c r="V125" s="51"/>
    </row>
    <row r="126" spans="7:24" x14ac:dyDescent="0.3">
      <c r="G126" s="420"/>
      <c r="H126" s="419"/>
      <c r="I126" s="419"/>
      <c r="J126" s="419"/>
      <c r="K126" s="419"/>
      <c r="P126" s="53" t="s">
        <v>54</v>
      </c>
      <c r="Q126" s="55">
        <f t="shared" si="7"/>
        <v>0</v>
      </c>
      <c r="R126" s="51"/>
      <c r="S126" s="51"/>
      <c r="T126" s="51"/>
      <c r="U126" s="51"/>
      <c r="V126" s="51"/>
    </row>
    <row r="127" spans="7:24" x14ac:dyDescent="0.3">
      <c r="G127" s="420"/>
      <c r="H127" s="419"/>
      <c r="I127" s="419"/>
      <c r="J127" s="419"/>
      <c r="K127" s="419"/>
      <c r="P127" s="53" t="s">
        <v>49</v>
      </c>
      <c r="Q127" s="55">
        <f t="shared" si="7"/>
        <v>0</v>
      </c>
      <c r="R127" s="51"/>
      <c r="S127" s="51"/>
      <c r="T127" s="51"/>
      <c r="U127" s="51"/>
      <c r="V127" s="51"/>
    </row>
    <row r="128" spans="7:24" x14ac:dyDescent="0.3">
      <c r="G128" s="420"/>
      <c r="H128" s="419"/>
      <c r="I128" s="419"/>
      <c r="J128" s="419"/>
      <c r="K128" s="419"/>
      <c r="P128" s="53" t="s">
        <v>55</v>
      </c>
      <c r="Q128" s="55">
        <f t="shared" si="7"/>
        <v>0</v>
      </c>
      <c r="R128" s="51"/>
      <c r="S128" s="51"/>
      <c r="T128" s="51"/>
      <c r="U128" s="51"/>
      <c r="V128" s="51"/>
      <c r="X128" s="73"/>
    </row>
    <row r="129" spans="7:25" x14ac:dyDescent="0.3">
      <c r="G129" s="420"/>
      <c r="H129" s="419"/>
      <c r="I129" s="419"/>
      <c r="J129" s="419"/>
      <c r="K129" s="419"/>
      <c r="P129" s="53" t="s">
        <v>84</v>
      </c>
      <c r="Q129" s="55">
        <f t="shared" si="7"/>
        <v>0</v>
      </c>
      <c r="R129" s="51"/>
      <c r="S129" s="51"/>
      <c r="T129" s="51"/>
      <c r="U129" s="51"/>
      <c r="V129" s="51"/>
      <c r="X129" s="73"/>
    </row>
    <row r="130" spans="7:25" x14ac:dyDescent="0.3">
      <c r="G130" s="420"/>
      <c r="H130" s="419"/>
      <c r="I130" s="419"/>
      <c r="J130" s="419"/>
      <c r="K130" s="419"/>
      <c r="P130" s="53" t="s">
        <v>56</v>
      </c>
      <c r="Q130" s="55">
        <f t="shared" si="7"/>
        <v>0</v>
      </c>
      <c r="R130" s="51"/>
      <c r="S130" s="51"/>
      <c r="T130" s="51"/>
      <c r="U130" s="51"/>
      <c r="V130" s="51"/>
    </row>
    <row r="131" spans="7:25" x14ac:dyDescent="0.3">
      <c r="G131" s="420"/>
      <c r="H131" s="419"/>
      <c r="I131" s="419"/>
      <c r="J131" s="419"/>
      <c r="K131" s="419"/>
      <c r="P131" s="53" t="s">
        <v>60</v>
      </c>
      <c r="Q131" s="55">
        <f t="shared" si="7"/>
        <v>0</v>
      </c>
      <c r="R131" s="51"/>
      <c r="S131" s="51"/>
      <c r="T131" s="51"/>
      <c r="U131" s="51"/>
      <c r="V131" s="51"/>
    </row>
    <row r="132" spans="7:25" x14ac:dyDescent="0.3">
      <c r="G132" s="420"/>
      <c r="H132" s="419"/>
      <c r="I132" s="419"/>
      <c r="J132" s="419"/>
      <c r="K132" s="419"/>
      <c r="P132" s="53" t="s">
        <v>59</v>
      </c>
      <c r="Q132" s="55">
        <f t="shared" si="7"/>
        <v>0</v>
      </c>
      <c r="R132" s="51"/>
      <c r="S132" s="51"/>
      <c r="T132" s="51"/>
      <c r="U132" s="51"/>
      <c r="V132" s="51"/>
    </row>
    <row r="133" spans="7:25" x14ac:dyDescent="0.3">
      <c r="G133" s="420"/>
      <c r="H133" s="419"/>
      <c r="I133" s="419"/>
      <c r="J133" s="419"/>
      <c r="K133" s="419"/>
      <c r="P133" s="53" t="s">
        <v>48</v>
      </c>
      <c r="Q133" s="55">
        <f t="shared" si="7"/>
        <v>0</v>
      </c>
      <c r="R133" s="51"/>
      <c r="S133" s="51"/>
      <c r="T133" s="51"/>
      <c r="U133" s="51"/>
      <c r="V133" s="51"/>
    </row>
    <row r="134" spans="7:25" x14ac:dyDescent="0.3">
      <c r="G134" s="420"/>
      <c r="H134" s="419"/>
      <c r="I134" s="419"/>
      <c r="J134" s="419"/>
      <c r="K134" s="419"/>
      <c r="P134" s="53" t="s">
        <v>61</v>
      </c>
      <c r="Q134" s="55">
        <f t="shared" si="7"/>
        <v>0</v>
      </c>
      <c r="R134" s="51"/>
      <c r="S134" s="51"/>
      <c r="T134" s="51"/>
      <c r="U134" s="51"/>
      <c r="V134" s="51"/>
    </row>
    <row r="135" spans="7:25" x14ac:dyDescent="0.3">
      <c r="G135" s="420"/>
      <c r="H135" s="419"/>
      <c r="I135" s="419"/>
      <c r="J135" s="419"/>
      <c r="K135" s="419"/>
      <c r="P135" s="213" t="s">
        <v>271</v>
      </c>
      <c r="Q135" s="55">
        <f t="shared" si="7"/>
        <v>0</v>
      </c>
      <c r="R135" s="51"/>
      <c r="S135" s="51"/>
      <c r="T135" s="51"/>
      <c r="U135" s="51"/>
      <c r="V135" s="51"/>
    </row>
    <row r="136" spans="7:25" ht="12.6" thickBot="1" x14ac:dyDescent="0.35">
      <c r="G136" s="420"/>
      <c r="H136" s="419"/>
      <c r="I136" s="419"/>
      <c r="J136" s="419"/>
      <c r="K136" s="419"/>
      <c r="P136" s="67" t="s">
        <v>121</v>
      </c>
      <c r="Q136" s="281">
        <f>SUM(Q124:Q134)</f>
        <v>0</v>
      </c>
      <c r="R136" s="51"/>
      <c r="S136" s="51"/>
      <c r="T136" s="51"/>
      <c r="U136" s="51"/>
      <c r="V136" s="51"/>
    </row>
    <row r="137" spans="7:25" x14ac:dyDescent="0.3">
      <c r="G137" s="420"/>
      <c r="H137" s="419"/>
      <c r="I137" s="419"/>
      <c r="J137" s="419"/>
      <c r="K137" s="419"/>
      <c r="P137" s="60"/>
      <c r="Q137" s="57"/>
      <c r="R137" s="51"/>
      <c r="S137" s="51"/>
      <c r="T137" s="51"/>
      <c r="U137" s="51"/>
      <c r="V137" s="51"/>
    </row>
    <row r="138" spans="7:25" x14ac:dyDescent="0.3">
      <c r="G138" s="420"/>
      <c r="H138" s="419"/>
      <c r="I138" s="419"/>
      <c r="J138" s="419"/>
      <c r="K138" s="419"/>
      <c r="P138" s="69" t="s">
        <v>63</v>
      </c>
      <c r="Q138" s="55"/>
      <c r="R138" s="51"/>
      <c r="S138" s="51"/>
      <c r="T138" s="51"/>
      <c r="U138" s="51"/>
      <c r="V138" s="51"/>
    </row>
    <row r="139" spans="7:25" x14ac:dyDescent="0.3">
      <c r="G139" s="420"/>
      <c r="H139" s="419"/>
      <c r="I139" s="419"/>
      <c r="J139" s="419"/>
      <c r="K139" s="419"/>
      <c r="P139" s="53" t="s">
        <v>64</v>
      </c>
      <c r="Q139" s="55">
        <f>ROUND(SUM(R139:V139),0)</f>
        <v>0</v>
      </c>
      <c r="R139" s="51"/>
      <c r="S139" s="51"/>
      <c r="T139" s="51"/>
      <c r="U139" s="51"/>
      <c r="V139" s="51"/>
    </row>
    <row r="140" spans="7:25" x14ac:dyDescent="0.3">
      <c r="G140" s="420"/>
      <c r="H140" s="419"/>
      <c r="I140" s="419"/>
      <c r="J140" s="419"/>
      <c r="K140" s="419"/>
      <c r="P140" s="54"/>
      <c r="Q140" s="55"/>
      <c r="R140" s="51"/>
      <c r="S140" s="51"/>
      <c r="T140" s="51"/>
      <c r="U140" s="51"/>
      <c r="V140" s="51"/>
    </row>
    <row r="141" spans="7:25" x14ac:dyDescent="0.3">
      <c r="G141" s="420"/>
      <c r="H141" s="419"/>
      <c r="I141" s="419"/>
      <c r="J141" s="419"/>
      <c r="K141" s="419"/>
      <c r="P141" s="54"/>
      <c r="Q141" s="55"/>
      <c r="R141" s="51"/>
      <c r="S141" s="51"/>
      <c r="T141" s="51"/>
      <c r="U141" s="51"/>
      <c r="V141" s="51"/>
    </row>
    <row r="142" spans="7:25" x14ac:dyDescent="0.3">
      <c r="G142" s="420"/>
      <c r="H142" s="419"/>
      <c r="I142" s="419"/>
      <c r="J142" s="419"/>
      <c r="K142" s="419"/>
      <c r="P142" s="53"/>
      <c r="Q142" s="55"/>
      <c r="R142" s="51"/>
      <c r="S142" s="51"/>
      <c r="T142" s="51"/>
      <c r="U142" s="51"/>
      <c r="V142" s="51"/>
    </row>
    <row r="143" spans="7:25" ht="12.6" thickBot="1" x14ac:dyDescent="0.35">
      <c r="G143" s="420"/>
      <c r="H143" s="419"/>
      <c r="I143" s="419"/>
      <c r="J143" s="419"/>
      <c r="K143" s="419"/>
      <c r="P143" s="62" t="s">
        <v>20</v>
      </c>
      <c r="Q143" s="281">
        <f>SUM(Q114,Q121,Q136)</f>
        <v>0</v>
      </c>
      <c r="R143" s="51"/>
      <c r="S143" s="51"/>
      <c r="T143" s="51"/>
      <c r="U143" s="51"/>
      <c r="V143" s="51"/>
    </row>
    <row r="144" spans="7:25" x14ac:dyDescent="0.3">
      <c r="G144" s="420"/>
      <c r="H144" s="419"/>
      <c r="I144" s="419"/>
      <c r="J144" s="419"/>
      <c r="K144" s="419"/>
      <c r="P144" s="60" t="s">
        <v>118</v>
      </c>
      <c r="Q144" s="55">
        <f>ROUND(SUM(R144:V144),0)</f>
        <v>0</v>
      </c>
      <c r="R144" s="51"/>
      <c r="S144" s="51"/>
      <c r="T144" s="51"/>
      <c r="U144" s="51"/>
      <c r="V144" s="51"/>
      <c r="Y144" s="18" t="s">
        <v>125</v>
      </c>
    </row>
    <row r="145" spans="7:22" x14ac:dyDescent="0.3">
      <c r="G145" s="420"/>
      <c r="H145" s="419"/>
      <c r="I145" s="419"/>
      <c r="J145" s="419"/>
      <c r="K145" s="419"/>
      <c r="P145" s="52" t="s">
        <v>67</v>
      </c>
      <c r="Q145" s="55" t="e">
        <f>#REF!</f>
        <v>#REF!</v>
      </c>
      <c r="R145" s="51"/>
      <c r="S145" s="51"/>
      <c r="T145" s="51"/>
      <c r="U145" s="51"/>
      <c r="V145" s="51"/>
    </row>
    <row r="146" spans="7:22" ht="12.6" thickBot="1" x14ac:dyDescent="0.35">
      <c r="G146" s="420"/>
      <c r="H146" s="419"/>
      <c r="I146" s="419"/>
      <c r="J146" s="419"/>
      <c r="K146" s="419"/>
      <c r="P146" s="48" t="s">
        <v>66</v>
      </c>
      <c r="Q146" s="49" t="e">
        <f>Q145+Q143+Q144</f>
        <v>#REF!</v>
      </c>
      <c r="R146" s="49">
        <f t="shared" ref="R146:V146" si="8">ROUND(SUM(R92:R145),0)</f>
        <v>0</v>
      </c>
      <c r="S146" s="49">
        <f t="shared" si="8"/>
        <v>0</v>
      </c>
      <c r="T146" s="49">
        <f t="shared" si="8"/>
        <v>0</v>
      </c>
      <c r="U146" s="49">
        <f t="shared" si="8"/>
        <v>0</v>
      </c>
      <c r="V146" s="49">
        <f t="shared" si="8"/>
        <v>0</v>
      </c>
    </row>
    <row r="147" spans="7:22" ht="12.6" thickTop="1" x14ac:dyDescent="0.3">
      <c r="G147" s="420"/>
      <c r="H147" s="419"/>
      <c r="I147" s="419"/>
      <c r="J147" s="419"/>
      <c r="K147" s="419"/>
    </row>
    <row r="148" spans="7:22" ht="12.6" thickBot="1" x14ac:dyDescent="0.35">
      <c r="G148" s="420"/>
      <c r="H148" s="419"/>
      <c r="I148" s="419"/>
      <c r="J148" s="419"/>
      <c r="K148" s="419"/>
      <c r="P148" s="65" t="s">
        <v>19</v>
      </c>
      <c r="Q148" s="66" t="e">
        <f>Q146-Q91</f>
        <v>#REF!</v>
      </c>
    </row>
    <row r="149" spans="7:22" ht="12.6" thickTop="1" x14ac:dyDescent="0.3"/>
  </sheetData>
  <hyperlinks>
    <hyperlink ref="C3" location="'PL.2 - FY23'!A1" display="PL.2" xr:uid="{AB37F139-57D0-4DA6-9220-ABA1356E1E1D}"/>
    <hyperlink ref="H3" location="'PL.2 - FY23'!A1" display="PL.2" xr:uid="{50AA8C0E-7D8B-4E70-9EB9-5860B8098E8A}"/>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C9D4-7B17-4DD2-801E-E8288BCC04B5}">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D543-64B7-4107-A5AD-96DBC6BC15C1}">
  <sheetPr>
    <tabColor theme="5" tint="0.39997558519241921"/>
  </sheetPr>
  <dimension ref="A1:AS388"/>
  <sheetViews>
    <sheetView workbookViewId="0"/>
  </sheetViews>
  <sheetFormatPr defaultColWidth="8.88671875" defaultRowHeight="12" outlineLevelRow="1" outlineLevelCol="1" x14ac:dyDescent="0.3"/>
  <cols>
    <col min="1" max="1" width="4.5546875" style="16" customWidth="1"/>
    <col min="2" max="2" width="90.44140625" style="16" bestFit="1" customWidth="1"/>
    <col min="3" max="3" width="17" style="16" customWidth="1"/>
    <col min="4" max="4" width="20" style="16" customWidth="1"/>
    <col min="5" max="6" width="21" style="16" customWidth="1"/>
    <col min="7" max="7" width="17.33203125" style="16" customWidth="1"/>
    <col min="8" max="8" width="33.109375" style="183" bestFit="1" customWidth="1"/>
    <col min="9" max="9" width="39" style="16" hidden="1" customWidth="1" outlineLevel="1"/>
    <col min="10" max="10" width="41.88671875" style="16" hidden="1" customWidth="1" outlineLevel="1"/>
    <col min="11" max="11" width="7.109375" style="72" hidden="1" customWidth="1" outlineLevel="1"/>
    <col min="12" max="12" width="3" style="16" customWidth="1" collapsed="1"/>
    <col min="13" max="13" width="64" style="16" customWidth="1"/>
    <col min="14" max="14" width="15" style="16" customWidth="1"/>
    <col min="15" max="15" width="16.44140625" style="16" bestFit="1" customWidth="1"/>
    <col min="16" max="16" width="12.109375" style="16" bestFit="1" customWidth="1"/>
    <col min="17" max="17" width="15.33203125" style="16" bestFit="1" customWidth="1"/>
    <col min="18" max="18" width="18" style="16" bestFit="1" customWidth="1"/>
    <col min="19" max="19" width="12.33203125" style="16" bestFit="1" customWidth="1"/>
    <col min="20" max="20" width="16.33203125" style="16" bestFit="1" customWidth="1"/>
    <col min="21" max="21" width="13.5546875" style="16" bestFit="1" customWidth="1"/>
    <col min="22" max="22" width="14.6640625" style="16" bestFit="1" customWidth="1"/>
    <col min="23" max="23" width="17.44140625" style="16" bestFit="1" customWidth="1"/>
    <col min="24" max="24" width="12.109375" style="16" bestFit="1" customWidth="1"/>
    <col min="25" max="25" width="15.6640625" style="16" bestFit="1" customWidth="1"/>
    <col min="26" max="26" width="16" style="16" bestFit="1" customWidth="1"/>
    <col min="27" max="27" width="18" style="16" bestFit="1" customWidth="1"/>
    <col min="28" max="28" width="17.44140625" style="16" bestFit="1" customWidth="1"/>
    <col min="29" max="29" width="12.44140625" style="16" bestFit="1" customWidth="1"/>
    <col min="30" max="30" width="17.88671875" style="16" bestFit="1" customWidth="1"/>
    <col min="31" max="31" width="16.109375" style="16" bestFit="1" customWidth="1"/>
    <col min="32" max="32" width="17" style="16" bestFit="1" customWidth="1"/>
    <col min="33" max="33" width="14.33203125" style="16" customWidth="1"/>
    <col min="34" max="34" width="16.109375" style="16" bestFit="1" customWidth="1"/>
    <col min="35" max="35" width="12.44140625" style="16" bestFit="1" customWidth="1"/>
    <col min="36" max="37" width="17" style="16" bestFit="1" customWidth="1"/>
    <col min="38" max="38" width="14.109375" style="16" bestFit="1" customWidth="1"/>
    <col min="39" max="39" width="16.44140625" style="16" hidden="1" customWidth="1" outlineLevel="1"/>
    <col min="40" max="40" width="19.44140625" style="16" hidden="1" customWidth="1" outlineLevel="1"/>
    <col min="41" max="42" width="16.33203125" style="16" hidden="1" customWidth="1" outlineLevel="1"/>
    <col min="43" max="43" width="3.88671875" style="16" customWidth="1" collapsed="1"/>
    <col min="44" max="44" width="15" style="16" customWidth="1"/>
    <col min="45" max="16384" width="8.88671875" style="16"/>
  </cols>
  <sheetData>
    <row r="1" spans="1:43" ht="25.2" x14ac:dyDescent="0.3">
      <c r="A1" s="44" t="str">
        <f>company_name</f>
        <v>Consolidated Hallor Group Inc.</v>
      </c>
      <c r="B1" s="5"/>
      <c r="G1" s="71"/>
      <c r="H1" s="176"/>
      <c r="I1" s="19"/>
      <c r="J1" s="19"/>
    </row>
    <row r="2" spans="1:43" ht="21" x14ac:dyDescent="0.25">
      <c r="B2" s="153">
        <f>currentperiod_end_date</f>
        <v>45838</v>
      </c>
      <c r="C2" s="131"/>
      <c r="G2" s="71"/>
      <c r="H2" s="176"/>
      <c r="I2" s="19"/>
      <c r="J2" s="19"/>
      <c r="M2" s="212" t="s">
        <v>273</v>
      </c>
      <c r="N2" s="211">
        <v>201</v>
      </c>
      <c r="O2" s="211">
        <v>202</v>
      </c>
      <c r="P2" s="211">
        <v>203</v>
      </c>
      <c r="Q2" s="211">
        <v>204</v>
      </c>
      <c r="R2" s="211">
        <v>205</v>
      </c>
      <c r="S2" s="211">
        <v>206</v>
      </c>
      <c r="T2" s="211">
        <v>207</v>
      </c>
      <c r="U2" s="211">
        <v>208</v>
      </c>
      <c r="V2" s="211">
        <v>209</v>
      </c>
      <c r="W2" s="211">
        <v>210</v>
      </c>
      <c r="X2" s="211">
        <v>211</v>
      </c>
      <c r="Y2" s="211">
        <v>212</v>
      </c>
      <c r="Z2" s="211">
        <v>213</v>
      </c>
      <c r="AA2" s="211">
        <v>214</v>
      </c>
      <c r="AB2" s="211">
        <v>215</v>
      </c>
      <c r="AC2" s="211">
        <v>216</v>
      </c>
      <c r="AD2" s="211">
        <v>217</v>
      </c>
      <c r="AE2" s="211">
        <v>218</v>
      </c>
      <c r="AF2" s="211">
        <v>219</v>
      </c>
      <c r="AG2" s="211">
        <v>220</v>
      </c>
      <c r="AH2" s="211">
        <v>221</v>
      </c>
      <c r="AI2" s="211">
        <v>222</v>
      </c>
      <c r="AJ2" s="211">
        <v>223</v>
      </c>
      <c r="AK2" s="211">
        <v>224</v>
      </c>
      <c r="AL2" s="211">
        <v>225</v>
      </c>
    </row>
    <row r="3" spans="1:43" s="143" customFormat="1" ht="36.6" customHeight="1" x14ac:dyDescent="0.3">
      <c r="A3" s="142"/>
      <c r="C3" s="184" t="s">
        <v>263</v>
      </c>
      <c r="D3" s="141" t="s">
        <v>197</v>
      </c>
      <c r="E3" s="184" t="s">
        <v>264</v>
      </c>
      <c r="F3" s="184"/>
      <c r="H3" s="177"/>
      <c r="K3" s="144"/>
      <c r="M3" s="212" t="s">
        <v>273</v>
      </c>
      <c r="N3" s="211">
        <v>211</v>
      </c>
      <c r="O3" s="211">
        <v>212</v>
      </c>
      <c r="P3" s="211">
        <v>213</v>
      </c>
      <c r="Q3" s="211">
        <v>214</v>
      </c>
      <c r="R3" s="211">
        <v>215</v>
      </c>
      <c r="S3" s="211">
        <v>216</v>
      </c>
      <c r="T3" s="211">
        <v>217</v>
      </c>
      <c r="U3" s="211">
        <v>218</v>
      </c>
      <c r="V3" s="211">
        <v>219</v>
      </c>
      <c r="W3" s="211">
        <v>220</v>
      </c>
      <c r="X3" s="211">
        <v>221</v>
      </c>
      <c r="Y3" s="211">
        <v>222</v>
      </c>
      <c r="Z3" s="211">
        <v>223</v>
      </c>
      <c r="AA3" s="211">
        <v>224</v>
      </c>
      <c r="AB3" s="211">
        <v>225</v>
      </c>
      <c r="AC3" s="211">
        <v>226</v>
      </c>
      <c r="AD3" s="211">
        <v>227</v>
      </c>
      <c r="AE3" s="211">
        <v>228</v>
      </c>
      <c r="AF3" s="211">
        <v>229</v>
      </c>
      <c r="AG3" s="211">
        <v>230</v>
      </c>
      <c r="AH3" s="211">
        <v>231</v>
      </c>
      <c r="AI3" s="211">
        <v>232</v>
      </c>
      <c r="AJ3" s="211">
        <v>233</v>
      </c>
      <c r="AK3" s="211">
        <v>234</v>
      </c>
      <c r="AL3" s="211">
        <v>235</v>
      </c>
      <c r="AQ3" s="145"/>
    </row>
    <row r="4" spans="1:43" ht="36.6" thickBot="1" x14ac:dyDescent="0.3">
      <c r="A4" s="82"/>
      <c r="B4" s="82" t="s">
        <v>250</v>
      </c>
      <c r="C4" s="261">
        <f>B2</f>
        <v>45838</v>
      </c>
      <c r="D4" s="128" t="s">
        <v>262</v>
      </c>
      <c r="E4" s="128" t="s">
        <v>260</v>
      </c>
      <c r="F4" s="128" t="s">
        <v>265</v>
      </c>
      <c r="G4" s="217" t="s">
        <v>261</v>
      </c>
      <c r="H4" s="82" t="s">
        <v>1</v>
      </c>
      <c r="I4" s="82" t="s">
        <v>40</v>
      </c>
      <c r="J4" s="82" t="s">
        <v>45</v>
      </c>
      <c r="K4" s="82" t="s">
        <v>123</v>
      </c>
      <c r="M4" s="46"/>
      <c r="N4" s="126" t="e">
        <f>_xlfn.XLOOKUP(N3,#REF!,#REF!,0,0,1)</f>
        <v>#REF!</v>
      </c>
      <c r="O4" s="126" t="e">
        <f>_xlfn.XLOOKUP(O3,#REF!,#REF!,0,0,1)</f>
        <v>#REF!</v>
      </c>
      <c r="P4" s="126" t="e">
        <f>_xlfn.XLOOKUP(P3,#REF!,#REF!,0,0,1)</f>
        <v>#REF!</v>
      </c>
      <c r="Q4" s="126" t="e">
        <f>_xlfn.XLOOKUP(Q3,#REF!,#REF!,0,0,1)</f>
        <v>#REF!</v>
      </c>
      <c r="R4" s="126" t="e">
        <f>_xlfn.XLOOKUP(R3,#REF!,#REF!,0,0,1)</f>
        <v>#REF!</v>
      </c>
      <c r="S4" s="126" t="e">
        <f>_xlfn.XLOOKUP(S3,#REF!,#REF!,0,0,1)</f>
        <v>#REF!</v>
      </c>
      <c r="T4" s="126" t="e">
        <f>_xlfn.XLOOKUP(T3,#REF!,#REF!,0,0,1)</f>
        <v>#REF!</v>
      </c>
      <c r="U4" s="126" t="e">
        <f>_xlfn.XLOOKUP(U3,#REF!,#REF!,0,0,1)</f>
        <v>#REF!</v>
      </c>
      <c r="V4" s="126" t="e">
        <f>_xlfn.XLOOKUP(V3,#REF!,#REF!,0,0,1)</f>
        <v>#REF!</v>
      </c>
      <c r="W4" s="126" t="e">
        <f>_xlfn.XLOOKUP(W3,#REF!,#REF!,0,0,1)</f>
        <v>#REF!</v>
      </c>
      <c r="X4" s="126" t="e">
        <f>_xlfn.XLOOKUP(X3,#REF!,#REF!,0,0,1)</f>
        <v>#REF!</v>
      </c>
      <c r="Y4" s="126" t="e">
        <f>_xlfn.XLOOKUP(Y3,#REF!,#REF!,0,0,1)</f>
        <v>#REF!</v>
      </c>
      <c r="Z4" s="126" t="e">
        <f>_xlfn.XLOOKUP(Z3,#REF!,#REF!,0,0,1)</f>
        <v>#REF!</v>
      </c>
      <c r="AA4" s="126" t="e">
        <f>_xlfn.XLOOKUP(AA3,#REF!,#REF!,0,0,1)</f>
        <v>#REF!</v>
      </c>
      <c r="AB4" s="126" t="e">
        <f>_xlfn.XLOOKUP(AB3,#REF!,#REF!,0,0,1)</f>
        <v>#REF!</v>
      </c>
      <c r="AC4" s="126" t="e">
        <f>_xlfn.XLOOKUP(AC3,#REF!,#REF!,0,0,1)</f>
        <v>#REF!</v>
      </c>
      <c r="AD4" s="126" t="e">
        <f>_xlfn.XLOOKUP(AD3,#REF!,#REF!,0,0,1)</f>
        <v>#REF!</v>
      </c>
      <c r="AE4" s="126" t="e">
        <f>_xlfn.XLOOKUP(AE3,#REF!,#REF!,0,0,1)</f>
        <v>#REF!</v>
      </c>
      <c r="AF4" s="126" t="e">
        <f>_xlfn.XLOOKUP(AF3,#REF!,#REF!,0,0,1)</f>
        <v>#REF!</v>
      </c>
      <c r="AG4" s="126" t="e">
        <f>_xlfn.XLOOKUP(AG3,#REF!,#REF!,0,0,1)</f>
        <v>#REF!</v>
      </c>
      <c r="AH4" s="126" t="e">
        <f>_xlfn.XLOOKUP(AH3,#REF!,#REF!,0,0,1)</f>
        <v>#REF!</v>
      </c>
      <c r="AI4" s="126" t="e">
        <f>_xlfn.XLOOKUP(AI3,#REF!,#REF!,0,0,1)</f>
        <v>#REF!</v>
      </c>
      <c r="AJ4" s="126" t="e">
        <f>_xlfn.XLOOKUP(AJ3,#REF!,#REF!,0,0,1)</f>
        <v>#REF!</v>
      </c>
      <c r="AK4" s="126" t="e">
        <f>_xlfn.XLOOKUP(AK3,#REF!,#REF!,0,0,1)</f>
        <v>#REF!</v>
      </c>
      <c r="AL4" s="126" t="e">
        <f>_xlfn.XLOOKUP(AL3,#REF!,#REF!,0,0,1)</f>
        <v>#REF!</v>
      </c>
      <c r="AM4" s="126"/>
      <c r="AN4" s="126"/>
      <c r="AO4" s="126"/>
      <c r="AP4" s="126"/>
    </row>
    <row r="5" spans="1:43" x14ac:dyDescent="0.25">
      <c r="A5" s="50"/>
      <c r="B5" s="155" t="str">
        <f>COA!B5</f>
        <v>1000 Chequing - 5002829</v>
      </c>
      <c r="C5" s="127" t="e">
        <f>_xlfn.XLOOKUP(B5,#REF!,#REF!,0,0,1)</f>
        <v>#REF!</v>
      </c>
      <c r="D5" s="127"/>
      <c r="E5" s="127" t="e">
        <f>_xlfn.XLOOKUP(B5,#REF!,#REF!,0,0,1)</f>
        <v>#REF!</v>
      </c>
      <c r="F5" s="127"/>
      <c r="G5" s="218" t="e">
        <f>ROUND(SUM(C5:F5),0)</f>
        <v>#REF!</v>
      </c>
      <c r="H5" s="216" t="str">
        <f>_xlfn.XLOOKUP($B5,COA!$B:$B,COA!$C:$C,0,0,1)</f>
        <v>Cash</v>
      </c>
      <c r="I5" s="178" t="str">
        <f>_xlfn.XLOOKUP($B5,COA!$B:$B,COA!$D:$D,0,0,1)</f>
        <v>Cash</v>
      </c>
      <c r="J5" s="178" t="str">
        <f>_xlfn.XLOOKUP($B5,COA!$B:$B,COA!$E:$E,0,0,1)</f>
        <v>Cash</v>
      </c>
      <c r="K5" s="80"/>
      <c r="M5" s="85" t="e">
        <f>_xlfn.XLOOKUP(J5,#REF!,#REF!,0,0,1)</f>
        <v>#REF!</v>
      </c>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row>
    <row r="6" spans="1:43" x14ac:dyDescent="0.25">
      <c r="A6" s="50"/>
      <c r="B6" s="155" t="str">
        <f>COA!B6</f>
        <v>1000 Undeposited Funds</v>
      </c>
      <c r="C6" s="127" t="e">
        <f>_xlfn.XLOOKUP(B6,#REF!,#REF!,0,0,1)</f>
        <v>#REF!</v>
      </c>
      <c r="D6" s="127"/>
      <c r="E6" s="127" t="e">
        <f>_xlfn.XLOOKUP(B6,#REF!,#REF!,0,0,1)</f>
        <v>#REF!</v>
      </c>
      <c r="F6" s="127"/>
      <c r="G6" s="219" t="e">
        <f>ROUND(SUM(C6:F6),0)</f>
        <v>#REF!</v>
      </c>
      <c r="H6" s="178" t="str">
        <f>_xlfn.XLOOKUP($B6,COA!$B:$B,COA!$C:$C,0,0,1)</f>
        <v>Cash</v>
      </c>
      <c r="I6" s="178" t="str">
        <f>_xlfn.XLOOKUP($B6,COA!$B:$B,COA!$D:$D,0,0,1)</f>
        <v>Cash</v>
      </c>
      <c r="J6" s="178" t="str">
        <f>_xlfn.XLOOKUP($B6,COA!$B:$B,COA!$E:$E,0,0,1)</f>
        <v>Cash</v>
      </c>
      <c r="K6" s="80"/>
      <c r="M6" s="85" t="e">
        <f>_xlfn.XLOOKUP(J6,#REF!,#REF!,0,0,1)</f>
        <v>#REF!</v>
      </c>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row>
    <row r="7" spans="1:43" x14ac:dyDescent="0.25">
      <c r="A7" s="50"/>
      <c r="B7" s="155" t="str">
        <f>COA!B7</f>
        <v>1001 Petty Cash</v>
      </c>
      <c r="C7" s="127" t="e">
        <f>_xlfn.XLOOKUP(B7,#REF!,#REF!,0,0,1)</f>
        <v>#REF!</v>
      </c>
      <c r="D7" s="127"/>
      <c r="E7" s="127" t="e">
        <f>_xlfn.XLOOKUP(B7,#REF!,#REF!,0,0,1)</f>
        <v>#REF!</v>
      </c>
      <c r="F7" s="127"/>
      <c r="G7" s="219" t="e">
        <f t="shared" ref="G7:G70" si="0">ROUND(SUM(C7:F7),0)</f>
        <v>#REF!</v>
      </c>
      <c r="H7" s="178" t="str">
        <f>_xlfn.XLOOKUP($B7,COA!$B:$B,COA!$C:$C,0,0,1)</f>
        <v>Cash</v>
      </c>
      <c r="I7" s="178" t="str">
        <f>_xlfn.XLOOKUP($B7,COA!$B:$B,COA!$D:$D,0,0,1)</f>
        <v>Cash</v>
      </c>
      <c r="J7" s="178" t="str">
        <f>_xlfn.XLOOKUP($B7,COA!$B:$B,COA!$E:$E,0,0,1)</f>
        <v>Cash</v>
      </c>
      <c r="K7" s="80"/>
      <c r="M7" s="85" t="e">
        <f>_xlfn.XLOOKUP(J7,#REF!,#REF!,0,0,1)</f>
        <v>#REF!</v>
      </c>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row>
    <row r="8" spans="1:43" x14ac:dyDescent="0.25">
      <c r="A8" s="50"/>
      <c r="B8" s="155" t="str">
        <f>COA!B8</f>
        <v>1002 TD - Chequing 1869</v>
      </c>
      <c r="C8" s="127" t="e">
        <f>_xlfn.XLOOKUP(B8,#REF!,#REF!,0,0,1)</f>
        <v>#REF!</v>
      </c>
      <c r="D8" s="127"/>
      <c r="E8" s="127" t="e">
        <f>_xlfn.XLOOKUP(B8,#REF!,#REF!,0,0,1)</f>
        <v>#REF!</v>
      </c>
      <c r="F8" s="127"/>
      <c r="G8" s="219" t="e">
        <f t="shared" si="0"/>
        <v>#REF!</v>
      </c>
      <c r="H8" s="178" t="str">
        <f>_xlfn.XLOOKUP($B8,COA!$B:$B,COA!$C:$C,0,0,1)</f>
        <v>Cash</v>
      </c>
      <c r="I8" s="178" t="str">
        <f>_xlfn.XLOOKUP($B8,COA!$B:$B,COA!$D:$D,0,0,1)</f>
        <v>Cash</v>
      </c>
      <c r="J8" s="178" t="str">
        <f>_xlfn.XLOOKUP($B8,COA!$B:$B,COA!$E:$E,0,0,1)</f>
        <v>Cash</v>
      </c>
      <c r="K8" s="80"/>
      <c r="M8" s="85" t="e">
        <f>_xlfn.XLOOKUP(J8,#REF!,#REF!,0,0,1)</f>
        <v>#REF!</v>
      </c>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row>
    <row r="9" spans="1:43" x14ac:dyDescent="0.25">
      <c r="A9" s="50"/>
      <c r="B9" s="155" t="str">
        <f>COA!B10</f>
        <v>1004 TD - Visa 7692</v>
      </c>
      <c r="C9" s="127" t="e">
        <f>_xlfn.XLOOKUP(B9,#REF!,#REF!,0,0,1)</f>
        <v>#REF!</v>
      </c>
      <c r="D9" s="127"/>
      <c r="E9" s="127" t="e">
        <f>_xlfn.XLOOKUP(B9,#REF!,#REF!,0,0,1)</f>
        <v>#REF!</v>
      </c>
      <c r="F9" s="127"/>
      <c r="G9" s="219" t="e">
        <f t="shared" si="0"/>
        <v>#REF!</v>
      </c>
      <c r="H9" s="178" t="str">
        <f>_xlfn.XLOOKUP($B9,COA!$B:$B,COA!$C:$C,0,0,1)</f>
        <v>Cash</v>
      </c>
      <c r="I9" s="178" t="str">
        <f>_xlfn.XLOOKUP($B9,COA!$B:$B,COA!$D:$D,0,0,1)</f>
        <v>Cash</v>
      </c>
      <c r="J9" s="178" t="str">
        <f>_xlfn.XLOOKUP($B9,COA!$B:$B,COA!$E:$E,0,0,1)</f>
        <v>Cash</v>
      </c>
      <c r="K9" s="80"/>
      <c r="M9" s="85" t="e">
        <f>_xlfn.XLOOKUP(J9,#REF!,#REF!,0,0,1)</f>
        <v>#REF!</v>
      </c>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row>
    <row r="10" spans="1:43" x14ac:dyDescent="0.25">
      <c r="A10" s="50"/>
      <c r="B10" s="155" t="str">
        <f>COA!B11</f>
        <v>1005 Undeposited Funds</v>
      </c>
      <c r="C10" s="127" t="e">
        <f>_xlfn.XLOOKUP(B10,#REF!,#REF!,0,0,1)</f>
        <v>#REF!</v>
      </c>
      <c r="D10" s="127"/>
      <c r="E10" s="127" t="e">
        <f>_xlfn.XLOOKUP(B10,#REF!,#REF!,0,0,1)</f>
        <v>#REF!</v>
      </c>
      <c r="F10" s="127"/>
      <c r="G10" s="219" t="e">
        <f t="shared" si="0"/>
        <v>#REF!</v>
      </c>
      <c r="H10" s="178" t="str">
        <f>_xlfn.XLOOKUP($B10,COA!$B:$B,COA!$C:$C,0,0,1)</f>
        <v>Cash</v>
      </c>
      <c r="I10" s="178" t="str">
        <f>_xlfn.XLOOKUP($B10,COA!$B:$B,COA!$D:$D,0,0,1)</f>
        <v>Cash</v>
      </c>
      <c r="J10" s="178" t="str">
        <f>_xlfn.XLOOKUP($B10,COA!$B:$B,COA!$E:$E,0,0,1)</f>
        <v>Cash</v>
      </c>
      <c r="K10" s="80"/>
      <c r="M10" s="85" t="e">
        <f>_xlfn.XLOOKUP(J10,#REF!,#REF!,0,0,1)</f>
        <v>#REF!</v>
      </c>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row>
    <row r="11" spans="1:43" x14ac:dyDescent="0.25">
      <c r="A11" s="50"/>
      <c r="B11" s="155" t="str">
        <f>COA!B12</f>
        <v>1005 Interior Savings - 5224</v>
      </c>
      <c r="C11" s="127" t="e">
        <f>_xlfn.XLOOKUP(B11,#REF!,#REF!,0,0,1)</f>
        <v>#REF!</v>
      </c>
      <c r="D11" s="127"/>
      <c r="E11" s="127" t="e">
        <f>_xlfn.XLOOKUP(B11,#REF!,#REF!,0,0,1)</f>
        <v>#REF!</v>
      </c>
      <c r="F11" s="127"/>
      <c r="G11" s="219" t="e">
        <f t="shared" si="0"/>
        <v>#REF!</v>
      </c>
      <c r="H11" s="178" t="str">
        <f>_xlfn.XLOOKUP($B11,COA!$B:$B,COA!$C:$C,0,0,1)</f>
        <v>Cash</v>
      </c>
      <c r="I11" s="178" t="str">
        <f>_xlfn.XLOOKUP($B11,COA!$B:$B,COA!$D:$D,0,0,1)</f>
        <v>Cash</v>
      </c>
      <c r="J11" s="178" t="str">
        <f>_xlfn.XLOOKUP($B11,COA!$B:$B,COA!$E:$E,0,0,1)</f>
        <v>Cash</v>
      </c>
      <c r="K11" s="80"/>
      <c r="M11" s="85" t="e">
        <f>_xlfn.XLOOKUP(J11,#REF!,#REF!,0,0,1)</f>
        <v>#REF!</v>
      </c>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row>
    <row r="12" spans="1:43" x14ac:dyDescent="0.25">
      <c r="A12" s="50"/>
      <c r="B12" s="155" t="str">
        <f>COA!B13</f>
        <v>1006 Interior Savings - Member Shares 5182</v>
      </c>
      <c r="C12" s="127" t="e">
        <f>_xlfn.XLOOKUP(B12,#REF!,#REF!,0,0,1)</f>
        <v>#REF!</v>
      </c>
      <c r="D12" s="127"/>
      <c r="E12" s="127" t="e">
        <f>_xlfn.XLOOKUP(B12,#REF!,#REF!,0,0,1)</f>
        <v>#REF!</v>
      </c>
      <c r="F12" s="127"/>
      <c r="G12" s="219" t="e">
        <f t="shared" si="0"/>
        <v>#REF!</v>
      </c>
      <c r="H12" s="178" t="str">
        <f>_xlfn.XLOOKUP($B12,COA!$B:$B,COA!$C:$C,0,0,1)</f>
        <v>Cash</v>
      </c>
      <c r="I12" s="178" t="str">
        <f>_xlfn.XLOOKUP($B12,COA!$B:$B,COA!$D:$D,0,0,1)</f>
        <v>Cash</v>
      </c>
      <c r="J12" s="178" t="str">
        <f>_xlfn.XLOOKUP($B12,COA!$B:$B,COA!$E:$E,0,0,1)</f>
        <v>Cash</v>
      </c>
      <c r="K12" s="80"/>
      <c r="M12" s="85" t="e">
        <f>_xlfn.XLOOKUP(J12,#REF!,#REF!,0,0,1)</f>
        <v>#REF!</v>
      </c>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row>
    <row r="13" spans="1:43" x14ac:dyDescent="0.25">
      <c r="A13" s="50"/>
      <c r="B13" s="155" t="str">
        <f>COA!B14</f>
        <v>1010 Bank - suspense</v>
      </c>
      <c r="C13" s="127" t="e">
        <f>_xlfn.XLOOKUP(B13,#REF!,#REF!,0,0,1)</f>
        <v>#REF!</v>
      </c>
      <c r="D13" s="127"/>
      <c r="E13" s="127" t="e">
        <f>_xlfn.XLOOKUP(B13,#REF!,#REF!,0,0,1)</f>
        <v>#REF!</v>
      </c>
      <c r="F13" s="127"/>
      <c r="G13" s="219" t="e">
        <f t="shared" si="0"/>
        <v>#REF!</v>
      </c>
      <c r="H13" s="178" t="str">
        <f>_xlfn.XLOOKUP($B13,COA!$B:$B,COA!$C:$C,0,0,1)</f>
        <v>Cash</v>
      </c>
      <c r="I13" s="178" t="str">
        <f>_xlfn.XLOOKUP($B13,COA!$B:$B,COA!$D:$D,0,0,1)</f>
        <v>Cash</v>
      </c>
      <c r="J13" s="178" t="str">
        <f>_xlfn.XLOOKUP($B13,COA!$B:$B,COA!$E:$E,0,0,1)</f>
        <v>Cash</v>
      </c>
      <c r="K13" s="80"/>
      <c r="M13" s="85" t="e">
        <f>_xlfn.XLOOKUP(J13,#REF!,#REF!,0,0,1)</f>
        <v>#REF!</v>
      </c>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row>
    <row r="14" spans="1:43" x14ac:dyDescent="0.25">
      <c r="A14" s="50"/>
      <c r="B14" s="155" t="str">
        <f>COA!B15</f>
        <v>1100 Accounts Receivable (A/R)</v>
      </c>
      <c r="C14" s="127" t="e">
        <f>_xlfn.XLOOKUP(B14,#REF!,#REF!,0,0,1)</f>
        <v>#REF!</v>
      </c>
      <c r="D14" s="127"/>
      <c r="E14" s="127" t="e">
        <f>_xlfn.XLOOKUP(B14,#REF!,#REF!,0,0,1)</f>
        <v>#REF!</v>
      </c>
      <c r="F14" s="127"/>
      <c r="G14" s="219" t="e">
        <f t="shared" si="0"/>
        <v>#REF!</v>
      </c>
      <c r="H14" s="178" t="str">
        <f>_xlfn.XLOOKUP($B14,COA!$B:$B,COA!$C:$C,0,0,1)</f>
        <v>Receivables</v>
      </c>
      <c r="I14" s="178" t="str">
        <f>_xlfn.XLOOKUP($B14,COA!$B:$B,COA!$D:$D,0,0,1)</f>
        <v>Receivables</v>
      </c>
      <c r="J14" s="178" t="str">
        <f>_xlfn.XLOOKUP($B14,COA!$B:$B,COA!$E:$E,0,0,1)</f>
        <v>Receivables</v>
      </c>
      <c r="K14" s="80"/>
      <c r="M14" s="85" t="e">
        <f>_xlfn.XLOOKUP(J14,#REF!,#REF!,0,0,1)</f>
        <v>#REF!</v>
      </c>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row>
    <row r="15" spans="1:43" x14ac:dyDescent="0.25">
      <c r="A15" s="50"/>
      <c r="B15" s="155" t="str">
        <f>COA!B16</f>
        <v>1100 Accounts Receivable</v>
      </c>
      <c r="C15" s="127" t="e">
        <f>_xlfn.XLOOKUP(B15,#REF!,#REF!,0,0,1)</f>
        <v>#REF!</v>
      </c>
      <c r="D15" s="127"/>
      <c r="E15" s="127" t="e">
        <f>_xlfn.XLOOKUP(B15,#REF!,#REF!,0,0,1)</f>
        <v>#REF!</v>
      </c>
      <c r="F15" s="127"/>
      <c r="G15" s="219" t="e">
        <f t="shared" si="0"/>
        <v>#REF!</v>
      </c>
      <c r="H15" s="178" t="str">
        <f>_xlfn.XLOOKUP($B15,COA!$B:$B,COA!$C:$C,0,0,1)</f>
        <v>Receivables</v>
      </c>
      <c r="I15" s="178" t="str">
        <f>_xlfn.XLOOKUP($B15,COA!$B:$B,COA!$D:$D,0,0,1)</f>
        <v>Receivables</v>
      </c>
      <c r="J15" s="178" t="str">
        <f>_xlfn.XLOOKUP($B15,COA!$B:$B,COA!$E:$E,0,0,1)</f>
        <v>Receivables</v>
      </c>
      <c r="K15" s="80"/>
      <c r="M15" s="85" t="e">
        <f>_xlfn.XLOOKUP(J15,#REF!,#REF!,0,0,1)</f>
        <v>#REF!</v>
      </c>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row>
    <row r="16" spans="1:43" x14ac:dyDescent="0.25">
      <c r="A16" s="50"/>
      <c r="B16" s="155" t="str">
        <f>COA!B17</f>
        <v>1120 Work in progress inventory</v>
      </c>
      <c r="C16" s="127" t="e">
        <f>_xlfn.XLOOKUP(B16,#REF!,#REF!,0,0,1)</f>
        <v>#REF!</v>
      </c>
      <c r="D16" s="127"/>
      <c r="E16" s="127" t="e">
        <f>_xlfn.XLOOKUP(B16,#REF!,#REF!,0,0,1)</f>
        <v>#REF!</v>
      </c>
      <c r="F16" s="127"/>
      <c r="G16" s="219" t="e">
        <f t="shared" si="0"/>
        <v>#REF!</v>
      </c>
      <c r="H16" s="178" t="str">
        <f>_xlfn.XLOOKUP($B16,COA!$B:$B,COA!$C:$C,0,0,1)</f>
        <v>Inventory</v>
      </c>
      <c r="I16" s="178" t="str">
        <f>_xlfn.XLOOKUP($B16,COA!$B:$B,COA!$D:$D,0,0,1)</f>
        <v>Inventory</v>
      </c>
      <c r="J16" s="178" t="str">
        <f>_xlfn.XLOOKUP($B16,COA!$B:$B,COA!$E:$E,0,0,1)</f>
        <v>Inventory</v>
      </c>
      <c r="K16" s="80"/>
      <c r="M16" s="85" t="e">
        <f>_xlfn.XLOOKUP(J16,#REF!,#REF!,0,0,1)</f>
        <v>#REF!</v>
      </c>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row>
    <row r="17" spans="1:42" x14ac:dyDescent="0.25">
      <c r="A17" s="50"/>
      <c r="B17" s="155" t="str">
        <f>COA!B19</f>
        <v>1200 Prepaid expenses</v>
      </c>
      <c r="C17" s="127" t="e">
        <f>_xlfn.XLOOKUP(B17,#REF!,#REF!,0,0,1)</f>
        <v>#REF!</v>
      </c>
      <c r="D17" s="127"/>
      <c r="E17" s="127" t="e">
        <f>_xlfn.XLOOKUP(B17,#REF!,#REF!,0,0,1)</f>
        <v>#REF!</v>
      </c>
      <c r="F17" s="127"/>
      <c r="G17" s="219" t="e">
        <f t="shared" si="0"/>
        <v>#REF!</v>
      </c>
      <c r="H17" s="178" t="str">
        <f>_xlfn.XLOOKUP($B17,COA!$B:$B,COA!$C:$C,0,0,1)</f>
        <v>Prepaid expenses</v>
      </c>
      <c r="I17" s="178" t="str">
        <f>_xlfn.XLOOKUP($B17,COA!$B:$B,COA!$D:$D,0,0,1)</f>
        <v>Prepaid expenses</v>
      </c>
      <c r="J17" s="178" t="str">
        <f>_xlfn.XLOOKUP($B17,COA!$B:$B,COA!$E:$E,0,0,1)</f>
        <v>Prepaid expenses</v>
      </c>
      <c r="K17" s="80"/>
      <c r="M17" s="85" t="e">
        <f>_xlfn.XLOOKUP(J17,#REF!,#REF!,0,0,1)</f>
        <v>#REF!</v>
      </c>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row>
    <row r="18" spans="1:42" x14ac:dyDescent="0.25">
      <c r="A18" s="50"/>
      <c r="B18" s="155" t="str">
        <f>COA!B20</f>
        <v>1300 Current portion of loan receivable</v>
      </c>
      <c r="C18" s="127" t="e">
        <f>_xlfn.XLOOKUP(B18,#REF!,#REF!,0,0,1)</f>
        <v>#REF!</v>
      </c>
      <c r="D18" s="127"/>
      <c r="E18" s="127" t="e">
        <f>_xlfn.XLOOKUP(B18,#REF!,#REF!,0,0,1)</f>
        <v>#REF!</v>
      </c>
      <c r="F18" s="127"/>
      <c r="G18" s="219" t="e">
        <f t="shared" si="0"/>
        <v>#REF!</v>
      </c>
      <c r="H18" s="178" t="str">
        <f>_xlfn.XLOOKUP($B18,COA!$B:$B,COA!$C:$C,0,0,1)</f>
        <v>Current portion of loan receivable</v>
      </c>
      <c r="I18" s="178" t="str">
        <f>_xlfn.XLOOKUP($B18,COA!$B:$B,COA!$D:$D,0,0,1)</f>
        <v>Current portion of loan receivable</v>
      </c>
      <c r="J18" s="178" t="str">
        <f>_xlfn.XLOOKUP($B18,COA!$B:$B,COA!$E:$E,0,0,1)</f>
        <v>Current portion of loan receivable</v>
      </c>
      <c r="K18" s="80"/>
      <c r="M18" s="85" t="e">
        <f>_xlfn.XLOOKUP(J18,#REF!,#REF!,0,0,1)</f>
        <v>#REF!</v>
      </c>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row>
    <row r="19" spans="1:42" x14ac:dyDescent="0.25">
      <c r="A19" s="50"/>
      <c r="B19" s="155" t="str">
        <f>COA!B21</f>
        <v>1400 Other current assets</v>
      </c>
      <c r="C19" s="127" t="e">
        <f>_xlfn.XLOOKUP(B19,#REF!,#REF!,0,0,1)</f>
        <v>#REF!</v>
      </c>
      <c r="D19" s="127"/>
      <c r="E19" s="127" t="e">
        <f>_xlfn.XLOOKUP(B19,#REF!,#REF!,0,0,1)</f>
        <v>#REF!</v>
      </c>
      <c r="F19" s="127"/>
      <c r="G19" s="219" t="e">
        <f t="shared" si="0"/>
        <v>#REF!</v>
      </c>
      <c r="H19" s="178" t="str">
        <f>_xlfn.XLOOKUP($B19,COA!$B:$B,COA!$C:$C,0,0,1)</f>
        <v>Other current assets</v>
      </c>
      <c r="I19" s="178" t="str">
        <f>_xlfn.XLOOKUP($B19,COA!$B:$B,COA!$D:$D,0,0,1)</f>
        <v>Other current assets</v>
      </c>
      <c r="J19" s="178" t="str">
        <f>_xlfn.XLOOKUP($B19,COA!$B:$B,COA!$E:$E,0,0,1)</f>
        <v>Other current assets</v>
      </c>
      <c r="K19" s="80"/>
      <c r="M19" s="85" t="e">
        <f>_xlfn.XLOOKUP(J19,#REF!,#REF!,0,0,1)</f>
        <v>#REF!</v>
      </c>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row>
    <row r="20" spans="1:42" x14ac:dyDescent="0.25">
      <c r="A20" s="50"/>
      <c r="B20" s="155" t="str">
        <f>COA!B24</f>
        <v>1500 Payroll Advances Receivable</v>
      </c>
      <c r="C20" s="127" t="e">
        <f>_xlfn.XLOOKUP(B20,#REF!,#REF!,0,0,1)</f>
        <v>#REF!</v>
      </c>
      <c r="D20" s="127"/>
      <c r="E20" s="127" t="e">
        <f>_xlfn.XLOOKUP(B20,#REF!,#REF!,0,0,1)</f>
        <v>#REF!</v>
      </c>
      <c r="F20" s="127"/>
      <c r="G20" s="219" t="e">
        <f t="shared" si="0"/>
        <v>#REF!</v>
      </c>
      <c r="H20" s="178" t="str">
        <f>_xlfn.XLOOKUP($B20,COA!$B:$B,COA!$C:$C,0,0,1)</f>
        <v>Receivables</v>
      </c>
      <c r="I20" s="178" t="str">
        <f>_xlfn.XLOOKUP($B20,COA!$B:$B,COA!$D:$D,0,0,1)</f>
        <v>Receivables</v>
      </c>
      <c r="J20" s="178" t="str">
        <f>_xlfn.XLOOKUP($B20,COA!$B:$B,COA!$E:$E,0,0,1)</f>
        <v>Receivables</v>
      </c>
      <c r="K20" s="80"/>
      <c r="M20" s="85" t="e">
        <f>_xlfn.XLOOKUP(J20,#REF!,#REF!,0,0,1)</f>
        <v>#REF!</v>
      </c>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row>
    <row r="21" spans="1:42" x14ac:dyDescent="0.25">
      <c r="A21" s="50"/>
      <c r="B21" s="155" t="str">
        <f>COA!B27</f>
        <v>1800 Computer Equipment</v>
      </c>
      <c r="C21" s="127" t="e">
        <f>_xlfn.XLOOKUP(B21,#REF!,#REF!,0,0,1)</f>
        <v>#REF!</v>
      </c>
      <c r="D21" s="127"/>
      <c r="E21" s="127" t="e">
        <f>_xlfn.XLOOKUP(B21,#REF!,#REF!,0,0,1)</f>
        <v>#REF!</v>
      </c>
      <c r="F21" s="127"/>
      <c r="G21" s="219" t="e">
        <f t="shared" si="0"/>
        <v>#REF!</v>
      </c>
      <c r="H21" s="178" t="str">
        <f>_xlfn.XLOOKUP($B21,COA!$B:$B,COA!$C:$C,0,0,1)</f>
        <v>Equipment</v>
      </c>
      <c r="I21" s="178" t="str">
        <f>_xlfn.XLOOKUP($B21,COA!$B:$B,COA!$D:$D,0,0,1)</f>
        <v>Equipment</v>
      </c>
      <c r="J21" s="178" t="str">
        <f>_xlfn.XLOOKUP($B21,COA!$B:$B,COA!$E:$E,0,0,1)</f>
        <v>Equipment</v>
      </c>
      <c r="K21" s="80"/>
      <c r="M21" s="85" t="e">
        <f>_xlfn.XLOOKUP(J21,#REF!,#REF!,0,0,1)</f>
        <v>#REF!</v>
      </c>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row>
    <row r="22" spans="1:42" x14ac:dyDescent="0.25">
      <c r="A22" s="50"/>
      <c r="B22" s="155" t="str">
        <f>COA!B28</f>
        <v>1801 Computer Equipment:Accumulated Depreciation</v>
      </c>
      <c r="C22" s="127" t="e">
        <f>_xlfn.XLOOKUP(B22,#REF!,#REF!,0,0,1)</f>
        <v>#REF!</v>
      </c>
      <c r="D22" s="127"/>
      <c r="E22" s="127" t="e">
        <f>_xlfn.XLOOKUP(B22,#REF!,#REF!,0,0,1)</f>
        <v>#REF!</v>
      </c>
      <c r="F22" s="127"/>
      <c r="G22" s="219" t="e">
        <f t="shared" si="0"/>
        <v>#REF!</v>
      </c>
      <c r="H22" s="178" t="str">
        <f>_xlfn.XLOOKUP($B22,COA!$B:$B,COA!$C:$C,0,0,1)</f>
        <v>Equipment</v>
      </c>
      <c r="I22" s="178" t="str">
        <f>_xlfn.XLOOKUP($B22,COA!$B:$B,COA!$D:$D,0,0,1)</f>
        <v>Equipment</v>
      </c>
      <c r="J22" s="178" t="str">
        <f>_xlfn.XLOOKUP($B22,COA!$B:$B,COA!$E:$E,0,0,1)</f>
        <v>Equipment</v>
      </c>
      <c r="K22" s="80"/>
      <c r="M22" s="85" t="e">
        <f>_xlfn.XLOOKUP(J22,#REF!,#REF!,0,0,1)</f>
        <v>#REF!</v>
      </c>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row>
    <row r="23" spans="1:42" x14ac:dyDescent="0.25">
      <c r="A23" s="50"/>
      <c r="B23" s="155" t="str">
        <f>COA!B29</f>
        <v>1810 Office Furniture</v>
      </c>
      <c r="C23" s="127" t="e">
        <f>_xlfn.XLOOKUP(B23,#REF!,#REF!,0,0,1)</f>
        <v>#REF!</v>
      </c>
      <c r="D23" s="127"/>
      <c r="E23" s="127" t="e">
        <f>_xlfn.XLOOKUP(B23,#REF!,#REF!,0,0,1)</f>
        <v>#REF!</v>
      </c>
      <c r="F23" s="127"/>
      <c r="G23" s="219" t="e">
        <f t="shared" si="0"/>
        <v>#REF!</v>
      </c>
      <c r="H23" s="178" t="str">
        <f>_xlfn.XLOOKUP($B23,COA!$B:$B,COA!$C:$C,0,0,1)</f>
        <v>Equipment</v>
      </c>
      <c r="I23" s="178" t="str">
        <f>_xlfn.XLOOKUP($B23,COA!$B:$B,COA!$D:$D,0,0,1)</f>
        <v>Equipment</v>
      </c>
      <c r="J23" s="178" t="str">
        <f>_xlfn.XLOOKUP($B23,COA!$B:$B,COA!$E:$E,0,0,1)</f>
        <v>Equipment</v>
      </c>
      <c r="K23" s="80"/>
      <c r="M23" s="85" t="e">
        <f>_xlfn.XLOOKUP(J23,#REF!,#REF!,0,0,1)</f>
        <v>#REF!</v>
      </c>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row>
    <row r="24" spans="1:42" x14ac:dyDescent="0.25">
      <c r="A24" s="50"/>
      <c r="B24" s="155" t="str">
        <f>COA!B31</f>
        <v>1900 Shop Equipment</v>
      </c>
      <c r="C24" s="127" t="e">
        <f>_xlfn.XLOOKUP(B24,#REF!,#REF!,0,0,1)</f>
        <v>#REF!</v>
      </c>
      <c r="D24" s="127"/>
      <c r="E24" s="127" t="e">
        <f>_xlfn.XLOOKUP(B24,#REF!,#REF!,0,0,1)</f>
        <v>#REF!</v>
      </c>
      <c r="F24" s="127"/>
      <c r="G24" s="219" t="e">
        <f t="shared" si="0"/>
        <v>#REF!</v>
      </c>
      <c r="H24" s="178" t="str">
        <f>_xlfn.XLOOKUP($B24,COA!$B:$B,COA!$C:$C,0,0,1)</f>
        <v>Equipment</v>
      </c>
      <c r="I24" s="178" t="str">
        <f>_xlfn.XLOOKUP($B24,COA!$B:$B,COA!$D:$D,0,0,1)</f>
        <v>Equipment</v>
      </c>
      <c r="J24" s="178" t="str">
        <f>_xlfn.XLOOKUP($B24,COA!$B:$B,COA!$E:$E,0,0,1)</f>
        <v>Equipment</v>
      </c>
      <c r="K24" s="80"/>
      <c r="M24" s="85" t="e">
        <f>_xlfn.XLOOKUP(J24,#REF!,#REF!,0,0,1)</f>
        <v>#REF!</v>
      </c>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row>
    <row r="25" spans="1:42" x14ac:dyDescent="0.25">
      <c r="A25" s="50"/>
      <c r="B25" s="155" t="str">
        <f>COA!B32</f>
        <v>1901 Shop Equipment:Accum deprec - shop equipment</v>
      </c>
      <c r="C25" s="127" t="e">
        <f>_xlfn.XLOOKUP(B25,#REF!,#REF!,0,0,1)</f>
        <v>#REF!</v>
      </c>
      <c r="D25" s="127"/>
      <c r="E25" s="127" t="e">
        <f>_xlfn.XLOOKUP(B25,#REF!,#REF!,0,0,1)</f>
        <v>#REF!</v>
      </c>
      <c r="F25" s="127"/>
      <c r="G25" s="219" t="e">
        <f t="shared" si="0"/>
        <v>#REF!</v>
      </c>
      <c r="H25" s="178" t="str">
        <f>_xlfn.XLOOKUP($B25,COA!$B:$B,COA!$C:$C,0,0,1)</f>
        <v>Equipment</v>
      </c>
      <c r="I25" s="178" t="str">
        <f>_xlfn.XLOOKUP($B25,COA!$B:$B,COA!$D:$D,0,0,1)</f>
        <v>Equipment</v>
      </c>
      <c r="J25" s="178" t="str">
        <f>_xlfn.XLOOKUP($B25,COA!$B:$B,COA!$E:$E,0,0,1)</f>
        <v>Equipment</v>
      </c>
      <c r="K25" s="80"/>
      <c r="M25" s="85" t="e">
        <f>_xlfn.XLOOKUP(J25,#REF!,#REF!,0,0,1)</f>
        <v>#REF!</v>
      </c>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row>
    <row r="26" spans="1:42" x14ac:dyDescent="0.25">
      <c r="A26" s="50"/>
      <c r="B26" s="155" t="str">
        <f>COA!B33</f>
        <v>1999 Uncategorized Asset</v>
      </c>
      <c r="C26" s="127" t="e">
        <f>_xlfn.XLOOKUP(B26,#REF!,#REF!,0,0,1)</f>
        <v>#REF!</v>
      </c>
      <c r="D26" s="127"/>
      <c r="E26" s="127" t="e">
        <f>_xlfn.XLOOKUP(B26,#REF!,#REF!,0,0,1)</f>
        <v>#REF!</v>
      </c>
      <c r="F26" s="127"/>
      <c r="G26" s="219" t="e">
        <f t="shared" si="0"/>
        <v>#REF!</v>
      </c>
      <c r="H26" s="178" t="str">
        <f>_xlfn.XLOOKUP($B26,COA!$B:$B,COA!$C:$C,0,0,1)</f>
        <v>Other current assets</v>
      </c>
      <c r="I26" s="178" t="str">
        <f>_xlfn.XLOOKUP($B26,COA!$B:$B,COA!$D:$D,0,0,1)</f>
        <v>Other current assets</v>
      </c>
      <c r="J26" s="178" t="str">
        <f>_xlfn.XLOOKUP($B26,COA!$B:$B,COA!$E:$E,0,0,1)</f>
        <v>Other current assets</v>
      </c>
      <c r="K26" s="80"/>
      <c r="M26" s="85" t="e">
        <f>_xlfn.XLOOKUP(J26,#REF!,#REF!,0,0,1)</f>
        <v>#REF!</v>
      </c>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row>
    <row r="27" spans="1:42" x14ac:dyDescent="0.25">
      <c r="A27" s="50"/>
      <c r="B27" s="155" t="str">
        <f>COA!B34</f>
        <v>2000 Accounts Payable (A/P)</v>
      </c>
      <c r="C27" s="127" t="e">
        <f>_xlfn.XLOOKUP(B27,#REF!,#REF!,0,0,1)</f>
        <v>#REF!</v>
      </c>
      <c r="D27" s="127"/>
      <c r="E27" s="127" t="e">
        <f>_xlfn.XLOOKUP(B27,#REF!,#REF!,0,0,1)</f>
        <v>#REF!</v>
      </c>
      <c r="F27" s="127"/>
      <c r="G27" s="219" t="e">
        <f t="shared" si="0"/>
        <v>#REF!</v>
      </c>
      <c r="H27" s="178" t="str">
        <f>_xlfn.XLOOKUP($B27,COA!$B:$B,COA!$C:$C,0,0,1)</f>
        <v>Accounts payables and accrued liabilities</v>
      </c>
      <c r="I27" s="178" t="str">
        <f>_xlfn.XLOOKUP($B27,COA!$B:$B,COA!$D:$D,0,0,1)</f>
        <v>Accounts payables and accrued liabilities</v>
      </c>
      <c r="J27" s="178" t="str">
        <f>_xlfn.XLOOKUP($B27,COA!$B:$B,COA!$E:$E,0,0,1)</f>
        <v>Accounts payables and accrued liabilities</v>
      </c>
      <c r="K27" s="80"/>
      <c r="M27" s="85" t="e">
        <f>_xlfn.XLOOKUP(J27,#REF!,#REF!,0,0,1)</f>
        <v>#REF!</v>
      </c>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row>
    <row r="28" spans="1:42" x14ac:dyDescent="0.25">
      <c r="A28" s="50"/>
      <c r="B28" s="155" t="str">
        <f>COA!B35</f>
        <v>2000 Accounts Payable</v>
      </c>
      <c r="C28" s="127" t="e">
        <f>_xlfn.XLOOKUP(B28,#REF!,#REF!,0,0,1)</f>
        <v>#REF!</v>
      </c>
      <c r="D28" s="127"/>
      <c r="E28" s="127" t="e">
        <f>_xlfn.XLOOKUP(B28,#REF!,#REF!,0,0,1)</f>
        <v>#REF!</v>
      </c>
      <c r="F28" s="127"/>
      <c r="G28" s="219" t="e">
        <f t="shared" si="0"/>
        <v>#REF!</v>
      </c>
      <c r="H28" s="178" t="str">
        <f>_xlfn.XLOOKUP($B28,COA!$B:$B,COA!$C:$C,0,0,1)</f>
        <v>Accounts payables and accrued liabilities</v>
      </c>
      <c r="I28" s="178" t="str">
        <f>_xlfn.XLOOKUP($B28,COA!$B:$B,COA!$D:$D,0,0,1)</f>
        <v>Accounts payables and accrued liabilities</v>
      </c>
      <c r="J28" s="178" t="str">
        <f>_xlfn.XLOOKUP($B28,COA!$B:$B,COA!$E:$E,0,0,1)</f>
        <v>Accounts payables and accrued liabilities</v>
      </c>
      <c r="K28" s="80"/>
      <c r="M28" s="85" t="e">
        <f>_xlfn.XLOOKUP(J28,#REF!,#REF!,0,0,1)</f>
        <v>#REF!</v>
      </c>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row>
    <row r="29" spans="1:42" x14ac:dyDescent="0.25">
      <c r="A29" s="50"/>
      <c r="B29" s="155" t="str">
        <f>COA!B36</f>
        <v>2001 Accounts Payable (A/P) - USD</v>
      </c>
      <c r="C29" s="127" t="e">
        <f>_xlfn.XLOOKUP(B29,#REF!,#REF!,0,0,1)</f>
        <v>#REF!</v>
      </c>
      <c r="D29" s="127"/>
      <c r="E29" s="127" t="e">
        <f>_xlfn.XLOOKUP(B29,#REF!,#REF!,0,0,1)</f>
        <v>#REF!</v>
      </c>
      <c r="F29" s="127"/>
      <c r="G29" s="219" t="e">
        <f t="shared" si="0"/>
        <v>#REF!</v>
      </c>
      <c r="H29" s="178" t="str">
        <f>_xlfn.XLOOKUP($B29,COA!$B:$B,COA!$C:$C,0,0,1)</f>
        <v>Accounts payables and accrued liabilities</v>
      </c>
      <c r="I29" s="178" t="str">
        <f>_xlfn.XLOOKUP($B29,COA!$B:$B,COA!$D:$D,0,0,1)</f>
        <v>Accounts payables and accrued liabilities</v>
      </c>
      <c r="J29" s="178" t="str">
        <f>_xlfn.XLOOKUP($B29,COA!$B:$B,COA!$E:$E,0,0,1)</f>
        <v>Accounts payables and accrued liabilities</v>
      </c>
      <c r="K29" s="80"/>
      <c r="M29" s="85" t="e">
        <f>_xlfn.XLOOKUP(J29,#REF!,#REF!,0,0,1)</f>
        <v>#REF!</v>
      </c>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row>
    <row r="30" spans="1:42" x14ac:dyDescent="0.25">
      <c r="A30" s="50"/>
      <c r="B30" s="155" t="str">
        <f>COA!B37</f>
        <v>2010 Accrued Liabilities</v>
      </c>
      <c r="C30" s="127" t="e">
        <f>_xlfn.XLOOKUP(B30,#REF!,#REF!,0,0,1)</f>
        <v>#REF!</v>
      </c>
      <c r="D30" s="127"/>
      <c r="E30" s="127" t="e">
        <f>_xlfn.XLOOKUP(B30,#REF!,#REF!,0,0,1)</f>
        <v>#REF!</v>
      </c>
      <c r="F30" s="127"/>
      <c r="G30" s="219" t="e">
        <f t="shared" si="0"/>
        <v>#REF!</v>
      </c>
      <c r="H30" s="178" t="str">
        <f>_xlfn.XLOOKUP($B30,COA!$B:$B,COA!$C:$C,0,0,1)</f>
        <v>Accounts payables and accrued liabilities</v>
      </c>
      <c r="I30" s="178" t="str">
        <f>_xlfn.XLOOKUP($B30,COA!$B:$B,COA!$D:$D,0,0,1)</f>
        <v>Accounts payables and accrued liabilities</v>
      </c>
      <c r="J30" s="178" t="str">
        <f>_xlfn.XLOOKUP($B30,COA!$B:$B,COA!$E:$E,0,0,1)</f>
        <v>Accounts payables and accrued liabilities</v>
      </c>
      <c r="K30" s="80"/>
      <c r="M30" s="85" t="e">
        <f>_xlfn.XLOOKUP(J30,#REF!,#REF!,0,0,1)</f>
        <v>#REF!</v>
      </c>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row>
    <row r="31" spans="1:42" x14ac:dyDescent="0.25">
      <c r="A31" s="50"/>
      <c r="B31" s="155" t="str">
        <f>COA!B38</f>
        <v>2030 Cutomer prepayments</v>
      </c>
      <c r="C31" s="127" t="e">
        <f>_xlfn.XLOOKUP(B31,#REF!,#REF!,0,0,1)</f>
        <v>#REF!</v>
      </c>
      <c r="D31" s="127"/>
      <c r="E31" s="127" t="e">
        <f>_xlfn.XLOOKUP(B31,#REF!,#REF!,0,0,1)</f>
        <v>#REF!</v>
      </c>
      <c r="F31" s="127"/>
      <c r="G31" s="219" t="e">
        <f t="shared" si="0"/>
        <v>#REF!</v>
      </c>
      <c r="H31" s="178" t="str">
        <f>_xlfn.XLOOKUP($B31,COA!$B:$B,COA!$C:$C,0,0,1)</f>
        <v>Deferred revenue</v>
      </c>
      <c r="I31" s="178" t="str">
        <f>_xlfn.XLOOKUP($B31,COA!$B:$B,COA!$D:$D,0,0,1)</f>
        <v>Deferred revenue</v>
      </c>
      <c r="J31" s="178" t="str">
        <f>_xlfn.XLOOKUP($B31,COA!$B:$B,COA!$E:$E,0,0,1)</f>
        <v>Deferred revenue</v>
      </c>
      <c r="K31" s="80"/>
      <c r="M31" s="85" t="e">
        <f>_xlfn.XLOOKUP(J31,#REF!,#REF!,0,0,1)</f>
        <v>#REF!</v>
      </c>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row>
    <row r="32" spans="1:42" x14ac:dyDescent="0.25">
      <c r="A32" s="50"/>
      <c r="B32" s="155" t="str">
        <f>COA!B41</f>
        <v>2100 Accrued Liabilities</v>
      </c>
      <c r="C32" s="127" t="e">
        <f>_xlfn.XLOOKUP(B32,#REF!,#REF!,0,0,1)</f>
        <v>#REF!</v>
      </c>
      <c r="D32" s="127"/>
      <c r="E32" s="127" t="e">
        <f>_xlfn.XLOOKUP(B32,#REF!,#REF!,0,0,1)</f>
        <v>#REF!</v>
      </c>
      <c r="F32" s="127"/>
      <c r="G32" s="219" t="e">
        <f t="shared" si="0"/>
        <v>#REF!</v>
      </c>
      <c r="H32" s="178" t="str">
        <f>_xlfn.XLOOKUP($B32,COA!$B:$B,COA!$C:$C,0,0,1)</f>
        <v>Accounts payables and accrued liabilities</v>
      </c>
      <c r="I32" s="178" t="str">
        <f>_xlfn.XLOOKUP($B32,COA!$B:$B,COA!$D:$D,0,0,1)</f>
        <v>Accounts payables and accrued liabilities</v>
      </c>
      <c r="J32" s="178" t="str">
        <f>_xlfn.XLOOKUP($B32,COA!$B:$B,COA!$E:$E,0,0,1)</f>
        <v>Accounts payables and accrued liabilities</v>
      </c>
      <c r="K32" s="80"/>
      <c r="M32" s="85" t="e">
        <f>_xlfn.XLOOKUP(J32,#REF!,#REF!,0,0,1)</f>
        <v>#REF!</v>
      </c>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row>
    <row r="33" spans="1:42" x14ac:dyDescent="0.25">
      <c r="A33" s="50"/>
      <c r="B33" s="155" t="str">
        <f>COA!B42</f>
        <v>2100 Payroll Liabilities</v>
      </c>
      <c r="C33" s="127" t="e">
        <f>_xlfn.XLOOKUP(B33,#REF!,#REF!,0,0,1)</f>
        <v>#REF!</v>
      </c>
      <c r="D33" s="127"/>
      <c r="E33" s="127" t="e">
        <f>_xlfn.XLOOKUP(B33,#REF!,#REF!,0,0,1)</f>
        <v>#REF!</v>
      </c>
      <c r="F33" s="127"/>
      <c r="G33" s="219" t="e">
        <f t="shared" si="0"/>
        <v>#REF!</v>
      </c>
      <c r="H33" s="178" t="str">
        <f>_xlfn.XLOOKUP($B33,COA!$B:$B,COA!$C:$C,0,0,1)</f>
        <v>Payroll liabilities</v>
      </c>
      <c r="I33" s="178" t="str">
        <f>_xlfn.XLOOKUP($B33,COA!$B:$B,COA!$D:$D,0,0,1)</f>
        <v>Payroll liabilities</v>
      </c>
      <c r="J33" s="178" t="str">
        <f>_xlfn.XLOOKUP($B33,COA!$B:$B,COA!$E:$E,0,0,1)</f>
        <v>Payroll liabilities</v>
      </c>
      <c r="K33" s="80"/>
      <c r="M33" s="85" t="e">
        <f>_xlfn.XLOOKUP(J33,#REF!,#REF!,0,0,1)</f>
        <v>#REF!</v>
      </c>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row>
    <row r="34" spans="1:42" x14ac:dyDescent="0.25">
      <c r="A34" s="50"/>
      <c r="B34" s="155" t="str">
        <f>COA!B43</f>
        <v>2110 Payroll Liabilities:Payroll Taxes</v>
      </c>
      <c r="C34" s="127" t="e">
        <f>_xlfn.XLOOKUP(B34,#REF!,#REF!,0,0,1)</f>
        <v>#REF!</v>
      </c>
      <c r="D34" s="127"/>
      <c r="E34" s="127" t="e">
        <f>_xlfn.XLOOKUP(B34,#REF!,#REF!,0,0,1)</f>
        <v>#REF!</v>
      </c>
      <c r="F34" s="127"/>
      <c r="G34" s="219" t="e">
        <f t="shared" si="0"/>
        <v>#REF!</v>
      </c>
      <c r="H34" s="178" t="str">
        <f>_xlfn.XLOOKUP($B34,COA!$B:$B,COA!$C:$C,0,0,1)</f>
        <v>Payroll liabilities</v>
      </c>
      <c r="I34" s="178" t="str">
        <f>_xlfn.XLOOKUP($B34,COA!$B:$B,COA!$D:$D,0,0,1)</f>
        <v>Payroll liabilities</v>
      </c>
      <c r="J34" s="178" t="str">
        <f>_xlfn.XLOOKUP($B34,COA!$B:$B,COA!$E:$E,0,0,1)</f>
        <v>Payroll liabilities</v>
      </c>
      <c r="K34" s="80"/>
      <c r="M34" s="85" t="e">
        <f>_xlfn.XLOOKUP(J34,#REF!,#REF!,0,0,1)</f>
        <v>#REF!</v>
      </c>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row>
    <row r="35" spans="1:42" x14ac:dyDescent="0.25">
      <c r="A35" s="50"/>
      <c r="B35" s="155" t="str">
        <f>COA!B44</f>
        <v>2120 Payroll Liabilities:Vacation Pay Due</v>
      </c>
      <c r="C35" s="127" t="e">
        <f>_xlfn.XLOOKUP(B35,#REF!,#REF!,0,0,1)</f>
        <v>#REF!</v>
      </c>
      <c r="D35" s="127"/>
      <c r="E35" s="127" t="e">
        <f>_xlfn.XLOOKUP(B35,#REF!,#REF!,0,0,1)</f>
        <v>#REF!</v>
      </c>
      <c r="F35" s="127"/>
      <c r="G35" s="219" t="e">
        <f t="shared" si="0"/>
        <v>#REF!</v>
      </c>
      <c r="H35" s="178" t="str">
        <f>_xlfn.XLOOKUP($B35,COA!$B:$B,COA!$C:$C,0,0,1)</f>
        <v>Payroll liabilities</v>
      </c>
      <c r="I35" s="178" t="str">
        <f>_xlfn.XLOOKUP($B35,COA!$B:$B,COA!$D:$D,0,0,1)</f>
        <v>Payroll liabilities</v>
      </c>
      <c r="J35" s="178" t="str">
        <f>_xlfn.XLOOKUP($B35,COA!$B:$B,COA!$E:$E,0,0,1)</f>
        <v>Payroll liabilities</v>
      </c>
      <c r="K35" s="80"/>
      <c r="M35" s="85" t="e">
        <f>_xlfn.XLOOKUP(J35,#REF!,#REF!,0,0,1)</f>
        <v>#REF!</v>
      </c>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row>
    <row r="36" spans="1:42" x14ac:dyDescent="0.25">
      <c r="A36" s="50"/>
      <c r="B36" s="155" t="str">
        <f>COA!B45</f>
        <v>2130 Payroll Liabilities:WCB to be paid/(refunded)</v>
      </c>
      <c r="C36" s="127" t="e">
        <f>_xlfn.XLOOKUP(B36,#REF!,#REF!,0,0,1)</f>
        <v>#REF!</v>
      </c>
      <c r="D36" s="127"/>
      <c r="E36" s="127" t="e">
        <f>_xlfn.XLOOKUP(B36,#REF!,#REF!,0,0,1)</f>
        <v>#REF!</v>
      </c>
      <c r="F36" s="127"/>
      <c r="G36" s="219" t="e">
        <f t="shared" si="0"/>
        <v>#REF!</v>
      </c>
      <c r="H36" s="178" t="str">
        <f>_xlfn.XLOOKUP($B36,COA!$B:$B,COA!$C:$C,0,0,1)</f>
        <v>Payroll liabilities</v>
      </c>
      <c r="I36" s="178" t="str">
        <f>_xlfn.XLOOKUP($B36,COA!$B:$B,COA!$D:$D,0,0,1)</f>
        <v>Sales tax receivable</v>
      </c>
      <c r="J36" s="178" t="str">
        <f>_xlfn.XLOOKUP($B36,COA!$B:$B,COA!$E:$E,0,0,1)</f>
        <v>Payroll liabilities</v>
      </c>
      <c r="K36" s="80"/>
      <c r="M36" s="85" t="e">
        <f>_xlfn.XLOOKUP(J36,#REF!,#REF!,0,0,1)</f>
        <v>#REF!</v>
      </c>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row>
    <row r="37" spans="1:42" x14ac:dyDescent="0.25">
      <c r="A37" s="50"/>
      <c r="B37" s="155" t="str">
        <f>COA!B46</f>
        <v>2140 Payroll Liabilities:Vacation Pay Payable</v>
      </c>
      <c r="C37" s="127" t="e">
        <f>_xlfn.XLOOKUP(B37,#REF!,#REF!,0,0,1)</f>
        <v>#REF!</v>
      </c>
      <c r="D37" s="127"/>
      <c r="E37" s="127" t="e">
        <f>_xlfn.XLOOKUP(B37,#REF!,#REF!,0,0,1)</f>
        <v>#REF!</v>
      </c>
      <c r="F37" s="127"/>
      <c r="G37" s="219" t="e">
        <f t="shared" si="0"/>
        <v>#REF!</v>
      </c>
      <c r="H37" s="178" t="str">
        <f>_xlfn.XLOOKUP($B37,COA!$B:$B,COA!$C:$C,0,0,1)</f>
        <v>Payroll liabilities</v>
      </c>
      <c r="I37" s="178" t="str">
        <f>_xlfn.XLOOKUP($B37,COA!$B:$B,COA!$D:$D,0,0,1)</f>
        <v>Sales tax receivable</v>
      </c>
      <c r="J37" s="178" t="str">
        <f>_xlfn.XLOOKUP($B37,COA!$B:$B,COA!$E:$E,0,0,1)</f>
        <v>Payroll liabilities</v>
      </c>
      <c r="K37" s="80"/>
      <c r="M37" s="85" t="e">
        <f>_xlfn.XLOOKUP(J37,#REF!,#REF!,0,0,1)</f>
        <v>#REF!</v>
      </c>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row>
    <row r="38" spans="1:42" x14ac:dyDescent="0.25">
      <c r="A38" s="50"/>
      <c r="B38" s="155" t="str">
        <f>COA!B47</f>
        <v>2200 PST Payable (BC)</v>
      </c>
      <c r="C38" s="127" t="e">
        <f>_xlfn.XLOOKUP(B38,#REF!,#REF!,0,0,1)</f>
        <v>#REF!</v>
      </c>
      <c r="D38" s="127"/>
      <c r="E38" s="127" t="e">
        <f>_xlfn.XLOOKUP(B38,#REF!,#REF!,0,0,1)</f>
        <v>#REF!</v>
      </c>
      <c r="F38" s="127"/>
      <c r="G38" s="219" t="e">
        <f t="shared" si="0"/>
        <v>#REF!</v>
      </c>
      <c r="H38" s="178" t="str">
        <f>_xlfn.XLOOKUP($B38,COA!$B:$B,COA!$C:$C,0,0,1)</f>
        <v>Sales tax payable</v>
      </c>
      <c r="I38" s="178" t="str">
        <f>_xlfn.XLOOKUP($B38,COA!$B:$B,COA!$D:$D,0,0,1)</f>
        <v>Sales tax payable</v>
      </c>
      <c r="J38" s="178" t="str">
        <f>_xlfn.XLOOKUP($B38,COA!$B:$B,COA!$E:$E,0,0,1)</f>
        <v>Sales tax payable</v>
      </c>
      <c r="K38" s="80"/>
      <c r="M38" s="85" t="e">
        <f>_xlfn.XLOOKUP(J38,#REF!,#REF!,0,0,1)</f>
        <v>#REF!</v>
      </c>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row>
    <row r="39" spans="1:42" x14ac:dyDescent="0.25">
      <c r="A39" s="50"/>
      <c r="B39" s="155" t="str">
        <f>COA!B48</f>
        <v>2200 GST Payable/(Refund)</v>
      </c>
      <c r="C39" s="127" t="e">
        <f>_xlfn.XLOOKUP(B39,#REF!,#REF!,0,0,1)</f>
        <v>#REF!</v>
      </c>
      <c r="D39" s="127"/>
      <c r="E39" s="127" t="e">
        <f>_xlfn.XLOOKUP(B39,#REF!,#REF!,0,0,1)</f>
        <v>#REF!</v>
      </c>
      <c r="F39" s="127"/>
      <c r="G39" s="219" t="e">
        <f t="shared" si="0"/>
        <v>#REF!</v>
      </c>
      <c r="H39" s="178" t="str">
        <f>_xlfn.XLOOKUP($B39,COA!$B:$B,COA!$C:$C,0,0,1)</f>
        <v>Sales tax receivable</v>
      </c>
      <c r="I39" s="178" t="str">
        <f>_xlfn.XLOOKUP($B39,COA!$B:$B,COA!$D:$D,0,0,1)</f>
        <v>Sales tax receivable</v>
      </c>
      <c r="J39" s="178" t="str">
        <f>_xlfn.XLOOKUP($B39,COA!$B:$B,COA!$E:$E,0,0,1)</f>
        <v>Sales tax receivable</v>
      </c>
      <c r="K39" s="80"/>
      <c r="M39" s="85" t="e">
        <f>_xlfn.XLOOKUP(J39,#REF!,#REF!,0,0,1)</f>
        <v>#REF!</v>
      </c>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row>
    <row r="40" spans="1:42" x14ac:dyDescent="0.25">
      <c r="A40" s="50"/>
      <c r="B40" s="155" t="str">
        <f>COA!B50</f>
        <v>2210 GST Payable/(Refund):GST Paid on Purchases</v>
      </c>
      <c r="C40" s="127" t="e">
        <f>_xlfn.XLOOKUP(B40,#REF!,#REF!,0,0,1)</f>
        <v>#REF!</v>
      </c>
      <c r="D40" s="127"/>
      <c r="E40" s="127" t="e">
        <f>_xlfn.XLOOKUP(B40,#REF!,#REF!,0,0,1)</f>
        <v>#REF!</v>
      </c>
      <c r="F40" s="127"/>
      <c r="G40" s="219" t="e">
        <f t="shared" si="0"/>
        <v>#REF!</v>
      </c>
      <c r="H40" s="178" t="str">
        <f>_xlfn.XLOOKUP($B40,COA!$B:$B,COA!$C:$C,0,0,1)</f>
        <v>Sales tax receivable</v>
      </c>
      <c r="I40" s="178" t="str">
        <f>_xlfn.XLOOKUP($B40,COA!$B:$B,COA!$D:$D,0,0,1)</f>
        <v>Sales tax receivable</v>
      </c>
      <c r="J40" s="178" t="str">
        <f>_xlfn.XLOOKUP($B40,COA!$B:$B,COA!$E:$E,0,0,1)</f>
        <v>Sales tax receivable</v>
      </c>
      <c r="K40" s="80"/>
      <c r="M40" s="85" t="e">
        <f>_xlfn.XLOOKUP(J40,#REF!,#REF!,0,0,1)</f>
        <v>#REF!</v>
      </c>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row>
    <row r="41" spans="1:42" x14ac:dyDescent="0.25">
      <c r="A41" s="50"/>
      <c r="B41" s="155" t="str">
        <f>COA!B51</f>
        <v>2220 GST Payable/(Refund):GST Collected on Sales</v>
      </c>
      <c r="C41" s="127" t="e">
        <f>_xlfn.XLOOKUP(B41,#REF!,#REF!,0,0,1)</f>
        <v>#REF!</v>
      </c>
      <c r="D41" s="127"/>
      <c r="E41" s="127" t="e">
        <f>_xlfn.XLOOKUP(B41,#REF!,#REF!,0,0,1)</f>
        <v>#REF!</v>
      </c>
      <c r="F41" s="127"/>
      <c r="G41" s="219" t="e">
        <f t="shared" si="0"/>
        <v>#REF!</v>
      </c>
      <c r="H41" s="178" t="str">
        <f>_xlfn.XLOOKUP($B41,COA!$B:$B,COA!$C:$C,0,0,1)</f>
        <v>Sales tax receivable</v>
      </c>
      <c r="I41" s="178" t="str">
        <f>_xlfn.XLOOKUP($B41,COA!$B:$B,COA!$D:$D,0,0,1)</f>
        <v>Sales tax receivable</v>
      </c>
      <c r="J41" s="178" t="str">
        <f>_xlfn.XLOOKUP($B41,COA!$B:$B,COA!$E:$E,0,0,1)</f>
        <v>Sales tax receivable</v>
      </c>
      <c r="K41" s="80"/>
      <c r="M41" s="85" t="e">
        <f>_xlfn.XLOOKUP(J41,#REF!,#REF!,0,0,1)</f>
        <v>#REF!</v>
      </c>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row>
    <row r="42" spans="1:42" x14ac:dyDescent="0.25">
      <c r="A42" s="260"/>
      <c r="B42" s="160" t="str">
        <f>COA!B52</f>
        <v>2210 GST/HST Payable</v>
      </c>
      <c r="C42" s="58" t="e">
        <f>_xlfn.XLOOKUP(B42,#REF!,#REF!,0,0,1)</f>
        <v>#REF!</v>
      </c>
      <c r="D42" s="58"/>
      <c r="E42" s="58" t="e">
        <f>_xlfn.XLOOKUP(B42,#REF!,#REF!,0,0,1)</f>
        <v>#REF!</v>
      </c>
      <c r="F42" s="58"/>
      <c r="G42" s="57" t="e">
        <f t="shared" si="0"/>
        <v>#REF!</v>
      </c>
      <c r="H42" s="179" t="str">
        <f>_xlfn.XLOOKUP($B42,COA!$B:$B,COA!$C:$C,0,0,1)</f>
        <v>Sales tax payable</v>
      </c>
      <c r="I42" s="178" t="str">
        <f>_xlfn.XLOOKUP($B42,COA!$B:$B,COA!$D:$D,0,0,1)</f>
        <v>Sales tax payable</v>
      </c>
      <c r="J42" s="178" t="str">
        <f>_xlfn.XLOOKUP($B42,COA!$B:$B,COA!$E:$E,0,0,1)</f>
        <v>Sales tax payable</v>
      </c>
      <c r="K42" s="80"/>
      <c r="M42" s="85" t="e">
        <f>_xlfn.XLOOKUP(J42,#REF!,#REF!,0,0,1)</f>
        <v>#REF!</v>
      </c>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row>
    <row r="43" spans="1:42" x14ac:dyDescent="0.25">
      <c r="A43" s="50"/>
      <c r="B43" s="155" t="str">
        <f>COA!B53</f>
        <v>2230 GST Payable/(Refund):GST to Paid/(refunded)</v>
      </c>
      <c r="C43" s="127" t="e">
        <f>_xlfn.XLOOKUP(B43,#REF!,#REF!,0,0,1)</f>
        <v>#REF!</v>
      </c>
      <c r="D43" s="127"/>
      <c r="E43" s="127" t="e">
        <f>_xlfn.XLOOKUP(B43,#REF!,#REF!,0,0,1)</f>
        <v>#REF!</v>
      </c>
      <c r="F43" s="127"/>
      <c r="G43" s="219" t="e">
        <f t="shared" si="0"/>
        <v>#REF!</v>
      </c>
      <c r="H43" s="178" t="str">
        <f>_xlfn.XLOOKUP($B43,COA!$B:$B,COA!$C:$C,0,0,1)</f>
        <v>Sales tax receivable</v>
      </c>
      <c r="I43" s="178" t="str">
        <f>_xlfn.XLOOKUP($B43,COA!$B:$B,COA!$D:$D,0,0,1)</f>
        <v>Sales tax receivable</v>
      </c>
      <c r="J43" s="178" t="str">
        <f>_xlfn.XLOOKUP($B43,COA!$B:$B,COA!$E:$E,0,0,1)</f>
        <v>Sales tax receivable</v>
      </c>
      <c r="K43" s="80"/>
      <c r="M43" s="85" t="e">
        <f>_xlfn.XLOOKUP(J43,#REF!,#REF!,0,0,1)</f>
        <v>#REF!</v>
      </c>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row>
    <row r="44" spans="1:42" x14ac:dyDescent="0.25">
      <c r="A44" s="50"/>
      <c r="B44" s="155" t="str">
        <f>COA!B54</f>
        <v>2211 GST/HST Suspense</v>
      </c>
      <c r="C44" s="127" t="e">
        <f>_xlfn.XLOOKUP(B44,#REF!,#REF!,0,0,1)</f>
        <v>#REF!</v>
      </c>
      <c r="D44" s="127"/>
      <c r="E44" s="127" t="e">
        <f>_xlfn.XLOOKUP(B44,#REF!,#REF!,0,0,1)</f>
        <v>#REF!</v>
      </c>
      <c r="F44" s="127"/>
      <c r="G44" s="219" t="e">
        <f t="shared" si="0"/>
        <v>#REF!</v>
      </c>
      <c r="H44" s="178" t="str">
        <f>_xlfn.XLOOKUP($B44,COA!$B:$B,COA!$C:$C,0,0,1)</f>
        <v>Sales tax payable</v>
      </c>
      <c r="I44" s="178" t="str">
        <f>_xlfn.XLOOKUP($B44,COA!$B:$B,COA!$D:$D,0,0,1)</f>
        <v>Sales tax payable</v>
      </c>
      <c r="J44" s="178" t="str">
        <f>_xlfn.XLOOKUP($B44,COA!$B:$B,COA!$E:$E,0,0,1)</f>
        <v>Sales tax payable</v>
      </c>
      <c r="K44" s="80"/>
      <c r="M44" s="85" t="e">
        <f>_xlfn.XLOOKUP(J44,#REF!,#REF!,0,0,1)</f>
        <v>#REF!</v>
      </c>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row>
    <row r="45" spans="1:42" x14ac:dyDescent="0.25">
      <c r="A45" s="50"/>
      <c r="B45" s="155" t="str">
        <f>COA!B55</f>
        <v>2201 GST and HST Suspense</v>
      </c>
      <c r="C45" s="127" t="e">
        <f>_xlfn.XLOOKUP(B45,#REF!,#REF!,0,0,1)</f>
        <v>#REF!</v>
      </c>
      <c r="D45" s="127"/>
      <c r="E45" s="127" t="e">
        <f>_xlfn.XLOOKUP(B45,#REF!,#REF!,0,0,1)</f>
        <v>#REF!</v>
      </c>
      <c r="F45" s="127"/>
      <c r="G45" s="219" t="e">
        <f t="shared" si="0"/>
        <v>#REF!</v>
      </c>
      <c r="H45" s="178" t="str">
        <f>_xlfn.XLOOKUP($B45,COA!$B:$B,COA!$C:$C,0,0,1)</f>
        <v>Sales tax receivable</v>
      </c>
      <c r="I45" s="178" t="str">
        <f>_xlfn.XLOOKUP($B45,COA!$B:$B,COA!$D:$D,0,0,1)</f>
        <v>Sales tax receivable</v>
      </c>
      <c r="J45" s="178" t="str">
        <f>_xlfn.XLOOKUP($B45,COA!$B:$B,COA!$E:$E,0,0,1)</f>
        <v>Sales tax receivable</v>
      </c>
      <c r="K45" s="80"/>
      <c r="M45" s="85" t="e">
        <f>_xlfn.XLOOKUP(J45,#REF!,#REF!,0,0,1)</f>
        <v>#REF!</v>
      </c>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row>
    <row r="46" spans="1:42" x14ac:dyDescent="0.25">
      <c r="A46" s="50"/>
      <c r="B46" s="155" t="str">
        <f>COA!B56</f>
        <v>2202 Receiver General Suspense</v>
      </c>
      <c r="C46" s="127" t="e">
        <f>_xlfn.XLOOKUP(B46,#REF!,#REF!,0,0,1)</f>
        <v>#REF!</v>
      </c>
      <c r="D46" s="127"/>
      <c r="E46" s="127" t="e">
        <f>_xlfn.XLOOKUP(B46,#REF!,#REF!,0,0,1)</f>
        <v>#REF!</v>
      </c>
      <c r="F46" s="127"/>
      <c r="G46" s="219" t="e">
        <f t="shared" si="0"/>
        <v>#REF!</v>
      </c>
      <c r="H46" s="178" t="str">
        <f>_xlfn.XLOOKUP($B46,COA!$B:$B,COA!$C:$C,0,0,1)</f>
        <v>Sales tax receivable</v>
      </c>
      <c r="I46" s="178" t="str">
        <f>_xlfn.XLOOKUP($B46,COA!$B:$B,COA!$D:$D,0,0,1)</f>
        <v>Sales tax receivable</v>
      </c>
      <c r="J46" s="178" t="str">
        <f>_xlfn.XLOOKUP($B46,COA!$B:$B,COA!$E:$E,0,0,1)</f>
        <v>Sales tax receivable</v>
      </c>
      <c r="K46" s="80"/>
      <c r="M46" s="85" t="e">
        <f>_xlfn.XLOOKUP(J46,#REF!,#REF!,0,0,1)</f>
        <v>#REF!</v>
      </c>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row>
    <row r="47" spans="1:42" x14ac:dyDescent="0.25">
      <c r="A47" s="50"/>
      <c r="B47" s="155" t="str">
        <f>COA!B57</f>
        <v>2280 PST Payable</v>
      </c>
      <c r="C47" s="127" t="e">
        <f>_xlfn.XLOOKUP(B47,#REF!,#REF!,0,0,1)</f>
        <v>#REF!</v>
      </c>
      <c r="D47" s="127"/>
      <c r="E47" s="127" t="e">
        <f>_xlfn.XLOOKUP(B47,#REF!,#REF!,0,0,1)</f>
        <v>#REF!</v>
      </c>
      <c r="F47" s="127"/>
      <c r="G47" s="219" t="e">
        <f t="shared" si="0"/>
        <v>#REF!</v>
      </c>
      <c r="H47" s="178" t="str">
        <f>_xlfn.XLOOKUP($B47,COA!$B:$B,COA!$C:$C,0,0,1)</f>
        <v>Sales tax payable</v>
      </c>
      <c r="I47" s="178" t="str">
        <f>_xlfn.XLOOKUP($B47,COA!$B:$B,COA!$D:$D,0,0,1)</f>
        <v>Sales tax payable</v>
      </c>
      <c r="J47" s="178" t="str">
        <f>_xlfn.XLOOKUP($B47,COA!$B:$B,COA!$E:$E,0,0,1)</f>
        <v>Sales tax payable</v>
      </c>
      <c r="K47" s="80"/>
      <c r="M47" s="85" t="e">
        <f>_xlfn.XLOOKUP(J47,#REF!,#REF!,0,0,1)</f>
        <v>#REF!</v>
      </c>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row>
    <row r="48" spans="1:42" x14ac:dyDescent="0.25">
      <c r="A48" s="50"/>
      <c r="B48" s="155" t="str">
        <f>COA!B59</f>
        <v>2245 PST Payable:PST Payable</v>
      </c>
      <c r="C48" s="127" t="e">
        <f>_xlfn.XLOOKUP(B48,#REF!,#REF!,0,0,1)</f>
        <v>#REF!</v>
      </c>
      <c r="D48" s="127"/>
      <c r="E48" s="127" t="e">
        <f>_xlfn.XLOOKUP(B48,#REF!,#REF!,0,0,1)</f>
        <v>#REF!</v>
      </c>
      <c r="F48" s="127"/>
      <c r="G48" s="219" t="e">
        <f t="shared" si="0"/>
        <v>#REF!</v>
      </c>
      <c r="H48" s="178" t="str">
        <f>_xlfn.XLOOKUP($B48,COA!$B:$B,COA!$C:$C,0,0,1)</f>
        <v>Sales tax payable</v>
      </c>
      <c r="I48" s="178" t="str">
        <f>_xlfn.XLOOKUP($B48,COA!$B:$B,COA!$D:$D,0,0,1)</f>
        <v>Sales tax payable</v>
      </c>
      <c r="J48" s="178" t="str">
        <f>_xlfn.XLOOKUP($B48,COA!$B:$B,COA!$E:$E,0,0,1)</f>
        <v>Sales tax payable</v>
      </c>
      <c r="K48" s="80"/>
      <c r="M48" s="85" t="e">
        <f>_xlfn.XLOOKUP(J48,#REF!,#REF!,0,0,1)</f>
        <v>#REF!</v>
      </c>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row>
    <row r="49" spans="1:42" x14ac:dyDescent="0.25">
      <c r="A49" s="50"/>
      <c r="B49" s="155" t="str">
        <f>COA!B60</f>
        <v>2300 Corporate Tax Payable</v>
      </c>
      <c r="C49" s="127" t="e">
        <f>_xlfn.XLOOKUP(B49,#REF!,#REF!,0,0,1)</f>
        <v>#REF!</v>
      </c>
      <c r="D49" s="127"/>
      <c r="E49" s="127" t="e">
        <f>_xlfn.XLOOKUP(B49,#REF!,#REF!,0,0,1)</f>
        <v>#REF!</v>
      </c>
      <c r="F49" s="127"/>
      <c r="G49" s="219" t="e">
        <f t="shared" si="0"/>
        <v>#REF!</v>
      </c>
      <c r="H49" s="178" t="str">
        <f>_xlfn.XLOOKUP($B49,COA!$B:$B,COA!$C:$C,0,0,1)</f>
        <v>Income tax payable</v>
      </c>
      <c r="I49" s="178" t="str">
        <f>_xlfn.XLOOKUP($B49,COA!$B:$B,COA!$D:$D,0,0,1)</f>
        <v>Income tax payable</v>
      </c>
      <c r="J49" s="178" t="str">
        <f>_xlfn.XLOOKUP($B49,COA!$B:$B,COA!$E:$E,0,0,1)</f>
        <v>Income tax payable</v>
      </c>
      <c r="K49" s="80"/>
      <c r="M49" s="85" t="e">
        <f>_xlfn.XLOOKUP(J49,#REF!,#REF!,0,0,1)</f>
        <v>#REF!</v>
      </c>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row>
    <row r="50" spans="1:42" x14ac:dyDescent="0.25">
      <c r="A50" s="50"/>
      <c r="B50" s="155" t="str">
        <f>COA!B61</f>
        <v>2500 Due to/(from) related parties</v>
      </c>
      <c r="C50" s="127" t="e">
        <f>_xlfn.XLOOKUP(B50,#REF!,#REF!,0,0,1)</f>
        <v>#REF!</v>
      </c>
      <c r="D50" s="127"/>
      <c r="E50" s="127" t="e">
        <f>_xlfn.XLOOKUP(B50,#REF!,#REF!,0,0,1)</f>
        <v>#REF!</v>
      </c>
      <c r="F50" s="127"/>
      <c r="G50" s="219" t="e">
        <f t="shared" si="0"/>
        <v>#REF!</v>
      </c>
      <c r="H50" s="178" t="str">
        <f>_xlfn.XLOOKUP($B50,COA!$B:$B,COA!$C:$C,0,0,1)</f>
        <v>Due from related parties</v>
      </c>
      <c r="I50" s="178" t="str">
        <f>_xlfn.XLOOKUP($B50,COA!$B:$B,COA!$D:$D,0,0,1)</f>
        <v>Due from related parties</v>
      </c>
      <c r="J50" s="178" t="str">
        <f>_xlfn.XLOOKUP($B50,COA!$B:$B,COA!$E:$E,0,0,1)</f>
        <v>Due from related parties</v>
      </c>
      <c r="K50" s="80"/>
      <c r="M50" s="85" t="e">
        <f>_xlfn.XLOOKUP(J50,#REF!,#REF!,0,0,1)</f>
        <v>#REF!</v>
      </c>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row>
    <row r="51" spans="1:42" x14ac:dyDescent="0.25">
      <c r="A51" s="50"/>
      <c r="B51" s="155" t="str">
        <f>COA!B62</f>
        <v>2501 Due to/(from) related parties:Due To/From SAK2</v>
      </c>
      <c r="C51" s="127" t="e">
        <f>_xlfn.XLOOKUP(B51,#REF!,#REF!,0,0,1)</f>
        <v>#REF!</v>
      </c>
      <c r="D51" s="127"/>
      <c r="E51" s="127" t="e">
        <f>_xlfn.XLOOKUP(B51,#REF!,#REF!,0,0,1)</f>
        <v>#REF!</v>
      </c>
      <c r="F51" s="127"/>
      <c r="G51" s="219" t="e">
        <f t="shared" si="0"/>
        <v>#REF!</v>
      </c>
      <c r="H51" s="178" t="str">
        <f>_xlfn.XLOOKUP($B51,COA!$B:$B,COA!$C:$C,0,0,1)</f>
        <v>Due from related parties</v>
      </c>
      <c r="I51" s="178" t="str">
        <f>_xlfn.XLOOKUP($B51,COA!$B:$B,COA!$D:$D,0,0,1)</f>
        <v>Due from related parties</v>
      </c>
      <c r="J51" s="178" t="str">
        <f>_xlfn.XLOOKUP($B51,COA!$B:$B,COA!$E:$E,0,0,1)</f>
        <v>Due from related parties</v>
      </c>
      <c r="K51" s="80"/>
      <c r="M51" s="85" t="e">
        <f>_xlfn.XLOOKUP(J51,#REF!,#REF!,0,0,1)</f>
        <v>#REF!</v>
      </c>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row>
    <row r="52" spans="1:42" x14ac:dyDescent="0.25">
      <c r="A52" s="50"/>
      <c r="B52" s="155" t="str">
        <f>COA!B63</f>
        <v>2502 Due to/(from) related parties:Due To/From SAK6</v>
      </c>
      <c r="C52" s="127" t="e">
        <f>_xlfn.XLOOKUP(B52,#REF!,#REF!,0,0,1)</f>
        <v>#REF!</v>
      </c>
      <c r="D52" s="127"/>
      <c r="E52" s="127" t="e">
        <f>_xlfn.XLOOKUP(B52,#REF!,#REF!,0,0,1)</f>
        <v>#REF!</v>
      </c>
      <c r="F52" s="127"/>
      <c r="G52" s="219" t="e">
        <f t="shared" si="0"/>
        <v>#REF!</v>
      </c>
      <c r="H52" s="178" t="str">
        <f>_xlfn.XLOOKUP($B52,COA!$B:$B,COA!$C:$C,0,0,1)</f>
        <v>Due from related parties</v>
      </c>
      <c r="I52" s="178" t="str">
        <f>_xlfn.XLOOKUP($B52,COA!$B:$B,COA!$D:$D,0,0,1)</f>
        <v>Due from related parties</v>
      </c>
      <c r="J52" s="178" t="str">
        <f>_xlfn.XLOOKUP($B52,COA!$B:$B,COA!$E:$E,0,0,1)</f>
        <v>Due from related parties</v>
      </c>
      <c r="K52" s="80"/>
      <c r="M52" s="85" t="e">
        <f>_xlfn.XLOOKUP(J52,#REF!,#REF!,0,0,1)</f>
        <v>#REF!</v>
      </c>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row>
    <row r="53" spans="1:42" x14ac:dyDescent="0.25">
      <c r="A53" s="50"/>
      <c r="B53" s="155" t="str">
        <f>COA!B64</f>
        <v>2503 Due to/(from) related parties:Due To/From UpCapital</v>
      </c>
      <c r="C53" s="127" t="e">
        <f>_xlfn.XLOOKUP(B53,#REF!,#REF!,0,0,1)</f>
        <v>#REF!</v>
      </c>
      <c r="D53" s="127"/>
      <c r="E53" s="127" t="e">
        <f>_xlfn.XLOOKUP(B53,#REF!,#REF!,0,0,1)</f>
        <v>#REF!</v>
      </c>
      <c r="F53" s="127"/>
      <c r="G53" s="219" t="e">
        <f t="shared" si="0"/>
        <v>#REF!</v>
      </c>
      <c r="H53" s="178" t="str">
        <f>_xlfn.XLOOKUP($B53,COA!$B:$B,COA!$C:$C,0,0,1)</f>
        <v>Due from related parties</v>
      </c>
      <c r="I53" s="178" t="str">
        <f>_xlfn.XLOOKUP($B53,COA!$B:$B,COA!$D:$D,0,0,1)</f>
        <v>Due from related parties</v>
      </c>
      <c r="J53" s="178" t="str">
        <f>_xlfn.XLOOKUP($B53,COA!$B:$B,COA!$E:$E,0,0,1)</f>
        <v>Due from related parties</v>
      </c>
      <c r="K53" s="80"/>
      <c r="M53" s="85" t="e">
        <f>_xlfn.XLOOKUP(J53,#REF!,#REF!,0,0,1)</f>
        <v>#REF!</v>
      </c>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row>
    <row r="54" spans="1:42" x14ac:dyDescent="0.25">
      <c r="A54" s="50"/>
      <c r="B54" s="155" t="str">
        <f>COA!B65</f>
        <v>2504 Due to/(from) related parties:Shareholder's Loan</v>
      </c>
      <c r="C54" s="127" t="e">
        <f>_xlfn.XLOOKUP(B54,#REF!,#REF!,0,0,1)</f>
        <v>#REF!</v>
      </c>
      <c r="D54" s="127"/>
      <c r="E54" s="127" t="e">
        <f>_xlfn.XLOOKUP(B54,#REF!,#REF!,0,0,1)</f>
        <v>#REF!</v>
      </c>
      <c r="F54" s="127"/>
      <c r="G54" s="219" t="e">
        <f t="shared" si="0"/>
        <v>#REF!</v>
      </c>
      <c r="H54" s="178" t="str">
        <f>_xlfn.XLOOKUP($B54,COA!$B:$B,COA!$C:$C,0,0,1)</f>
        <v>Due from related parties</v>
      </c>
      <c r="I54" s="178" t="str">
        <f>_xlfn.XLOOKUP($B54,COA!$B:$B,COA!$D:$D,0,0,1)</f>
        <v>Due from related parties</v>
      </c>
      <c r="J54" s="178" t="str">
        <f>_xlfn.XLOOKUP($B54,COA!$B:$B,COA!$E:$E,0,0,1)</f>
        <v>Due from related parties</v>
      </c>
      <c r="K54" s="80"/>
      <c r="M54" s="85" t="e">
        <f>_xlfn.XLOOKUP(J54,#REF!,#REF!,0,0,1)</f>
        <v>#REF!</v>
      </c>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row>
    <row r="55" spans="1:42" x14ac:dyDescent="0.25">
      <c r="A55" s="50"/>
      <c r="B55" s="155" t="str">
        <f>COA!B66</f>
        <v>2600 Current portion of loans and borrowings</v>
      </c>
      <c r="C55" s="127" t="e">
        <f>_xlfn.XLOOKUP(B55,#REF!,#REF!,0,0,1)</f>
        <v>#REF!</v>
      </c>
      <c r="D55" s="127"/>
      <c r="E55" s="127" t="e">
        <f>_xlfn.XLOOKUP(B55,#REF!,#REF!,0,0,1)</f>
        <v>#REF!</v>
      </c>
      <c r="F55" s="127"/>
      <c r="G55" s="219" t="e">
        <f t="shared" si="0"/>
        <v>#REF!</v>
      </c>
      <c r="H55" s="178" t="str">
        <f>_xlfn.XLOOKUP($B55,COA!$B:$B,COA!$C:$C,0,0,1)</f>
        <v xml:space="preserve">Current portion of loans and borrowings </v>
      </c>
      <c r="I55" s="178" t="str">
        <f>_xlfn.XLOOKUP($B55,COA!$B:$B,COA!$D:$D,0,0,1)</f>
        <v xml:space="preserve">Current portion of loans and borrowings </v>
      </c>
      <c r="J55" s="178" t="str">
        <f>_xlfn.XLOOKUP($B55,COA!$B:$B,COA!$E:$E,0,0,1)</f>
        <v xml:space="preserve">Current portion of loans and borrowings </v>
      </c>
      <c r="K55" s="80"/>
      <c r="M55" s="85" t="e">
        <f>_xlfn.XLOOKUP(J55,#REF!,#REF!,0,0,1)</f>
        <v>#REF!</v>
      </c>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row>
    <row r="56" spans="1:42" x14ac:dyDescent="0.25">
      <c r="A56" s="50"/>
      <c r="B56" s="155" t="str">
        <f>COA!B67</f>
        <v>2600 Due to RPT - Diane Halston</v>
      </c>
      <c r="C56" s="127" t="e">
        <f>_xlfn.XLOOKUP(B56,#REF!,#REF!,0,0,1)</f>
        <v>#REF!</v>
      </c>
      <c r="D56" s="127"/>
      <c r="E56" s="127" t="e">
        <f>_xlfn.XLOOKUP(B56,#REF!,#REF!,0,0,1)</f>
        <v>#REF!</v>
      </c>
      <c r="F56" s="127"/>
      <c r="G56" s="219" t="e">
        <f t="shared" si="0"/>
        <v>#REF!</v>
      </c>
      <c r="H56" s="178" t="str">
        <f>_xlfn.XLOOKUP($B56,COA!$B:$B,COA!$C:$C,0,0,1)</f>
        <v>Due to related parties</v>
      </c>
      <c r="I56" s="178" t="str">
        <f>_xlfn.XLOOKUP($B56,COA!$B:$B,COA!$D:$D,0,0,1)</f>
        <v>Due to related parties</v>
      </c>
      <c r="J56" s="178" t="str">
        <f>_xlfn.XLOOKUP($B56,COA!$B:$B,COA!$E:$E,0,0,1)</f>
        <v>Due to related parties</v>
      </c>
      <c r="K56" s="80"/>
      <c r="M56" s="85" t="e">
        <f>_xlfn.XLOOKUP(J56,#REF!,#REF!,0,0,1)</f>
        <v>#REF!</v>
      </c>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row>
    <row r="57" spans="1:42" x14ac:dyDescent="0.25">
      <c r="A57" s="50"/>
      <c r="B57" s="155" t="str">
        <f>COA!B68</f>
        <v>2601 Due to RPT - Brett Halston</v>
      </c>
      <c r="C57" s="127" t="e">
        <f>_xlfn.XLOOKUP(B57,#REF!,#REF!,0,0,1)</f>
        <v>#REF!</v>
      </c>
      <c r="D57" s="127"/>
      <c r="E57" s="127" t="e">
        <f>_xlfn.XLOOKUP(B57,#REF!,#REF!,0,0,1)</f>
        <v>#REF!</v>
      </c>
      <c r="F57" s="127"/>
      <c r="G57" s="219" t="e">
        <f t="shared" si="0"/>
        <v>#REF!</v>
      </c>
      <c r="H57" s="178" t="str">
        <f>_xlfn.XLOOKUP($B57,COA!$B:$B,COA!$C:$C,0,0,1)</f>
        <v>Due to related parties</v>
      </c>
      <c r="I57" s="178" t="str">
        <f>_xlfn.XLOOKUP($B57,COA!$B:$B,COA!$D:$D,0,0,1)</f>
        <v>Due to related parties</v>
      </c>
      <c r="J57" s="178" t="str">
        <f>_xlfn.XLOOKUP($B57,COA!$B:$B,COA!$E:$E,0,0,1)</f>
        <v>Due to related parties</v>
      </c>
      <c r="K57" s="80"/>
      <c r="M57" s="85" t="e">
        <f>_xlfn.XLOOKUP(J57,#REF!,#REF!,0,0,1)</f>
        <v>#REF!</v>
      </c>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row>
    <row r="58" spans="1:42" x14ac:dyDescent="0.25">
      <c r="A58" s="50"/>
      <c r="B58" s="155" t="str">
        <f>COA!B69</f>
        <v>2602 Due to RPT - Keith Halston</v>
      </c>
      <c r="C58" s="127" t="e">
        <f>_xlfn.XLOOKUP(B58,#REF!,#REF!,0,0,1)</f>
        <v>#REF!</v>
      </c>
      <c r="D58" s="127"/>
      <c r="E58" s="127" t="e">
        <f>_xlfn.XLOOKUP(B58,#REF!,#REF!,0,0,1)</f>
        <v>#REF!</v>
      </c>
      <c r="F58" s="127"/>
      <c r="G58" s="219" t="e">
        <f t="shared" si="0"/>
        <v>#REF!</v>
      </c>
      <c r="H58" s="178" t="str">
        <f>_xlfn.XLOOKUP($B58,COA!$B:$B,COA!$C:$C,0,0,1)</f>
        <v>Due to related parties</v>
      </c>
      <c r="I58" s="178" t="str">
        <f>_xlfn.XLOOKUP($B58,COA!$B:$B,COA!$D:$D,0,0,1)</f>
        <v>Due to related parties</v>
      </c>
      <c r="J58" s="178" t="str">
        <f>_xlfn.XLOOKUP($B58,COA!$B:$B,COA!$E:$E,0,0,1)</f>
        <v>Due to related parties</v>
      </c>
      <c r="K58" s="80"/>
      <c r="M58" s="85" t="e">
        <f>_xlfn.XLOOKUP(J58,#REF!,#REF!,0,0,1)</f>
        <v>#REF!</v>
      </c>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row>
    <row r="59" spans="1:42" x14ac:dyDescent="0.25">
      <c r="A59" s="50"/>
      <c r="B59" s="155" t="str">
        <f>COA!B70</f>
        <v>2650 Loans and borrowings</v>
      </c>
      <c r="C59" s="127" t="e">
        <f>_xlfn.XLOOKUP(B59,#REF!,#REF!,0,0,1)</f>
        <v>#REF!</v>
      </c>
      <c r="D59" s="127"/>
      <c r="E59" s="127" t="e">
        <f>_xlfn.XLOOKUP(B59,#REF!,#REF!,0,0,1)</f>
        <v>#REF!</v>
      </c>
      <c r="F59" s="127"/>
      <c r="G59" s="219" t="e">
        <f t="shared" si="0"/>
        <v>#REF!</v>
      </c>
      <c r="H59" s="178" t="str">
        <f>_xlfn.XLOOKUP($B59,COA!$B:$B,COA!$C:$C,0,0,1)</f>
        <v>Loans and borrowings</v>
      </c>
      <c r="I59" s="178" t="str">
        <f>_xlfn.XLOOKUP($B59,COA!$B:$B,COA!$D:$D,0,0,1)</f>
        <v>Loans and borrowings</v>
      </c>
      <c r="J59" s="178" t="str">
        <f>_xlfn.XLOOKUP($B59,COA!$B:$B,COA!$E:$E,0,0,1)</f>
        <v>Loans and borrowings</v>
      </c>
      <c r="K59" s="80"/>
      <c r="M59" s="85" t="e">
        <f>_xlfn.XLOOKUP(J59,#REF!,#REF!,0,0,1)</f>
        <v>#REF!</v>
      </c>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row>
    <row r="60" spans="1:42" x14ac:dyDescent="0.25">
      <c r="A60" s="50"/>
      <c r="B60" s="155" t="e">
        <f>COA!#REF!</f>
        <v>#REF!</v>
      </c>
      <c r="C60" s="127" t="e">
        <f>_xlfn.XLOOKUP(B60,#REF!,#REF!,0,0,1)</f>
        <v>#REF!</v>
      </c>
      <c r="D60" s="127"/>
      <c r="E60" s="127" t="e">
        <f>_xlfn.XLOOKUP(B60,#REF!,#REF!,0,0,1)</f>
        <v>#REF!</v>
      </c>
      <c r="F60" s="127"/>
      <c r="G60" s="219" t="e">
        <f t="shared" si="0"/>
        <v>#REF!</v>
      </c>
      <c r="H60" s="178" t="e">
        <f>_xlfn.XLOOKUP($B60,COA!$B:$B,COA!$C:$C,0,0,1)</f>
        <v>#REF!</v>
      </c>
      <c r="I60" s="178" t="e">
        <f>_xlfn.XLOOKUP($B60,COA!$B:$B,COA!$D:$D,0,0,1)</f>
        <v>#REF!</v>
      </c>
      <c r="J60" s="178" t="e">
        <f>_xlfn.XLOOKUP($B60,COA!$B:$B,COA!$E:$E,0,0,1)</f>
        <v>#REF!</v>
      </c>
      <c r="K60" s="80"/>
      <c r="M60" s="85" t="e">
        <f>_xlfn.XLOOKUP(J60,#REF!,#REF!,0,0,1)</f>
        <v>#REF!</v>
      </c>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row>
    <row r="61" spans="1:42" x14ac:dyDescent="0.25">
      <c r="A61" s="50"/>
      <c r="B61" s="155" t="e">
        <f>COA!#REF!</f>
        <v>#REF!</v>
      </c>
      <c r="C61" s="127" t="e">
        <f>_xlfn.XLOOKUP(B61,#REF!,#REF!,0,0,1)</f>
        <v>#REF!</v>
      </c>
      <c r="D61" s="127"/>
      <c r="E61" s="127" t="e">
        <f>_xlfn.XLOOKUP(B61,#REF!,#REF!,0,0,1)</f>
        <v>#REF!</v>
      </c>
      <c r="F61" s="127"/>
      <c r="G61" s="219" t="e">
        <f t="shared" si="0"/>
        <v>#REF!</v>
      </c>
      <c r="H61" s="178" t="e">
        <f>_xlfn.XLOOKUP($B61,COA!$B:$B,COA!$C:$C,0,0,1)</f>
        <v>#REF!</v>
      </c>
      <c r="I61" s="178" t="e">
        <f>_xlfn.XLOOKUP($B61,COA!$B:$B,COA!$D:$D,0,0,1)</f>
        <v>#REF!</v>
      </c>
      <c r="J61" s="178" t="e">
        <f>_xlfn.XLOOKUP($B61,COA!$B:$B,COA!$E:$E,0,0,1)</f>
        <v>#REF!</v>
      </c>
      <c r="K61" s="80"/>
      <c r="M61" s="85" t="e">
        <f>_xlfn.XLOOKUP(J61,#REF!,#REF!,0,0,1)</f>
        <v>#REF!</v>
      </c>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row>
    <row r="62" spans="1:42" x14ac:dyDescent="0.25">
      <c r="A62" s="50"/>
      <c r="B62" s="155" t="e">
        <f>COA!#REF!</f>
        <v>#REF!</v>
      </c>
      <c r="C62" s="127" t="e">
        <f>_xlfn.XLOOKUP(B62,#REF!,#REF!,0,0,1)</f>
        <v>#REF!</v>
      </c>
      <c r="D62" s="127"/>
      <c r="E62" s="127" t="e">
        <f>_xlfn.XLOOKUP(B62,#REF!,#REF!,0,0,1)</f>
        <v>#REF!</v>
      </c>
      <c r="F62" s="127"/>
      <c r="G62" s="219" t="e">
        <f t="shared" si="0"/>
        <v>#REF!</v>
      </c>
      <c r="H62" s="178" t="e">
        <f>_xlfn.XLOOKUP($B62,COA!$B:$B,COA!$C:$C,0,0,1)</f>
        <v>#REF!</v>
      </c>
      <c r="I62" s="178" t="e">
        <f>_xlfn.XLOOKUP($B62,COA!$B:$B,COA!$D:$D,0,0,1)</f>
        <v>#REF!</v>
      </c>
      <c r="J62" s="178" t="e">
        <f>_xlfn.XLOOKUP($B62,COA!$B:$B,COA!$E:$E,0,0,1)</f>
        <v>#REF!</v>
      </c>
      <c r="K62" s="80"/>
      <c r="M62" s="85" t="e">
        <f>_xlfn.XLOOKUP(J62,#REF!,#REF!,0,0,1)</f>
        <v>#REF!</v>
      </c>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row>
    <row r="63" spans="1:42" x14ac:dyDescent="0.25">
      <c r="A63" s="50"/>
      <c r="B63" s="155" t="e">
        <f>COA!#REF!</f>
        <v>#REF!</v>
      </c>
      <c r="C63" s="127" t="e">
        <f>_xlfn.XLOOKUP(B63,#REF!,#REF!,0,0,1)</f>
        <v>#REF!</v>
      </c>
      <c r="D63" s="127"/>
      <c r="E63" s="127" t="e">
        <f>_xlfn.XLOOKUP(B63,#REF!,#REF!,0,0,1)</f>
        <v>#REF!</v>
      </c>
      <c r="F63" s="127"/>
      <c r="G63" s="219" t="e">
        <f t="shared" si="0"/>
        <v>#REF!</v>
      </c>
      <c r="H63" s="178" t="e">
        <f>_xlfn.XLOOKUP($B63,COA!$B:$B,COA!$C:$C,0,0,1)</f>
        <v>#REF!</v>
      </c>
      <c r="I63" s="178" t="e">
        <f>_xlfn.XLOOKUP($B63,COA!$B:$B,COA!$D:$D,0,0,1)</f>
        <v>#REF!</v>
      </c>
      <c r="J63" s="178" t="e">
        <f>_xlfn.XLOOKUP($B63,COA!$B:$B,COA!$E:$E,0,0,1)</f>
        <v>#REF!</v>
      </c>
      <c r="K63" s="80"/>
      <c r="M63" s="85" t="e">
        <f>_xlfn.XLOOKUP(J63,#REF!,#REF!,0,0,1)</f>
        <v>#REF!</v>
      </c>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row>
    <row r="64" spans="1:42" x14ac:dyDescent="0.25">
      <c r="A64" s="50"/>
      <c r="B64" s="155" t="e">
        <f>COA!#REF!</f>
        <v>#REF!</v>
      </c>
      <c r="C64" s="127" t="e">
        <f>_xlfn.XLOOKUP(B64,#REF!,#REF!,0,0,1)</f>
        <v>#REF!</v>
      </c>
      <c r="D64" s="127"/>
      <c r="E64" s="127" t="e">
        <f>_xlfn.XLOOKUP(B64,#REF!,#REF!,0,0,1)</f>
        <v>#REF!</v>
      </c>
      <c r="F64" s="127"/>
      <c r="G64" s="219" t="e">
        <f t="shared" si="0"/>
        <v>#REF!</v>
      </c>
      <c r="H64" s="178" t="e">
        <f>_xlfn.XLOOKUP($B64,COA!$B:$B,COA!$C:$C,0,0,1)</f>
        <v>#REF!</v>
      </c>
      <c r="I64" s="178" t="e">
        <f>_xlfn.XLOOKUP($B64,COA!$B:$B,COA!$D:$D,0,0,1)</f>
        <v>#REF!</v>
      </c>
      <c r="J64" s="178" t="e">
        <f>_xlfn.XLOOKUP($B64,COA!$B:$B,COA!$E:$E,0,0,1)</f>
        <v>#REF!</v>
      </c>
      <c r="K64" s="80"/>
      <c r="M64" s="85" t="e">
        <f>_xlfn.XLOOKUP(J64,#REF!,#REF!,0,0,1)</f>
        <v>#REF!</v>
      </c>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row>
    <row r="65" spans="1:42" x14ac:dyDescent="0.25">
      <c r="A65" s="50"/>
      <c r="B65" s="155" t="e">
        <f>COA!#REF!</f>
        <v>#REF!</v>
      </c>
      <c r="C65" s="127" t="e">
        <f>_xlfn.XLOOKUP(B65,#REF!,#REF!,0,0,1)</f>
        <v>#REF!</v>
      </c>
      <c r="D65" s="127"/>
      <c r="E65" s="127" t="e">
        <f>_xlfn.XLOOKUP(B65,#REF!,#REF!,0,0,1)</f>
        <v>#REF!</v>
      </c>
      <c r="F65" s="127"/>
      <c r="G65" s="219" t="e">
        <f t="shared" si="0"/>
        <v>#REF!</v>
      </c>
      <c r="H65" s="178" t="e">
        <f>_xlfn.XLOOKUP($B65,COA!$B:$B,COA!$C:$C,0,0,1)</f>
        <v>#REF!</v>
      </c>
      <c r="I65" s="178" t="e">
        <f>_xlfn.XLOOKUP($B65,COA!$B:$B,COA!$D:$D,0,0,1)</f>
        <v>#REF!</v>
      </c>
      <c r="J65" s="178" t="e">
        <f>_xlfn.XLOOKUP($B65,COA!$B:$B,COA!$E:$E,0,0,1)</f>
        <v>#REF!</v>
      </c>
      <c r="K65" s="80"/>
      <c r="M65" s="85" t="e">
        <f>_xlfn.XLOOKUP(J65,#REF!,#REF!,0,0,1)</f>
        <v>#REF!</v>
      </c>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row>
    <row r="66" spans="1:42" x14ac:dyDescent="0.25">
      <c r="A66" s="50"/>
      <c r="B66" s="155" t="e">
        <f>COA!#REF!</f>
        <v>#REF!</v>
      </c>
      <c r="C66" s="127" t="e">
        <f>_xlfn.XLOOKUP(B66,#REF!,#REF!,0,0,1)</f>
        <v>#REF!</v>
      </c>
      <c r="D66" s="127"/>
      <c r="E66" s="127" t="e">
        <f>_xlfn.XLOOKUP(B66,#REF!,#REF!,0,0,1)</f>
        <v>#REF!</v>
      </c>
      <c r="F66" s="127"/>
      <c r="G66" s="219" t="e">
        <f t="shared" si="0"/>
        <v>#REF!</v>
      </c>
      <c r="H66" s="178" t="e">
        <f>_xlfn.XLOOKUP($B66,COA!$B:$B,COA!$C:$C,0,0,1)</f>
        <v>#REF!</v>
      </c>
      <c r="I66" s="178" t="e">
        <f>_xlfn.XLOOKUP($B66,COA!$B:$B,COA!$D:$D,0,0,1)</f>
        <v>#REF!</v>
      </c>
      <c r="J66" s="178" t="e">
        <f>_xlfn.XLOOKUP($B66,COA!$B:$B,COA!$E:$E,0,0,1)</f>
        <v>#REF!</v>
      </c>
      <c r="K66" s="80"/>
      <c r="M66" s="85" t="e">
        <f>_xlfn.XLOOKUP(J66,#REF!,#REF!,0,0,1)</f>
        <v>#REF!</v>
      </c>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row>
    <row r="67" spans="1:42" x14ac:dyDescent="0.25">
      <c r="A67" s="50"/>
      <c r="B67" s="155" t="e">
        <f>COA!#REF!</f>
        <v>#REF!</v>
      </c>
      <c r="C67" s="127" t="e">
        <f>_xlfn.XLOOKUP(B67,#REF!,#REF!,0,0,1)</f>
        <v>#REF!</v>
      </c>
      <c r="D67" s="127"/>
      <c r="E67" s="127" t="e">
        <f>_xlfn.XLOOKUP(B67,#REF!,#REF!,0,0,1)</f>
        <v>#REF!</v>
      </c>
      <c r="F67" s="127"/>
      <c r="G67" s="219" t="e">
        <f t="shared" si="0"/>
        <v>#REF!</v>
      </c>
      <c r="H67" s="178" t="e">
        <f>_xlfn.XLOOKUP($B67,COA!$B:$B,COA!$C:$C,0,0,1)</f>
        <v>#REF!</v>
      </c>
      <c r="I67" s="178" t="e">
        <f>_xlfn.XLOOKUP($B67,COA!$B:$B,COA!$D:$D,0,0,1)</f>
        <v>#REF!</v>
      </c>
      <c r="J67" s="178" t="e">
        <f>_xlfn.XLOOKUP($B67,COA!$B:$B,COA!$E:$E,0,0,1)</f>
        <v>#REF!</v>
      </c>
      <c r="K67" s="80"/>
      <c r="M67" s="85" t="e">
        <f>_xlfn.XLOOKUP(J67,#REF!,#REF!,0,0,1)</f>
        <v>#REF!</v>
      </c>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row>
    <row r="68" spans="1:42" x14ac:dyDescent="0.25">
      <c r="A68" s="50"/>
      <c r="B68" s="155" t="e">
        <f>COA!#REF!</f>
        <v>#REF!</v>
      </c>
      <c r="C68" s="127" t="e">
        <f>_xlfn.XLOOKUP(B68,#REF!,#REF!,0,0,1)</f>
        <v>#REF!</v>
      </c>
      <c r="D68" s="127"/>
      <c r="E68" s="127" t="e">
        <f>_xlfn.XLOOKUP(B68,#REF!,#REF!,0,0,1)</f>
        <v>#REF!</v>
      </c>
      <c r="F68" s="127"/>
      <c r="G68" s="219" t="e">
        <f t="shared" si="0"/>
        <v>#REF!</v>
      </c>
      <c r="H68" s="178" t="e">
        <f>_xlfn.XLOOKUP($B68,COA!$B:$B,COA!$C:$C,0,0,1)</f>
        <v>#REF!</v>
      </c>
      <c r="I68" s="178" t="e">
        <f>_xlfn.XLOOKUP($B68,COA!$B:$B,COA!$D:$D,0,0,1)</f>
        <v>#REF!</v>
      </c>
      <c r="J68" s="178" t="e">
        <f>_xlfn.XLOOKUP($B68,COA!$B:$B,COA!$E:$E,0,0,1)</f>
        <v>#REF!</v>
      </c>
      <c r="K68" s="80"/>
      <c r="M68" s="85" t="e">
        <f>_xlfn.XLOOKUP(J68,#REF!,#REF!,0,0,1)</f>
        <v>#REF!</v>
      </c>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row>
    <row r="69" spans="1:42" x14ac:dyDescent="0.25">
      <c r="A69" s="50"/>
      <c r="B69" s="155" t="e">
        <f>COA!#REF!</f>
        <v>#REF!</v>
      </c>
      <c r="C69" s="127" t="e">
        <f>_xlfn.XLOOKUP(B69,#REF!,#REF!,0,0,1)</f>
        <v>#REF!</v>
      </c>
      <c r="D69" s="127"/>
      <c r="E69" s="127" t="e">
        <f>_xlfn.XLOOKUP(B69,#REF!,#REF!,0,0,1)</f>
        <v>#REF!</v>
      </c>
      <c r="F69" s="127"/>
      <c r="G69" s="219" t="e">
        <f t="shared" si="0"/>
        <v>#REF!</v>
      </c>
      <c r="H69" s="178" t="e">
        <f>_xlfn.XLOOKUP($B69,COA!$B:$B,COA!$C:$C,0,0,1)</f>
        <v>#REF!</v>
      </c>
      <c r="I69" s="178" t="e">
        <f>_xlfn.XLOOKUP($B69,COA!$B:$B,COA!$D:$D,0,0,1)</f>
        <v>#REF!</v>
      </c>
      <c r="J69" s="178" t="e">
        <f>_xlfn.XLOOKUP($B69,COA!$B:$B,COA!$E:$E,0,0,1)</f>
        <v>#REF!</v>
      </c>
      <c r="K69" s="80"/>
      <c r="M69" s="85" t="e">
        <f>_xlfn.XLOOKUP(J69,#REF!,#REF!,0,0,1)</f>
        <v>#REF!</v>
      </c>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row>
    <row r="70" spans="1:42" x14ac:dyDescent="0.25">
      <c r="A70" s="50"/>
      <c r="B70" s="155" t="e">
        <f>COA!#REF!</f>
        <v>#REF!</v>
      </c>
      <c r="C70" s="127" t="e">
        <f>_xlfn.XLOOKUP(B70,#REF!,#REF!,0,0,1)</f>
        <v>#REF!</v>
      </c>
      <c r="D70" s="127"/>
      <c r="E70" s="127" t="e">
        <f>_xlfn.XLOOKUP(B70,#REF!,#REF!,0,0,1)</f>
        <v>#REF!</v>
      </c>
      <c r="F70" s="127"/>
      <c r="G70" s="219" t="e">
        <f t="shared" si="0"/>
        <v>#REF!</v>
      </c>
      <c r="H70" s="178" t="e">
        <f>_xlfn.XLOOKUP($B70,COA!$B:$B,COA!$C:$C,0,0,1)</f>
        <v>#REF!</v>
      </c>
      <c r="I70" s="178" t="e">
        <f>_xlfn.XLOOKUP($B70,COA!$B:$B,COA!$D:$D,0,0,1)</f>
        <v>#REF!</v>
      </c>
      <c r="J70" s="178" t="e">
        <f>_xlfn.XLOOKUP($B70,COA!$B:$B,COA!$E:$E,0,0,1)</f>
        <v>#REF!</v>
      </c>
      <c r="K70" s="80"/>
      <c r="M70" s="85" t="e">
        <f>_xlfn.XLOOKUP(J70,#REF!,#REF!,0,0,1)</f>
        <v>#REF!</v>
      </c>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row>
    <row r="71" spans="1:42" x14ac:dyDescent="0.25">
      <c r="A71" s="50"/>
      <c r="B71" s="155" t="e">
        <f>COA!#REF!</f>
        <v>#REF!</v>
      </c>
      <c r="C71" s="127" t="e">
        <f>_xlfn.XLOOKUP(B71,#REF!,#REF!,0,0,1)</f>
        <v>#REF!</v>
      </c>
      <c r="D71" s="127"/>
      <c r="E71" s="127" t="e">
        <f>_xlfn.XLOOKUP(B71,#REF!,#REF!,0,0,1)</f>
        <v>#REF!</v>
      </c>
      <c r="F71" s="127"/>
      <c r="G71" s="219" t="e">
        <f t="shared" ref="G71:G134" si="1">ROUND(SUM(C71:F71),0)</f>
        <v>#REF!</v>
      </c>
      <c r="H71" s="178" t="e">
        <f>_xlfn.XLOOKUP($B71,COA!$B:$B,COA!$C:$C,0,0,1)</f>
        <v>#REF!</v>
      </c>
      <c r="I71" s="178" t="e">
        <f>_xlfn.XLOOKUP($B71,COA!$B:$B,COA!$D:$D,0,0,1)</f>
        <v>#REF!</v>
      </c>
      <c r="J71" s="178" t="e">
        <f>_xlfn.XLOOKUP($B71,COA!$B:$B,COA!$E:$E,0,0,1)</f>
        <v>#REF!</v>
      </c>
      <c r="K71" s="135"/>
      <c r="M71" s="85" t="e">
        <f>_xlfn.XLOOKUP(J71,#REF!,#REF!,0,0,1)</f>
        <v>#REF!</v>
      </c>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row>
    <row r="72" spans="1:42" x14ac:dyDescent="0.25">
      <c r="A72" s="50"/>
      <c r="B72" s="155" t="e">
        <f>COA!#REF!</f>
        <v>#REF!</v>
      </c>
      <c r="C72" s="127" t="e">
        <f>_xlfn.XLOOKUP(B72,#REF!,#REF!,0,0,1)</f>
        <v>#REF!</v>
      </c>
      <c r="D72" s="127"/>
      <c r="E72" s="127" t="e">
        <f>_xlfn.XLOOKUP(B72,#REF!,#REF!,0,0,1)</f>
        <v>#REF!</v>
      </c>
      <c r="F72" s="127"/>
      <c r="G72" s="219" t="e">
        <f t="shared" si="1"/>
        <v>#REF!</v>
      </c>
      <c r="H72" s="178" t="e">
        <f>_xlfn.XLOOKUP($B72,COA!$B:$B,COA!$C:$C,0,0,1)</f>
        <v>#REF!</v>
      </c>
      <c r="I72" s="178" t="e">
        <f>_xlfn.XLOOKUP($B72,COA!$B:$B,COA!$D:$D,0,0,1)</f>
        <v>#REF!</v>
      </c>
      <c r="J72" s="178" t="e">
        <f>_xlfn.XLOOKUP($B72,COA!$B:$B,COA!$E:$E,0,0,1)</f>
        <v>#REF!</v>
      </c>
      <c r="K72" s="136"/>
      <c r="M72" s="85" t="e">
        <f>_xlfn.XLOOKUP(J72,#REF!,#REF!,0,0,1)</f>
        <v>#REF!</v>
      </c>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row>
    <row r="73" spans="1:42" x14ac:dyDescent="0.25">
      <c r="A73" s="50"/>
      <c r="B73" s="155" t="e">
        <f>COA!#REF!</f>
        <v>#REF!</v>
      </c>
      <c r="C73" s="127" t="e">
        <f>_xlfn.XLOOKUP(B73,#REF!,#REF!,0,0,1)</f>
        <v>#REF!</v>
      </c>
      <c r="D73" s="127"/>
      <c r="E73" s="127" t="e">
        <f>_xlfn.XLOOKUP(B73,#REF!,#REF!,0,0,1)</f>
        <v>#REF!</v>
      </c>
      <c r="F73" s="127"/>
      <c r="G73" s="219" t="e">
        <f t="shared" si="1"/>
        <v>#REF!</v>
      </c>
      <c r="H73" s="178" t="e">
        <f>_xlfn.XLOOKUP($B73,COA!$B:$B,COA!$C:$C,0,0,1)</f>
        <v>#REF!</v>
      </c>
      <c r="I73" s="178" t="e">
        <f>_xlfn.XLOOKUP($B73,COA!$B:$B,COA!$D:$D,0,0,1)</f>
        <v>#REF!</v>
      </c>
      <c r="J73" s="178" t="e">
        <f>_xlfn.XLOOKUP($B73,COA!$B:$B,COA!$E:$E,0,0,1)</f>
        <v>#REF!</v>
      </c>
      <c r="K73" s="136"/>
      <c r="M73" s="85" t="e">
        <f>_xlfn.XLOOKUP(J73,#REF!,#REF!,0,0,1)</f>
        <v>#REF!</v>
      </c>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row>
    <row r="74" spans="1:42" x14ac:dyDescent="0.25">
      <c r="A74" s="50"/>
      <c r="B74" s="155" t="e">
        <f>COA!#REF!</f>
        <v>#REF!</v>
      </c>
      <c r="C74" s="127" t="e">
        <f>_xlfn.XLOOKUP(B74,#REF!,#REF!,0,0,1)</f>
        <v>#REF!</v>
      </c>
      <c r="D74" s="127"/>
      <c r="E74" s="127" t="e">
        <f>_xlfn.XLOOKUP(B74,#REF!,#REF!,0,0,1)</f>
        <v>#REF!</v>
      </c>
      <c r="F74" s="127"/>
      <c r="G74" s="219" t="e">
        <f t="shared" si="1"/>
        <v>#REF!</v>
      </c>
      <c r="H74" s="178" t="e">
        <f>_xlfn.XLOOKUP($B74,COA!$B:$B,COA!$C:$C,0,0,1)</f>
        <v>#REF!</v>
      </c>
      <c r="I74" s="178" t="e">
        <f>_xlfn.XLOOKUP($B74,COA!$B:$B,COA!$D:$D,0,0,1)</f>
        <v>#REF!</v>
      </c>
      <c r="J74" s="178" t="e">
        <f>_xlfn.XLOOKUP($B74,COA!$B:$B,COA!$E:$E,0,0,1)</f>
        <v>#REF!</v>
      </c>
      <c r="K74" s="136"/>
      <c r="M74" s="85" t="e">
        <f>_xlfn.XLOOKUP(J74,#REF!,#REF!,0,0,1)</f>
        <v>#REF!</v>
      </c>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row>
    <row r="75" spans="1:42" x14ac:dyDescent="0.25">
      <c r="A75" s="50"/>
      <c r="B75" s="155" t="e">
        <f>COA!#REF!</f>
        <v>#REF!</v>
      </c>
      <c r="C75" s="127" t="e">
        <f>_xlfn.XLOOKUP(B75,#REF!,#REF!,0,0,1)</f>
        <v>#REF!</v>
      </c>
      <c r="D75" s="127"/>
      <c r="E75" s="127" t="e">
        <f>_xlfn.XLOOKUP(B75,#REF!,#REF!,0,0,1)</f>
        <v>#REF!</v>
      </c>
      <c r="F75" s="127"/>
      <c r="G75" s="219" t="e">
        <f t="shared" si="1"/>
        <v>#REF!</v>
      </c>
      <c r="H75" s="178" t="e">
        <f>_xlfn.XLOOKUP($B75,COA!$B:$B,COA!$C:$C,0,0,1)</f>
        <v>#REF!</v>
      </c>
      <c r="I75" s="178" t="e">
        <f>_xlfn.XLOOKUP($B75,COA!$B:$B,COA!$D:$D,0,0,1)</f>
        <v>#REF!</v>
      </c>
      <c r="J75" s="178" t="e">
        <f>_xlfn.XLOOKUP($B75,COA!$B:$B,COA!$E:$E,0,0,1)</f>
        <v>#REF!</v>
      </c>
      <c r="K75" s="137"/>
      <c r="M75" s="85" t="e">
        <f>_xlfn.XLOOKUP(J75,#REF!,#REF!,0,0,1)</f>
        <v>#REF!</v>
      </c>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row>
    <row r="76" spans="1:42" x14ac:dyDescent="0.25">
      <c r="A76" s="50"/>
      <c r="B76" s="155" t="e">
        <f>COA!#REF!</f>
        <v>#REF!</v>
      </c>
      <c r="C76" s="127" t="e">
        <f>_xlfn.XLOOKUP(B76,#REF!,#REF!,0,0,1)</f>
        <v>#REF!</v>
      </c>
      <c r="D76" s="127"/>
      <c r="E76" s="127" t="e">
        <f>_xlfn.XLOOKUP(B76,#REF!,#REF!,0,0,1)</f>
        <v>#REF!</v>
      </c>
      <c r="F76" s="127"/>
      <c r="G76" s="219" t="e">
        <f t="shared" si="1"/>
        <v>#REF!</v>
      </c>
      <c r="H76" s="178" t="e">
        <f>_xlfn.XLOOKUP($B76,COA!$B:$B,COA!$C:$C,0,0,1)</f>
        <v>#REF!</v>
      </c>
      <c r="I76" s="178" t="e">
        <f>_xlfn.XLOOKUP($B76,COA!$B:$B,COA!$D:$D,0,0,1)</f>
        <v>#REF!</v>
      </c>
      <c r="J76" s="178" t="e">
        <f>_xlfn.XLOOKUP($B76,COA!$B:$B,COA!$E:$E,0,0,1)</f>
        <v>#REF!</v>
      </c>
      <c r="K76" s="80"/>
      <c r="M76" s="85" t="e">
        <f>_xlfn.XLOOKUP(J76,#REF!,#REF!,0,0,1)</f>
        <v>#REF!</v>
      </c>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row>
    <row r="77" spans="1:42" x14ac:dyDescent="0.25">
      <c r="A77" s="50"/>
      <c r="B77" s="155" t="e">
        <f>COA!#REF!</f>
        <v>#REF!</v>
      </c>
      <c r="C77" s="127" t="e">
        <f>_xlfn.XLOOKUP(B77,#REF!,#REF!,0,0,1)</f>
        <v>#REF!</v>
      </c>
      <c r="D77" s="127"/>
      <c r="E77" s="127" t="e">
        <f>_xlfn.XLOOKUP(B77,#REF!,#REF!,0,0,1)</f>
        <v>#REF!</v>
      </c>
      <c r="F77" s="127"/>
      <c r="G77" s="219" t="e">
        <f t="shared" si="1"/>
        <v>#REF!</v>
      </c>
      <c r="H77" s="178" t="e">
        <f>_xlfn.XLOOKUP($B77,COA!$B:$B,COA!$C:$C,0,0,1)</f>
        <v>#REF!</v>
      </c>
      <c r="I77" s="178" t="e">
        <f>_xlfn.XLOOKUP($B77,COA!$B:$B,COA!$D:$D,0,0,1)</f>
        <v>#REF!</v>
      </c>
      <c r="J77" s="178" t="e">
        <f>_xlfn.XLOOKUP($B77,COA!$B:$B,COA!$E:$E,0,0,1)</f>
        <v>#REF!</v>
      </c>
      <c r="K77" s="80"/>
      <c r="M77" s="85" t="e">
        <f>_xlfn.XLOOKUP(J77,#REF!,#REF!,0,0,1)</f>
        <v>#REF!</v>
      </c>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row>
    <row r="78" spans="1:42" x14ac:dyDescent="0.25">
      <c r="A78" s="50"/>
      <c r="B78" s="155" t="e">
        <f>COA!#REF!</f>
        <v>#REF!</v>
      </c>
      <c r="C78" s="127" t="e">
        <f>_xlfn.XLOOKUP(B78,#REF!,#REF!,0,0,1)</f>
        <v>#REF!</v>
      </c>
      <c r="D78" s="127"/>
      <c r="E78" s="127" t="e">
        <f>_xlfn.XLOOKUP(B78,#REF!,#REF!,0,0,1)</f>
        <v>#REF!</v>
      </c>
      <c r="F78" s="127"/>
      <c r="G78" s="219" t="e">
        <f t="shared" si="1"/>
        <v>#REF!</v>
      </c>
      <c r="H78" s="178" t="e">
        <f>_xlfn.XLOOKUP($B78,COA!$B:$B,COA!$C:$C,0,0,1)</f>
        <v>#REF!</v>
      </c>
      <c r="I78" s="178" t="e">
        <f>_xlfn.XLOOKUP($B78,COA!$B:$B,COA!$D:$D,0,0,1)</f>
        <v>#REF!</v>
      </c>
      <c r="J78" s="178" t="e">
        <f>_xlfn.XLOOKUP($B78,COA!$B:$B,COA!$E:$E,0,0,1)</f>
        <v>#REF!</v>
      </c>
      <c r="K78" s="80"/>
      <c r="M78" s="85" t="e">
        <f>_xlfn.XLOOKUP(J78,#REF!,#REF!,0,0,1)</f>
        <v>#REF!</v>
      </c>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row>
    <row r="79" spans="1:42" x14ac:dyDescent="0.25">
      <c r="A79" s="50"/>
      <c r="B79" s="155" t="e">
        <f>COA!#REF!</f>
        <v>#REF!</v>
      </c>
      <c r="C79" s="127" t="e">
        <f>_xlfn.XLOOKUP(B79,#REF!,#REF!,0,0,1)</f>
        <v>#REF!</v>
      </c>
      <c r="D79" s="127"/>
      <c r="E79" s="127" t="e">
        <f>_xlfn.XLOOKUP(B79,#REF!,#REF!,0,0,1)</f>
        <v>#REF!</v>
      </c>
      <c r="F79" s="127"/>
      <c r="G79" s="219" t="e">
        <f t="shared" si="1"/>
        <v>#REF!</v>
      </c>
      <c r="H79" s="178" t="e">
        <f>_xlfn.XLOOKUP($B79,COA!$B:$B,COA!$C:$C,0,0,1)</f>
        <v>#REF!</v>
      </c>
      <c r="I79" s="178" t="e">
        <f>_xlfn.XLOOKUP($B79,COA!$B:$B,COA!$D:$D,0,0,1)</f>
        <v>#REF!</v>
      </c>
      <c r="J79" s="178" t="e">
        <f>_xlfn.XLOOKUP($B79,COA!$B:$B,COA!$E:$E,0,0,1)</f>
        <v>#REF!</v>
      </c>
      <c r="K79" s="80"/>
      <c r="M79" s="85" t="e">
        <f>_xlfn.XLOOKUP(J79,#REF!,#REF!,0,0,1)</f>
        <v>#REF!</v>
      </c>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row>
    <row r="80" spans="1:42" x14ac:dyDescent="0.25">
      <c r="A80" s="50"/>
      <c r="B80" s="155" t="e">
        <f>COA!#REF!</f>
        <v>#REF!</v>
      </c>
      <c r="C80" s="127" t="e">
        <f>_xlfn.XLOOKUP(B80,#REF!,#REF!,0,0,1)</f>
        <v>#REF!</v>
      </c>
      <c r="D80" s="127"/>
      <c r="E80" s="127" t="e">
        <f>_xlfn.XLOOKUP(B80,#REF!,#REF!,0,0,1)</f>
        <v>#REF!</v>
      </c>
      <c r="F80" s="127"/>
      <c r="G80" s="219" t="e">
        <f t="shared" si="1"/>
        <v>#REF!</v>
      </c>
      <c r="H80" s="178" t="e">
        <f>_xlfn.XLOOKUP($B80,COA!$B:$B,COA!$C:$C,0,0,1)</f>
        <v>#REF!</v>
      </c>
      <c r="I80" s="178" t="e">
        <f>_xlfn.XLOOKUP($B80,COA!$B:$B,COA!$D:$D,0,0,1)</f>
        <v>#REF!</v>
      </c>
      <c r="J80" s="178" t="e">
        <f>_xlfn.XLOOKUP($B80,COA!$B:$B,COA!$E:$E,0,0,1)</f>
        <v>#REF!</v>
      </c>
      <c r="K80" s="80"/>
      <c r="M80" s="85" t="e">
        <f>_xlfn.XLOOKUP(J80,#REF!,#REF!,0,0,1)</f>
        <v>#REF!</v>
      </c>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row>
    <row r="81" spans="1:42" x14ac:dyDescent="0.25">
      <c r="A81" s="50"/>
      <c r="B81" s="155" t="e">
        <f>COA!#REF!</f>
        <v>#REF!</v>
      </c>
      <c r="C81" s="127" t="e">
        <f>_xlfn.XLOOKUP(B81,#REF!,#REF!,0,0,1)</f>
        <v>#REF!</v>
      </c>
      <c r="D81" s="127"/>
      <c r="E81" s="127" t="e">
        <f>_xlfn.XLOOKUP(B81,#REF!,#REF!,0,0,1)</f>
        <v>#REF!</v>
      </c>
      <c r="F81" s="127"/>
      <c r="G81" s="219" t="e">
        <f t="shared" si="1"/>
        <v>#REF!</v>
      </c>
      <c r="H81" s="178" t="e">
        <f>_xlfn.XLOOKUP($B81,COA!$B:$B,COA!$C:$C,0,0,1)</f>
        <v>#REF!</v>
      </c>
      <c r="I81" s="178" t="e">
        <f>_xlfn.XLOOKUP($B81,COA!$B:$B,COA!$D:$D,0,0,1)</f>
        <v>#REF!</v>
      </c>
      <c r="J81" s="178" t="e">
        <f>_xlfn.XLOOKUP($B81,COA!$B:$B,COA!$E:$E,0,0,1)</f>
        <v>#REF!</v>
      </c>
      <c r="K81" s="80"/>
      <c r="M81" s="85" t="e">
        <f>_xlfn.XLOOKUP(J81,#REF!,#REF!,0,0,1)</f>
        <v>#REF!</v>
      </c>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row>
    <row r="82" spans="1:42" x14ac:dyDescent="0.25">
      <c r="A82" s="50"/>
      <c r="B82" s="155" t="e">
        <f>COA!#REF!</f>
        <v>#REF!</v>
      </c>
      <c r="C82" s="127" t="e">
        <f>_xlfn.XLOOKUP(B82,#REF!,#REF!,0,0,1)</f>
        <v>#REF!</v>
      </c>
      <c r="D82" s="127"/>
      <c r="E82" s="127" t="e">
        <f>_xlfn.XLOOKUP(B82,#REF!,#REF!,0,0,1)</f>
        <v>#REF!</v>
      </c>
      <c r="F82" s="127"/>
      <c r="G82" s="219" t="e">
        <f t="shared" si="1"/>
        <v>#REF!</v>
      </c>
      <c r="H82" s="178" t="e">
        <f>_xlfn.XLOOKUP($B82,COA!$B:$B,COA!$C:$C,0,0,1)</f>
        <v>#REF!</v>
      </c>
      <c r="I82" s="178" t="e">
        <f>_xlfn.XLOOKUP($B82,COA!$B:$B,COA!$D:$D,0,0,1)</f>
        <v>#REF!</v>
      </c>
      <c r="J82" s="178" t="e">
        <f>_xlfn.XLOOKUP($B82,COA!$B:$B,COA!$E:$E,0,0,1)</f>
        <v>#REF!</v>
      </c>
      <c r="K82" s="80"/>
      <c r="M82" s="85" t="e">
        <f>_xlfn.XLOOKUP(J82,#REF!,#REF!,0,0,1)</f>
        <v>#REF!</v>
      </c>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row>
    <row r="83" spans="1:42" x14ac:dyDescent="0.25">
      <c r="A83" s="50"/>
      <c r="B83" s="155" t="e">
        <f>COA!#REF!</f>
        <v>#REF!</v>
      </c>
      <c r="C83" s="127" t="e">
        <f>_xlfn.XLOOKUP(B83,#REF!,#REF!,0,0,1)</f>
        <v>#REF!</v>
      </c>
      <c r="D83" s="127"/>
      <c r="E83" s="127" t="e">
        <f>_xlfn.XLOOKUP(B83,#REF!,#REF!,0,0,1)</f>
        <v>#REF!</v>
      </c>
      <c r="F83" s="127"/>
      <c r="G83" s="219" t="e">
        <f t="shared" si="1"/>
        <v>#REF!</v>
      </c>
      <c r="H83" s="178" t="e">
        <f>_xlfn.XLOOKUP($B83,COA!$B:$B,COA!$C:$C,0,0,1)</f>
        <v>#REF!</v>
      </c>
      <c r="I83" s="178" t="e">
        <f>_xlfn.XLOOKUP($B83,COA!$B:$B,COA!$D:$D,0,0,1)</f>
        <v>#REF!</v>
      </c>
      <c r="J83" s="178" t="e">
        <f>_xlfn.XLOOKUP($B83,COA!$B:$B,COA!$E:$E,0,0,1)</f>
        <v>#REF!</v>
      </c>
      <c r="K83" s="80"/>
      <c r="M83" s="85" t="e">
        <f>_xlfn.XLOOKUP(J83,#REF!,#REF!,0,0,1)</f>
        <v>#REF!</v>
      </c>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row>
    <row r="84" spans="1:42" x14ac:dyDescent="0.25">
      <c r="A84" s="50"/>
      <c r="B84" s="155" t="e">
        <f>COA!#REF!</f>
        <v>#REF!</v>
      </c>
      <c r="C84" s="127" t="e">
        <f>_xlfn.XLOOKUP(B84,#REF!,#REF!,0,0,1)</f>
        <v>#REF!</v>
      </c>
      <c r="D84" s="127"/>
      <c r="E84" s="127" t="e">
        <f>_xlfn.XLOOKUP(B84,#REF!,#REF!,0,0,1)</f>
        <v>#REF!</v>
      </c>
      <c r="F84" s="127"/>
      <c r="G84" s="219" t="e">
        <f t="shared" si="1"/>
        <v>#REF!</v>
      </c>
      <c r="H84" s="178" t="e">
        <f>_xlfn.XLOOKUP($B84,COA!$B:$B,COA!$C:$C,0,0,1)</f>
        <v>#REF!</v>
      </c>
      <c r="I84" s="178" t="e">
        <f>_xlfn.XLOOKUP($B84,COA!$B:$B,COA!$D:$D,0,0,1)</f>
        <v>#REF!</v>
      </c>
      <c r="J84" s="178" t="e">
        <f>_xlfn.XLOOKUP($B84,COA!$B:$B,COA!$E:$E,0,0,1)</f>
        <v>#REF!</v>
      </c>
      <c r="K84" s="80"/>
      <c r="M84" s="85" t="e">
        <f>_xlfn.XLOOKUP(J84,#REF!,#REF!,0,0,1)</f>
        <v>#REF!</v>
      </c>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row>
    <row r="85" spans="1:42" x14ac:dyDescent="0.25">
      <c r="A85" s="50"/>
      <c r="B85" s="155" t="e">
        <f>COA!#REF!</f>
        <v>#REF!</v>
      </c>
      <c r="C85" s="127" t="e">
        <f>_xlfn.XLOOKUP(B85,#REF!,#REF!,0,0,1)</f>
        <v>#REF!</v>
      </c>
      <c r="D85" s="127"/>
      <c r="E85" s="127" t="e">
        <f>_xlfn.XLOOKUP(B85,#REF!,#REF!,0,0,1)</f>
        <v>#REF!</v>
      </c>
      <c r="F85" s="127"/>
      <c r="G85" s="219" t="e">
        <f t="shared" si="1"/>
        <v>#REF!</v>
      </c>
      <c r="H85" s="178" t="e">
        <f>_xlfn.XLOOKUP($B85,COA!$B:$B,COA!$C:$C,0,0,1)</f>
        <v>#REF!</v>
      </c>
      <c r="I85" s="178" t="e">
        <f>_xlfn.XLOOKUP($B85,COA!$B:$B,COA!$D:$D,0,0,1)</f>
        <v>#REF!</v>
      </c>
      <c r="J85" s="178" t="e">
        <f>_xlfn.XLOOKUP($B85,COA!$B:$B,COA!$E:$E,0,0,1)</f>
        <v>#REF!</v>
      </c>
      <c r="K85" s="80"/>
      <c r="M85" s="85" t="e">
        <f>_xlfn.XLOOKUP(J85,#REF!,#REF!,0,0,1)</f>
        <v>#REF!</v>
      </c>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row>
    <row r="86" spans="1:42" x14ac:dyDescent="0.25">
      <c r="A86" s="50"/>
      <c r="B86" s="155" t="e">
        <f>COA!#REF!</f>
        <v>#REF!</v>
      </c>
      <c r="C86" s="127" t="e">
        <f>_xlfn.XLOOKUP(B86,#REF!,#REF!,0,0,1)</f>
        <v>#REF!</v>
      </c>
      <c r="D86" s="127"/>
      <c r="E86" s="127" t="e">
        <f>_xlfn.XLOOKUP(B86,#REF!,#REF!,0,0,1)</f>
        <v>#REF!</v>
      </c>
      <c r="F86" s="127"/>
      <c r="G86" s="219" t="e">
        <f t="shared" si="1"/>
        <v>#REF!</v>
      </c>
      <c r="H86" s="178" t="e">
        <f>_xlfn.XLOOKUP($B86,COA!$B:$B,COA!$C:$C,0,0,1)</f>
        <v>#REF!</v>
      </c>
      <c r="I86" s="178" t="e">
        <f>_xlfn.XLOOKUP($B86,COA!$B:$B,COA!$D:$D,0,0,1)</f>
        <v>#REF!</v>
      </c>
      <c r="J86" s="178" t="e">
        <f>_xlfn.XLOOKUP($B86,COA!$B:$B,COA!$E:$E,0,0,1)</f>
        <v>#REF!</v>
      </c>
      <c r="K86" s="80"/>
      <c r="M86" s="85" t="e">
        <f>_xlfn.XLOOKUP(J86,#REF!,#REF!,0,0,1)</f>
        <v>#REF!</v>
      </c>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row>
    <row r="87" spans="1:42" x14ac:dyDescent="0.25">
      <c r="A87" s="50"/>
      <c r="B87" s="155" t="e">
        <f>COA!#REF!</f>
        <v>#REF!</v>
      </c>
      <c r="C87" s="127" t="e">
        <f>_xlfn.XLOOKUP(B87,#REF!,#REF!,0,0,1)</f>
        <v>#REF!</v>
      </c>
      <c r="D87" s="127"/>
      <c r="E87" s="127" t="e">
        <f>_xlfn.XLOOKUP(B87,#REF!,#REF!,0,0,1)</f>
        <v>#REF!</v>
      </c>
      <c r="F87" s="127"/>
      <c r="G87" s="219" t="e">
        <f t="shared" si="1"/>
        <v>#REF!</v>
      </c>
      <c r="H87" s="178" t="e">
        <f>_xlfn.XLOOKUP($B87,COA!$B:$B,COA!$C:$C,0,0,1)</f>
        <v>#REF!</v>
      </c>
      <c r="I87" s="178" t="e">
        <f>_xlfn.XLOOKUP($B87,COA!$B:$B,COA!$D:$D,0,0,1)</f>
        <v>#REF!</v>
      </c>
      <c r="J87" s="178" t="e">
        <f>_xlfn.XLOOKUP($B87,COA!$B:$B,COA!$E:$E,0,0,1)</f>
        <v>#REF!</v>
      </c>
      <c r="K87" s="80"/>
      <c r="M87" s="85" t="e">
        <f>_xlfn.XLOOKUP(J87,#REF!,#REF!,0,0,1)</f>
        <v>#REF!</v>
      </c>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row>
    <row r="88" spans="1:42" x14ac:dyDescent="0.25">
      <c r="A88" s="50"/>
      <c r="B88" s="155" t="e">
        <f>COA!#REF!</f>
        <v>#REF!</v>
      </c>
      <c r="C88" s="127" t="e">
        <f>_xlfn.XLOOKUP(B88,#REF!,#REF!,0,0,1)</f>
        <v>#REF!</v>
      </c>
      <c r="D88" s="127"/>
      <c r="E88" s="127" t="e">
        <f>_xlfn.XLOOKUP(B88,#REF!,#REF!,0,0,1)</f>
        <v>#REF!</v>
      </c>
      <c r="F88" s="127"/>
      <c r="G88" s="219" t="e">
        <f t="shared" si="1"/>
        <v>#REF!</v>
      </c>
      <c r="H88" s="178" t="e">
        <f>_xlfn.XLOOKUP($B88,COA!$B:$B,COA!$C:$C,0,0,1)</f>
        <v>#REF!</v>
      </c>
      <c r="I88" s="178" t="e">
        <f>_xlfn.XLOOKUP($B88,COA!$B:$B,COA!$D:$D,0,0,1)</f>
        <v>#REF!</v>
      </c>
      <c r="J88" s="178" t="e">
        <f>_xlfn.XLOOKUP($B88,COA!$B:$B,COA!$E:$E,0,0,1)</f>
        <v>#REF!</v>
      </c>
      <c r="K88" s="80"/>
      <c r="M88" s="85" t="e">
        <f>_xlfn.XLOOKUP(J88,#REF!,#REF!,0,0,1)</f>
        <v>#REF!</v>
      </c>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row>
    <row r="89" spans="1:42" x14ac:dyDescent="0.25">
      <c r="A89" s="50"/>
      <c r="B89" s="155" t="e">
        <f>COA!#REF!</f>
        <v>#REF!</v>
      </c>
      <c r="C89" s="127" t="e">
        <f>_xlfn.XLOOKUP(B89,#REF!,#REF!,0,0,1)</f>
        <v>#REF!</v>
      </c>
      <c r="D89" s="127"/>
      <c r="E89" s="127" t="e">
        <f>_xlfn.XLOOKUP(B89,#REF!,#REF!,0,0,1)</f>
        <v>#REF!</v>
      </c>
      <c r="F89" s="127"/>
      <c r="G89" s="219" t="e">
        <f t="shared" si="1"/>
        <v>#REF!</v>
      </c>
      <c r="H89" s="178" t="e">
        <f>_xlfn.XLOOKUP($B89,COA!$B:$B,COA!$C:$C,0,0,1)</f>
        <v>#REF!</v>
      </c>
      <c r="I89" s="178" t="e">
        <f>_xlfn.XLOOKUP($B89,COA!$B:$B,COA!$D:$D,0,0,1)</f>
        <v>#REF!</v>
      </c>
      <c r="J89" s="178" t="e">
        <f>_xlfn.XLOOKUP($B89,COA!$B:$B,COA!$E:$E,0,0,1)</f>
        <v>#REF!</v>
      </c>
      <c r="K89" s="80"/>
      <c r="M89" s="85" t="e">
        <f>_xlfn.XLOOKUP(J89,#REF!,#REF!,0,0,1)</f>
        <v>#REF!</v>
      </c>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row>
    <row r="90" spans="1:42" x14ac:dyDescent="0.25">
      <c r="A90" s="50"/>
      <c r="B90" s="155" t="e">
        <f>COA!#REF!</f>
        <v>#REF!</v>
      </c>
      <c r="C90" s="127" t="e">
        <f>_xlfn.XLOOKUP(B90,#REF!,#REF!,0,0,1)</f>
        <v>#REF!</v>
      </c>
      <c r="D90" s="127"/>
      <c r="E90" s="127" t="e">
        <f>_xlfn.XLOOKUP(B90,#REF!,#REF!,0,0,1)</f>
        <v>#REF!</v>
      </c>
      <c r="F90" s="127"/>
      <c r="G90" s="219" t="e">
        <f t="shared" si="1"/>
        <v>#REF!</v>
      </c>
      <c r="H90" s="178" t="e">
        <f>_xlfn.XLOOKUP($B90,COA!$B:$B,COA!$C:$C,0,0,1)</f>
        <v>#REF!</v>
      </c>
      <c r="I90" s="178" t="e">
        <f>_xlfn.XLOOKUP($B90,COA!$B:$B,COA!$D:$D,0,0,1)</f>
        <v>#REF!</v>
      </c>
      <c r="J90" s="178" t="e">
        <f>_xlfn.XLOOKUP($B90,COA!$B:$B,COA!$E:$E,0,0,1)</f>
        <v>#REF!</v>
      </c>
      <c r="K90" s="80"/>
      <c r="M90" s="85" t="e">
        <f>_xlfn.XLOOKUP(J90,#REF!,#REF!,0,0,1)</f>
        <v>#REF!</v>
      </c>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row>
    <row r="91" spans="1:42" x14ac:dyDescent="0.25">
      <c r="A91" s="50"/>
      <c r="B91" s="155" t="e">
        <f>COA!#REF!</f>
        <v>#REF!</v>
      </c>
      <c r="C91" s="127" t="e">
        <f>_xlfn.XLOOKUP(B91,#REF!,#REF!,0,0,1)</f>
        <v>#REF!</v>
      </c>
      <c r="D91" s="127"/>
      <c r="E91" s="127" t="e">
        <f>_xlfn.XLOOKUP(B91,#REF!,#REF!,0,0,1)</f>
        <v>#REF!</v>
      </c>
      <c r="F91" s="127"/>
      <c r="G91" s="219" t="e">
        <f t="shared" si="1"/>
        <v>#REF!</v>
      </c>
      <c r="H91" s="178" t="e">
        <f>_xlfn.XLOOKUP($B91,COA!$B:$B,COA!$C:$C,0,0,1)</f>
        <v>#REF!</v>
      </c>
      <c r="I91" s="178" t="e">
        <f>_xlfn.XLOOKUP($B91,COA!$B:$B,COA!$D:$D,0,0,1)</f>
        <v>#REF!</v>
      </c>
      <c r="J91" s="178" t="e">
        <f>_xlfn.XLOOKUP($B91,COA!$B:$B,COA!$E:$E,0,0,1)</f>
        <v>#REF!</v>
      </c>
      <c r="K91" s="80"/>
      <c r="M91" s="85" t="e">
        <f>_xlfn.XLOOKUP(J91,#REF!,#REF!,0,0,1)</f>
        <v>#REF!</v>
      </c>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row>
    <row r="92" spans="1:42" x14ac:dyDescent="0.25">
      <c r="A92" s="50"/>
      <c r="B92" s="155" t="e">
        <f>COA!#REF!</f>
        <v>#REF!</v>
      </c>
      <c r="C92" s="127" t="e">
        <f>_xlfn.XLOOKUP(B92,#REF!,#REF!,0,0,1)</f>
        <v>#REF!</v>
      </c>
      <c r="D92" s="127"/>
      <c r="E92" s="127" t="e">
        <f>_xlfn.XLOOKUP(B92,#REF!,#REF!,0,0,1)</f>
        <v>#REF!</v>
      </c>
      <c r="F92" s="127"/>
      <c r="G92" s="219" t="e">
        <f t="shared" si="1"/>
        <v>#REF!</v>
      </c>
      <c r="H92" s="178" t="e">
        <f>_xlfn.XLOOKUP($B92,COA!$B:$B,COA!$C:$C,0,0,1)</f>
        <v>#REF!</v>
      </c>
      <c r="I92" s="178" t="e">
        <f>_xlfn.XLOOKUP($B92,COA!$B:$B,COA!$D:$D,0,0,1)</f>
        <v>#REF!</v>
      </c>
      <c r="J92" s="178" t="e">
        <f>_xlfn.XLOOKUP($B92,COA!$B:$B,COA!$E:$E,0,0,1)</f>
        <v>#REF!</v>
      </c>
      <c r="K92" s="80"/>
      <c r="M92" s="85" t="e">
        <f>_xlfn.XLOOKUP(J92,#REF!,#REF!,0,0,1)</f>
        <v>#REF!</v>
      </c>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row>
    <row r="93" spans="1:42" x14ac:dyDescent="0.25">
      <c r="A93" s="50"/>
      <c r="B93" s="155" t="e">
        <f>COA!#REF!</f>
        <v>#REF!</v>
      </c>
      <c r="C93" s="127" t="e">
        <f>_xlfn.XLOOKUP(B93,#REF!,#REF!,0,0,1)</f>
        <v>#REF!</v>
      </c>
      <c r="D93" s="127"/>
      <c r="E93" s="127" t="e">
        <f>_xlfn.XLOOKUP(B93,#REF!,#REF!,0,0,1)</f>
        <v>#REF!</v>
      </c>
      <c r="F93" s="127"/>
      <c r="G93" s="219" t="e">
        <f t="shared" si="1"/>
        <v>#REF!</v>
      </c>
      <c r="H93" s="178" t="e">
        <f>_xlfn.XLOOKUP($B93,COA!$B:$B,COA!$C:$C,0,0,1)</f>
        <v>#REF!</v>
      </c>
      <c r="I93" s="178" t="e">
        <f>_xlfn.XLOOKUP($B93,COA!$B:$B,COA!$D:$D,0,0,1)</f>
        <v>#REF!</v>
      </c>
      <c r="J93" s="178" t="e">
        <f>_xlfn.XLOOKUP($B93,COA!$B:$B,COA!$E:$E,0,0,1)</f>
        <v>#REF!</v>
      </c>
      <c r="K93" s="80"/>
      <c r="M93" s="85" t="e">
        <f>_xlfn.XLOOKUP(J93,#REF!,#REF!,0,0,1)</f>
        <v>#REF!</v>
      </c>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row>
    <row r="94" spans="1:42" x14ac:dyDescent="0.25">
      <c r="A94" s="50"/>
      <c r="B94" s="155" t="e">
        <f>COA!#REF!</f>
        <v>#REF!</v>
      </c>
      <c r="C94" s="127" t="e">
        <f>_xlfn.XLOOKUP(B94,#REF!,#REF!,0,0,1)</f>
        <v>#REF!</v>
      </c>
      <c r="D94" s="127"/>
      <c r="E94" s="127" t="e">
        <f>_xlfn.XLOOKUP(B94,#REF!,#REF!,0,0,1)</f>
        <v>#REF!</v>
      </c>
      <c r="F94" s="127"/>
      <c r="G94" s="219" t="e">
        <f t="shared" si="1"/>
        <v>#REF!</v>
      </c>
      <c r="H94" s="178" t="e">
        <f>_xlfn.XLOOKUP($B94,COA!$B:$B,COA!$C:$C,0,0,1)</f>
        <v>#REF!</v>
      </c>
      <c r="I94" s="178" t="e">
        <f>_xlfn.XLOOKUP($B94,COA!$B:$B,COA!$D:$D,0,0,1)</f>
        <v>#REF!</v>
      </c>
      <c r="J94" s="178" t="e">
        <f>_xlfn.XLOOKUP($B94,COA!$B:$B,COA!$E:$E,0,0,1)</f>
        <v>#REF!</v>
      </c>
      <c r="K94" s="80"/>
      <c r="M94" s="85" t="e">
        <f>_xlfn.XLOOKUP(J94,#REF!,#REF!,0,0,1)</f>
        <v>#REF!</v>
      </c>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row>
    <row r="95" spans="1:42" x14ac:dyDescent="0.25">
      <c r="A95" s="50"/>
      <c r="B95" s="155" t="e">
        <f>COA!#REF!</f>
        <v>#REF!</v>
      </c>
      <c r="C95" s="127" t="e">
        <f>_xlfn.XLOOKUP(B95,#REF!,#REF!,0,0,1)</f>
        <v>#REF!</v>
      </c>
      <c r="D95" s="127"/>
      <c r="E95" s="127" t="e">
        <f>_xlfn.XLOOKUP(B95,#REF!,#REF!,0,0,1)</f>
        <v>#REF!</v>
      </c>
      <c r="F95" s="127"/>
      <c r="G95" s="219" t="e">
        <f t="shared" si="1"/>
        <v>#REF!</v>
      </c>
      <c r="H95" s="178" t="e">
        <f>_xlfn.XLOOKUP($B95,COA!$B:$B,COA!$C:$C,0,0,1)</f>
        <v>#REF!</v>
      </c>
      <c r="I95" s="178" t="e">
        <f>_xlfn.XLOOKUP($B95,COA!$B:$B,COA!$D:$D,0,0,1)</f>
        <v>#REF!</v>
      </c>
      <c r="J95" s="178" t="e">
        <f>_xlfn.XLOOKUP($B95,COA!$B:$B,COA!$E:$E,0,0,1)</f>
        <v>#REF!</v>
      </c>
      <c r="K95" s="80"/>
      <c r="M95" s="85" t="e">
        <f>_xlfn.XLOOKUP(J95,#REF!,#REF!,0,0,1)</f>
        <v>#REF!</v>
      </c>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row>
    <row r="96" spans="1:42" x14ac:dyDescent="0.25">
      <c r="A96" s="50"/>
      <c r="B96" s="155" t="e">
        <f>COA!#REF!</f>
        <v>#REF!</v>
      </c>
      <c r="C96" s="127" t="e">
        <f>_xlfn.XLOOKUP(B96,#REF!,#REF!,0,0,1)</f>
        <v>#REF!</v>
      </c>
      <c r="D96" s="127"/>
      <c r="E96" s="127" t="e">
        <f>_xlfn.XLOOKUP(B96,#REF!,#REF!,0,0,1)</f>
        <v>#REF!</v>
      </c>
      <c r="F96" s="127"/>
      <c r="G96" s="219" t="e">
        <f t="shared" si="1"/>
        <v>#REF!</v>
      </c>
      <c r="H96" s="178" t="e">
        <f>_xlfn.XLOOKUP($B96,COA!$B:$B,COA!$C:$C,0,0,1)</f>
        <v>#REF!</v>
      </c>
      <c r="I96" s="178" t="e">
        <f>_xlfn.XLOOKUP($B96,COA!$B:$B,COA!$D:$D,0,0,1)</f>
        <v>#REF!</v>
      </c>
      <c r="J96" s="178" t="e">
        <f>_xlfn.XLOOKUP($B96,COA!$B:$B,COA!$E:$E,0,0,1)</f>
        <v>#REF!</v>
      </c>
      <c r="K96" s="80"/>
      <c r="M96" s="85" t="e">
        <f>_xlfn.XLOOKUP(J96,#REF!,#REF!,0,0,1)</f>
        <v>#REF!</v>
      </c>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row>
    <row r="97" spans="1:42" x14ac:dyDescent="0.25">
      <c r="A97" s="50"/>
      <c r="B97" s="155" t="e">
        <f>COA!#REF!</f>
        <v>#REF!</v>
      </c>
      <c r="C97" s="127" t="e">
        <f>_xlfn.XLOOKUP(B97,#REF!,#REF!,0,0,1)</f>
        <v>#REF!</v>
      </c>
      <c r="D97" s="127"/>
      <c r="E97" s="127" t="e">
        <f>_xlfn.XLOOKUP(B97,#REF!,#REF!,0,0,1)</f>
        <v>#REF!</v>
      </c>
      <c r="F97" s="127"/>
      <c r="G97" s="219" t="e">
        <f t="shared" si="1"/>
        <v>#REF!</v>
      </c>
      <c r="H97" s="178" t="e">
        <f>_xlfn.XLOOKUP($B97,COA!$B:$B,COA!$C:$C,0,0,1)</f>
        <v>#REF!</v>
      </c>
      <c r="I97" s="178" t="e">
        <f>_xlfn.XLOOKUP($B97,COA!$B:$B,COA!$D:$D,0,0,1)</f>
        <v>#REF!</v>
      </c>
      <c r="J97" s="178" t="e">
        <f>_xlfn.XLOOKUP($B97,COA!$B:$B,COA!$E:$E,0,0,1)</f>
        <v>#REF!</v>
      </c>
      <c r="K97" s="80"/>
      <c r="M97" s="85" t="e">
        <f>_xlfn.XLOOKUP(J97,#REF!,#REF!,0,0,1)</f>
        <v>#REF!</v>
      </c>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row>
    <row r="98" spans="1:42" x14ac:dyDescent="0.25">
      <c r="A98" s="50"/>
      <c r="B98" s="155" t="e">
        <f>COA!#REF!</f>
        <v>#REF!</v>
      </c>
      <c r="C98" s="127" t="e">
        <f>_xlfn.XLOOKUP(B98,#REF!,#REF!,0,0,1)</f>
        <v>#REF!</v>
      </c>
      <c r="D98" s="127"/>
      <c r="E98" s="127" t="e">
        <f>_xlfn.XLOOKUP(B98,#REF!,#REF!,0,0,1)</f>
        <v>#REF!</v>
      </c>
      <c r="F98" s="127"/>
      <c r="G98" s="219" t="e">
        <f t="shared" si="1"/>
        <v>#REF!</v>
      </c>
      <c r="H98" s="178" t="e">
        <f>_xlfn.XLOOKUP($B98,COA!$B:$B,COA!$C:$C,0,0,1)</f>
        <v>#REF!</v>
      </c>
      <c r="I98" s="178" t="e">
        <f>_xlfn.XLOOKUP($B98,COA!$B:$B,COA!$D:$D,0,0,1)</f>
        <v>#REF!</v>
      </c>
      <c r="J98" s="178" t="e">
        <f>_xlfn.XLOOKUP($B98,COA!$B:$B,COA!$E:$E,0,0,1)</f>
        <v>#REF!</v>
      </c>
      <c r="K98" s="80"/>
      <c r="M98" s="85" t="e">
        <f>_xlfn.XLOOKUP(J98,#REF!,#REF!,0,0,1)</f>
        <v>#REF!</v>
      </c>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row>
    <row r="99" spans="1:42" x14ac:dyDescent="0.25">
      <c r="A99" s="50"/>
      <c r="B99" s="155" t="e">
        <f>COA!#REF!</f>
        <v>#REF!</v>
      </c>
      <c r="C99" s="127" t="e">
        <f>_xlfn.XLOOKUP(B99,#REF!,#REF!,0,0,1)</f>
        <v>#REF!</v>
      </c>
      <c r="D99" s="127"/>
      <c r="E99" s="127" t="e">
        <f>_xlfn.XLOOKUP(B99,#REF!,#REF!,0,0,1)</f>
        <v>#REF!</v>
      </c>
      <c r="F99" s="127"/>
      <c r="G99" s="219" t="e">
        <f t="shared" si="1"/>
        <v>#REF!</v>
      </c>
      <c r="H99" s="178" t="e">
        <f>_xlfn.XLOOKUP($B99,COA!$B:$B,COA!$C:$C,0,0,1)</f>
        <v>#REF!</v>
      </c>
      <c r="I99" s="178" t="e">
        <f>_xlfn.XLOOKUP($B99,COA!$B:$B,COA!$D:$D,0,0,1)</f>
        <v>#REF!</v>
      </c>
      <c r="J99" s="178" t="e">
        <f>_xlfn.XLOOKUP($B99,COA!$B:$B,COA!$E:$E,0,0,1)</f>
        <v>#REF!</v>
      </c>
      <c r="K99" s="80"/>
      <c r="M99" s="85" t="e">
        <f>_xlfn.XLOOKUP(J99,#REF!,#REF!,0,0,1)</f>
        <v>#REF!</v>
      </c>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row>
    <row r="100" spans="1:42" x14ac:dyDescent="0.25">
      <c r="A100" s="50"/>
      <c r="B100" s="155" t="e">
        <f>COA!#REF!</f>
        <v>#REF!</v>
      </c>
      <c r="C100" s="127" t="e">
        <f>_xlfn.XLOOKUP(B100,#REF!,#REF!,0,0,1)</f>
        <v>#REF!</v>
      </c>
      <c r="D100" s="127"/>
      <c r="E100" s="127" t="e">
        <f>_xlfn.XLOOKUP(B100,#REF!,#REF!,0,0,1)</f>
        <v>#REF!</v>
      </c>
      <c r="F100" s="127"/>
      <c r="G100" s="219" t="e">
        <f t="shared" si="1"/>
        <v>#REF!</v>
      </c>
      <c r="H100" s="178" t="e">
        <f>_xlfn.XLOOKUP($B100,COA!$B:$B,COA!$C:$C,0,0,1)</f>
        <v>#REF!</v>
      </c>
      <c r="I100" s="178" t="e">
        <f>_xlfn.XLOOKUP($B100,COA!$B:$B,COA!$D:$D,0,0,1)</f>
        <v>#REF!</v>
      </c>
      <c r="J100" s="178" t="e">
        <f>_xlfn.XLOOKUP($B100,COA!$B:$B,COA!$E:$E,0,0,1)</f>
        <v>#REF!</v>
      </c>
      <c r="K100" s="80"/>
      <c r="M100" s="85" t="e">
        <f>_xlfn.XLOOKUP(J100,#REF!,#REF!,0,0,1)</f>
        <v>#REF!</v>
      </c>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row>
    <row r="101" spans="1:42" x14ac:dyDescent="0.25">
      <c r="A101" s="50"/>
      <c r="B101" s="155" t="e">
        <f>COA!#REF!</f>
        <v>#REF!</v>
      </c>
      <c r="C101" s="127" t="e">
        <f>_xlfn.XLOOKUP(B101,#REF!,#REF!,0,0,1)</f>
        <v>#REF!</v>
      </c>
      <c r="D101" s="127"/>
      <c r="E101" s="127" t="e">
        <f>_xlfn.XLOOKUP(B101,#REF!,#REF!,0,0,1)</f>
        <v>#REF!</v>
      </c>
      <c r="F101" s="127"/>
      <c r="G101" s="219" t="e">
        <f t="shared" si="1"/>
        <v>#REF!</v>
      </c>
      <c r="H101" s="178" t="e">
        <f>_xlfn.XLOOKUP($B101,COA!$B:$B,COA!$C:$C,0,0,1)</f>
        <v>#REF!</v>
      </c>
      <c r="I101" s="178" t="e">
        <f>_xlfn.XLOOKUP($B101,COA!$B:$B,COA!$D:$D,0,0,1)</f>
        <v>#REF!</v>
      </c>
      <c r="J101" s="178" t="e">
        <f>_xlfn.XLOOKUP($B101,COA!$B:$B,COA!$E:$E,0,0,1)</f>
        <v>#REF!</v>
      </c>
      <c r="K101" s="80"/>
      <c r="M101" s="85" t="e">
        <f>_xlfn.XLOOKUP(J101,#REF!,#REF!,0,0,1)</f>
        <v>#REF!</v>
      </c>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row>
    <row r="102" spans="1:42" hidden="1" outlineLevel="1" x14ac:dyDescent="0.25">
      <c r="A102" s="50"/>
      <c r="B102" s="155" t="e">
        <f>COA!#REF!</f>
        <v>#REF!</v>
      </c>
      <c r="C102" s="127" t="e">
        <f>_xlfn.XLOOKUP(B102,#REF!,#REF!,0,0,1)</f>
        <v>#REF!</v>
      </c>
      <c r="D102" s="127" t="e">
        <f>SUMIF(#REF!,#REF!,#REF!)+SUMIF(#REF!,'FY Current'!B102,#REF!)</f>
        <v>#REF!</v>
      </c>
      <c r="E102" s="127" t="e">
        <f>_xlfn.XLOOKUP(B102,#REF!,#REF!,0,0,1)</f>
        <v>#REF!</v>
      </c>
      <c r="F102" s="127"/>
      <c r="G102" s="219" t="e">
        <f t="shared" si="1"/>
        <v>#REF!</v>
      </c>
      <c r="H102" s="178" t="e">
        <f>_xlfn.XLOOKUP($B102,COA!$B:$B,COA!$C:$C,0,0,1)</f>
        <v>#REF!</v>
      </c>
      <c r="I102" s="178" t="e">
        <f>_xlfn.XLOOKUP($B102,COA!$B:$B,COA!$D:$D,0,0,1)</f>
        <v>#REF!</v>
      </c>
      <c r="J102" s="178" t="e">
        <f>_xlfn.XLOOKUP($B102,COA!$B:$B,COA!$E:$E,0,0,1)</f>
        <v>#REF!</v>
      </c>
      <c r="K102" s="80"/>
      <c r="M102" s="85" t="e">
        <f>_xlfn.XLOOKUP(J102,#REF!,#REF!,0,0,1)</f>
        <v>#REF!</v>
      </c>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row>
    <row r="103" spans="1:42" hidden="1" outlineLevel="1" x14ac:dyDescent="0.25">
      <c r="A103" s="50"/>
      <c r="B103" s="155" t="e">
        <f>COA!#REF!</f>
        <v>#REF!</v>
      </c>
      <c r="C103" s="127" t="e">
        <f>_xlfn.XLOOKUP(B103,#REF!,#REF!,0,0,1)</f>
        <v>#REF!</v>
      </c>
      <c r="D103" s="127" t="e">
        <f>SUMIF(#REF!,#REF!,#REF!)+SUMIF(#REF!,'FY Current'!B103,#REF!)</f>
        <v>#REF!</v>
      </c>
      <c r="E103" s="127" t="e">
        <f>_xlfn.XLOOKUP(B103,#REF!,#REF!,0,0,1)</f>
        <v>#REF!</v>
      </c>
      <c r="F103" s="127"/>
      <c r="G103" s="219" t="e">
        <f t="shared" si="1"/>
        <v>#REF!</v>
      </c>
      <c r="H103" s="178" t="e">
        <f>_xlfn.XLOOKUP($B103,COA!$B:$B,COA!$C:$C,0,0,1)</f>
        <v>#REF!</v>
      </c>
      <c r="I103" s="178" t="e">
        <f>_xlfn.XLOOKUP($B103,COA!$B:$B,COA!$D:$D,0,0,1)</f>
        <v>#REF!</v>
      </c>
      <c r="J103" s="178" t="e">
        <f>_xlfn.XLOOKUP($B103,COA!$B:$B,COA!$E:$E,0,0,1)</f>
        <v>#REF!</v>
      </c>
      <c r="K103" s="80"/>
      <c r="M103" s="85" t="e">
        <f>_xlfn.XLOOKUP(J103,#REF!,#REF!,0,0,1)</f>
        <v>#REF!</v>
      </c>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row>
    <row r="104" spans="1:42" hidden="1" outlineLevel="1" x14ac:dyDescent="0.25">
      <c r="A104" s="50"/>
      <c r="B104" s="155" t="e">
        <f>COA!#REF!</f>
        <v>#REF!</v>
      </c>
      <c r="C104" s="127" t="e">
        <f>_xlfn.XLOOKUP(B104,#REF!,#REF!,0,0,1)</f>
        <v>#REF!</v>
      </c>
      <c r="D104" s="127" t="e">
        <f>SUMIF(#REF!,#REF!,#REF!)+SUMIF(#REF!,'FY Current'!B104,#REF!)</f>
        <v>#REF!</v>
      </c>
      <c r="E104" s="127" t="e">
        <f>_xlfn.XLOOKUP(B104,#REF!,#REF!,0,0,1)</f>
        <v>#REF!</v>
      </c>
      <c r="F104" s="127"/>
      <c r="G104" s="219" t="e">
        <f t="shared" si="1"/>
        <v>#REF!</v>
      </c>
      <c r="H104" s="178" t="e">
        <f>_xlfn.XLOOKUP($B104,COA!$B:$B,COA!$C:$C,0,0,1)</f>
        <v>#REF!</v>
      </c>
      <c r="I104" s="178" t="e">
        <f>_xlfn.XLOOKUP($B104,COA!$B:$B,COA!$D:$D,0,0,1)</f>
        <v>#REF!</v>
      </c>
      <c r="J104" s="178" t="e">
        <f>_xlfn.XLOOKUP($B104,COA!$B:$B,COA!$E:$E,0,0,1)</f>
        <v>#REF!</v>
      </c>
      <c r="K104" s="80"/>
      <c r="M104" s="85" t="e">
        <f>_xlfn.XLOOKUP(J104,#REF!,#REF!,0,0,1)</f>
        <v>#REF!</v>
      </c>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row>
    <row r="105" spans="1:42" hidden="1" outlineLevel="1" x14ac:dyDescent="0.25">
      <c r="A105" s="50"/>
      <c r="B105" s="155" t="e">
        <f>COA!#REF!</f>
        <v>#REF!</v>
      </c>
      <c r="C105" s="127" t="e">
        <f>_xlfn.XLOOKUP(B105,#REF!,#REF!,0,0,1)</f>
        <v>#REF!</v>
      </c>
      <c r="D105" s="127" t="e">
        <f>SUMIF(#REF!,#REF!,#REF!)+SUMIF(#REF!,'FY Current'!B105,#REF!)</f>
        <v>#REF!</v>
      </c>
      <c r="E105" s="127" t="e">
        <f>_xlfn.XLOOKUP(B105,#REF!,#REF!,0,0,1)</f>
        <v>#REF!</v>
      </c>
      <c r="F105" s="127"/>
      <c r="G105" s="219" t="e">
        <f t="shared" si="1"/>
        <v>#REF!</v>
      </c>
      <c r="H105" s="178" t="e">
        <f>_xlfn.XLOOKUP($B105,COA!$B:$B,COA!$C:$C,0,0,1)</f>
        <v>#REF!</v>
      </c>
      <c r="I105" s="178" t="e">
        <f>_xlfn.XLOOKUP($B105,COA!$B:$B,COA!$D:$D,0,0,1)</f>
        <v>#REF!</v>
      </c>
      <c r="J105" s="178" t="e">
        <f>_xlfn.XLOOKUP($B105,COA!$B:$B,COA!$E:$E,0,0,1)</f>
        <v>#REF!</v>
      </c>
      <c r="K105" s="80"/>
      <c r="M105" s="85" t="e">
        <f>_xlfn.XLOOKUP(J105,#REF!,#REF!,0,0,1)</f>
        <v>#REF!</v>
      </c>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row>
    <row r="106" spans="1:42" hidden="1" outlineLevel="1" x14ac:dyDescent="0.25">
      <c r="A106" s="50"/>
      <c r="B106" s="155" t="e">
        <f>COA!#REF!</f>
        <v>#REF!</v>
      </c>
      <c r="C106" s="127" t="e">
        <f>_xlfn.XLOOKUP(B106,#REF!,#REF!,0,0,1)</f>
        <v>#REF!</v>
      </c>
      <c r="D106" s="127" t="e">
        <f>SUMIF(#REF!,#REF!,#REF!)+SUMIF(#REF!,'FY Current'!B106,#REF!)</f>
        <v>#REF!</v>
      </c>
      <c r="E106" s="127" t="e">
        <f>_xlfn.XLOOKUP(B106,#REF!,#REF!,0,0,1)</f>
        <v>#REF!</v>
      </c>
      <c r="F106" s="127"/>
      <c r="G106" s="219" t="e">
        <f t="shared" si="1"/>
        <v>#REF!</v>
      </c>
      <c r="H106" s="178" t="e">
        <f>_xlfn.XLOOKUP($B106,COA!$B:$B,COA!$C:$C,0,0,1)</f>
        <v>#REF!</v>
      </c>
      <c r="I106" s="178" t="e">
        <f>_xlfn.XLOOKUP($B106,COA!$B:$B,COA!$D:$D,0,0,1)</f>
        <v>#REF!</v>
      </c>
      <c r="J106" s="178" t="e">
        <f>_xlfn.XLOOKUP($B106,COA!$B:$B,COA!$E:$E,0,0,1)</f>
        <v>#REF!</v>
      </c>
      <c r="K106" s="80"/>
      <c r="M106" s="85" t="e">
        <f>_xlfn.XLOOKUP(J106,#REF!,#REF!,0,0,1)</f>
        <v>#REF!</v>
      </c>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row>
    <row r="107" spans="1:42" hidden="1" outlineLevel="1" x14ac:dyDescent="0.25">
      <c r="A107" s="50"/>
      <c r="B107" s="155" t="e">
        <f>COA!#REF!</f>
        <v>#REF!</v>
      </c>
      <c r="C107" s="127" t="e">
        <f>_xlfn.XLOOKUP(B107,#REF!,#REF!,0,0,1)</f>
        <v>#REF!</v>
      </c>
      <c r="D107" s="127" t="e">
        <f>SUMIF(#REF!,#REF!,#REF!)+SUMIF(#REF!,'FY Current'!B107,#REF!)</f>
        <v>#REF!</v>
      </c>
      <c r="E107" s="127" t="e">
        <f>_xlfn.XLOOKUP(B107,#REF!,#REF!,0,0,1)</f>
        <v>#REF!</v>
      </c>
      <c r="F107" s="127"/>
      <c r="G107" s="219" t="e">
        <f t="shared" si="1"/>
        <v>#REF!</v>
      </c>
      <c r="H107" s="178" t="e">
        <f>_xlfn.XLOOKUP($B107,COA!$B:$B,COA!$C:$C,0,0,1)</f>
        <v>#REF!</v>
      </c>
      <c r="I107" s="178" t="e">
        <f>_xlfn.XLOOKUP($B107,COA!$B:$B,COA!$D:$D,0,0,1)</f>
        <v>#REF!</v>
      </c>
      <c r="J107" s="178" t="e">
        <f>_xlfn.XLOOKUP($B107,COA!$B:$B,COA!$E:$E,0,0,1)</f>
        <v>#REF!</v>
      </c>
      <c r="K107" s="80"/>
      <c r="M107" s="85" t="e">
        <f>_xlfn.XLOOKUP(J107,#REF!,#REF!,0,0,1)</f>
        <v>#REF!</v>
      </c>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row>
    <row r="108" spans="1:42" s="73" customFormat="1" hidden="1" outlineLevel="1" x14ac:dyDescent="0.25">
      <c r="A108" s="83"/>
      <c r="B108" s="155" t="e">
        <f>COA!#REF!</f>
        <v>#REF!</v>
      </c>
      <c r="C108" s="127" t="e">
        <f>_xlfn.XLOOKUP(B108,#REF!,#REF!,0,0,1)</f>
        <v>#REF!</v>
      </c>
      <c r="D108" s="127" t="e">
        <f>SUMIF(#REF!,#REF!,#REF!)+SUMIF(#REF!,'FY Current'!B108,#REF!)</f>
        <v>#REF!</v>
      </c>
      <c r="E108" s="127" t="e">
        <f>_xlfn.XLOOKUP(B108,#REF!,#REF!,0,0,1)</f>
        <v>#REF!</v>
      </c>
      <c r="F108" s="127"/>
      <c r="G108" s="219" t="e">
        <f t="shared" si="1"/>
        <v>#REF!</v>
      </c>
      <c r="H108" s="178" t="e">
        <f>_xlfn.XLOOKUP($B108,COA!$B:$B,COA!$C:$C,0,0,1)</f>
        <v>#REF!</v>
      </c>
      <c r="I108" s="178" t="e">
        <f>_xlfn.XLOOKUP($B108,COA!$B:$B,COA!$D:$D,0,0,1)</f>
        <v>#REF!</v>
      </c>
      <c r="J108" s="178" t="e">
        <f>_xlfn.XLOOKUP($B108,COA!$B:$B,COA!$E:$E,0,0,1)</f>
        <v>#REF!</v>
      </c>
      <c r="K108" s="80"/>
      <c r="M108" s="85" t="e">
        <f>_xlfn.XLOOKUP(J108,#REF!,#REF!,0,0,1)</f>
        <v>#REF!</v>
      </c>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idden="1" outlineLevel="1" x14ac:dyDescent="0.25">
      <c r="A109" s="50"/>
      <c r="B109" s="155" t="e">
        <f>COA!#REF!</f>
        <v>#REF!</v>
      </c>
      <c r="C109" s="127" t="e">
        <f>_xlfn.XLOOKUP(B109,#REF!,#REF!,0,0,1)</f>
        <v>#REF!</v>
      </c>
      <c r="D109" s="127" t="e">
        <f>SUMIF(#REF!,#REF!,#REF!)+SUMIF(#REF!,'FY Current'!B109,#REF!)</f>
        <v>#REF!</v>
      </c>
      <c r="E109" s="127" t="e">
        <f>_xlfn.XLOOKUP(B109,#REF!,#REF!,0,0,1)</f>
        <v>#REF!</v>
      </c>
      <c r="F109" s="127"/>
      <c r="G109" s="219" t="e">
        <f t="shared" si="1"/>
        <v>#REF!</v>
      </c>
      <c r="H109" s="178" t="e">
        <f>_xlfn.XLOOKUP($B109,COA!$B:$B,COA!$C:$C,0,0,1)</f>
        <v>#REF!</v>
      </c>
      <c r="I109" s="178" t="e">
        <f>_xlfn.XLOOKUP($B109,COA!$B:$B,COA!$D:$D,0,0,1)</f>
        <v>#REF!</v>
      </c>
      <c r="J109" s="178" t="e">
        <f>_xlfn.XLOOKUP($B109,COA!$B:$B,COA!$E:$E,0,0,1)</f>
        <v>#REF!</v>
      </c>
      <c r="K109" s="80"/>
      <c r="M109" s="85" t="e">
        <f>_xlfn.XLOOKUP(J109,#REF!,#REF!,0,0,1)</f>
        <v>#REF!</v>
      </c>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row>
    <row r="110" spans="1:42" hidden="1" outlineLevel="1" x14ac:dyDescent="0.25">
      <c r="A110" s="50"/>
      <c r="B110" s="155" t="e">
        <f>COA!#REF!</f>
        <v>#REF!</v>
      </c>
      <c r="C110" s="127" t="e">
        <f>_xlfn.XLOOKUP(B110,#REF!,#REF!,0,0,1)</f>
        <v>#REF!</v>
      </c>
      <c r="D110" s="127" t="e">
        <f>SUMIF(#REF!,#REF!,#REF!)+SUMIF(#REF!,'FY Current'!B110,#REF!)</f>
        <v>#REF!</v>
      </c>
      <c r="E110" s="127" t="e">
        <f>_xlfn.XLOOKUP(B110,#REF!,#REF!,0,0,1)</f>
        <v>#REF!</v>
      </c>
      <c r="F110" s="127"/>
      <c r="G110" s="219" t="e">
        <f t="shared" si="1"/>
        <v>#REF!</v>
      </c>
      <c r="H110" s="178" t="e">
        <f>_xlfn.XLOOKUP($B110,COA!$B:$B,COA!$C:$C,0,0,1)</f>
        <v>#REF!</v>
      </c>
      <c r="I110" s="178" t="e">
        <f>_xlfn.XLOOKUP($B110,COA!$B:$B,COA!$D:$D,0,0,1)</f>
        <v>#REF!</v>
      </c>
      <c r="J110" s="178" t="e">
        <f>_xlfn.XLOOKUP($B110,COA!$B:$B,COA!$E:$E,0,0,1)</f>
        <v>#REF!</v>
      </c>
      <c r="K110" s="80"/>
      <c r="M110" s="85" t="e">
        <f>_xlfn.XLOOKUP(J110,#REF!,#REF!,0,0,1)</f>
        <v>#REF!</v>
      </c>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row>
    <row r="111" spans="1:42" hidden="1" outlineLevel="1" x14ac:dyDescent="0.25">
      <c r="A111" s="50"/>
      <c r="B111" s="155" t="e">
        <f>COA!#REF!</f>
        <v>#REF!</v>
      </c>
      <c r="C111" s="127" t="e">
        <f>_xlfn.XLOOKUP(B111,#REF!,#REF!,0,0,1)</f>
        <v>#REF!</v>
      </c>
      <c r="D111" s="127" t="e">
        <f>SUMIF(#REF!,#REF!,#REF!)+SUMIF(#REF!,'FY Current'!B111,#REF!)</f>
        <v>#REF!</v>
      </c>
      <c r="E111" s="127" t="e">
        <f>_xlfn.XLOOKUP(B111,#REF!,#REF!,0,0,1)</f>
        <v>#REF!</v>
      </c>
      <c r="F111" s="127"/>
      <c r="G111" s="219" t="e">
        <f t="shared" si="1"/>
        <v>#REF!</v>
      </c>
      <c r="H111" s="178" t="e">
        <f>_xlfn.XLOOKUP($B111,COA!$B:$B,COA!$C:$C,0,0,1)</f>
        <v>#REF!</v>
      </c>
      <c r="I111" s="178" t="e">
        <f>_xlfn.XLOOKUP($B111,COA!$B:$B,COA!$D:$D,0,0,1)</f>
        <v>#REF!</v>
      </c>
      <c r="J111" s="178" t="e">
        <f>_xlfn.XLOOKUP($B111,COA!$B:$B,COA!$E:$E,0,0,1)</f>
        <v>#REF!</v>
      </c>
      <c r="K111" s="80"/>
      <c r="M111" s="85" t="e">
        <f>_xlfn.XLOOKUP(J111,#REF!,#REF!,0,0,1)</f>
        <v>#REF!</v>
      </c>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row>
    <row r="112" spans="1:42" hidden="1" outlineLevel="1" x14ac:dyDescent="0.25">
      <c r="A112" s="50"/>
      <c r="B112" s="155" t="e">
        <f>COA!#REF!</f>
        <v>#REF!</v>
      </c>
      <c r="C112" s="127" t="e">
        <f>_xlfn.XLOOKUP(B112,#REF!,#REF!,0,0,1)</f>
        <v>#REF!</v>
      </c>
      <c r="D112" s="127" t="e">
        <f>SUMIF(#REF!,#REF!,#REF!)+SUMIF(#REF!,'FY Current'!B112,#REF!)</f>
        <v>#REF!</v>
      </c>
      <c r="E112" s="127" t="e">
        <f>_xlfn.XLOOKUP(B112,#REF!,#REF!,0,0,1)</f>
        <v>#REF!</v>
      </c>
      <c r="F112" s="127"/>
      <c r="G112" s="219" t="e">
        <f t="shared" si="1"/>
        <v>#REF!</v>
      </c>
      <c r="H112" s="178" t="e">
        <f>_xlfn.XLOOKUP($B112,COA!$B:$B,COA!$C:$C,0,0,1)</f>
        <v>#REF!</v>
      </c>
      <c r="I112" s="178" t="e">
        <f>_xlfn.XLOOKUP($B112,COA!$B:$B,COA!$D:$D,0,0,1)</f>
        <v>#REF!</v>
      </c>
      <c r="J112" s="178" t="e">
        <f>_xlfn.XLOOKUP($B112,COA!$B:$B,COA!$E:$E,0,0,1)</f>
        <v>#REF!</v>
      </c>
      <c r="K112" s="80"/>
      <c r="M112" s="85" t="e">
        <f>_xlfn.XLOOKUP(J112,#REF!,#REF!,0,0,1)</f>
        <v>#REF!</v>
      </c>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row>
    <row r="113" spans="1:42" hidden="1" outlineLevel="1" x14ac:dyDescent="0.25">
      <c r="A113" s="50"/>
      <c r="B113" s="155" t="e">
        <f>COA!#REF!</f>
        <v>#REF!</v>
      </c>
      <c r="C113" s="127" t="e">
        <f>_xlfn.XLOOKUP(B113,#REF!,#REF!,0,0,1)</f>
        <v>#REF!</v>
      </c>
      <c r="D113" s="127" t="e">
        <f>SUMIF(#REF!,#REF!,#REF!)+SUMIF(#REF!,'FY Current'!B113,#REF!)</f>
        <v>#REF!</v>
      </c>
      <c r="E113" s="127" t="e">
        <f>_xlfn.XLOOKUP(B113,#REF!,#REF!,0,0,1)</f>
        <v>#REF!</v>
      </c>
      <c r="F113" s="127"/>
      <c r="G113" s="219" t="e">
        <f t="shared" si="1"/>
        <v>#REF!</v>
      </c>
      <c r="H113" s="178" t="e">
        <f>_xlfn.XLOOKUP($B113,COA!$B:$B,COA!$C:$C,0,0,1)</f>
        <v>#REF!</v>
      </c>
      <c r="I113" s="178" t="e">
        <f>_xlfn.XLOOKUP($B113,COA!$B:$B,COA!$D:$D,0,0,1)</f>
        <v>#REF!</v>
      </c>
      <c r="J113" s="178" t="e">
        <f>_xlfn.XLOOKUP($B113,COA!$B:$B,COA!$E:$E,0,0,1)</f>
        <v>#REF!</v>
      </c>
      <c r="K113" s="80"/>
      <c r="M113" s="85" t="e">
        <f>_xlfn.XLOOKUP(J113,#REF!,#REF!,0,0,1)</f>
        <v>#REF!</v>
      </c>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row>
    <row r="114" spans="1:42" hidden="1" outlineLevel="1" x14ac:dyDescent="0.25">
      <c r="A114" s="50"/>
      <c r="B114" s="155" t="e">
        <f>COA!#REF!</f>
        <v>#REF!</v>
      </c>
      <c r="C114" s="127" t="e">
        <f>_xlfn.XLOOKUP(B114,#REF!,#REF!,0,0,1)</f>
        <v>#REF!</v>
      </c>
      <c r="D114" s="127" t="e">
        <f>SUMIF(#REF!,#REF!,#REF!)+SUMIF(#REF!,'FY Current'!B114,#REF!)</f>
        <v>#REF!</v>
      </c>
      <c r="E114" s="127" t="e">
        <f>_xlfn.XLOOKUP(B114,#REF!,#REF!,0,0,1)</f>
        <v>#REF!</v>
      </c>
      <c r="F114" s="127"/>
      <c r="G114" s="219" t="e">
        <f t="shared" si="1"/>
        <v>#REF!</v>
      </c>
      <c r="H114" s="178" t="e">
        <f>_xlfn.XLOOKUP($B114,COA!$B:$B,COA!$C:$C,0,0,1)</f>
        <v>#REF!</v>
      </c>
      <c r="I114" s="178" t="e">
        <f>_xlfn.XLOOKUP($B114,COA!$B:$B,COA!$D:$D,0,0,1)</f>
        <v>#REF!</v>
      </c>
      <c r="J114" s="178" t="e">
        <f>_xlfn.XLOOKUP($B114,COA!$B:$B,COA!$E:$E,0,0,1)</f>
        <v>#REF!</v>
      </c>
      <c r="K114" s="80"/>
      <c r="M114" s="85" t="e">
        <f>_xlfn.XLOOKUP(J114,#REF!,#REF!,0,0,1)</f>
        <v>#REF!</v>
      </c>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row>
    <row r="115" spans="1:42" hidden="1" outlineLevel="1" x14ac:dyDescent="0.25">
      <c r="A115" s="50"/>
      <c r="B115" s="155" t="e">
        <f>COA!#REF!</f>
        <v>#REF!</v>
      </c>
      <c r="C115" s="127" t="e">
        <f>_xlfn.XLOOKUP(B115,#REF!,#REF!,0,0,1)</f>
        <v>#REF!</v>
      </c>
      <c r="D115" s="127" t="e">
        <f>SUMIF(#REF!,#REF!,#REF!)+SUMIF(#REF!,'FY Current'!B115,#REF!)</f>
        <v>#REF!</v>
      </c>
      <c r="E115" s="127" t="e">
        <f>_xlfn.XLOOKUP(B115,#REF!,#REF!,0,0,1)</f>
        <v>#REF!</v>
      </c>
      <c r="F115" s="127"/>
      <c r="G115" s="219" t="e">
        <f t="shared" si="1"/>
        <v>#REF!</v>
      </c>
      <c r="H115" s="178" t="e">
        <f>_xlfn.XLOOKUP($B115,COA!$B:$B,COA!$C:$C,0,0,1)</f>
        <v>#REF!</v>
      </c>
      <c r="I115" s="178" t="e">
        <f>_xlfn.XLOOKUP($B115,COA!$B:$B,COA!$D:$D,0,0,1)</f>
        <v>#REF!</v>
      </c>
      <c r="J115" s="178" t="e">
        <f>_xlfn.XLOOKUP($B115,COA!$B:$B,COA!$E:$E,0,0,1)</f>
        <v>#REF!</v>
      </c>
      <c r="K115" s="80"/>
      <c r="M115" s="85" t="e">
        <f>_xlfn.XLOOKUP(J115,#REF!,#REF!,0,0,1)</f>
        <v>#REF!</v>
      </c>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row>
    <row r="116" spans="1:42" hidden="1" outlineLevel="1" x14ac:dyDescent="0.25">
      <c r="A116" s="50"/>
      <c r="B116" s="155" t="e">
        <f>COA!#REF!</f>
        <v>#REF!</v>
      </c>
      <c r="C116" s="127" t="e">
        <f>_xlfn.XLOOKUP(B116,#REF!,#REF!,0,0,1)</f>
        <v>#REF!</v>
      </c>
      <c r="D116" s="127" t="e">
        <f>SUMIF(#REF!,#REF!,#REF!)+SUMIF(#REF!,'FY Current'!B116,#REF!)</f>
        <v>#REF!</v>
      </c>
      <c r="E116" s="127" t="e">
        <f>_xlfn.XLOOKUP(B116,#REF!,#REF!,0,0,1)</f>
        <v>#REF!</v>
      </c>
      <c r="F116" s="127"/>
      <c r="G116" s="219" t="e">
        <f t="shared" si="1"/>
        <v>#REF!</v>
      </c>
      <c r="H116" s="178" t="e">
        <f>_xlfn.XLOOKUP($B116,COA!$B:$B,COA!$C:$C,0,0,1)</f>
        <v>#REF!</v>
      </c>
      <c r="I116" s="178" t="e">
        <f>_xlfn.XLOOKUP($B116,COA!$B:$B,COA!$D:$D,0,0,1)</f>
        <v>#REF!</v>
      </c>
      <c r="J116" s="178" t="e">
        <f>_xlfn.XLOOKUP($B116,COA!$B:$B,COA!$E:$E,0,0,1)</f>
        <v>#REF!</v>
      </c>
      <c r="K116" s="80"/>
      <c r="M116" s="85" t="e">
        <f>_xlfn.XLOOKUP(J116,#REF!,#REF!,0,0,1)</f>
        <v>#REF!</v>
      </c>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row>
    <row r="117" spans="1:42" hidden="1" outlineLevel="1" x14ac:dyDescent="0.25">
      <c r="A117" s="50"/>
      <c r="B117" s="155" t="e">
        <f>COA!#REF!</f>
        <v>#REF!</v>
      </c>
      <c r="C117" s="127" t="e">
        <f>_xlfn.XLOOKUP(B117,#REF!,#REF!,0,0,1)</f>
        <v>#REF!</v>
      </c>
      <c r="D117" s="127" t="e">
        <f>SUMIF(#REF!,#REF!,#REF!)+SUMIF(#REF!,'FY Current'!B117,#REF!)</f>
        <v>#REF!</v>
      </c>
      <c r="E117" s="127" t="e">
        <f>_xlfn.XLOOKUP(B117,#REF!,#REF!,0,0,1)</f>
        <v>#REF!</v>
      </c>
      <c r="F117" s="127"/>
      <c r="G117" s="219" t="e">
        <f t="shared" si="1"/>
        <v>#REF!</v>
      </c>
      <c r="H117" s="178" t="e">
        <f>_xlfn.XLOOKUP($B117,COA!$B:$B,COA!$C:$C,0,0,1)</f>
        <v>#REF!</v>
      </c>
      <c r="I117" s="178" t="e">
        <f>_xlfn.XLOOKUP($B117,COA!$B:$B,COA!$D:$D,0,0,1)</f>
        <v>#REF!</v>
      </c>
      <c r="J117" s="178" t="e">
        <f>_xlfn.XLOOKUP($B117,COA!$B:$B,COA!$E:$E,0,0,1)</f>
        <v>#REF!</v>
      </c>
      <c r="K117" s="80"/>
      <c r="M117" s="85" t="e">
        <f>_xlfn.XLOOKUP(J117,#REF!,#REF!,0,0,1)</f>
        <v>#REF!</v>
      </c>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row>
    <row r="118" spans="1:42" hidden="1" outlineLevel="1" x14ac:dyDescent="0.25">
      <c r="A118" s="50"/>
      <c r="B118" s="155" t="e">
        <f>COA!#REF!</f>
        <v>#REF!</v>
      </c>
      <c r="C118" s="127" t="e">
        <f>_xlfn.XLOOKUP(B118,#REF!,#REF!,0,0,1)</f>
        <v>#REF!</v>
      </c>
      <c r="D118" s="127" t="e">
        <f>SUMIF(#REF!,#REF!,#REF!)+SUMIF(#REF!,'FY Current'!B118,#REF!)</f>
        <v>#REF!</v>
      </c>
      <c r="E118" s="127" t="e">
        <f>_xlfn.XLOOKUP(B118,#REF!,#REF!,0,0,1)</f>
        <v>#REF!</v>
      </c>
      <c r="F118" s="127"/>
      <c r="G118" s="219" t="e">
        <f t="shared" si="1"/>
        <v>#REF!</v>
      </c>
      <c r="H118" s="178" t="e">
        <f>_xlfn.XLOOKUP($B118,COA!$B:$B,COA!$C:$C,0,0,1)</f>
        <v>#REF!</v>
      </c>
      <c r="I118" s="178" t="e">
        <f>_xlfn.XLOOKUP($B118,COA!$B:$B,COA!$D:$D,0,0,1)</f>
        <v>#REF!</v>
      </c>
      <c r="J118" s="178" t="e">
        <f>_xlfn.XLOOKUP($B118,COA!$B:$B,COA!$E:$E,0,0,1)</f>
        <v>#REF!</v>
      </c>
      <c r="K118" s="80"/>
      <c r="M118" s="85" t="e">
        <f>_xlfn.XLOOKUP(J118,#REF!,#REF!,0,0,1)</f>
        <v>#REF!</v>
      </c>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row>
    <row r="119" spans="1:42" hidden="1" outlineLevel="1" x14ac:dyDescent="0.25">
      <c r="A119" s="50"/>
      <c r="B119" s="155" t="e">
        <f>COA!#REF!</f>
        <v>#REF!</v>
      </c>
      <c r="C119" s="127" t="e">
        <f>_xlfn.XLOOKUP(B119,#REF!,#REF!,0,0,1)</f>
        <v>#REF!</v>
      </c>
      <c r="D119" s="127" t="e">
        <f>SUMIF(#REF!,#REF!,#REF!)+SUMIF(#REF!,'FY Current'!B119,#REF!)</f>
        <v>#REF!</v>
      </c>
      <c r="E119" s="127" t="e">
        <f>_xlfn.XLOOKUP(B119,#REF!,#REF!,0,0,1)</f>
        <v>#REF!</v>
      </c>
      <c r="F119" s="127"/>
      <c r="G119" s="219" t="e">
        <f t="shared" si="1"/>
        <v>#REF!</v>
      </c>
      <c r="H119" s="178" t="e">
        <f>_xlfn.XLOOKUP($B119,COA!$B:$B,COA!$C:$C,0,0,1)</f>
        <v>#REF!</v>
      </c>
      <c r="I119" s="178" t="e">
        <f>_xlfn.XLOOKUP($B119,COA!$B:$B,COA!$D:$D,0,0,1)</f>
        <v>#REF!</v>
      </c>
      <c r="J119" s="178" t="e">
        <f>_xlfn.XLOOKUP($B119,COA!$B:$B,COA!$E:$E,0,0,1)</f>
        <v>#REF!</v>
      </c>
      <c r="K119" s="135"/>
      <c r="M119" s="85" t="e">
        <f>_xlfn.XLOOKUP(J119,#REF!,#REF!,0,0,1)</f>
        <v>#REF!</v>
      </c>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row>
    <row r="120" spans="1:42" hidden="1" outlineLevel="1" x14ac:dyDescent="0.25">
      <c r="A120" s="50"/>
      <c r="B120" s="155" t="e">
        <f>COA!#REF!</f>
        <v>#REF!</v>
      </c>
      <c r="C120" s="127" t="e">
        <f>_xlfn.XLOOKUP(B120,#REF!,#REF!,0,0,1)</f>
        <v>#REF!</v>
      </c>
      <c r="D120" s="127" t="e">
        <f>SUMIF(#REF!,#REF!,#REF!)+SUMIF(#REF!,'FY Current'!B120,#REF!)</f>
        <v>#REF!</v>
      </c>
      <c r="E120" s="127" t="e">
        <f>_xlfn.XLOOKUP(B120,#REF!,#REF!,0,0,1)</f>
        <v>#REF!</v>
      </c>
      <c r="F120" s="127"/>
      <c r="G120" s="219" t="e">
        <f t="shared" si="1"/>
        <v>#REF!</v>
      </c>
      <c r="H120" s="178" t="e">
        <f>_xlfn.XLOOKUP($B120,COA!$B:$B,COA!$C:$C,0,0,1)</f>
        <v>#REF!</v>
      </c>
      <c r="I120" s="178" t="e">
        <f>_xlfn.XLOOKUP($B120,COA!$B:$B,COA!$D:$D,0,0,1)</f>
        <v>#REF!</v>
      </c>
      <c r="J120" s="178" t="e">
        <f>_xlfn.XLOOKUP($B120,COA!$B:$B,COA!$E:$E,0,0,1)</f>
        <v>#REF!</v>
      </c>
      <c r="K120" s="136"/>
      <c r="M120" s="85" t="e">
        <f>_xlfn.XLOOKUP(J120,#REF!,#REF!,0,0,1)</f>
        <v>#REF!</v>
      </c>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row>
    <row r="121" spans="1:42" hidden="1" outlineLevel="1" x14ac:dyDescent="0.25">
      <c r="A121" s="198"/>
      <c r="B121" s="155" t="e">
        <f>COA!#REF!</f>
        <v>#REF!</v>
      </c>
      <c r="C121" s="199" t="e">
        <f>_xlfn.XLOOKUP(B121,#REF!,#REF!,0,0,1)</f>
        <v>#REF!</v>
      </c>
      <c r="D121" s="199" t="e">
        <f>SUMIF(#REF!,#REF!,#REF!)+SUMIF(#REF!,'FY Current'!B121,#REF!)</f>
        <v>#REF!</v>
      </c>
      <c r="E121" s="199" t="e">
        <f>_xlfn.XLOOKUP(B121,#REF!,#REF!,0,0,1)</f>
        <v>#REF!</v>
      </c>
      <c r="F121" s="199"/>
      <c r="G121" s="214" t="e">
        <f t="shared" si="1"/>
        <v>#REF!</v>
      </c>
      <c r="H121" s="215" t="e">
        <f>_xlfn.XLOOKUP($B121,COA!$B:$B,COA!$C:$C,0,0,1)</f>
        <v>#REF!</v>
      </c>
      <c r="I121" s="215" t="e">
        <f>_xlfn.XLOOKUP($B121,COA!$B:$B,COA!$D:$D,0,0,1)</f>
        <v>#REF!</v>
      </c>
      <c r="J121" s="215" t="e">
        <f>_xlfn.XLOOKUP($B121,COA!$B:$B,COA!$E:$E,0,0,1)</f>
        <v>#REF!</v>
      </c>
      <c r="K121" s="135"/>
      <c r="M121" s="85" t="e">
        <f>_xlfn.XLOOKUP(J121,#REF!,#REF!,0,0,1)</f>
        <v>#REF!</v>
      </c>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row>
    <row r="122" spans="1:42" hidden="1" outlineLevel="1" x14ac:dyDescent="0.25">
      <c r="A122" s="200"/>
      <c r="B122" s="155" t="e">
        <f>COA!#REF!</f>
        <v>#REF!</v>
      </c>
      <c r="C122" s="127" t="e">
        <f>_xlfn.XLOOKUP(B122,#REF!,#REF!,0,0,1)</f>
        <v>#REF!</v>
      </c>
      <c r="D122" s="127" t="e">
        <f>SUMIF(#REF!,#REF!,#REF!)+SUMIF(#REF!,'FY Current'!B122,#REF!)</f>
        <v>#REF!</v>
      </c>
      <c r="E122" s="127" t="e">
        <f>_xlfn.XLOOKUP(B122,#REF!,#REF!,0,0,1)</f>
        <v>#REF!</v>
      </c>
      <c r="F122" s="127"/>
      <c r="G122" s="219" t="e">
        <f t="shared" si="1"/>
        <v>#REF!</v>
      </c>
      <c r="H122" s="178" t="e">
        <f>_xlfn.XLOOKUP($B122,COA!$B:$B,COA!$C:$C,0,0,1)</f>
        <v>#REF!</v>
      </c>
      <c r="I122" s="178" t="e">
        <f>_xlfn.XLOOKUP($B122,COA!$B:$B,COA!$D:$D,0,0,1)</f>
        <v>#REF!</v>
      </c>
      <c r="J122" s="178" t="e">
        <f>_xlfn.XLOOKUP($B122,COA!$B:$B,COA!$E:$E,0,0,1)</f>
        <v>#REF!</v>
      </c>
      <c r="K122" s="136"/>
      <c r="M122" s="85" t="e">
        <f>_xlfn.XLOOKUP(J122,#REF!,#REF!,0,0,1)</f>
        <v>#REF!</v>
      </c>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row>
    <row r="123" spans="1:42" hidden="1" outlineLevel="1" x14ac:dyDescent="0.25">
      <c r="A123" s="200"/>
      <c r="B123" s="155" t="e">
        <f>COA!#REF!</f>
        <v>#REF!</v>
      </c>
      <c r="C123" s="127" t="e">
        <f>_xlfn.XLOOKUP(B123,#REF!,#REF!,0,0,1)</f>
        <v>#REF!</v>
      </c>
      <c r="D123" s="127" t="e">
        <f>SUMIF(#REF!,#REF!,#REF!)+SUMIF(#REF!,'FY Current'!B123,#REF!)</f>
        <v>#REF!</v>
      </c>
      <c r="E123" s="127" t="e">
        <f>_xlfn.XLOOKUP(B123,#REF!,#REF!,0,0,1)</f>
        <v>#REF!</v>
      </c>
      <c r="F123" s="127"/>
      <c r="G123" s="219" t="e">
        <f t="shared" si="1"/>
        <v>#REF!</v>
      </c>
      <c r="H123" s="178" t="e">
        <f>_xlfn.XLOOKUP($B123,COA!$B:$B,COA!$C:$C,0,0,1)</f>
        <v>#REF!</v>
      </c>
      <c r="I123" s="178" t="e">
        <f>_xlfn.XLOOKUP($B123,COA!$B:$B,COA!$D:$D,0,0,1)</f>
        <v>#REF!</v>
      </c>
      <c r="J123" s="178" t="e">
        <f>_xlfn.XLOOKUP($B123,COA!$B:$B,COA!$E:$E,0,0,1)</f>
        <v>#REF!</v>
      </c>
      <c r="K123" s="136"/>
      <c r="M123" s="85" t="e">
        <f>_xlfn.XLOOKUP(J123,#REF!,#REF!,0,0,1)</f>
        <v>#REF!</v>
      </c>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row>
    <row r="124" spans="1:42" hidden="1" outlineLevel="1" x14ac:dyDescent="0.25">
      <c r="A124" s="201"/>
      <c r="B124" s="155" t="e">
        <f>COA!#REF!</f>
        <v>#REF!</v>
      </c>
      <c r="C124" s="58" t="e">
        <f>_xlfn.XLOOKUP(B124,#REF!,#REF!,0,0,1)</f>
        <v>#REF!</v>
      </c>
      <c r="D124" s="58" t="e">
        <f>SUMIF(#REF!,#REF!,#REF!)+SUMIF(#REF!,'FY Current'!B124,#REF!)</f>
        <v>#REF!</v>
      </c>
      <c r="E124" s="58" t="e">
        <f>_xlfn.XLOOKUP(B124,#REF!,#REF!,0,0,1)</f>
        <v>#REF!</v>
      </c>
      <c r="F124" s="58"/>
      <c r="G124" s="57" t="e">
        <f t="shared" si="1"/>
        <v>#REF!</v>
      </c>
      <c r="H124" s="179" t="e">
        <f>_xlfn.XLOOKUP($B124,COA!$B:$B,COA!$C:$C,0,0,1)</f>
        <v>#REF!</v>
      </c>
      <c r="I124" s="179" t="e">
        <f>_xlfn.XLOOKUP($B124,COA!$B:$B,COA!$D:$D,0,0,1)</f>
        <v>#REF!</v>
      </c>
      <c r="J124" s="179" t="e">
        <f>_xlfn.XLOOKUP($B124,COA!$B:$B,COA!$E:$E,0,0,1)</f>
        <v>#REF!</v>
      </c>
      <c r="K124" s="137"/>
      <c r="M124" s="85" t="e">
        <f>_xlfn.XLOOKUP(J124,#REF!,#REF!,0,0,1)</f>
        <v>#REF!</v>
      </c>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row>
    <row r="125" spans="1:42" hidden="1" outlineLevel="1" x14ac:dyDescent="0.25">
      <c r="A125" s="50"/>
      <c r="B125" s="155" t="e">
        <f>COA!#REF!</f>
        <v>#REF!</v>
      </c>
      <c r="C125" s="127" t="e">
        <f>_xlfn.XLOOKUP(B125,#REF!,#REF!,0,0,1)</f>
        <v>#REF!</v>
      </c>
      <c r="D125" s="127" t="e">
        <f>SUMIF(#REF!,#REF!,#REF!)+SUMIF(#REF!,'FY Current'!B125,#REF!)</f>
        <v>#REF!</v>
      </c>
      <c r="E125" s="127" t="e">
        <f>_xlfn.XLOOKUP(B125,#REF!,#REF!,0,0,1)</f>
        <v>#REF!</v>
      </c>
      <c r="F125" s="127"/>
      <c r="G125" s="219" t="e">
        <f t="shared" si="1"/>
        <v>#REF!</v>
      </c>
      <c r="H125" s="178" t="e">
        <f>_xlfn.XLOOKUP($B125,COA!$B:$B,COA!$C:$C,0,0,1)</f>
        <v>#REF!</v>
      </c>
      <c r="I125" s="178" t="e">
        <f>_xlfn.XLOOKUP($B125,COA!$B:$B,COA!$D:$D,0,0,1)</f>
        <v>#REF!</v>
      </c>
      <c r="J125" s="178" t="e">
        <f>_xlfn.XLOOKUP($B125,COA!$B:$B,COA!$E:$E,0,0,1)</f>
        <v>#REF!</v>
      </c>
      <c r="K125" s="80"/>
      <c r="M125" s="85" t="e">
        <f>_xlfn.XLOOKUP(J125,#REF!,#REF!,0,0,1)</f>
        <v>#REF!</v>
      </c>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row>
    <row r="126" spans="1:42" hidden="1" outlineLevel="1" x14ac:dyDescent="0.25">
      <c r="A126" s="50"/>
      <c r="B126" s="155" t="e">
        <f>COA!#REF!</f>
        <v>#REF!</v>
      </c>
      <c r="C126" s="127" t="e">
        <f>_xlfn.XLOOKUP(B126,#REF!,#REF!,0,0,1)</f>
        <v>#REF!</v>
      </c>
      <c r="D126" s="127" t="e">
        <f>SUMIF(#REF!,#REF!,#REF!)+SUMIF(#REF!,'FY Current'!B126,#REF!)</f>
        <v>#REF!</v>
      </c>
      <c r="E126" s="127" t="e">
        <f>_xlfn.XLOOKUP(B126,#REF!,#REF!,0,0,1)</f>
        <v>#REF!</v>
      </c>
      <c r="F126" s="127"/>
      <c r="G126" s="219" t="e">
        <f t="shared" si="1"/>
        <v>#REF!</v>
      </c>
      <c r="H126" s="178" t="e">
        <f>_xlfn.XLOOKUP($B126,COA!$B:$B,COA!$C:$C,0,0,1)</f>
        <v>#REF!</v>
      </c>
      <c r="I126" s="178" t="e">
        <f>_xlfn.XLOOKUP($B126,COA!$B:$B,COA!$D:$D,0,0,1)</f>
        <v>#REF!</v>
      </c>
      <c r="J126" s="178" t="e">
        <f>_xlfn.XLOOKUP($B126,COA!$B:$B,COA!$E:$E,0,0,1)</f>
        <v>#REF!</v>
      </c>
      <c r="K126" s="80"/>
      <c r="L126" s="19"/>
      <c r="M126" s="85" t="e">
        <f>_xlfn.XLOOKUP(J126,#REF!,#REF!,0,0,1)</f>
        <v>#REF!</v>
      </c>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row>
    <row r="127" spans="1:42" hidden="1" outlineLevel="1" x14ac:dyDescent="0.25">
      <c r="A127" s="129"/>
      <c r="B127" s="155" t="e">
        <f>COA!#REF!</f>
        <v>#REF!</v>
      </c>
      <c r="C127" s="127" t="e">
        <f>_xlfn.XLOOKUP(B127,#REF!,#REF!,0,0,1)</f>
        <v>#REF!</v>
      </c>
      <c r="D127" s="127" t="e">
        <f>SUMIF(#REF!,#REF!,#REF!)+SUMIF(#REF!,'FY Current'!B127,#REF!)</f>
        <v>#REF!</v>
      </c>
      <c r="E127" s="127" t="e">
        <f>_xlfn.XLOOKUP(B127,#REF!,#REF!,0,0,1)</f>
        <v>#REF!</v>
      </c>
      <c r="F127" s="127"/>
      <c r="G127" s="219" t="e">
        <f t="shared" si="1"/>
        <v>#REF!</v>
      </c>
      <c r="H127" s="178" t="e">
        <f>_xlfn.XLOOKUP($B127,COA!$B:$B,COA!$C:$C,0,0,1)</f>
        <v>#REF!</v>
      </c>
      <c r="I127" s="178" t="e">
        <f>_xlfn.XLOOKUP($B127,COA!$B:$B,COA!$D:$D,0,0,1)</f>
        <v>#REF!</v>
      </c>
      <c r="J127" s="178" t="e">
        <f>_xlfn.XLOOKUP($B127,COA!$B:$B,COA!$E:$E,0,0,1)</f>
        <v>#REF!</v>
      </c>
      <c r="K127" s="80"/>
      <c r="L127" s="19"/>
      <c r="M127" s="85" t="e">
        <f>_xlfn.XLOOKUP(J127,#REF!,#REF!,0,0,1)</f>
        <v>#REF!</v>
      </c>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row>
    <row r="128" spans="1:42" hidden="1" outlineLevel="1" x14ac:dyDescent="0.25">
      <c r="A128" s="50"/>
      <c r="B128" s="155" t="e">
        <f>COA!#REF!</f>
        <v>#REF!</v>
      </c>
      <c r="C128" s="127" t="e">
        <f>_xlfn.XLOOKUP(B128,#REF!,#REF!,0,0,1)</f>
        <v>#REF!</v>
      </c>
      <c r="D128" s="127" t="e">
        <f>SUMIF(#REF!,#REF!,#REF!)+SUMIF(#REF!,'FY Current'!B128,#REF!)</f>
        <v>#REF!</v>
      </c>
      <c r="E128" s="127" t="e">
        <f>_xlfn.XLOOKUP(B128,#REF!,#REF!,0,0,1)</f>
        <v>#REF!</v>
      </c>
      <c r="F128" s="127"/>
      <c r="G128" s="219" t="e">
        <f t="shared" si="1"/>
        <v>#REF!</v>
      </c>
      <c r="H128" s="178" t="e">
        <f>_xlfn.XLOOKUP($B128,COA!$B:$B,COA!$C:$C,0,0,1)</f>
        <v>#REF!</v>
      </c>
      <c r="I128" s="178" t="e">
        <f>_xlfn.XLOOKUP($B128,COA!$B:$B,COA!$D:$D,0,0,1)</f>
        <v>#REF!</v>
      </c>
      <c r="J128" s="178" t="e">
        <f>_xlfn.XLOOKUP($B128,COA!$B:$B,COA!$E:$E,0,0,1)</f>
        <v>#REF!</v>
      </c>
      <c r="K128" s="80"/>
      <c r="L128" s="19"/>
      <c r="M128" s="85" t="e">
        <f>_xlfn.XLOOKUP(J128,#REF!,#REF!,0,0,1)</f>
        <v>#REF!</v>
      </c>
      <c r="N128" s="87"/>
      <c r="O128" s="87"/>
      <c r="P128" s="87"/>
      <c r="Q128" s="87"/>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row>
    <row r="129" spans="1:42" hidden="1" outlineLevel="1" x14ac:dyDescent="0.25">
      <c r="A129" s="50"/>
      <c r="B129" s="155" t="e">
        <f>COA!#REF!</f>
        <v>#REF!</v>
      </c>
      <c r="C129" s="127" t="e">
        <f>_xlfn.XLOOKUP(B129,#REF!,#REF!,0,0,1)</f>
        <v>#REF!</v>
      </c>
      <c r="D129" s="127" t="e">
        <f>SUMIF(#REF!,#REF!,#REF!)+SUMIF(#REF!,'FY Current'!B129,#REF!)</f>
        <v>#REF!</v>
      </c>
      <c r="E129" s="127" t="e">
        <f>_xlfn.XLOOKUP(B129,#REF!,#REF!,0,0,1)</f>
        <v>#REF!</v>
      </c>
      <c r="F129" s="127"/>
      <c r="G129" s="219" t="e">
        <f t="shared" si="1"/>
        <v>#REF!</v>
      </c>
      <c r="H129" s="178" t="e">
        <f>_xlfn.XLOOKUP($B129,COA!$B:$B,COA!$C:$C,0,0,1)</f>
        <v>#REF!</v>
      </c>
      <c r="I129" s="178" t="e">
        <f>_xlfn.XLOOKUP($B129,COA!$B:$B,COA!$D:$D,0,0,1)</f>
        <v>#REF!</v>
      </c>
      <c r="J129" s="178" t="e">
        <f>_xlfn.XLOOKUP($B129,COA!$B:$B,COA!$E:$E,0,0,1)</f>
        <v>#REF!</v>
      </c>
      <c r="K129" s="80"/>
      <c r="L129" s="19"/>
      <c r="M129" s="85" t="e">
        <f>_xlfn.XLOOKUP(J129,#REF!,#REF!,0,0,1)</f>
        <v>#REF!</v>
      </c>
      <c r="N129" s="87"/>
      <c r="O129" s="87"/>
      <c r="P129" s="87"/>
      <c r="Q129" s="87"/>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row>
    <row r="130" spans="1:42" hidden="1" outlineLevel="1" x14ac:dyDescent="0.25">
      <c r="A130" s="50"/>
      <c r="B130" s="155" t="e">
        <f>COA!#REF!</f>
        <v>#REF!</v>
      </c>
      <c r="C130" s="127" t="e">
        <f>_xlfn.XLOOKUP(B130,#REF!,#REF!,0,0,1)</f>
        <v>#REF!</v>
      </c>
      <c r="D130" s="127" t="e">
        <f>SUMIF(#REF!,#REF!,#REF!)+SUMIF(#REF!,'FY Current'!B130,#REF!)</f>
        <v>#REF!</v>
      </c>
      <c r="E130" s="127" t="e">
        <f>_xlfn.XLOOKUP(B130,#REF!,#REF!,0,0,1)</f>
        <v>#REF!</v>
      </c>
      <c r="F130" s="127"/>
      <c r="G130" s="219" t="e">
        <f t="shared" si="1"/>
        <v>#REF!</v>
      </c>
      <c r="H130" s="178" t="e">
        <f>_xlfn.XLOOKUP($B130,COA!$B:$B,COA!$C:$C,0,0,1)</f>
        <v>#REF!</v>
      </c>
      <c r="I130" s="178" t="e">
        <f>_xlfn.XLOOKUP($B130,COA!$B:$B,COA!$D:$D,0,0,1)</f>
        <v>#REF!</v>
      </c>
      <c r="J130" s="178" t="e">
        <f>_xlfn.XLOOKUP($B130,COA!$B:$B,COA!$E:$E,0,0,1)</f>
        <v>#REF!</v>
      </c>
      <c r="K130" s="80"/>
      <c r="L130" s="19"/>
      <c r="M130" s="85" t="e">
        <f>_xlfn.XLOOKUP(J130,#REF!,#REF!,0,0,1)</f>
        <v>#REF!</v>
      </c>
      <c r="N130" s="87"/>
      <c r="O130" s="87"/>
      <c r="P130" s="87"/>
      <c r="Q130" s="87"/>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row>
    <row r="131" spans="1:42" hidden="1" outlineLevel="1" x14ac:dyDescent="0.25">
      <c r="A131" s="50"/>
      <c r="B131" s="155" t="e">
        <f>COA!#REF!</f>
        <v>#REF!</v>
      </c>
      <c r="C131" s="127" t="e">
        <f>_xlfn.XLOOKUP(B131,#REF!,#REF!,0,0,1)</f>
        <v>#REF!</v>
      </c>
      <c r="D131" s="127" t="e">
        <f>SUMIF(#REF!,#REF!,#REF!)+SUMIF(#REF!,'FY Current'!B131,#REF!)</f>
        <v>#REF!</v>
      </c>
      <c r="E131" s="127" t="e">
        <f>_xlfn.XLOOKUP(B131,#REF!,#REF!,0,0,1)</f>
        <v>#REF!</v>
      </c>
      <c r="F131" s="127"/>
      <c r="G131" s="219" t="e">
        <f t="shared" si="1"/>
        <v>#REF!</v>
      </c>
      <c r="H131" s="178" t="e">
        <f>_xlfn.XLOOKUP($B131,COA!$B:$B,COA!$C:$C,0,0,1)</f>
        <v>#REF!</v>
      </c>
      <c r="I131" s="178" t="e">
        <f>_xlfn.XLOOKUP($B131,COA!$B:$B,COA!$D:$D,0,0,1)</f>
        <v>#REF!</v>
      </c>
      <c r="J131" s="178" t="e">
        <f>_xlfn.XLOOKUP($B131,COA!$B:$B,COA!$E:$E,0,0,1)</f>
        <v>#REF!</v>
      </c>
      <c r="K131" s="80"/>
      <c r="L131" s="19"/>
      <c r="M131" s="85" t="e">
        <f>_xlfn.XLOOKUP(J131,#REF!,#REF!,0,0,1)</f>
        <v>#REF!</v>
      </c>
      <c r="N131" s="87"/>
      <c r="O131" s="87"/>
      <c r="P131" s="87"/>
      <c r="Q131" s="87"/>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row>
    <row r="132" spans="1:42" hidden="1" outlineLevel="1" x14ac:dyDescent="0.25">
      <c r="A132" s="50"/>
      <c r="B132" s="155" t="e">
        <f>COA!#REF!</f>
        <v>#REF!</v>
      </c>
      <c r="C132" s="127" t="e">
        <f>_xlfn.XLOOKUP(B132,#REF!,#REF!,0,0,1)</f>
        <v>#REF!</v>
      </c>
      <c r="D132" s="127" t="e">
        <f>SUMIF(#REF!,#REF!,#REF!)+SUMIF(#REF!,'FY Current'!B132,#REF!)</f>
        <v>#REF!</v>
      </c>
      <c r="E132" s="127" t="e">
        <f>_xlfn.XLOOKUP(B132,#REF!,#REF!,0,0,1)</f>
        <v>#REF!</v>
      </c>
      <c r="F132" s="127"/>
      <c r="G132" s="219" t="e">
        <f t="shared" si="1"/>
        <v>#REF!</v>
      </c>
      <c r="H132" s="178" t="e">
        <f>_xlfn.XLOOKUP($B132,COA!$B:$B,COA!$C:$C,0,0,1)</f>
        <v>#REF!</v>
      </c>
      <c r="I132" s="178" t="e">
        <f>_xlfn.XLOOKUP($B132,COA!$B:$B,COA!$D:$D,0,0,1)</f>
        <v>#REF!</v>
      </c>
      <c r="J132" s="178" t="e">
        <f>_xlfn.XLOOKUP($B132,COA!$B:$B,COA!$E:$E,0,0,1)</f>
        <v>#REF!</v>
      </c>
      <c r="K132" s="80"/>
      <c r="L132" s="19"/>
      <c r="M132" s="85" t="e">
        <f>_xlfn.XLOOKUP(J132,#REF!,#REF!,0,0,1)</f>
        <v>#REF!</v>
      </c>
      <c r="N132" s="87"/>
      <c r="O132" s="87"/>
      <c r="P132" s="87"/>
      <c r="Q132" s="87"/>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row>
    <row r="133" spans="1:42" hidden="1" outlineLevel="1" x14ac:dyDescent="0.25">
      <c r="A133" s="50"/>
      <c r="B133" s="155" t="e">
        <f>COA!#REF!</f>
        <v>#REF!</v>
      </c>
      <c r="C133" s="127" t="e">
        <f>_xlfn.XLOOKUP(B133,#REF!,#REF!,0,0,1)</f>
        <v>#REF!</v>
      </c>
      <c r="D133" s="127" t="e">
        <f>SUMIF(#REF!,#REF!,#REF!)+SUMIF(#REF!,'FY Current'!B133,#REF!)</f>
        <v>#REF!</v>
      </c>
      <c r="E133" s="127" t="e">
        <f>_xlfn.XLOOKUP(B133,#REF!,#REF!,0,0,1)</f>
        <v>#REF!</v>
      </c>
      <c r="F133" s="127"/>
      <c r="G133" s="219" t="e">
        <f t="shared" si="1"/>
        <v>#REF!</v>
      </c>
      <c r="H133" s="178" t="e">
        <f>_xlfn.XLOOKUP($B133,COA!$B:$B,COA!$C:$C,0,0,1)</f>
        <v>#REF!</v>
      </c>
      <c r="I133" s="178" t="e">
        <f>_xlfn.XLOOKUP($B133,COA!$B:$B,COA!$D:$D,0,0,1)</f>
        <v>#REF!</v>
      </c>
      <c r="J133" s="178" t="e">
        <f>_xlfn.XLOOKUP($B133,COA!$B:$B,COA!$E:$E,0,0,1)</f>
        <v>#REF!</v>
      </c>
      <c r="K133" s="80"/>
      <c r="L133" s="19"/>
      <c r="M133" s="85" t="e">
        <f>_xlfn.XLOOKUP(J133,#REF!,#REF!,0,0,1)</f>
        <v>#REF!</v>
      </c>
      <c r="N133" s="87"/>
      <c r="O133" s="87"/>
      <c r="P133" s="87"/>
      <c r="Q133" s="87"/>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row>
    <row r="134" spans="1:42" hidden="1" outlineLevel="1" x14ac:dyDescent="0.25">
      <c r="A134" s="50"/>
      <c r="B134" s="155" t="e">
        <f>COA!#REF!</f>
        <v>#REF!</v>
      </c>
      <c r="C134" s="127" t="e">
        <f>_xlfn.XLOOKUP(B134,#REF!,#REF!,0,0,1)</f>
        <v>#REF!</v>
      </c>
      <c r="D134" s="127" t="e">
        <f>SUMIF(#REF!,#REF!,#REF!)+SUMIF(#REF!,'FY Current'!B134,#REF!)</f>
        <v>#REF!</v>
      </c>
      <c r="E134" s="127" t="e">
        <f>_xlfn.XLOOKUP(B134,#REF!,#REF!,0,0,1)</f>
        <v>#REF!</v>
      </c>
      <c r="F134" s="127"/>
      <c r="G134" s="219" t="e">
        <f t="shared" si="1"/>
        <v>#REF!</v>
      </c>
      <c r="H134" s="178" t="e">
        <f>_xlfn.XLOOKUP($B134,COA!$B:$B,COA!$C:$C,0,0,1)</f>
        <v>#REF!</v>
      </c>
      <c r="I134" s="178" t="e">
        <f>_xlfn.XLOOKUP($B134,COA!$B:$B,COA!$D:$D,0,0,1)</f>
        <v>#REF!</v>
      </c>
      <c r="J134" s="178" t="e">
        <f>_xlfn.XLOOKUP($B134,COA!$B:$B,COA!$E:$E,0,0,1)</f>
        <v>#REF!</v>
      </c>
      <c r="K134" s="80"/>
      <c r="L134" s="19"/>
      <c r="M134" s="85" t="e">
        <f>_xlfn.XLOOKUP(J134,#REF!,#REF!,0,0,1)</f>
        <v>#REF!</v>
      </c>
      <c r="N134" s="87"/>
      <c r="O134" s="87"/>
      <c r="P134" s="87"/>
      <c r="Q134" s="87"/>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row>
    <row r="135" spans="1:42" hidden="1" outlineLevel="1" x14ac:dyDescent="0.25">
      <c r="A135" s="50"/>
      <c r="B135" s="155" t="e">
        <f>COA!#REF!</f>
        <v>#REF!</v>
      </c>
      <c r="C135" s="127" t="e">
        <f>_xlfn.XLOOKUP(B135,#REF!,#REF!,0,0,1)</f>
        <v>#REF!</v>
      </c>
      <c r="D135" s="127" t="e">
        <f>SUMIF(#REF!,#REF!,#REF!)+SUMIF(#REF!,'FY Current'!B135,#REF!)</f>
        <v>#REF!</v>
      </c>
      <c r="E135" s="127" t="e">
        <f>_xlfn.XLOOKUP(B135,#REF!,#REF!,0,0,1)</f>
        <v>#REF!</v>
      </c>
      <c r="F135" s="127"/>
      <c r="G135" s="219" t="e">
        <f t="shared" ref="G135:G198" si="2">ROUND(SUM(C135:F135),0)</f>
        <v>#REF!</v>
      </c>
      <c r="H135" s="178" t="e">
        <f>_xlfn.XLOOKUP($B135,COA!$B:$B,COA!$C:$C,0,0,1)</f>
        <v>#REF!</v>
      </c>
      <c r="I135" s="178" t="e">
        <f>_xlfn.XLOOKUP($B135,COA!$B:$B,COA!$D:$D,0,0,1)</f>
        <v>#REF!</v>
      </c>
      <c r="J135" s="178" t="e">
        <f>_xlfn.XLOOKUP($B135,COA!$B:$B,COA!$E:$E,0,0,1)</f>
        <v>#REF!</v>
      </c>
      <c r="K135" s="80"/>
      <c r="L135" s="19"/>
      <c r="M135" s="85" t="e">
        <f>_xlfn.XLOOKUP(J135,#REF!,#REF!,0,0,1)</f>
        <v>#REF!</v>
      </c>
      <c r="N135" s="87"/>
      <c r="O135" s="87"/>
      <c r="P135" s="87"/>
      <c r="Q135" s="87"/>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row>
    <row r="136" spans="1:42" hidden="1" outlineLevel="1" x14ac:dyDescent="0.25">
      <c r="A136" s="50"/>
      <c r="B136" s="155" t="e">
        <f>COA!#REF!</f>
        <v>#REF!</v>
      </c>
      <c r="C136" s="127" t="e">
        <f>_xlfn.XLOOKUP(B136,#REF!,#REF!,0,0,1)</f>
        <v>#REF!</v>
      </c>
      <c r="D136" s="127" t="e">
        <f>SUMIF(#REF!,#REF!,#REF!)+SUMIF(#REF!,'FY Current'!B136,#REF!)</f>
        <v>#REF!</v>
      </c>
      <c r="E136" s="127" t="e">
        <f>_xlfn.XLOOKUP(B136,#REF!,#REF!,0,0,1)</f>
        <v>#REF!</v>
      </c>
      <c r="F136" s="127"/>
      <c r="G136" s="219" t="e">
        <f t="shared" si="2"/>
        <v>#REF!</v>
      </c>
      <c r="H136" s="178" t="e">
        <f>_xlfn.XLOOKUP($B136,COA!$B:$B,COA!$C:$C,0,0,1)</f>
        <v>#REF!</v>
      </c>
      <c r="I136" s="178" t="e">
        <f>_xlfn.XLOOKUP($B136,COA!$B:$B,COA!$D:$D,0,0,1)</f>
        <v>#REF!</v>
      </c>
      <c r="J136" s="178" t="e">
        <f>_xlfn.XLOOKUP($B136,COA!$B:$B,COA!$E:$E,0,0,1)</f>
        <v>#REF!</v>
      </c>
      <c r="K136" s="80"/>
      <c r="L136" s="19"/>
      <c r="M136" s="85" t="e">
        <f>_xlfn.XLOOKUP(J136,#REF!,#REF!,0,0,1)</f>
        <v>#REF!</v>
      </c>
      <c r="N136" s="87"/>
      <c r="O136" s="87"/>
      <c r="P136" s="87"/>
      <c r="Q136" s="87"/>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row>
    <row r="137" spans="1:42" hidden="1" outlineLevel="1" x14ac:dyDescent="0.25">
      <c r="A137" s="50"/>
      <c r="B137" s="155" t="e">
        <f>COA!#REF!</f>
        <v>#REF!</v>
      </c>
      <c r="C137" s="127" t="e">
        <f>_xlfn.XLOOKUP(B137,#REF!,#REF!,0,0,1)</f>
        <v>#REF!</v>
      </c>
      <c r="D137" s="127" t="e">
        <f>SUMIF(#REF!,#REF!,#REF!)+SUMIF(#REF!,'FY Current'!B137,#REF!)</f>
        <v>#REF!</v>
      </c>
      <c r="E137" s="127" t="e">
        <f>_xlfn.XLOOKUP(B137,#REF!,#REF!,0,0,1)</f>
        <v>#REF!</v>
      </c>
      <c r="F137" s="127"/>
      <c r="G137" s="219" t="e">
        <f t="shared" si="2"/>
        <v>#REF!</v>
      </c>
      <c r="H137" s="178" t="e">
        <f>_xlfn.XLOOKUP($B137,COA!$B:$B,COA!$C:$C,0,0,1)</f>
        <v>#REF!</v>
      </c>
      <c r="I137" s="178" t="e">
        <f>_xlfn.XLOOKUP($B137,COA!$B:$B,COA!$D:$D,0,0,1)</f>
        <v>#REF!</v>
      </c>
      <c r="J137" s="178" t="e">
        <f>_xlfn.XLOOKUP($B137,COA!$B:$B,COA!$E:$E,0,0,1)</f>
        <v>#REF!</v>
      </c>
      <c r="K137" s="80"/>
      <c r="L137" s="19"/>
      <c r="M137" s="85" t="e">
        <f>_xlfn.XLOOKUP(J137,#REF!,#REF!,0,0,1)</f>
        <v>#REF!</v>
      </c>
      <c r="N137" s="87"/>
      <c r="O137" s="87"/>
      <c r="P137" s="87"/>
      <c r="Q137" s="87"/>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row>
    <row r="138" spans="1:42" hidden="1" outlineLevel="1" x14ac:dyDescent="0.25">
      <c r="A138" s="50"/>
      <c r="B138" s="155" t="e">
        <f>COA!#REF!</f>
        <v>#REF!</v>
      </c>
      <c r="C138" s="127" t="e">
        <f>_xlfn.XLOOKUP(B138,#REF!,#REF!,0,0,1)</f>
        <v>#REF!</v>
      </c>
      <c r="D138" s="127" t="e">
        <f>SUMIF(#REF!,#REF!,#REF!)+SUMIF(#REF!,'FY Current'!B138,#REF!)</f>
        <v>#REF!</v>
      </c>
      <c r="E138" s="127" t="e">
        <f>_xlfn.XLOOKUP(B138,#REF!,#REF!,0,0,1)</f>
        <v>#REF!</v>
      </c>
      <c r="F138" s="127"/>
      <c r="G138" s="219" t="e">
        <f t="shared" si="2"/>
        <v>#REF!</v>
      </c>
      <c r="H138" s="178" t="e">
        <f>_xlfn.XLOOKUP($B138,COA!$B:$B,COA!$C:$C,0,0,1)</f>
        <v>#REF!</v>
      </c>
      <c r="I138" s="178" t="e">
        <f>_xlfn.XLOOKUP($B138,COA!$B:$B,COA!$D:$D,0,0,1)</f>
        <v>#REF!</v>
      </c>
      <c r="J138" s="178" t="e">
        <f>_xlfn.XLOOKUP($B138,COA!$B:$B,COA!$E:$E,0,0,1)</f>
        <v>#REF!</v>
      </c>
      <c r="K138" s="80"/>
      <c r="L138" s="19"/>
      <c r="M138" s="85" t="e">
        <f>_xlfn.XLOOKUP(J138,#REF!,#REF!,0,0,1)</f>
        <v>#REF!</v>
      </c>
      <c r="N138" s="87"/>
      <c r="O138" s="87"/>
      <c r="P138" s="87"/>
      <c r="Q138" s="87"/>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row>
    <row r="139" spans="1:42" hidden="1" outlineLevel="1" x14ac:dyDescent="0.25">
      <c r="A139" s="50"/>
      <c r="B139" s="155" t="e">
        <f>COA!#REF!</f>
        <v>#REF!</v>
      </c>
      <c r="C139" s="127" t="e">
        <f>_xlfn.XLOOKUP(B139,#REF!,#REF!,0,0,1)</f>
        <v>#REF!</v>
      </c>
      <c r="D139" s="127" t="e">
        <f>SUMIF(#REF!,#REF!,#REF!)+SUMIF(#REF!,'FY Current'!B139,#REF!)</f>
        <v>#REF!</v>
      </c>
      <c r="E139" s="127" t="e">
        <f>_xlfn.XLOOKUP(B139,#REF!,#REF!,0,0,1)</f>
        <v>#REF!</v>
      </c>
      <c r="F139" s="127"/>
      <c r="G139" s="219" t="e">
        <f t="shared" si="2"/>
        <v>#REF!</v>
      </c>
      <c r="H139" s="178" t="e">
        <f>_xlfn.XLOOKUP($B139,COA!$B:$B,COA!$C:$C,0,0,1)</f>
        <v>#REF!</v>
      </c>
      <c r="I139" s="178" t="e">
        <f>_xlfn.XLOOKUP($B139,COA!$B:$B,COA!$D:$D,0,0,1)</f>
        <v>#REF!</v>
      </c>
      <c r="J139" s="178" t="e">
        <f>_xlfn.XLOOKUP($B139,COA!$B:$B,COA!$E:$E,0,0,1)</f>
        <v>#REF!</v>
      </c>
      <c r="K139" s="80"/>
      <c r="L139" s="19"/>
      <c r="M139" s="85" t="e">
        <f>_xlfn.XLOOKUP(J139,#REF!,#REF!,0,0,1)</f>
        <v>#REF!</v>
      </c>
      <c r="N139" s="87"/>
      <c r="O139" s="87"/>
      <c r="P139" s="87"/>
      <c r="Q139" s="87"/>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row>
    <row r="140" spans="1:42" hidden="1" outlineLevel="1" x14ac:dyDescent="0.25">
      <c r="A140" s="50"/>
      <c r="B140" s="155" t="e">
        <f>COA!#REF!</f>
        <v>#REF!</v>
      </c>
      <c r="C140" s="127" t="e">
        <f>_xlfn.XLOOKUP(B140,#REF!,#REF!,0,0,1)</f>
        <v>#REF!</v>
      </c>
      <c r="D140" s="127" t="e">
        <f>SUMIF(#REF!,#REF!,#REF!)+SUMIF(#REF!,'FY Current'!B140,#REF!)</f>
        <v>#REF!</v>
      </c>
      <c r="E140" s="127" t="e">
        <f>_xlfn.XLOOKUP(B140,#REF!,#REF!,0,0,1)</f>
        <v>#REF!</v>
      </c>
      <c r="F140" s="127"/>
      <c r="G140" s="219" t="e">
        <f t="shared" si="2"/>
        <v>#REF!</v>
      </c>
      <c r="H140" s="178" t="e">
        <f>_xlfn.XLOOKUP($B140,COA!$B:$B,COA!$C:$C,0,0,1)</f>
        <v>#REF!</v>
      </c>
      <c r="I140" s="178" t="e">
        <f>_xlfn.XLOOKUP($B140,COA!$B:$B,COA!$D:$D,0,0,1)</f>
        <v>#REF!</v>
      </c>
      <c r="J140" s="178" t="e">
        <f>_xlfn.XLOOKUP($B140,COA!$B:$B,COA!$E:$E,0,0,1)</f>
        <v>#REF!</v>
      </c>
      <c r="K140" s="80"/>
      <c r="L140" s="19"/>
      <c r="M140" s="85" t="e">
        <f>_xlfn.XLOOKUP(J140,#REF!,#REF!,0,0,1)</f>
        <v>#REF!</v>
      </c>
      <c r="N140" s="87"/>
      <c r="O140" s="87"/>
      <c r="P140" s="87"/>
      <c r="Q140" s="87"/>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row>
    <row r="141" spans="1:42" hidden="1" outlineLevel="1" x14ac:dyDescent="0.25">
      <c r="A141" s="50"/>
      <c r="B141" s="155" t="e">
        <f>COA!#REF!</f>
        <v>#REF!</v>
      </c>
      <c r="C141" s="127" t="e">
        <f>_xlfn.XLOOKUP(B141,#REF!,#REF!,0,0,1)</f>
        <v>#REF!</v>
      </c>
      <c r="D141" s="127" t="e">
        <f>SUMIF(#REF!,#REF!,#REF!)+SUMIF(#REF!,'FY Current'!B141,#REF!)</f>
        <v>#REF!</v>
      </c>
      <c r="E141" s="127" t="e">
        <f>_xlfn.XLOOKUP(B141,#REF!,#REF!,0,0,1)</f>
        <v>#REF!</v>
      </c>
      <c r="F141" s="127"/>
      <c r="G141" s="219" t="e">
        <f t="shared" si="2"/>
        <v>#REF!</v>
      </c>
      <c r="H141" s="178" t="e">
        <f>_xlfn.XLOOKUP($B141,COA!$B:$B,COA!$C:$C,0,0,1)</f>
        <v>#REF!</v>
      </c>
      <c r="I141" s="178" t="e">
        <f>H141</f>
        <v>#REF!</v>
      </c>
      <c r="J141" s="178" t="e">
        <f>_xlfn.XLOOKUP($B141,COA!$B:$B,COA!$E:$E,0,0,1)</f>
        <v>#REF!</v>
      </c>
      <c r="K141" s="80"/>
      <c r="L141" s="19"/>
      <c r="M141" s="85" t="e">
        <f>_xlfn.XLOOKUP(J141,#REF!,#REF!,0,0,1)</f>
        <v>#REF!</v>
      </c>
      <c r="N141" s="87"/>
      <c r="O141" s="87"/>
      <c r="P141" s="87"/>
      <c r="Q141" s="87"/>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row>
    <row r="142" spans="1:42" hidden="1" outlineLevel="1" x14ac:dyDescent="0.25">
      <c r="A142" s="50"/>
      <c r="B142" s="155" t="e">
        <f>COA!#REF!</f>
        <v>#REF!</v>
      </c>
      <c r="C142" s="127" t="e">
        <f>_xlfn.XLOOKUP(B142,#REF!,#REF!,0,0,1)</f>
        <v>#REF!</v>
      </c>
      <c r="D142" s="127" t="e">
        <f>SUMIF(#REF!,#REF!,#REF!)+SUMIF(#REF!,'FY Current'!B142,#REF!)</f>
        <v>#REF!</v>
      </c>
      <c r="E142" s="127" t="e">
        <f>_xlfn.XLOOKUP(B142,#REF!,#REF!,0,0,1)</f>
        <v>#REF!</v>
      </c>
      <c r="F142" s="127"/>
      <c r="G142" s="219" t="e">
        <f t="shared" si="2"/>
        <v>#REF!</v>
      </c>
      <c r="H142" s="178" t="e">
        <f>_xlfn.XLOOKUP($B142,COA!$B:$B,COA!$C:$C,0,0,1)</f>
        <v>#REF!</v>
      </c>
      <c r="I142" s="178" t="e">
        <f>H142</f>
        <v>#REF!</v>
      </c>
      <c r="J142" s="178" t="e">
        <f>_xlfn.XLOOKUP($B142,COA!$B:$B,COA!$E:$E,0,0,1)</f>
        <v>#REF!</v>
      </c>
      <c r="K142" s="80"/>
      <c r="L142" s="19"/>
      <c r="M142" s="85" t="e">
        <f>_xlfn.XLOOKUP(J142,#REF!,#REF!,0,0,1)</f>
        <v>#REF!</v>
      </c>
      <c r="N142" s="87"/>
      <c r="O142" s="87"/>
      <c r="P142" s="87"/>
      <c r="Q142" s="87"/>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row>
    <row r="143" spans="1:42" hidden="1" outlineLevel="1" x14ac:dyDescent="0.25">
      <c r="A143" s="50"/>
      <c r="B143" s="155" t="e">
        <f>COA!#REF!</f>
        <v>#REF!</v>
      </c>
      <c r="C143" s="127" t="e">
        <f>_xlfn.XLOOKUP(B143,#REF!,#REF!,0,0,1)</f>
        <v>#REF!</v>
      </c>
      <c r="D143" s="127" t="e">
        <f>SUMIF(#REF!,#REF!,#REF!)+SUMIF(#REF!,'FY Current'!B143,#REF!)</f>
        <v>#REF!</v>
      </c>
      <c r="E143" s="127" t="e">
        <f>_xlfn.XLOOKUP(B143,#REF!,#REF!,0,0,1)</f>
        <v>#REF!</v>
      </c>
      <c r="F143" s="127"/>
      <c r="G143" s="219" t="e">
        <f t="shared" si="2"/>
        <v>#REF!</v>
      </c>
      <c r="H143" s="178" t="e">
        <f>_xlfn.XLOOKUP($B143,COA!$B:$B,COA!$C:$C,0,0,1)</f>
        <v>#REF!</v>
      </c>
      <c r="I143" s="178" t="e">
        <f t="shared" ref="I143:I146" si="3">H143</f>
        <v>#REF!</v>
      </c>
      <c r="J143" s="178" t="e">
        <f>_xlfn.XLOOKUP($B143,COA!$B:$B,COA!$E:$E,0,0,1)</f>
        <v>#REF!</v>
      </c>
      <c r="K143" s="80"/>
      <c r="L143" s="19"/>
      <c r="M143" s="85" t="e">
        <f>_xlfn.XLOOKUP(J143,#REF!,#REF!,0,0,1)</f>
        <v>#REF!</v>
      </c>
      <c r="N143" s="87"/>
      <c r="O143" s="87"/>
      <c r="P143" s="87"/>
      <c r="Q143" s="87"/>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row>
    <row r="144" spans="1:42" hidden="1" outlineLevel="1" x14ac:dyDescent="0.25">
      <c r="A144" s="50"/>
      <c r="B144" s="155" t="e">
        <f>COA!#REF!</f>
        <v>#REF!</v>
      </c>
      <c r="C144" s="127" t="e">
        <f>_xlfn.XLOOKUP(B144,#REF!,#REF!,0,0,1)</f>
        <v>#REF!</v>
      </c>
      <c r="D144" s="127" t="e">
        <f>SUMIF(#REF!,#REF!,#REF!)+SUMIF(#REF!,'FY Current'!B144,#REF!)</f>
        <v>#REF!</v>
      </c>
      <c r="E144" s="127" t="e">
        <f>_xlfn.XLOOKUP(B144,#REF!,#REF!,0,0,1)</f>
        <v>#REF!</v>
      </c>
      <c r="F144" s="127"/>
      <c r="G144" s="219" t="e">
        <f t="shared" si="2"/>
        <v>#REF!</v>
      </c>
      <c r="H144" s="178" t="e">
        <f>_xlfn.XLOOKUP($B144,COA!$B:$B,COA!$C:$C,0,0,1)</f>
        <v>#REF!</v>
      </c>
      <c r="I144" s="178" t="e">
        <f t="shared" si="3"/>
        <v>#REF!</v>
      </c>
      <c r="J144" s="178" t="e">
        <f>_xlfn.XLOOKUP($B144,COA!$B:$B,COA!$E:$E,0,0,1)</f>
        <v>#REF!</v>
      </c>
      <c r="K144" s="80"/>
      <c r="L144" s="19"/>
      <c r="M144" s="85" t="e">
        <f>_xlfn.XLOOKUP(J144,#REF!,#REF!,0,0,1)</f>
        <v>#REF!</v>
      </c>
      <c r="N144" s="87"/>
      <c r="O144" s="87"/>
      <c r="P144" s="87"/>
      <c r="Q144" s="87"/>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row>
    <row r="145" spans="1:42" hidden="1" outlineLevel="1" x14ac:dyDescent="0.25">
      <c r="A145" s="50"/>
      <c r="B145" s="155" t="e">
        <f>COA!#REF!</f>
        <v>#REF!</v>
      </c>
      <c r="C145" s="127" t="e">
        <f>_xlfn.XLOOKUP(B145,#REF!,#REF!,0,0,1)</f>
        <v>#REF!</v>
      </c>
      <c r="D145" s="127" t="e">
        <f>SUMIF(#REF!,#REF!,#REF!)+SUMIF(#REF!,'FY Current'!B145,#REF!)</f>
        <v>#REF!</v>
      </c>
      <c r="E145" s="127" t="e">
        <f>_xlfn.XLOOKUP(B145,#REF!,#REF!,0,0,1)</f>
        <v>#REF!</v>
      </c>
      <c r="F145" s="127"/>
      <c r="G145" s="219" t="e">
        <f t="shared" si="2"/>
        <v>#REF!</v>
      </c>
      <c r="H145" s="178" t="e">
        <f>_xlfn.XLOOKUP($B145,COA!$B:$B,COA!$C:$C,0,0,1)</f>
        <v>#REF!</v>
      </c>
      <c r="I145" s="178" t="e">
        <f t="shared" si="3"/>
        <v>#REF!</v>
      </c>
      <c r="J145" s="178" t="e">
        <f>_xlfn.XLOOKUP($B145,COA!$B:$B,COA!$E:$E,0,0,1)</f>
        <v>#REF!</v>
      </c>
      <c r="K145" s="80"/>
      <c r="L145" s="19"/>
      <c r="M145" s="85" t="e">
        <f>_xlfn.XLOOKUP(J145,#REF!,#REF!,0,0,1)</f>
        <v>#REF!</v>
      </c>
      <c r="N145" s="87"/>
      <c r="O145" s="87"/>
      <c r="P145" s="87"/>
      <c r="Q145" s="87"/>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row>
    <row r="146" spans="1:42" hidden="1" outlineLevel="1" x14ac:dyDescent="0.25">
      <c r="A146" s="50"/>
      <c r="B146" s="155" t="e">
        <f>COA!#REF!</f>
        <v>#REF!</v>
      </c>
      <c r="C146" s="127" t="e">
        <f>_xlfn.XLOOKUP(B146,#REF!,#REF!,0,0,1)</f>
        <v>#REF!</v>
      </c>
      <c r="D146" s="127" t="e">
        <f>SUMIF(#REF!,#REF!,#REF!)+SUMIF(#REF!,'FY Current'!B146,#REF!)</f>
        <v>#REF!</v>
      </c>
      <c r="E146" s="127" t="e">
        <f>_xlfn.XLOOKUP(B146,#REF!,#REF!,0,0,1)</f>
        <v>#REF!</v>
      </c>
      <c r="F146" s="127"/>
      <c r="G146" s="219" t="e">
        <f t="shared" si="2"/>
        <v>#REF!</v>
      </c>
      <c r="H146" s="178" t="e">
        <f>_xlfn.XLOOKUP($B146,COA!$B:$B,COA!$C:$C,0,0,1)</f>
        <v>#REF!</v>
      </c>
      <c r="I146" s="178" t="e">
        <f t="shared" si="3"/>
        <v>#REF!</v>
      </c>
      <c r="J146" s="178" t="e">
        <f>_xlfn.XLOOKUP($B146,COA!$B:$B,COA!$E:$E,0,0,1)</f>
        <v>#REF!</v>
      </c>
      <c r="K146" s="80"/>
      <c r="L146" s="19"/>
      <c r="M146" s="85" t="e">
        <f>_xlfn.XLOOKUP(J146,#REF!,#REF!,0,0,1)</f>
        <v>#REF!</v>
      </c>
      <c r="N146" s="87"/>
      <c r="O146" s="87"/>
      <c r="P146" s="87"/>
      <c r="Q146" s="87"/>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row>
    <row r="147" spans="1:42" hidden="1" outlineLevel="1" x14ac:dyDescent="0.25">
      <c r="A147" s="50"/>
      <c r="B147" s="155" t="e">
        <f>COA!#REF!</f>
        <v>#REF!</v>
      </c>
      <c r="C147" s="127" t="e">
        <f>_xlfn.XLOOKUP(B147,#REF!,#REF!,0,0,1)</f>
        <v>#REF!</v>
      </c>
      <c r="D147" s="127" t="e">
        <f>SUMIF(#REF!,#REF!,#REF!)+SUMIF(#REF!,'FY Current'!B147,#REF!)</f>
        <v>#REF!</v>
      </c>
      <c r="E147" s="127" t="e">
        <f>_xlfn.XLOOKUP(B147,#REF!,#REF!,0,0,1)</f>
        <v>#REF!</v>
      </c>
      <c r="F147" s="127"/>
      <c r="G147" s="219" t="e">
        <f t="shared" si="2"/>
        <v>#REF!</v>
      </c>
      <c r="H147" s="178" t="e">
        <f>_xlfn.XLOOKUP($B147,COA!$B:$B,COA!$C:$C,0,0,1)</f>
        <v>#REF!</v>
      </c>
      <c r="I147" s="178" t="e">
        <f>_xlfn.XLOOKUP($B147,COA!$B:$B,COA!$D:$D,0,0,1)</f>
        <v>#REF!</v>
      </c>
      <c r="J147" s="178" t="e">
        <f>_xlfn.XLOOKUP($B147,COA!$B:$B,COA!$E:$E,0,0,1)</f>
        <v>#REF!</v>
      </c>
      <c r="K147" s="80"/>
      <c r="L147" s="19"/>
      <c r="M147" s="85" t="e">
        <f>_xlfn.XLOOKUP(J147,#REF!,#REF!,0,0,1)</f>
        <v>#REF!</v>
      </c>
      <c r="N147" s="87"/>
      <c r="O147" s="87"/>
      <c r="P147" s="87"/>
      <c r="Q147" s="87"/>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row>
    <row r="148" spans="1:42" hidden="1" outlineLevel="1" x14ac:dyDescent="0.25">
      <c r="A148" s="50"/>
      <c r="B148" s="155" t="e">
        <f>COA!#REF!</f>
        <v>#REF!</v>
      </c>
      <c r="C148" s="127" t="e">
        <f>_xlfn.XLOOKUP(B148,#REF!,#REF!,0,0,1)</f>
        <v>#REF!</v>
      </c>
      <c r="D148" s="127" t="e">
        <f>SUMIF(#REF!,#REF!,#REF!)+SUMIF(#REF!,'FY Current'!B148,#REF!)</f>
        <v>#REF!</v>
      </c>
      <c r="E148" s="127" t="e">
        <f>_xlfn.XLOOKUP(B148,#REF!,#REF!,0,0,1)</f>
        <v>#REF!</v>
      </c>
      <c r="F148" s="127"/>
      <c r="G148" s="219" t="e">
        <f t="shared" si="2"/>
        <v>#REF!</v>
      </c>
      <c r="H148" s="178" t="e">
        <f>_xlfn.XLOOKUP($B148,COA!$B:$B,COA!$C:$C,0,0,1)</f>
        <v>#REF!</v>
      </c>
      <c r="I148" s="178" t="e">
        <f>_xlfn.XLOOKUP($B148,COA!$B:$B,COA!$D:$D,0,0,1)</f>
        <v>#REF!</v>
      </c>
      <c r="J148" s="178" t="e">
        <f>_xlfn.XLOOKUP($B148,COA!$B:$B,COA!$E:$E,0,0,1)</f>
        <v>#REF!</v>
      </c>
      <c r="K148" s="80"/>
      <c r="L148" s="19"/>
      <c r="M148" s="85" t="e">
        <f>_xlfn.XLOOKUP(J148,#REF!,#REF!,0,0,1)</f>
        <v>#REF!</v>
      </c>
      <c r="N148" s="87"/>
      <c r="O148" s="87"/>
      <c r="P148" s="87"/>
      <c r="Q148" s="87"/>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row>
    <row r="149" spans="1:42" hidden="1" outlineLevel="1" x14ac:dyDescent="0.25">
      <c r="A149" s="198"/>
      <c r="B149" s="155" t="e">
        <f>COA!#REF!</f>
        <v>#REF!</v>
      </c>
      <c r="C149" s="199" t="e">
        <f>_xlfn.XLOOKUP(B149,#REF!,#REF!,0,0,1)</f>
        <v>#REF!</v>
      </c>
      <c r="D149" s="199" t="e">
        <f>SUMIF(#REF!,#REF!,#REF!)+SUMIF(#REF!,'FY Current'!B149,#REF!)</f>
        <v>#REF!</v>
      </c>
      <c r="E149" s="199" t="e">
        <f>_xlfn.XLOOKUP(B149,#REF!,#REF!,0,0,1)</f>
        <v>#REF!</v>
      </c>
      <c r="F149" s="199"/>
      <c r="G149" s="214" t="e">
        <f t="shared" si="2"/>
        <v>#REF!</v>
      </c>
      <c r="H149" s="215" t="e">
        <f>_xlfn.XLOOKUP($B149,COA!$B:$B,COA!$C:$C,0,0,1)</f>
        <v>#REF!</v>
      </c>
      <c r="I149" s="215" t="e">
        <f>_xlfn.XLOOKUP($B149,COA!$B:$B,COA!$D:$D,0,0,1)</f>
        <v>#REF!</v>
      </c>
      <c r="J149" s="215" t="e">
        <f>_xlfn.XLOOKUP($B149,COA!$B:$B,COA!$E:$E,0,0,1)</f>
        <v>#REF!</v>
      </c>
      <c r="K149" s="135"/>
      <c r="L149" s="19"/>
      <c r="M149" s="85" t="e">
        <f>_xlfn.XLOOKUP(J149,#REF!,#REF!,0,0,1)</f>
        <v>#REF!</v>
      </c>
      <c r="N149" s="87"/>
      <c r="O149" s="87"/>
      <c r="P149" s="87"/>
      <c r="Q149" s="87"/>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row>
    <row r="150" spans="1:42" hidden="1" outlineLevel="1" x14ac:dyDescent="0.25">
      <c r="A150" s="200"/>
      <c r="B150" s="155" t="e">
        <f>COA!#REF!</f>
        <v>#REF!</v>
      </c>
      <c r="C150" s="127" t="e">
        <f>_xlfn.XLOOKUP(B150,#REF!,#REF!,0,0,1)</f>
        <v>#REF!</v>
      </c>
      <c r="D150" s="127" t="e">
        <f>SUMIF(#REF!,#REF!,#REF!)+SUMIF(#REF!,'FY Current'!B150,#REF!)</f>
        <v>#REF!</v>
      </c>
      <c r="E150" s="127" t="e">
        <f>_xlfn.XLOOKUP(B150,#REF!,#REF!,0,0,1)</f>
        <v>#REF!</v>
      </c>
      <c r="F150" s="127"/>
      <c r="G150" s="219" t="e">
        <f t="shared" si="2"/>
        <v>#REF!</v>
      </c>
      <c r="H150" s="178" t="e">
        <f>_xlfn.XLOOKUP($B150,COA!$B:$B,COA!$C:$C,0,0,1)</f>
        <v>#REF!</v>
      </c>
      <c r="I150" s="178" t="e">
        <f>_xlfn.XLOOKUP($B150,COA!$B:$B,COA!$D:$D,0,0,1)</f>
        <v>#REF!</v>
      </c>
      <c r="J150" s="178" t="e">
        <f>_xlfn.XLOOKUP($B150,COA!$B:$B,COA!$E:$E,0,0,1)</f>
        <v>#REF!</v>
      </c>
      <c r="K150" s="136"/>
      <c r="L150" s="19"/>
      <c r="M150" s="85" t="e">
        <f>_xlfn.XLOOKUP(J150,#REF!,#REF!,0,0,1)</f>
        <v>#REF!</v>
      </c>
      <c r="N150" s="87"/>
      <c r="O150" s="87"/>
      <c r="P150" s="87"/>
      <c r="Q150" s="87"/>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row>
    <row r="151" spans="1:42" hidden="1" outlineLevel="1" x14ac:dyDescent="0.25">
      <c r="A151" s="200"/>
      <c r="B151" s="155" t="e">
        <f>COA!#REF!</f>
        <v>#REF!</v>
      </c>
      <c r="C151" s="127" t="e">
        <f>_xlfn.XLOOKUP(B151,#REF!,#REF!,0,0,1)</f>
        <v>#REF!</v>
      </c>
      <c r="D151" s="127" t="e">
        <f>SUMIF(#REF!,#REF!,#REF!)+SUMIF(#REF!,'FY Current'!B151,#REF!)</f>
        <v>#REF!</v>
      </c>
      <c r="E151" s="127" t="e">
        <f>_xlfn.XLOOKUP(B151,#REF!,#REF!,0,0,1)</f>
        <v>#REF!</v>
      </c>
      <c r="F151" s="127"/>
      <c r="G151" s="219" t="e">
        <f t="shared" si="2"/>
        <v>#REF!</v>
      </c>
      <c r="H151" s="178" t="e">
        <f>_xlfn.XLOOKUP($B151,COA!$B:$B,COA!$C:$C,0,0,1)</f>
        <v>#REF!</v>
      </c>
      <c r="I151" s="178" t="e">
        <f>_xlfn.XLOOKUP($B151,COA!$B:$B,COA!$D:$D,0,0,1)</f>
        <v>#REF!</v>
      </c>
      <c r="J151" s="178" t="e">
        <f>_xlfn.XLOOKUP($B151,COA!$B:$B,COA!$E:$E,0,0,1)</f>
        <v>#REF!</v>
      </c>
      <c r="K151" s="136"/>
      <c r="L151" s="19"/>
      <c r="M151" s="85" t="e">
        <f>_xlfn.XLOOKUP(J151,#REF!,#REF!,0,0,1)</f>
        <v>#REF!</v>
      </c>
      <c r="N151" s="87"/>
      <c r="O151" s="87"/>
      <c r="P151" s="87"/>
      <c r="Q151" s="87"/>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row>
    <row r="152" spans="1:42" hidden="1" outlineLevel="1" x14ac:dyDescent="0.25">
      <c r="A152" s="200"/>
      <c r="B152" s="155" t="e">
        <f>COA!#REF!</f>
        <v>#REF!</v>
      </c>
      <c r="C152" s="127" t="e">
        <f>_xlfn.XLOOKUP(B152,#REF!,#REF!,0,0,1)</f>
        <v>#REF!</v>
      </c>
      <c r="D152" s="127" t="e">
        <f>SUMIF(#REF!,#REF!,#REF!)+SUMIF(#REF!,'FY Current'!B152,#REF!)</f>
        <v>#REF!</v>
      </c>
      <c r="E152" s="127" t="e">
        <f>_xlfn.XLOOKUP(B152,#REF!,#REF!,0,0,1)</f>
        <v>#REF!</v>
      </c>
      <c r="F152" s="127"/>
      <c r="G152" s="219" t="e">
        <f t="shared" si="2"/>
        <v>#REF!</v>
      </c>
      <c r="H152" s="178" t="e">
        <f>_xlfn.XLOOKUP($B152,COA!$B:$B,COA!$C:$C,0,0,1)</f>
        <v>#REF!</v>
      </c>
      <c r="I152" s="178" t="e">
        <f>_xlfn.XLOOKUP($B152,COA!$B:$B,COA!$D:$D,0,0,1)</f>
        <v>#REF!</v>
      </c>
      <c r="J152" s="178" t="e">
        <f>_xlfn.XLOOKUP($B152,COA!$B:$B,COA!$E:$E,0,0,1)</f>
        <v>#REF!</v>
      </c>
      <c r="K152" s="136"/>
      <c r="L152" s="19"/>
      <c r="M152" s="85" t="e">
        <f>_xlfn.XLOOKUP(J152,#REF!,#REF!,0,0,1)</f>
        <v>#REF!</v>
      </c>
      <c r="N152" s="87"/>
      <c r="O152" s="87"/>
      <c r="P152" s="87"/>
      <c r="Q152" s="87"/>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row>
    <row r="153" spans="1:42" hidden="1" outlineLevel="1" x14ac:dyDescent="0.25">
      <c r="A153" s="200"/>
      <c r="B153" s="155" t="e">
        <f>COA!#REF!</f>
        <v>#REF!</v>
      </c>
      <c r="C153" s="127" t="e">
        <f>_xlfn.XLOOKUP(B153,#REF!,#REF!,0,0,1)</f>
        <v>#REF!</v>
      </c>
      <c r="D153" s="127" t="e">
        <f>SUMIF(#REF!,#REF!,#REF!)+SUMIF(#REF!,'FY Current'!B153,#REF!)</f>
        <v>#REF!</v>
      </c>
      <c r="E153" s="127" t="e">
        <f>_xlfn.XLOOKUP(B153,#REF!,#REF!,0,0,1)</f>
        <v>#REF!</v>
      </c>
      <c r="F153" s="127"/>
      <c r="G153" s="219" t="e">
        <f t="shared" si="2"/>
        <v>#REF!</v>
      </c>
      <c r="H153" s="178" t="e">
        <f>_xlfn.XLOOKUP($B153,COA!$B:$B,COA!$C:$C,0,0,1)</f>
        <v>#REF!</v>
      </c>
      <c r="I153" s="178" t="e">
        <f>_xlfn.XLOOKUP($B153,COA!$B:$B,COA!$D:$D,0,0,1)</f>
        <v>#REF!</v>
      </c>
      <c r="J153" s="178" t="e">
        <f>_xlfn.XLOOKUP($B153,COA!$B:$B,COA!$E:$E,0,0,1)</f>
        <v>#REF!</v>
      </c>
      <c r="K153" s="136"/>
      <c r="L153" s="19"/>
      <c r="M153" s="85" t="e">
        <f>_xlfn.XLOOKUP(J153,#REF!,#REF!,0,0,1)</f>
        <v>#REF!</v>
      </c>
      <c r="N153" s="87"/>
      <c r="O153" s="87"/>
      <c r="P153" s="87"/>
      <c r="Q153" s="87"/>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row>
    <row r="154" spans="1:42" hidden="1" outlineLevel="1" x14ac:dyDescent="0.25">
      <c r="A154" s="201"/>
      <c r="B154" s="155" t="e">
        <f>COA!#REF!</f>
        <v>#REF!</v>
      </c>
      <c r="C154" s="58" t="e">
        <f>_xlfn.XLOOKUP(B154,#REF!,#REF!,0,0,1)</f>
        <v>#REF!</v>
      </c>
      <c r="D154" s="58" t="e">
        <f>SUM(#REF!)+SUM('AJE.2 - F24'!F161:F179)</f>
        <v>#REF!</v>
      </c>
      <c r="E154" s="58" t="e">
        <f>_xlfn.XLOOKUP(B154,#REF!,#REF!,0,0,1)</f>
        <v>#REF!</v>
      </c>
      <c r="F154" s="58"/>
      <c r="G154" s="57" t="e">
        <f t="shared" si="2"/>
        <v>#REF!</v>
      </c>
      <c r="H154" s="179" t="e">
        <f>_xlfn.XLOOKUP($B154,COA!$B:$B,COA!$C:$C,0,0,1)</f>
        <v>#REF!</v>
      </c>
      <c r="I154" s="179" t="e">
        <f>_xlfn.XLOOKUP($B154,COA!$B:$B,COA!$D:$D,0,0,1)</f>
        <v>#REF!</v>
      </c>
      <c r="J154" s="179" t="e">
        <f>_xlfn.XLOOKUP($B154,COA!$B:$B,COA!$E:$E,0,0,1)</f>
        <v>#REF!</v>
      </c>
      <c r="K154" s="137"/>
      <c r="L154" s="19"/>
      <c r="M154" s="85" t="e">
        <f>_xlfn.XLOOKUP(J154,#REF!,#REF!,0,0,1)</f>
        <v>#REF!</v>
      </c>
      <c r="N154" s="87"/>
      <c r="O154" s="87"/>
      <c r="P154" s="87"/>
      <c r="Q154" s="87"/>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row>
    <row r="155" spans="1:42" hidden="1" outlineLevel="1" x14ac:dyDescent="0.25">
      <c r="A155" s="50"/>
      <c r="B155" s="155" t="e">
        <f>COA!#REF!</f>
        <v>#REF!</v>
      </c>
      <c r="C155" s="127" t="e">
        <f>_xlfn.XLOOKUP(B155,#REF!,#REF!,0,0,1)</f>
        <v>#REF!</v>
      </c>
      <c r="D155" s="127" t="e">
        <f>SUMIF(#REF!,#REF!,#REF!)+SUMIF(#REF!,'FY Current'!B155,#REF!)</f>
        <v>#REF!</v>
      </c>
      <c r="E155" s="127" t="e">
        <f>_xlfn.XLOOKUP(B155,#REF!,#REF!,0,0,1)</f>
        <v>#REF!</v>
      </c>
      <c r="F155" s="127"/>
      <c r="G155" s="219" t="e">
        <f t="shared" si="2"/>
        <v>#REF!</v>
      </c>
      <c r="H155" s="178" t="e">
        <f>_xlfn.XLOOKUP($B155,COA!$B:$B,COA!$C:$C,0,0,1)</f>
        <v>#REF!</v>
      </c>
      <c r="I155" s="178" t="e">
        <f>_xlfn.XLOOKUP($B155,COA!$B:$B,COA!$D:$D,0,0,1)</f>
        <v>#REF!</v>
      </c>
      <c r="J155" s="178" t="e">
        <f>_xlfn.XLOOKUP($B155,COA!$B:$B,COA!$E:$E,0,0,1)</f>
        <v>#REF!</v>
      </c>
      <c r="K155" s="80"/>
      <c r="L155" s="19"/>
      <c r="M155" s="85" t="e">
        <f>_xlfn.XLOOKUP(J155,#REF!,#REF!,0,0,1)</f>
        <v>#REF!</v>
      </c>
      <c r="N155" s="87"/>
      <c r="O155" s="87"/>
      <c r="P155" s="87"/>
      <c r="Q155" s="87"/>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row>
    <row r="156" spans="1:42" hidden="1" outlineLevel="1" x14ac:dyDescent="0.25">
      <c r="A156" s="50"/>
      <c r="B156" s="155" t="e">
        <f>COA!#REF!</f>
        <v>#REF!</v>
      </c>
      <c r="C156" s="127" t="e">
        <f>_xlfn.XLOOKUP(B156,#REF!,#REF!,0,0,1)</f>
        <v>#REF!</v>
      </c>
      <c r="D156" s="127" t="e">
        <f>SUMIF(#REF!,#REF!,#REF!)+SUMIF(#REF!,'FY Current'!B156,#REF!)</f>
        <v>#REF!</v>
      </c>
      <c r="E156" s="127" t="e">
        <f>_xlfn.XLOOKUP(B156,#REF!,#REF!,0,0,1)</f>
        <v>#REF!</v>
      </c>
      <c r="F156" s="127"/>
      <c r="G156" s="219" t="e">
        <f t="shared" si="2"/>
        <v>#REF!</v>
      </c>
      <c r="H156" s="178" t="e">
        <f>_xlfn.XLOOKUP($B156,COA!$B:$B,COA!$C:$C,0,0,1)</f>
        <v>#REF!</v>
      </c>
      <c r="I156" s="178" t="e">
        <f>_xlfn.XLOOKUP($B156,COA!$B:$B,COA!$D:$D,0,0,1)</f>
        <v>#REF!</v>
      </c>
      <c r="J156" s="178" t="e">
        <f>_xlfn.XLOOKUP($B156,COA!$B:$B,COA!$E:$E,0,0,1)</f>
        <v>#REF!</v>
      </c>
      <c r="K156" s="80"/>
      <c r="L156" s="19"/>
      <c r="M156" s="85" t="e">
        <f>_xlfn.XLOOKUP(J156,#REF!,#REF!,0,0,1)</f>
        <v>#REF!</v>
      </c>
      <c r="N156" s="87"/>
      <c r="O156" s="87"/>
      <c r="P156" s="87"/>
      <c r="Q156" s="87"/>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row>
    <row r="157" spans="1:42" hidden="1" outlineLevel="1" x14ac:dyDescent="0.25">
      <c r="A157" s="50"/>
      <c r="B157" s="155" t="e">
        <f>COA!#REF!</f>
        <v>#REF!</v>
      </c>
      <c r="C157" s="127" t="e">
        <f>_xlfn.XLOOKUP(B157,#REF!,#REF!,0,0,1)</f>
        <v>#REF!</v>
      </c>
      <c r="D157" s="127" t="e">
        <f>SUMIF(#REF!,#REF!,#REF!)+SUMIF(#REF!,'FY Current'!B157,#REF!)</f>
        <v>#REF!</v>
      </c>
      <c r="E157" s="127" t="e">
        <f>_xlfn.XLOOKUP(B157,#REF!,#REF!,0,0,1)</f>
        <v>#REF!</v>
      </c>
      <c r="F157" s="127"/>
      <c r="G157" s="219" t="e">
        <f t="shared" si="2"/>
        <v>#REF!</v>
      </c>
      <c r="H157" s="178" t="e">
        <f>_xlfn.XLOOKUP($B157,COA!$B:$B,COA!$C:$C,0,0,1)</f>
        <v>#REF!</v>
      </c>
      <c r="I157" s="178" t="e">
        <f>_xlfn.XLOOKUP($B157,COA!$B:$B,COA!$D:$D,0,0,1)</f>
        <v>#REF!</v>
      </c>
      <c r="J157" s="178" t="e">
        <f>_xlfn.XLOOKUP($B157,COA!$B:$B,COA!$E:$E,0,0,1)</f>
        <v>#REF!</v>
      </c>
      <c r="K157" s="80"/>
      <c r="L157" s="19"/>
      <c r="M157" s="85" t="e">
        <f>_xlfn.XLOOKUP(J157,#REF!,#REF!,0,0,1)</f>
        <v>#REF!</v>
      </c>
      <c r="N157" s="87"/>
      <c r="O157" s="87"/>
      <c r="P157" s="87"/>
      <c r="Q157" s="87"/>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row>
    <row r="158" spans="1:42" hidden="1" outlineLevel="1" x14ac:dyDescent="0.25">
      <c r="A158" s="50"/>
      <c r="B158" s="155" t="e">
        <f>COA!#REF!</f>
        <v>#REF!</v>
      </c>
      <c r="C158" s="127" t="e">
        <f>_xlfn.XLOOKUP(B158,#REF!,#REF!,0,0,1)</f>
        <v>#REF!</v>
      </c>
      <c r="D158" s="127" t="e">
        <f>SUMIF(#REF!,#REF!,#REF!)+SUMIF(#REF!,'FY Current'!B158,#REF!)</f>
        <v>#REF!</v>
      </c>
      <c r="E158" s="127" t="e">
        <f>_xlfn.XLOOKUP(B158,#REF!,#REF!,0,0,1)</f>
        <v>#REF!</v>
      </c>
      <c r="F158" s="127"/>
      <c r="G158" s="219" t="e">
        <f t="shared" si="2"/>
        <v>#REF!</v>
      </c>
      <c r="H158" s="178" t="e">
        <f>_xlfn.XLOOKUP($B158,COA!$B:$B,COA!$C:$C,0,0,1)</f>
        <v>#REF!</v>
      </c>
      <c r="I158" s="178" t="e">
        <f>_xlfn.XLOOKUP($B158,COA!$B:$B,COA!$D:$D,0,0,1)</f>
        <v>#REF!</v>
      </c>
      <c r="J158" s="178" t="e">
        <f>_xlfn.XLOOKUP($B158,COA!$B:$B,COA!$E:$E,0,0,1)</f>
        <v>#REF!</v>
      </c>
      <c r="K158" s="80"/>
      <c r="L158" s="19"/>
      <c r="M158" s="85" t="e">
        <f>_xlfn.XLOOKUP(J158,#REF!,#REF!,0,0,1)</f>
        <v>#REF!</v>
      </c>
      <c r="N158" s="87"/>
      <c r="O158" s="87"/>
      <c r="P158" s="87"/>
      <c r="Q158" s="87"/>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row>
    <row r="159" spans="1:42" hidden="1" outlineLevel="1" x14ac:dyDescent="0.25">
      <c r="A159" s="50"/>
      <c r="B159" s="155" t="e">
        <f>COA!#REF!</f>
        <v>#REF!</v>
      </c>
      <c r="C159" s="127" t="e">
        <f>_xlfn.XLOOKUP(B159,#REF!,#REF!,0,0,1)</f>
        <v>#REF!</v>
      </c>
      <c r="D159" s="127" t="e">
        <f>SUMIF(#REF!,#REF!,#REF!)+SUMIF(#REF!,'FY Current'!B159,#REF!)</f>
        <v>#REF!</v>
      </c>
      <c r="E159" s="127" t="e">
        <f>_xlfn.XLOOKUP(B159,#REF!,#REF!,0,0,1)</f>
        <v>#REF!</v>
      </c>
      <c r="F159" s="127"/>
      <c r="G159" s="219" t="e">
        <f t="shared" si="2"/>
        <v>#REF!</v>
      </c>
      <c r="H159" s="178" t="e">
        <f>_xlfn.XLOOKUP($B159,COA!$B:$B,COA!$C:$C,0,0,1)</f>
        <v>#REF!</v>
      </c>
      <c r="I159" s="178" t="e">
        <f>_xlfn.XLOOKUP($B159,COA!$B:$B,COA!$D:$D,0,0,1)</f>
        <v>#REF!</v>
      </c>
      <c r="J159" s="178" t="e">
        <f>_xlfn.XLOOKUP($B159,COA!$B:$B,COA!$E:$E,0,0,1)</f>
        <v>#REF!</v>
      </c>
      <c r="K159" s="80"/>
      <c r="L159" s="19"/>
      <c r="M159" s="85" t="e">
        <f>_xlfn.XLOOKUP(J159,#REF!,#REF!,0,0,1)</f>
        <v>#REF!</v>
      </c>
      <c r="N159" s="87"/>
      <c r="O159" s="87"/>
      <c r="P159" s="87"/>
      <c r="Q159" s="87"/>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row>
    <row r="160" spans="1:42" hidden="1" outlineLevel="1" x14ac:dyDescent="0.25">
      <c r="A160" s="50"/>
      <c r="B160" s="155" t="e">
        <f>COA!#REF!</f>
        <v>#REF!</v>
      </c>
      <c r="C160" s="127" t="e">
        <f>_xlfn.XLOOKUP(B160,#REF!,#REF!,0,0,1)</f>
        <v>#REF!</v>
      </c>
      <c r="D160" s="127" t="e">
        <f>SUMIF(#REF!,#REF!,#REF!)+SUMIF(#REF!,'FY Current'!B160,#REF!)</f>
        <v>#REF!</v>
      </c>
      <c r="E160" s="127" t="e">
        <f>_xlfn.XLOOKUP(B160,#REF!,#REF!,0,0,1)</f>
        <v>#REF!</v>
      </c>
      <c r="F160" s="127"/>
      <c r="G160" s="219" t="e">
        <f t="shared" si="2"/>
        <v>#REF!</v>
      </c>
      <c r="H160" s="178" t="e">
        <f>_xlfn.XLOOKUP($B160,COA!$B:$B,COA!$C:$C,0,0,1)</f>
        <v>#REF!</v>
      </c>
      <c r="I160" s="178" t="e">
        <f>_xlfn.XLOOKUP($B160,COA!$B:$B,COA!$D:$D,0,0,1)</f>
        <v>#REF!</v>
      </c>
      <c r="J160" s="178" t="e">
        <f>_xlfn.XLOOKUP($B160,COA!$B:$B,COA!$E:$E,0,0,1)</f>
        <v>#REF!</v>
      </c>
      <c r="K160" s="80"/>
      <c r="L160" s="19"/>
      <c r="M160" s="85" t="e">
        <f>_xlfn.XLOOKUP(J160,#REF!,#REF!,0,0,1)</f>
        <v>#REF!</v>
      </c>
      <c r="N160" s="87"/>
      <c r="O160" s="87"/>
      <c r="P160" s="87"/>
      <c r="Q160" s="87"/>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row>
    <row r="161" spans="1:42" hidden="1" outlineLevel="1" x14ac:dyDescent="0.25">
      <c r="A161" s="50"/>
      <c r="B161" s="155" t="e">
        <f>COA!#REF!</f>
        <v>#REF!</v>
      </c>
      <c r="C161" s="127" t="e">
        <f>_xlfn.XLOOKUP(B161,#REF!,#REF!,0,0,1)</f>
        <v>#REF!</v>
      </c>
      <c r="D161" s="127" t="e">
        <f>SUMIF(#REF!,#REF!,#REF!)+SUMIF(#REF!,'FY Current'!B161,#REF!)</f>
        <v>#REF!</v>
      </c>
      <c r="E161" s="127" t="e">
        <f>_xlfn.XLOOKUP(B161,#REF!,#REF!,0,0,1)</f>
        <v>#REF!</v>
      </c>
      <c r="F161" s="127"/>
      <c r="G161" s="219" t="e">
        <f t="shared" si="2"/>
        <v>#REF!</v>
      </c>
      <c r="H161" s="178" t="e">
        <f>_xlfn.XLOOKUP($B161,COA!$B:$B,COA!$C:$C,0,0,1)</f>
        <v>#REF!</v>
      </c>
      <c r="I161" s="178" t="e">
        <f>_xlfn.XLOOKUP($B161,COA!$B:$B,COA!$D:$D,0,0,1)</f>
        <v>#REF!</v>
      </c>
      <c r="J161" s="178" t="e">
        <f>_xlfn.XLOOKUP($B161,COA!$B:$B,COA!$E:$E,0,0,1)</f>
        <v>#REF!</v>
      </c>
      <c r="K161" s="80"/>
      <c r="L161" s="19"/>
      <c r="M161" s="85" t="e">
        <f>_xlfn.XLOOKUP(J161,#REF!,#REF!,0,0,1)</f>
        <v>#REF!</v>
      </c>
      <c r="N161" s="87"/>
      <c r="O161" s="87"/>
      <c r="P161" s="87"/>
      <c r="Q161" s="87"/>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row>
    <row r="162" spans="1:42" hidden="1" outlineLevel="1" x14ac:dyDescent="0.25">
      <c r="A162" s="50"/>
      <c r="B162" s="155" t="e">
        <f>COA!#REF!</f>
        <v>#REF!</v>
      </c>
      <c r="C162" s="127" t="e">
        <f>_xlfn.XLOOKUP(B162,#REF!,#REF!,0,0,1)</f>
        <v>#REF!</v>
      </c>
      <c r="D162" s="127" t="e">
        <f>SUMIF(#REF!,#REF!,#REF!)+SUMIF(#REF!,'FY Current'!B162,#REF!)</f>
        <v>#REF!</v>
      </c>
      <c r="E162" s="127" t="e">
        <f>_xlfn.XLOOKUP(B162,#REF!,#REF!,0,0,1)</f>
        <v>#REF!</v>
      </c>
      <c r="F162" s="127"/>
      <c r="G162" s="219" t="e">
        <f t="shared" si="2"/>
        <v>#REF!</v>
      </c>
      <c r="H162" s="178" t="e">
        <f>_xlfn.XLOOKUP($B162,COA!$B:$B,COA!$C:$C,0,0,1)</f>
        <v>#REF!</v>
      </c>
      <c r="I162" s="178" t="e">
        <f>_xlfn.XLOOKUP($B162,COA!$B:$B,COA!$D:$D,0,0,1)</f>
        <v>#REF!</v>
      </c>
      <c r="J162" s="178" t="e">
        <f>_xlfn.XLOOKUP($B162,COA!$B:$B,COA!$E:$E,0,0,1)</f>
        <v>#REF!</v>
      </c>
      <c r="K162" s="80"/>
      <c r="L162" s="19"/>
      <c r="M162" s="85" t="e">
        <f>_xlfn.XLOOKUP(J162,#REF!,#REF!,0,0,1)</f>
        <v>#REF!</v>
      </c>
      <c r="N162" s="87"/>
      <c r="O162" s="87"/>
      <c r="P162" s="87"/>
      <c r="Q162" s="87"/>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row>
    <row r="163" spans="1:42" hidden="1" outlineLevel="1" x14ac:dyDescent="0.25">
      <c r="A163" s="50"/>
      <c r="B163" s="155" t="e">
        <f>COA!#REF!</f>
        <v>#REF!</v>
      </c>
      <c r="C163" s="127" t="e">
        <f>_xlfn.XLOOKUP(B163,#REF!,#REF!,0,0,1)</f>
        <v>#REF!</v>
      </c>
      <c r="D163" s="127" t="e">
        <f>SUMIF(#REF!,#REF!,#REF!)+SUMIF(#REF!,'FY Current'!B163,#REF!)</f>
        <v>#REF!</v>
      </c>
      <c r="E163" s="127" t="e">
        <f>_xlfn.XLOOKUP(B163,#REF!,#REF!,0,0,1)</f>
        <v>#REF!</v>
      </c>
      <c r="F163" s="127"/>
      <c r="G163" s="219" t="e">
        <f t="shared" si="2"/>
        <v>#REF!</v>
      </c>
      <c r="H163" s="178" t="e">
        <f>_xlfn.XLOOKUP($B163,COA!$B:$B,COA!$C:$C,0,0,1)</f>
        <v>#REF!</v>
      </c>
      <c r="I163" s="178" t="e">
        <f>_xlfn.XLOOKUP($B163,COA!$B:$B,COA!$D:$D,0,0,1)</f>
        <v>#REF!</v>
      </c>
      <c r="J163" s="178" t="e">
        <f>_xlfn.XLOOKUP($B163,COA!$B:$B,COA!$E:$E,0,0,1)</f>
        <v>#REF!</v>
      </c>
      <c r="K163" s="80"/>
      <c r="L163" s="19"/>
      <c r="M163" s="85" t="e">
        <f>_xlfn.XLOOKUP(J163,#REF!,#REF!,0,0,1)</f>
        <v>#REF!</v>
      </c>
      <c r="N163" s="87"/>
      <c r="O163" s="87"/>
      <c r="P163" s="87"/>
      <c r="Q163" s="87"/>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row>
    <row r="164" spans="1:42" hidden="1" outlineLevel="1" x14ac:dyDescent="0.25">
      <c r="A164" s="50"/>
      <c r="B164" s="155" t="e">
        <f>COA!#REF!</f>
        <v>#REF!</v>
      </c>
      <c r="C164" s="127" t="e">
        <f>_xlfn.XLOOKUP(B164,#REF!,#REF!,0,0,1)</f>
        <v>#REF!</v>
      </c>
      <c r="D164" s="127" t="e">
        <f>SUMIF(#REF!,#REF!,#REF!)+SUMIF(#REF!,'FY Current'!B164,#REF!)</f>
        <v>#REF!</v>
      </c>
      <c r="E164" s="127" t="e">
        <f>_xlfn.XLOOKUP(B164,#REF!,#REF!,0,0,1)</f>
        <v>#REF!</v>
      </c>
      <c r="F164" s="127"/>
      <c r="G164" s="219" t="e">
        <f t="shared" si="2"/>
        <v>#REF!</v>
      </c>
      <c r="H164" s="178" t="e">
        <f>_xlfn.XLOOKUP($B164,COA!$B:$B,COA!$C:$C,0,0,1)</f>
        <v>#REF!</v>
      </c>
      <c r="I164" s="178" t="e">
        <f>_xlfn.XLOOKUP($B164,COA!$B:$B,COA!$D:$D,0,0,1)</f>
        <v>#REF!</v>
      </c>
      <c r="J164" s="178" t="e">
        <f>_xlfn.XLOOKUP($B164,COA!$B:$B,COA!$E:$E,0,0,1)</f>
        <v>#REF!</v>
      </c>
      <c r="K164" s="80"/>
      <c r="L164" s="19"/>
      <c r="M164" s="85" t="e">
        <f>_xlfn.XLOOKUP(J164,#REF!,#REF!,0,0,1)</f>
        <v>#REF!</v>
      </c>
      <c r="N164" s="87"/>
      <c r="O164" s="87"/>
      <c r="P164" s="87"/>
      <c r="Q164" s="87"/>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row>
    <row r="165" spans="1:42" hidden="1" outlineLevel="1" x14ac:dyDescent="0.25">
      <c r="A165" s="50"/>
      <c r="B165" s="155" t="e">
        <f>COA!#REF!</f>
        <v>#REF!</v>
      </c>
      <c r="C165" s="127" t="e">
        <f>_xlfn.XLOOKUP(B165,#REF!,#REF!,0,0,1)</f>
        <v>#REF!</v>
      </c>
      <c r="D165" s="127" t="e">
        <f>SUMIF(#REF!,#REF!,#REF!)+SUMIF(#REF!,'FY Current'!B165,#REF!)</f>
        <v>#REF!</v>
      </c>
      <c r="E165" s="127" t="e">
        <f>_xlfn.XLOOKUP(B165,#REF!,#REF!,0,0,1)</f>
        <v>#REF!</v>
      </c>
      <c r="F165" s="127"/>
      <c r="G165" s="219" t="e">
        <f t="shared" si="2"/>
        <v>#REF!</v>
      </c>
      <c r="H165" s="178" t="e">
        <f>_xlfn.XLOOKUP($B165,COA!$B:$B,COA!$C:$C,0,0,1)</f>
        <v>#REF!</v>
      </c>
      <c r="I165" s="178" t="e">
        <f>_xlfn.XLOOKUP($B165,COA!$B:$B,COA!$D:$D,0,0,1)</f>
        <v>#REF!</v>
      </c>
      <c r="J165" s="178" t="e">
        <f>_xlfn.XLOOKUP($B165,COA!$B:$B,COA!$E:$E,0,0,1)</f>
        <v>#REF!</v>
      </c>
      <c r="K165" s="80"/>
      <c r="L165" s="19"/>
      <c r="M165" s="85" t="e">
        <f>_xlfn.XLOOKUP(J165,#REF!,#REF!,0,0,1)</f>
        <v>#REF!</v>
      </c>
      <c r="N165" s="87"/>
      <c r="O165" s="87"/>
      <c r="P165" s="87"/>
      <c r="Q165" s="87"/>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row>
    <row r="166" spans="1:42" hidden="1" outlineLevel="1" x14ac:dyDescent="0.25">
      <c r="A166" s="50"/>
      <c r="B166" s="155" t="e">
        <f>COA!#REF!</f>
        <v>#REF!</v>
      </c>
      <c r="C166" s="127" t="e">
        <f>_xlfn.XLOOKUP(B166,#REF!,#REF!,0,0,1)</f>
        <v>#REF!</v>
      </c>
      <c r="D166" s="127" t="e">
        <f>SUMIF(#REF!,#REF!,#REF!)+SUMIF(#REF!,'FY Current'!B166,#REF!)</f>
        <v>#REF!</v>
      </c>
      <c r="E166" s="127" t="e">
        <f>_xlfn.XLOOKUP(B166,#REF!,#REF!,0,0,1)</f>
        <v>#REF!</v>
      </c>
      <c r="F166" s="127"/>
      <c r="G166" s="219" t="e">
        <f t="shared" si="2"/>
        <v>#REF!</v>
      </c>
      <c r="H166" s="178" t="e">
        <f>_xlfn.XLOOKUP($B166,COA!$B:$B,COA!$C:$C,0,0,1)</f>
        <v>#REF!</v>
      </c>
      <c r="I166" s="178" t="e">
        <f>_xlfn.XLOOKUP($B166,COA!$B:$B,COA!$D:$D,0,0,1)</f>
        <v>#REF!</v>
      </c>
      <c r="J166" s="178" t="e">
        <f>_xlfn.XLOOKUP($B166,COA!$B:$B,COA!$E:$E,0,0,1)</f>
        <v>#REF!</v>
      </c>
      <c r="K166" s="80"/>
      <c r="L166" s="19"/>
      <c r="M166" s="85" t="e">
        <f>_xlfn.XLOOKUP(J166,#REF!,#REF!,0,0,1)</f>
        <v>#REF!</v>
      </c>
      <c r="N166" s="87"/>
      <c r="O166" s="87"/>
      <c r="P166" s="87"/>
      <c r="Q166" s="87"/>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row>
    <row r="167" spans="1:42" hidden="1" outlineLevel="1" x14ac:dyDescent="0.25">
      <c r="A167" s="50"/>
      <c r="B167" s="155" t="e">
        <f>COA!#REF!</f>
        <v>#REF!</v>
      </c>
      <c r="C167" s="127" t="e">
        <f>_xlfn.XLOOKUP(B167,#REF!,#REF!,0,0,1)</f>
        <v>#REF!</v>
      </c>
      <c r="D167" s="127" t="e">
        <f>SUMIF(#REF!,#REF!,#REF!)+SUMIF(#REF!,'FY Current'!B167,#REF!)</f>
        <v>#REF!</v>
      </c>
      <c r="E167" s="127" t="e">
        <f>_xlfn.XLOOKUP(B167,#REF!,#REF!,0,0,1)</f>
        <v>#REF!</v>
      </c>
      <c r="F167" s="127"/>
      <c r="G167" s="219" t="e">
        <f t="shared" si="2"/>
        <v>#REF!</v>
      </c>
      <c r="H167" s="178" t="e">
        <f>_xlfn.XLOOKUP($B167,COA!$B:$B,COA!$C:$C,0,0,1)</f>
        <v>#REF!</v>
      </c>
      <c r="I167" s="178" t="e">
        <f>_xlfn.XLOOKUP($B167,COA!$B:$B,COA!$D:$D,0,0,1)</f>
        <v>#REF!</v>
      </c>
      <c r="J167" s="178" t="e">
        <f>_xlfn.XLOOKUP($B167,COA!$B:$B,COA!$E:$E,0,0,1)</f>
        <v>#REF!</v>
      </c>
      <c r="K167" s="80"/>
      <c r="L167" s="19"/>
      <c r="M167" s="85" t="e">
        <f>_xlfn.XLOOKUP(J167,#REF!,#REF!,0,0,1)</f>
        <v>#REF!</v>
      </c>
      <c r="N167" s="87"/>
      <c r="O167" s="87"/>
      <c r="P167" s="87"/>
      <c r="Q167" s="87"/>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row>
    <row r="168" spans="1:42" hidden="1" outlineLevel="1" x14ac:dyDescent="0.25">
      <c r="A168" s="50"/>
      <c r="B168" s="155" t="e">
        <f>COA!#REF!</f>
        <v>#REF!</v>
      </c>
      <c r="C168" s="127" t="e">
        <f>_xlfn.XLOOKUP(B168,#REF!,#REF!,0,0,1)</f>
        <v>#REF!</v>
      </c>
      <c r="D168" s="127" t="e">
        <f>SUMIF(#REF!,#REF!,#REF!)+SUMIF(#REF!,'FY Current'!B168,#REF!)</f>
        <v>#REF!</v>
      </c>
      <c r="E168" s="127" t="e">
        <f>_xlfn.XLOOKUP(B168,#REF!,#REF!,0,0,1)</f>
        <v>#REF!</v>
      </c>
      <c r="F168" s="127"/>
      <c r="G168" s="219" t="e">
        <f t="shared" si="2"/>
        <v>#REF!</v>
      </c>
      <c r="H168" s="178" t="e">
        <f>_xlfn.XLOOKUP($B168,COA!$B:$B,COA!$C:$C,0,0,1)</f>
        <v>#REF!</v>
      </c>
      <c r="I168" s="178" t="e">
        <f>_xlfn.XLOOKUP($B168,COA!$B:$B,COA!$D:$D,0,0,1)</f>
        <v>#REF!</v>
      </c>
      <c r="J168" s="178" t="e">
        <f>_xlfn.XLOOKUP($B168,COA!$B:$B,COA!$E:$E,0,0,1)</f>
        <v>#REF!</v>
      </c>
      <c r="K168" s="80"/>
      <c r="L168" s="19"/>
      <c r="M168" s="85" t="e">
        <f>_xlfn.XLOOKUP(J168,#REF!,#REF!,0,0,1)</f>
        <v>#REF!</v>
      </c>
      <c r="N168" s="87"/>
      <c r="O168" s="87"/>
      <c r="P168" s="87"/>
      <c r="Q168" s="87"/>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row>
    <row r="169" spans="1:42" hidden="1" outlineLevel="1" x14ac:dyDescent="0.25">
      <c r="A169" s="50"/>
      <c r="B169" s="155" t="e">
        <f>COA!#REF!</f>
        <v>#REF!</v>
      </c>
      <c r="C169" s="127" t="e">
        <f>_xlfn.XLOOKUP(B169,#REF!,#REF!,0,0,1)</f>
        <v>#REF!</v>
      </c>
      <c r="D169" s="127" t="e">
        <f>SUMIF(#REF!,#REF!,#REF!)+SUMIF(#REF!,'FY Current'!B169,#REF!)</f>
        <v>#REF!</v>
      </c>
      <c r="E169" s="127" t="e">
        <f>_xlfn.XLOOKUP(B169,#REF!,#REF!,0,0,1)</f>
        <v>#REF!</v>
      </c>
      <c r="F169" s="127"/>
      <c r="G169" s="219" t="e">
        <f t="shared" si="2"/>
        <v>#REF!</v>
      </c>
      <c r="H169" s="178" t="e">
        <f>_xlfn.XLOOKUP($B169,COA!$B:$B,COA!$C:$C,0,0,1)</f>
        <v>#REF!</v>
      </c>
      <c r="I169" s="178" t="e">
        <f>_xlfn.XLOOKUP($B169,COA!$B:$B,COA!$D:$D,0,0,1)</f>
        <v>#REF!</v>
      </c>
      <c r="J169" s="178" t="e">
        <f>_xlfn.XLOOKUP($B169,COA!$B:$B,COA!$E:$E,0,0,1)</f>
        <v>#REF!</v>
      </c>
      <c r="K169" s="80"/>
      <c r="L169" s="19"/>
      <c r="M169" s="85" t="e">
        <f>_xlfn.XLOOKUP(J169,#REF!,#REF!,0,0,1)</f>
        <v>#REF!</v>
      </c>
      <c r="N169" s="87"/>
      <c r="O169" s="87"/>
      <c r="P169" s="87"/>
      <c r="Q169" s="87"/>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row>
    <row r="170" spans="1:42" hidden="1" outlineLevel="1" x14ac:dyDescent="0.25">
      <c r="A170" s="50"/>
      <c r="B170" s="155" t="e">
        <f>COA!#REF!</f>
        <v>#REF!</v>
      </c>
      <c r="C170" s="127" t="e">
        <f>_xlfn.XLOOKUP(B170,#REF!,#REF!,0,0,1)</f>
        <v>#REF!</v>
      </c>
      <c r="D170" s="127" t="e">
        <f>SUMIF(#REF!,#REF!,#REF!)+SUMIF(#REF!,'FY Current'!B170,#REF!)</f>
        <v>#REF!</v>
      </c>
      <c r="E170" s="127" t="e">
        <f>_xlfn.XLOOKUP(B170,#REF!,#REF!,0,0,1)</f>
        <v>#REF!</v>
      </c>
      <c r="F170" s="127"/>
      <c r="G170" s="219" t="e">
        <f t="shared" si="2"/>
        <v>#REF!</v>
      </c>
      <c r="H170" s="178" t="e">
        <f>_xlfn.XLOOKUP($B170,COA!$B:$B,COA!$C:$C,0,0,1)</f>
        <v>#REF!</v>
      </c>
      <c r="I170" s="178" t="e">
        <f>_xlfn.XLOOKUP($B170,COA!$B:$B,COA!$D:$D,0,0,1)</f>
        <v>#REF!</v>
      </c>
      <c r="J170" s="178" t="e">
        <f>_xlfn.XLOOKUP($B170,COA!$B:$B,COA!$E:$E,0,0,1)</f>
        <v>#REF!</v>
      </c>
      <c r="K170" s="80"/>
      <c r="L170" s="19"/>
      <c r="M170" s="85" t="e">
        <f>_xlfn.XLOOKUP(J170,#REF!,#REF!,0,0,1)</f>
        <v>#REF!</v>
      </c>
      <c r="N170" s="87"/>
      <c r="O170" s="87"/>
      <c r="P170" s="87"/>
      <c r="Q170" s="87"/>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row>
    <row r="171" spans="1:42" hidden="1" outlineLevel="1" x14ac:dyDescent="0.25">
      <c r="A171" s="50"/>
      <c r="B171" s="155" t="e">
        <f>COA!#REF!</f>
        <v>#REF!</v>
      </c>
      <c r="C171" s="127" t="e">
        <f>_xlfn.XLOOKUP(B171,#REF!,#REF!,0,0,1)</f>
        <v>#REF!</v>
      </c>
      <c r="D171" s="127" t="e">
        <f>SUMIF(#REF!,#REF!,#REF!)+SUMIF(#REF!,'FY Current'!B171,#REF!)</f>
        <v>#REF!</v>
      </c>
      <c r="E171" s="127" t="e">
        <f>_xlfn.XLOOKUP(B171,#REF!,#REF!,0,0,1)</f>
        <v>#REF!</v>
      </c>
      <c r="F171" s="127"/>
      <c r="G171" s="219" t="e">
        <f t="shared" si="2"/>
        <v>#REF!</v>
      </c>
      <c r="H171" s="178" t="e">
        <f>_xlfn.XLOOKUP($B171,COA!$B:$B,COA!$C:$C,0,0,1)</f>
        <v>#REF!</v>
      </c>
      <c r="I171" s="178" t="e">
        <f>_xlfn.XLOOKUP($B171,COA!$B:$B,COA!$D:$D,0,0,1)</f>
        <v>#REF!</v>
      </c>
      <c r="J171" s="178" t="e">
        <f>_xlfn.XLOOKUP($B171,COA!$B:$B,COA!$E:$E,0,0,1)</f>
        <v>#REF!</v>
      </c>
      <c r="K171" s="80"/>
      <c r="L171" s="19"/>
      <c r="M171" s="85" t="e">
        <f>_xlfn.XLOOKUP(J171,#REF!,#REF!,0,0,1)</f>
        <v>#REF!</v>
      </c>
      <c r="N171" s="87"/>
      <c r="O171" s="87"/>
      <c r="P171" s="87"/>
      <c r="Q171" s="87"/>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row>
    <row r="172" spans="1:42" hidden="1" outlineLevel="1" x14ac:dyDescent="0.25">
      <c r="A172" s="50"/>
      <c r="B172" s="155" t="e">
        <f>COA!#REF!</f>
        <v>#REF!</v>
      </c>
      <c r="C172" s="127" t="e">
        <f>_xlfn.XLOOKUP(B172,#REF!,#REF!,0,0,1)</f>
        <v>#REF!</v>
      </c>
      <c r="D172" s="127" t="e">
        <f>SUMIF(#REF!,#REF!,#REF!)+SUMIF(#REF!,'FY Current'!B172,#REF!)</f>
        <v>#REF!</v>
      </c>
      <c r="E172" s="127" t="e">
        <f>_xlfn.XLOOKUP(B172,#REF!,#REF!,0,0,1)</f>
        <v>#REF!</v>
      </c>
      <c r="F172" s="127"/>
      <c r="G172" s="219" t="e">
        <f t="shared" si="2"/>
        <v>#REF!</v>
      </c>
      <c r="H172" s="178" t="e">
        <f>_xlfn.XLOOKUP($B172,COA!$B:$B,COA!$C:$C,0,0,1)</f>
        <v>#REF!</v>
      </c>
      <c r="I172" s="178" t="e">
        <f>_xlfn.XLOOKUP($B172,COA!$B:$B,COA!$D:$D,0,0,1)</f>
        <v>#REF!</v>
      </c>
      <c r="J172" s="178" t="e">
        <f>_xlfn.XLOOKUP($B172,COA!$B:$B,COA!$E:$E,0,0,1)</f>
        <v>#REF!</v>
      </c>
      <c r="K172" s="80"/>
      <c r="L172" s="19"/>
      <c r="M172" s="85" t="e">
        <f>_xlfn.XLOOKUP(J172,#REF!,#REF!,0,0,1)</f>
        <v>#REF!</v>
      </c>
      <c r="N172" s="87"/>
      <c r="O172" s="87"/>
      <c r="P172" s="87"/>
      <c r="Q172" s="87"/>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row>
    <row r="173" spans="1:42" hidden="1" outlineLevel="1" x14ac:dyDescent="0.25">
      <c r="A173" s="50"/>
      <c r="B173" s="155" t="e">
        <f>COA!#REF!</f>
        <v>#REF!</v>
      </c>
      <c r="C173" s="127" t="e">
        <f>_xlfn.XLOOKUP(B173,#REF!,#REF!,0,0,1)</f>
        <v>#REF!</v>
      </c>
      <c r="D173" s="127" t="e">
        <f>SUMIF(#REF!,#REF!,#REF!)+SUMIF(#REF!,'FY Current'!B173,#REF!)</f>
        <v>#REF!</v>
      </c>
      <c r="E173" s="127" t="e">
        <f>_xlfn.XLOOKUP(B173,#REF!,#REF!,0,0,1)</f>
        <v>#REF!</v>
      </c>
      <c r="F173" s="127"/>
      <c r="G173" s="219" t="e">
        <f t="shared" si="2"/>
        <v>#REF!</v>
      </c>
      <c r="H173" s="178" t="e">
        <f>_xlfn.XLOOKUP($B173,COA!$B:$B,COA!$C:$C,0,0,1)</f>
        <v>#REF!</v>
      </c>
      <c r="I173" s="178" t="e">
        <f>_xlfn.XLOOKUP($B173,COA!$B:$B,COA!$D:$D,0,0,1)</f>
        <v>#REF!</v>
      </c>
      <c r="J173" s="178" t="e">
        <f>_xlfn.XLOOKUP($B173,COA!$B:$B,COA!$E:$E,0,0,1)</f>
        <v>#REF!</v>
      </c>
      <c r="K173" s="80"/>
      <c r="L173" s="19"/>
      <c r="M173" s="85" t="e">
        <f>_xlfn.XLOOKUP(J173,#REF!,#REF!,0,0,1)</f>
        <v>#REF!</v>
      </c>
      <c r="N173" s="87"/>
      <c r="O173" s="87"/>
      <c r="P173" s="87"/>
      <c r="Q173" s="87"/>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row>
    <row r="174" spans="1:42" hidden="1" outlineLevel="1" x14ac:dyDescent="0.25">
      <c r="A174" s="50"/>
      <c r="B174" s="155" t="e">
        <f>COA!#REF!</f>
        <v>#REF!</v>
      </c>
      <c r="C174" s="127" t="e">
        <f>_xlfn.XLOOKUP(B174,#REF!,#REF!,0,0,1)</f>
        <v>#REF!</v>
      </c>
      <c r="D174" s="127" t="e">
        <f>SUMIF(#REF!,#REF!,#REF!)+SUMIF(#REF!,'FY Current'!B174,#REF!)</f>
        <v>#REF!</v>
      </c>
      <c r="E174" s="127" t="e">
        <f>_xlfn.XLOOKUP(B174,#REF!,#REF!,0,0,1)</f>
        <v>#REF!</v>
      </c>
      <c r="F174" s="127"/>
      <c r="G174" s="219" t="e">
        <f t="shared" si="2"/>
        <v>#REF!</v>
      </c>
      <c r="H174" s="178" t="e">
        <f>_xlfn.XLOOKUP($B174,COA!$B:$B,COA!$C:$C,0,0,1)</f>
        <v>#REF!</v>
      </c>
      <c r="I174" s="178" t="e">
        <f>_xlfn.XLOOKUP($B174,COA!$B:$B,COA!$D:$D,0,0,1)</f>
        <v>#REF!</v>
      </c>
      <c r="J174" s="178" t="e">
        <f>_xlfn.XLOOKUP($B174,COA!$B:$B,COA!$E:$E,0,0,1)</f>
        <v>#REF!</v>
      </c>
      <c r="K174" s="80"/>
      <c r="L174" s="19"/>
      <c r="M174" s="85" t="e">
        <f>_xlfn.XLOOKUP(J174,#REF!,#REF!,0,0,1)</f>
        <v>#REF!</v>
      </c>
      <c r="N174" s="87"/>
      <c r="O174" s="87"/>
      <c r="P174" s="87"/>
      <c r="Q174" s="87"/>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row>
    <row r="175" spans="1:42" hidden="1" outlineLevel="1" x14ac:dyDescent="0.25">
      <c r="A175" s="50"/>
      <c r="B175" s="155" t="e">
        <f>COA!#REF!</f>
        <v>#REF!</v>
      </c>
      <c r="C175" s="127" t="e">
        <f>_xlfn.XLOOKUP(B175,#REF!,#REF!,0,0,1)</f>
        <v>#REF!</v>
      </c>
      <c r="D175" s="127" t="e">
        <f>SUMIF(#REF!,#REF!,#REF!)+SUMIF(#REF!,'FY Current'!B175,#REF!)</f>
        <v>#REF!</v>
      </c>
      <c r="E175" s="127" t="e">
        <f>_xlfn.XLOOKUP(B175,#REF!,#REF!,0,0,1)</f>
        <v>#REF!</v>
      </c>
      <c r="F175" s="127"/>
      <c r="G175" s="219" t="e">
        <f t="shared" si="2"/>
        <v>#REF!</v>
      </c>
      <c r="H175" s="178" t="e">
        <f>_xlfn.XLOOKUP($B175,COA!$B:$B,COA!$C:$C,0,0,1)</f>
        <v>#REF!</v>
      </c>
      <c r="I175" s="178" t="e">
        <f>_xlfn.XLOOKUP($B175,COA!$B:$B,COA!$D:$D,0,0,1)</f>
        <v>#REF!</v>
      </c>
      <c r="J175" s="178" t="e">
        <f>_xlfn.XLOOKUP($B175,COA!$B:$B,COA!$E:$E,0,0,1)</f>
        <v>#REF!</v>
      </c>
      <c r="K175" s="80"/>
      <c r="L175" s="19"/>
      <c r="M175" s="85" t="e">
        <f>_xlfn.XLOOKUP(J175,#REF!,#REF!,0,0,1)</f>
        <v>#REF!</v>
      </c>
      <c r="N175" s="87"/>
      <c r="O175" s="87"/>
      <c r="P175" s="87"/>
      <c r="Q175" s="87"/>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row>
    <row r="176" spans="1:42" hidden="1" outlineLevel="1" x14ac:dyDescent="0.25">
      <c r="A176" s="50"/>
      <c r="B176" s="155" t="e">
        <f>COA!#REF!</f>
        <v>#REF!</v>
      </c>
      <c r="C176" s="127" t="e">
        <f>_xlfn.XLOOKUP(B176,#REF!,#REF!,0,0,1)</f>
        <v>#REF!</v>
      </c>
      <c r="D176" s="127" t="e">
        <f>SUMIF(#REF!,#REF!,#REF!)+SUMIF(#REF!,'FY Current'!B176,#REF!)</f>
        <v>#REF!</v>
      </c>
      <c r="E176" s="127" t="e">
        <f>_xlfn.XLOOKUP(B176,#REF!,#REF!,0,0,1)</f>
        <v>#REF!</v>
      </c>
      <c r="F176" s="127"/>
      <c r="G176" s="219" t="e">
        <f t="shared" si="2"/>
        <v>#REF!</v>
      </c>
      <c r="H176" s="178" t="e">
        <f>_xlfn.XLOOKUP($B176,COA!$B:$B,COA!$C:$C,0,0,1)</f>
        <v>#REF!</v>
      </c>
      <c r="I176" s="178" t="e">
        <f>_xlfn.XLOOKUP($B176,COA!$B:$B,COA!$D:$D,0,0,1)</f>
        <v>#REF!</v>
      </c>
      <c r="J176" s="178" t="e">
        <f>_xlfn.XLOOKUP($B176,COA!$B:$B,COA!$E:$E,0,0,1)</f>
        <v>#REF!</v>
      </c>
      <c r="K176" s="80"/>
      <c r="L176" s="19"/>
      <c r="M176" s="85" t="e">
        <f>_xlfn.XLOOKUP(J176,#REF!,#REF!,0,0,1)</f>
        <v>#REF!</v>
      </c>
      <c r="N176" s="87"/>
      <c r="O176" s="87"/>
      <c r="P176" s="87"/>
      <c r="Q176" s="87"/>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row>
    <row r="177" spans="1:42" hidden="1" outlineLevel="1" x14ac:dyDescent="0.25">
      <c r="A177" s="50"/>
      <c r="B177" s="155" t="e">
        <f>COA!#REF!</f>
        <v>#REF!</v>
      </c>
      <c r="C177" s="127" t="e">
        <f>_xlfn.XLOOKUP(B177,#REF!,#REF!,0,0,1)</f>
        <v>#REF!</v>
      </c>
      <c r="D177" s="127" t="e">
        <f>SUMIF(#REF!,#REF!,#REF!)+SUMIF(#REF!,'FY Current'!B177,#REF!)</f>
        <v>#REF!</v>
      </c>
      <c r="E177" s="127" t="e">
        <f>_xlfn.XLOOKUP(B177,#REF!,#REF!,0,0,1)</f>
        <v>#REF!</v>
      </c>
      <c r="F177" s="127"/>
      <c r="G177" s="219" t="e">
        <f t="shared" si="2"/>
        <v>#REF!</v>
      </c>
      <c r="H177" s="178" t="e">
        <f>_xlfn.XLOOKUP($B177,COA!$B:$B,COA!$C:$C,0,0,1)</f>
        <v>#REF!</v>
      </c>
      <c r="I177" s="178" t="e">
        <f>_xlfn.XLOOKUP($B177,COA!$B:$B,COA!$D:$D,0,0,1)</f>
        <v>#REF!</v>
      </c>
      <c r="J177" s="178" t="e">
        <f>_xlfn.XLOOKUP($B177,COA!$B:$B,COA!$E:$E,0,0,1)</f>
        <v>#REF!</v>
      </c>
      <c r="K177" s="80"/>
      <c r="L177" s="19"/>
      <c r="M177" s="85" t="e">
        <f>_xlfn.XLOOKUP(J177,#REF!,#REF!,0,0,1)</f>
        <v>#REF!</v>
      </c>
      <c r="N177" s="87"/>
      <c r="O177" s="87"/>
      <c r="P177" s="87"/>
      <c r="Q177" s="87"/>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row>
    <row r="178" spans="1:42" hidden="1" outlineLevel="1" x14ac:dyDescent="0.25">
      <c r="A178" s="50"/>
      <c r="B178" s="155" t="e">
        <f>COA!#REF!</f>
        <v>#REF!</v>
      </c>
      <c r="C178" s="127" t="e">
        <f>_xlfn.XLOOKUP(B178,#REF!,#REF!,0,0,1)</f>
        <v>#REF!</v>
      </c>
      <c r="D178" s="127" t="e">
        <f>SUMIF(#REF!,#REF!,#REF!)+SUMIF(#REF!,'FY Current'!B178,#REF!)</f>
        <v>#REF!</v>
      </c>
      <c r="E178" s="127" t="e">
        <f>_xlfn.XLOOKUP(B178,#REF!,#REF!,0,0,1)</f>
        <v>#REF!</v>
      </c>
      <c r="F178" s="127"/>
      <c r="G178" s="219" t="e">
        <f t="shared" si="2"/>
        <v>#REF!</v>
      </c>
      <c r="H178" s="178" t="e">
        <f>_xlfn.XLOOKUP($B178,COA!$B:$B,COA!$C:$C,0,0,1)</f>
        <v>#REF!</v>
      </c>
      <c r="I178" s="178" t="e">
        <f>_xlfn.XLOOKUP($B178,COA!$B:$B,COA!$D:$D,0,0,1)</f>
        <v>#REF!</v>
      </c>
      <c r="J178" s="178" t="e">
        <f>_xlfn.XLOOKUP($B178,COA!$B:$B,COA!$E:$E,0,0,1)</f>
        <v>#REF!</v>
      </c>
      <c r="K178" s="80"/>
      <c r="L178" s="19"/>
      <c r="M178" s="85" t="e">
        <f>_xlfn.XLOOKUP(J178,#REF!,#REF!,0,0,1)</f>
        <v>#REF!</v>
      </c>
      <c r="N178" s="87"/>
      <c r="O178" s="87"/>
      <c r="P178" s="87"/>
      <c r="Q178" s="87"/>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row>
    <row r="179" spans="1:42" hidden="1" outlineLevel="1" x14ac:dyDescent="0.25">
      <c r="A179" s="50"/>
      <c r="B179" s="155" t="e">
        <f>COA!#REF!</f>
        <v>#REF!</v>
      </c>
      <c r="C179" s="127" t="e">
        <f>_xlfn.XLOOKUP(B179,#REF!,#REF!,0,0,1)</f>
        <v>#REF!</v>
      </c>
      <c r="D179" s="127" t="e">
        <f>SUMIF(#REF!,#REF!,#REF!)+SUMIF(#REF!,'FY Current'!B179,#REF!)</f>
        <v>#REF!</v>
      </c>
      <c r="E179" s="127" t="e">
        <f>_xlfn.XLOOKUP(B179,#REF!,#REF!,0,0,1)</f>
        <v>#REF!</v>
      </c>
      <c r="F179" s="127"/>
      <c r="G179" s="219" t="e">
        <f t="shared" si="2"/>
        <v>#REF!</v>
      </c>
      <c r="H179" s="178" t="e">
        <f>_xlfn.XLOOKUP($B179,COA!$B:$B,COA!$C:$C,0,0,1)</f>
        <v>#REF!</v>
      </c>
      <c r="I179" s="178" t="e">
        <f>_xlfn.XLOOKUP($B179,COA!$B:$B,COA!$D:$D,0,0,1)</f>
        <v>#REF!</v>
      </c>
      <c r="J179" s="178" t="e">
        <f>_xlfn.XLOOKUP($B179,COA!$B:$B,COA!$E:$E,0,0,1)</f>
        <v>#REF!</v>
      </c>
      <c r="K179" s="80"/>
      <c r="L179" s="19"/>
      <c r="M179" s="85" t="e">
        <f>_xlfn.XLOOKUP(J179,#REF!,#REF!,0,0,1)</f>
        <v>#REF!</v>
      </c>
      <c r="N179" s="87"/>
      <c r="O179" s="87"/>
      <c r="P179" s="87"/>
      <c r="Q179" s="87"/>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row>
    <row r="180" spans="1:42" hidden="1" outlineLevel="1" x14ac:dyDescent="0.25">
      <c r="A180" s="50"/>
      <c r="B180" s="155" t="e">
        <f>COA!#REF!</f>
        <v>#REF!</v>
      </c>
      <c r="C180" s="127" t="e">
        <f>_xlfn.XLOOKUP(B180,#REF!,#REF!,0,0,1)</f>
        <v>#REF!</v>
      </c>
      <c r="D180" s="127" t="e">
        <f>SUMIF(#REF!,#REF!,#REF!)+SUMIF(#REF!,'FY Current'!B180,#REF!)</f>
        <v>#REF!</v>
      </c>
      <c r="E180" s="127" t="e">
        <f>_xlfn.XLOOKUP(B180,#REF!,#REF!,0,0,1)</f>
        <v>#REF!</v>
      </c>
      <c r="F180" s="127"/>
      <c r="G180" s="219" t="e">
        <f t="shared" si="2"/>
        <v>#REF!</v>
      </c>
      <c r="H180" s="178" t="e">
        <f>_xlfn.XLOOKUP($B180,COA!$B:$B,COA!$C:$C,0,0,1)</f>
        <v>#REF!</v>
      </c>
      <c r="I180" s="178" t="e">
        <f>_xlfn.XLOOKUP($B180,COA!$B:$B,COA!$D:$D,0,0,1)</f>
        <v>#REF!</v>
      </c>
      <c r="J180" s="178" t="e">
        <f>_xlfn.XLOOKUP($B180,COA!$B:$B,COA!$E:$E,0,0,1)</f>
        <v>#REF!</v>
      </c>
      <c r="K180" s="80"/>
      <c r="L180" s="19"/>
      <c r="M180" s="85" t="e">
        <f>_xlfn.XLOOKUP(J180,#REF!,#REF!,0,0,1)</f>
        <v>#REF!</v>
      </c>
      <c r="N180" s="87"/>
      <c r="O180" s="87"/>
      <c r="P180" s="87"/>
      <c r="Q180" s="87"/>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row>
    <row r="181" spans="1:42" hidden="1" outlineLevel="1" x14ac:dyDescent="0.25">
      <c r="A181" s="50"/>
      <c r="B181" s="155" t="e">
        <f>COA!#REF!</f>
        <v>#REF!</v>
      </c>
      <c r="C181" s="127" t="e">
        <f>_xlfn.XLOOKUP(B181,#REF!,#REF!,0,0,1)</f>
        <v>#REF!</v>
      </c>
      <c r="D181" s="127" t="e">
        <f>SUMIF(#REF!,#REF!,#REF!)+SUMIF(#REF!,'FY Current'!B181,#REF!)</f>
        <v>#REF!</v>
      </c>
      <c r="E181" s="127" t="e">
        <f>_xlfn.XLOOKUP(B181,#REF!,#REF!,0,0,1)</f>
        <v>#REF!</v>
      </c>
      <c r="F181" s="127"/>
      <c r="G181" s="219" t="e">
        <f t="shared" si="2"/>
        <v>#REF!</v>
      </c>
      <c r="H181" s="178" t="e">
        <f>_xlfn.XLOOKUP($B181,COA!$B:$B,COA!$C:$C,0,0,1)</f>
        <v>#REF!</v>
      </c>
      <c r="I181" s="178" t="e">
        <f>_xlfn.XLOOKUP($B181,COA!$B:$B,COA!$D:$D,0,0,1)</f>
        <v>#REF!</v>
      </c>
      <c r="J181" s="178" t="e">
        <f>_xlfn.XLOOKUP($B181,COA!$B:$B,COA!$E:$E,0,0,1)</f>
        <v>#REF!</v>
      </c>
      <c r="K181" s="80"/>
      <c r="L181" s="19"/>
      <c r="M181" s="85" t="e">
        <f>_xlfn.XLOOKUP(J181,#REF!,#REF!,0,0,1)</f>
        <v>#REF!</v>
      </c>
      <c r="N181" s="87"/>
      <c r="O181" s="87"/>
      <c r="P181" s="87"/>
      <c r="Q181" s="87"/>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row>
    <row r="182" spans="1:42" hidden="1" outlineLevel="1" x14ac:dyDescent="0.25">
      <c r="A182" s="50"/>
      <c r="B182" s="155" t="e">
        <f>COA!#REF!</f>
        <v>#REF!</v>
      </c>
      <c r="C182" s="127" t="e">
        <f>_xlfn.XLOOKUP(B182,#REF!,#REF!,0,0,1)</f>
        <v>#REF!</v>
      </c>
      <c r="D182" s="127" t="e">
        <f>SUMIF(#REF!,#REF!,#REF!)+SUMIF(#REF!,'FY Current'!B182,#REF!)</f>
        <v>#REF!</v>
      </c>
      <c r="E182" s="127" t="e">
        <f>_xlfn.XLOOKUP(B182,#REF!,#REF!,0,0,1)</f>
        <v>#REF!</v>
      </c>
      <c r="F182" s="127"/>
      <c r="G182" s="219" t="e">
        <f t="shared" si="2"/>
        <v>#REF!</v>
      </c>
      <c r="H182" s="178" t="e">
        <f>_xlfn.XLOOKUP($B182,COA!$B:$B,COA!$C:$C,0,0,1)</f>
        <v>#REF!</v>
      </c>
      <c r="I182" s="178" t="e">
        <f>_xlfn.XLOOKUP($B182,COA!$B:$B,COA!$D:$D,0,0,1)</f>
        <v>#REF!</v>
      </c>
      <c r="J182" s="178" t="e">
        <f>_xlfn.XLOOKUP($B182,COA!$B:$B,COA!$E:$E,0,0,1)</f>
        <v>#REF!</v>
      </c>
      <c r="K182" s="80"/>
      <c r="L182" s="19"/>
      <c r="M182" s="85" t="e">
        <f>_xlfn.XLOOKUP(J182,#REF!,#REF!,0,0,1)</f>
        <v>#REF!</v>
      </c>
      <c r="N182" s="87"/>
      <c r="O182" s="87"/>
      <c r="P182" s="87"/>
      <c r="Q182" s="87"/>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row>
    <row r="183" spans="1:42" hidden="1" outlineLevel="1" x14ac:dyDescent="0.25">
      <c r="A183" s="50"/>
      <c r="B183" s="155" t="e">
        <f>COA!#REF!</f>
        <v>#REF!</v>
      </c>
      <c r="C183" s="127" t="e">
        <f>_xlfn.XLOOKUP(B183,#REF!,#REF!,0,0,1)</f>
        <v>#REF!</v>
      </c>
      <c r="D183" s="127" t="e">
        <f>SUMIF(#REF!,#REF!,#REF!)+SUMIF(#REF!,'FY Current'!B183,#REF!)</f>
        <v>#REF!</v>
      </c>
      <c r="E183" s="127" t="e">
        <f>_xlfn.XLOOKUP(B183,#REF!,#REF!,0,0,1)</f>
        <v>#REF!</v>
      </c>
      <c r="F183" s="127"/>
      <c r="G183" s="219" t="e">
        <f t="shared" si="2"/>
        <v>#REF!</v>
      </c>
      <c r="H183" s="178" t="e">
        <f>_xlfn.XLOOKUP($B183,COA!$B:$B,COA!$C:$C,0,0,1)</f>
        <v>#REF!</v>
      </c>
      <c r="I183" s="178" t="e">
        <f>_xlfn.XLOOKUP($B183,COA!$B:$B,COA!$D:$D,0,0,1)</f>
        <v>#REF!</v>
      </c>
      <c r="J183" s="178" t="e">
        <f>_xlfn.XLOOKUP($B183,COA!$B:$B,COA!$E:$E,0,0,1)</f>
        <v>#REF!</v>
      </c>
      <c r="K183" s="80"/>
      <c r="L183" s="19"/>
      <c r="M183" s="85" t="e">
        <f>_xlfn.XLOOKUP(J183,#REF!,#REF!,0,0,1)</f>
        <v>#REF!</v>
      </c>
      <c r="N183" s="87"/>
      <c r="O183" s="87"/>
      <c r="P183" s="87"/>
      <c r="Q183" s="87"/>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row>
    <row r="184" spans="1:42" hidden="1" outlineLevel="1" x14ac:dyDescent="0.25">
      <c r="A184" s="50"/>
      <c r="B184" s="155" t="e">
        <f>COA!#REF!</f>
        <v>#REF!</v>
      </c>
      <c r="C184" s="127" t="e">
        <f>_xlfn.XLOOKUP(B184,#REF!,#REF!,0,0,1)</f>
        <v>#REF!</v>
      </c>
      <c r="D184" s="127" t="e">
        <f>SUMIF(#REF!,#REF!,#REF!)+SUMIF(#REF!,'FY Current'!B184,#REF!)</f>
        <v>#REF!</v>
      </c>
      <c r="E184" s="127" t="e">
        <f>_xlfn.XLOOKUP(B184,#REF!,#REF!,0,0,1)</f>
        <v>#REF!</v>
      </c>
      <c r="F184" s="127"/>
      <c r="G184" s="219" t="e">
        <f t="shared" si="2"/>
        <v>#REF!</v>
      </c>
      <c r="H184" s="178" t="e">
        <f>_xlfn.XLOOKUP($B184,COA!$B:$B,COA!$C:$C,0,0,1)</f>
        <v>#REF!</v>
      </c>
      <c r="I184" s="178" t="e">
        <f>_xlfn.XLOOKUP($B184,COA!$B:$B,COA!$D:$D,0,0,1)</f>
        <v>#REF!</v>
      </c>
      <c r="J184" s="178" t="e">
        <f>_xlfn.XLOOKUP($B184,COA!$B:$B,COA!$E:$E,0,0,1)</f>
        <v>#REF!</v>
      </c>
      <c r="K184" s="80"/>
      <c r="L184" s="19"/>
      <c r="M184" s="85" t="e">
        <f>_xlfn.XLOOKUP(J184,#REF!,#REF!,0,0,1)</f>
        <v>#REF!</v>
      </c>
      <c r="N184" s="87"/>
      <c r="O184" s="87"/>
      <c r="P184" s="87"/>
      <c r="Q184" s="87"/>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row>
    <row r="185" spans="1:42" hidden="1" outlineLevel="1" x14ac:dyDescent="0.25">
      <c r="A185" s="50"/>
      <c r="B185" s="155" t="e">
        <f>COA!#REF!</f>
        <v>#REF!</v>
      </c>
      <c r="C185" s="127" t="e">
        <f>_xlfn.XLOOKUP(B185,#REF!,#REF!,0,0,1)</f>
        <v>#REF!</v>
      </c>
      <c r="D185" s="127" t="e">
        <f>SUMIF(#REF!,#REF!,#REF!)+SUMIF(#REF!,'FY Current'!B185,#REF!)</f>
        <v>#REF!</v>
      </c>
      <c r="E185" s="127" t="e">
        <f>_xlfn.XLOOKUP(B185,#REF!,#REF!,0,0,1)</f>
        <v>#REF!</v>
      </c>
      <c r="F185" s="127"/>
      <c r="G185" s="219" t="e">
        <f t="shared" si="2"/>
        <v>#REF!</v>
      </c>
      <c r="H185" s="178" t="e">
        <f>_xlfn.XLOOKUP($B185,COA!$B:$B,COA!$C:$C,0,0,1)</f>
        <v>#REF!</v>
      </c>
      <c r="I185" s="178" t="e">
        <f>_xlfn.XLOOKUP($B185,COA!$B:$B,COA!$D:$D,0,0,1)</f>
        <v>#REF!</v>
      </c>
      <c r="J185" s="178" t="e">
        <f>_xlfn.XLOOKUP($B185,COA!$B:$B,COA!$E:$E,0,0,1)</f>
        <v>#REF!</v>
      </c>
      <c r="K185" s="80"/>
      <c r="L185" s="19"/>
      <c r="M185" s="85" t="e">
        <f>_xlfn.XLOOKUP(J185,#REF!,#REF!,0,0,1)</f>
        <v>#REF!</v>
      </c>
      <c r="N185" s="87"/>
      <c r="O185" s="87"/>
      <c r="P185" s="87"/>
      <c r="Q185" s="87"/>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row>
    <row r="186" spans="1:42" hidden="1" outlineLevel="1" x14ac:dyDescent="0.25">
      <c r="A186" s="50"/>
      <c r="B186" s="155" t="e">
        <f>COA!#REF!</f>
        <v>#REF!</v>
      </c>
      <c r="C186" s="127" t="e">
        <f>_xlfn.XLOOKUP(B186,#REF!,#REF!,0,0,1)</f>
        <v>#REF!</v>
      </c>
      <c r="D186" s="127" t="e">
        <f>SUMIF(#REF!,#REF!,#REF!)+SUMIF(#REF!,'FY Current'!B186,#REF!)</f>
        <v>#REF!</v>
      </c>
      <c r="E186" s="127" t="e">
        <f>_xlfn.XLOOKUP(B186,#REF!,#REF!,0,0,1)</f>
        <v>#REF!</v>
      </c>
      <c r="F186" s="127"/>
      <c r="G186" s="219" t="e">
        <f t="shared" si="2"/>
        <v>#REF!</v>
      </c>
      <c r="H186" s="178" t="e">
        <f>_xlfn.XLOOKUP($B186,COA!$B:$B,COA!$C:$C,0,0,1)</f>
        <v>#REF!</v>
      </c>
      <c r="I186" s="178" t="e">
        <f>_xlfn.XLOOKUP($B186,COA!$B:$B,COA!$D:$D,0,0,1)</f>
        <v>#REF!</v>
      </c>
      <c r="J186" s="178" t="e">
        <f>_xlfn.XLOOKUP($B186,COA!$B:$B,COA!$E:$E,0,0,1)</f>
        <v>#REF!</v>
      </c>
      <c r="K186" s="80"/>
      <c r="L186" s="19"/>
      <c r="M186" s="85" t="e">
        <f>_xlfn.XLOOKUP(J186,#REF!,#REF!,0,0,1)</f>
        <v>#REF!</v>
      </c>
      <c r="N186" s="87"/>
      <c r="O186" s="87"/>
      <c r="P186" s="87"/>
      <c r="Q186" s="87"/>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row>
    <row r="187" spans="1:42" hidden="1" outlineLevel="1" x14ac:dyDescent="0.25">
      <c r="A187" s="50"/>
      <c r="B187" s="155" t="e">
        <f>COA!#REF!</f>
        <v>#REF!</v>
      </c>
      <c r="C187" s="127" t="e">
        <f>_xlfn.XLOOKUP(B187,#REF!,#REF!,0,0,1)</f>
        <v>#REF!</v>
      </c>
      <c r="D187" s="127" t="e">
        <f>SUMIF(#REF!,#REF!,#REF!)+SUMIF(#REF!,'FY Current'!B187,#REF!)</f>
        <v>#REF!</v>
      </c>
      <c r="E187" s="127" t="e">
        <f>_xlfn.XLOOKUP(B187,#REF!,#REF!,0,0,1)</f>
        <v>#REF!</v>
      </c>
      <c r="F187" s="127"/>
      <c r="G187" s="219" t="e">
        <f t="shared" si="2"/>
        <v>#REF!</v>
      </c>
      <c r="H187" s="178" t="e">
        <f>_xlfn.XLOOKUP($B187,COA!$B:$B,COA!$C:$C,0,0,1)</f>
        <v>#REF!</v>
      </c>
      <c r="I187" s="178" t="e">
        <f>_xlfn.XLOOKUP($B187,COA!$B:$B,COA!$D:$D,0,0,1)</f>
        <v>#REF!</v>
      </c>
      <c r="J187" s="178" t="e">
        <f>_xlfn.XLOOKUP($B187,COA!$B:$B,COA!$E:$E,0,0,1)</f>
        <v>#REF!</v>
      </c>
      <c r="K187" s="80"/>
      <c r="L187" s="19"/>
      <c r="M187" s="85" t="e">
        <f>_xlfn.XLOOKUP(J187,#REF!,#REF!,0,0,1)</f>
        <v>#REF!</v>
      </c>
      <c r="N187" s="87"/>
      <c r="O187" s="87"/>
      <c r="P187" s="87"/>
      <c r="Q187" s="87"/>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row>
    <row r="188" spans="1:42" hidden="1" outlineLevel="1" x14ac:dyDescent="0.25">
      <c r="A188" s="50"/>
      <c r="B188" s="155" t="e">
        <f>COA!#REF!</f>
        <v>#REF!</v>
      </c>
      <c r="C188" s="127" t="e">
        <f>_xlfn.XLOOKUP(B188,#REF!,#REF!,0,0,1)</f>
        <v>#REF!</v>
      </c>
      <c r="D188" s="127" t="e">
        <f>SUMIF(#REF!,#REF!,#REF!)+SUMIF(#REF!,'FY Current'!B188,#REF!)</f>
        <v>#REF!</v>
      </c>
      <c r="E188" s="127" t="e">
        <f>_xlfn.XLOOKUP(B188,#REF!,#REF!,0,0,1)</f>
        <v>#REF!</v>
      </c>
      <c r="F188" s="127"/>
      <c r="G188" s="219" t="e">
        <f t="shared" si="2"/>
        <v>#REF!</v>
      </c>
      <c r="H188" s="178" t="e">
        <f>_xlfn.XLOOKUP($B188,COA!$B:$B,COA!$C:$C,0,0,1)</f>
        <v>#REF!</v>
      </c>
      <c r="I188" s="178" t="e">
        <f>_xlfn.XLOOKUP($B188,COA!$B:$B,COA!$D:$D,0,0,1)</f>
        <v>#REF!</v>
      </c>
      <c r="J188" s="178" t="e">
        <f>_xlfn.XLOOKUP($B188,COA!$B:$B,COA!$E:$E,0,0,1)</f>
        <v>#REF!</v>
      </c>
      <c r="K188" s="80"/>
      <c r="L188" s="19"/>
      <c r="M188" s="85" t="e">
        <f>_xlfn.XLOOKUP(J188,#REF!,#REF!,0,0,1)</f>
        <v>#REF!</v>
      </c>
      <c r="N188" s="87"/>
      <c r="O188" s="87"/>
      <c r="P188" s="87"/>
      <c r="Q188" s="87"/>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row>
    <row r="189" spans="1:42" hidden="1" outlineLevel="1" x14ac:dyDescent="0.25">
      <c r="A189" s="50"/>
      <c r="B189" s="155" t="e">
        <f>COA!#REF!</f>
        <v>#REF!</v>
      </c>
      <c r="C189" s="127" t="e">
        <f>_xlfn.XLOOKUP(B189,#REF!,#REF!,0,0,1)</f>
        <v>#REF!</v>
      </c>
      <c r="D189" s="127" t="e">
        <f>SUMIF(#REF!,#REF!,#REF!)+SUMIF(#REF!,'FY Current'!B189,#REF!)</f>
        <v>#REF!</v>
      </c>
      <c r="E189" s="127" t="e">
        <f>_xlfn.XLOOKUP(B189,#REF!,#REF!,0,0,1)</f>
        <v>#REF!</v>
      </c>
      <c r="F189" s="127"/>
      <c r="G189" s="219" t="e">
        <f t="shared" si="2"/>
        <v>#REF!</v>
      </c>
      <c r="H189" s="178" t="e">
        <f>_xlfn.XLOOKUP($B189,COA!$B:$B,COA!$C:$C,0,0,1)</f>
        <v>#REF!</v>
      </c>
      <c r="I189" s="178" t="e">
        <f>_xlfn.XLOOKUP($B189,COA!$B:$B,COA!$D:$D,0,0,1)</f>
        <v>#REF!</v>
      </c>
      <c r="J189" s="178" t="e">
        <f>_xlfn.XLOOKUP($B189,COA!$B:$B,COA!$E:$E,0,0,1)</f>
        <v>#REF!</v>
      </c>
      <c r="K189" s="80"/>
      <c r="L189" s="19"/>
      <c r="M189" s="85" t="e">
        <f>_xlfn.XLOOKUP(J189,#REF!,#REF!,0,0,1)</f>
        <v>#REF!</v>
      </c>
      <c r="N189" s="87"/>
      <c r="O189" s="87"/>
      <c r="P189" s="87"/>
      <c r="Q189" s="87"/>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row>
    <row r="190" spans="1:42" hidden="1" outlineLevel="1" x14ac:dyDescent="0.25">
      <c r="A190" s="50"/>
      <c r="B190" s="155" t="e">
        <f>COA!#REF!</f>
        <v>#REF!</v>
      </c>
      <c r="C190" s="127" t="e">
        <f>_xlfn.XLOOKUP(B190,#REF!,#REF!,0,0,1)</f>
        <v>#REF!</v>
      </c>
      <c r="D190" s="127" t="e">
        <f>SUMIF(#REF!,#REF!,#REF!)+SUMIF(#REF!,'FY Current'!B190,#REF!)</f>
        <v>#REF!</v>
      </c>
      <c r="E190" s="127" t="e">
        <f>_xlfn.XLOOKUP(B190,#REF!,#REF!,0,0,1)</f>
        <v>#REF!</v>
      </c>
      <c r="F190" s="127"/>
      <c r="G190" s="219" t="e">
        <f t="shared" si="2"/>
        <v>#REF!</v>
      </c>
      <c r="H190" s="178" t="e">
        <f>_xlfn.XLOOKUP($B190,COA!$B:$B,COA!$C:$C,0,0,1)</f>
        <v>#REF!</v>
      </c>
      <c r="I190" s="178" t="e">
        <f>_xlfn.XLOOKUP($B190,COA!$B:$B,COA!$D:$D,0,0,1)</f>
        <v>#REF!</v>
      </c>
      <c r="J190" s="178" t="e">
        <f>_xlfn.XLOOKUP($B190,COA!$B:$B,COA!$E:$E,0,0,1)</f>
        <v>#REF!</v>
      </c>
      <c r="K190" s="80"/>
      <c r="L190" s="19"/>
      <c r="M190" s="85" t="e">
        <f>_xlfn.XLOOKUP(J190,#REF!,#REF!,0,0,1)</f>
        <v>#REF!</v>
      </c>
      <c r="N190" s="87"/>
      <c r="O190" s="87"/>
      <c r="P190" s="87"/>
      <c r="Q190" s="87"/>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row>
    <row r="191" spans="1:42" hidden="1" outlineLevel="1" x14ac:dyDescent="0.25">
      <c r="A191" s="50"/>
      <c r="B191" s="155" t="e">
        <f>COA!#REF!</f>
        <v>#REF!</v>
      </c>
      <c r="C191" s="127" t="e">
        <f>_xlfn.XLOOKUP(B191,#REF!,#REF!,0,0,1)</f>
        <v>#REF!</v>
      </c>
      <c r="D191" s="127" t="e">
        <f>SUMIF(#REF!,#REF!,#REF!)+SUMIF(#REF!,'FY Current'!B191,#REF!)</f>
        <v>#REF!</v>
      </c>
      <c r="E191" s="127" t="e">
        <f>_xlfn.XLOOKUP(B191,#REF!,#REF!,0,0,1)</f>
        <v>#REF!</v>
      </c>
      <c r="F191" s="127"/>
      <c r="G191" s="219" t="e">
        <f t="shared" si="2"/>
        <v>#REF!</v>
      </c>
      <c r="H191" s="178" t="e">
        <f>_xlfn.XLOOKUP($B191,COA!$B:$B,COA!$C:$C,0,0,1)</f>
        <v>#REF!</v>
      </c>
      <c r="I191" s="178" t="e">
        <f>_xlfn.XLOOKUP($B191,COA!$B:$B,COA!$D:$D,0,0,1)</f>
        <v>#REF!</v>
      </c>
      <c r="J191" s="178" t="e">
        <f>_xlfn.XLOOKUP($B191,COA!$B:$B,COA!$E:$E,0,0,1)</f>
        <v>#REF!</v>
      </c>
      <c r="K191" s="80"/>
      <c r="L191" s="19"/>
      <c r="M191" s="85" t="e">
        <f>_xlfn.XLOOKUP(J191,#REF!,#REF!,0,0,1)</f>
        <v>#REF!</v>
      </c>
      <c r="N191" s="87"/>
      <c r="O191" s="87"/>
      <c r="P191" s="87"/>
      <c r="Q191" s="87"/>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row>
    <row r="192" spans="1:42" hidden="1" outlineLevel="1" x14ac:dyDescent="0.25">
      <c r="A192" s="50"/>
      <c r="B192" s="155" t="e">
        <f>COA!#REF!</f>
        <v>#REF!</v>
      </c>
      <c r="C192" s="127" t="e">
        <f>_xlfn.XLOOKUP(B192,#REF!,#REF!,0,0,1)</f>
        <v>#REF!</v>
      </c>
      <c r="D192" s="127" t="e">
        <f>SUMIF(#REF!,#REF!,#REF!)+SUMIF(#REF!,'FY Current'!B192,#REF!)</f>
        <v>#REF!</v>
      </c>
      <c r="E192" s="127" t="e">
        <f>_xlfn.XLOOKUP(B192,#REF!,#REF!,0,0,1)</f>
        <v>#REF!</v>
      </c>
      <c r="F192" s="127"/>
      <c r="G192" s="219" t="e">
        <f t="shared" si="2"/>
        <v>#REF!</v>
      </c>
      <c r="H192" s="178" t="e">
        <f>_xlfn.XLOOKUP($B192,COA!$B:$B,COA!$C:$C,0,0,1)</f>
        <v>#REF!</v>
      </c>
      <c r="I192" s="178" t="e">
        <f>_xlfn.XLOOKUP($B192,COA!$B:$B,COA!$D:$D,0,0,1)</f>
        <v>#REF!</v>
      </c>
      <c r="J192" s="178" t="e">
        <f>_xlfn.XLOOKUP($B192,COA!$B:$B,COA!$E:$E,0,0,1)</f>
        <v>#REF!</v>
      </c>
      <c r="K192" s="80"/>
      <c r="L192" s="19"/>
      <c r="M192" s="85" t="e">
        <f>_xlfn.XLOOKUP(J192,#REF!,#REF!,0,0,1)</f>
        <v>#REF!</v>
      </c>
      <c r="N192" s="87"/>
      <c r="O192" s="87"/>
      <c r="P192" s="87"/>
      <c r="Q192" s="87"/>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row>
    <row r="193" spans="1:42" hidden="1" outlineLevel="1" x14ac:dyDescent="0.25">
      <c r="A193" s="50"/>
      <c r="B193" s="155" t="e">
        <f>COA!#REF!</f>
        <v>#REF!</v>
      </c>
      <c r="C193" s="127" t="e">
        <f>_xlfn.XLOOKUP(B193,#REF!,#REF!,0,0,1)</f>
        <v>#REF!</v>
      </c>
      <c r="D193" s="127" t="e">
        <f>SUMIF(#REF!,#REF!,#REF!)+SUMIF(#REF!,'FY Current'!B193,#REF!)</f>
        <v>#REF!</v>
      </c>
      <c r="E193" s="127" t="e">
        <f>_xlfn.XLOOKUP(B193,#REF!,#REF!,0,0,1)</f>
        <v>#REF!</v>
      </c>
      <c r="F193" s="127"/>
      <c r="G193" s="219" t="e">
        <f t="shared" si="2"/>
        <v>#REF!</v>
      </c>
      <c r="H193" s="178" t="e">
        <f>_xlfn.XLOOKUP($B193,COA!$B:$B,COA!$C:$C,0,0,1)</f>
        <v>#REF!</v>
      </c>
      <c r="I193" s="178" t="e">
        <f>_xlfn.XLOOKUP($B193,COA!$B:$B,COA!$D:$D,0,0,1)</f>
        <v>#REF!</v>
      </c>
      <c r="J193" s="178" t="e">
        <f>_xlfn.XLOOKUP($B193,COA!$B:$B,COA!$E:$E,0,0,1)</f>
        <v>#REF!</v>
      </c>
      <c r="K193" s="80"/>
      <c r="L193" s="19"/>
      <c r="M193" s="85" t="e">
        <f>_xlfn.XLOOKUP(J193,#REF!,#REF!,0,0,1)</f>
        <v>#REF!</v>
      </c>
      <c r="N193" s="87"/>
      <c r="O193" s="87"/>
      <c r="P193" s="87"/>
      <c r="Q193" s="87"/>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row>
    <row r="194" spans="1:42" hidden="1" outlineLevel="1" x14ac:dyDescent="0.25">
      <c r="A194" s="50"/>
      <c r="B194" s="155" t="e">
        <f>COA!#REF!</f>
        <v>#REF!</v>
      </c>
      <c r="C194" s="127" t="e">
        <f>_xlfn.XLOOKUP(B194,#REF!,#REF!,0,0,1)</f>
        <v>#REF!</v>
      </c>
      <c r="D194" s="127" t="e">
        <f>SUMIF(#REF!,#REF!,#REF!)+SUMIF(#REF!,'FY Current'!B194,#REF!)</f>
        <v>#REF!</v>
      </c>
      <c r="E194" s="127" t="e">
        <f>_xlfn.XLOOKUP(B194,#REF!,#REF!,0,0,1)</f>
        <v>#REF!</v>
      </c>
      <c r="F194" s="127"/>
      <c r="G194" s="219" t="e">
        <f t="shared" si="2"/>
        <v>#REF!</v>
      </c>
      <c r="H194" s="178" t="e">
        <f>_xlfn.XLOOKUP($B194,COA!$B:$B,COA!$C:$C,0,0,1)</f>
        <v>#REF!</v>
      </c>
      <c r="I194" s="178" t="e">
        <f>_xlfn.XLOOKUP($B194,COA!$B:$B,COA!$D:$D,0,0,1)</f>
        <v>#REF!</v>
      </c>
      <c r="J194" s="178" t="e">
        <f>_xlfn.XLOOKUP($B194,COA!$B:$B,COA!$E:$E,0,0,1)</f>
        <v>#REF!</v>
      </c>
      <c r="K194" s="80"/>
      <c r="L194" s="19"/>
      <c r="M194" s="85" t="e">
        <f>_xlfn.XLOOKUP(J194,#REF!,#REF!,0,0,1)</f>
        <v>#REF!</v>
      </c>
      <c r="N194" s="87"/>
      <c r="O194" s="87"/>
      <c r="P194" s="87"/>
      <c r="Q194" s="87"/>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row>
    <row r="195" spans="1:42" hidden="1" outlineLevel="1" x14ac:dyDescent="0.25">
      <c r="A195" s="50"/>
      <c r="B195" s="155" t="e">
        <f>COA!#REF!</f>
        <v>#REF!</v>
      </c>
      <c r="C195" s="127" t="e">
        <f>_xlfn.XLOOKUP(B195,#REF!,#REF!,0,0,1)</f>
        <v>#REF!</v>
      </c>
      <c r="D195" s="127" t="e">
        <f>SUMIF(#REF!,#REF!,#REF!)+SUMIF(#REF!,'FY Current'!B195,#REF!)</f>
        <v>#REF!</v>
      </c>
      <c r="E195" s="127" t="e">
        <f>_xlfn.XLOOKUP(B195,#REF!,#REF!,0,0,1)</f>
        <v>#REF!</v>
      </c>
      <c r="F195" s="127"/>
      <c r="G195" s="219" t="e">
        <f t="shared" si="2"/>
        <v>#REF!</v>
      </c>
      <c r="H195" s="178" t="e">
        <f>_xlfn.XLOOKUP($B195,COA!$B:$B,COA!$C:$C,0,0,1)</f>
        <v>#REF!</v>
      </c>
      <c r="I195" s="178" t="e">
        <f>_xlfn.XLOOKUP($B195,COA!$B:$B,COA!$D:$D,0,0,1)</f>
        <v>#REF!</v>
      </c>
      <c r="J195" s="178" t="e">
        <f>_xlfn.XLOOKUP($B195,COA!$B:$B,COA!$E:$E,0,0,1)</f>
        <v>#REF!</v>
      </c>
      <c r="K195" s="80"/>
      <c r="L195" s="19"/>
      <c r="M195" s="85" t="e">
        <f>_xlfn.XLOOKUP(J195,#REF!,#REF!,0,0,1)</f>
        <v>#REF!</v>
      </c>
      <c r="N195" s="87"/>
      <c r="O195" s="87"/>
      <c r="P195" s="87"/>
      <c r="Q195" s="87"/>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row>
    <row r="196" spans="1:42" hidden="1" outlineLevel="1" x14ac:dyDescent="0.25">
      <c r="A196" s="50"/>
      <c r="B196" s="155" t="e">
        <f>COA!#REF!</f>
        <v>#REF!</v>
      </c>
      <c r="C196" s="127" t="e">
        <f>_xlfn.XLOOKUP(B196,#REF!,#REF!,0,0,1)</f>
        <v>#REF!</v>
      </c>
      <c r="D196" s="127" t="e">
        <f>SUMIF(#REF!,#REF!,#REF!)+SUMIF(#REF!,'FY Current'!B196,#REF!)</f>
        <v>#REF!</v>
      </c>
      <c r="E196" s="127" t="e">
        <f>_xlfn.XLOOKUP(B196,#REF!,#REF!,0,0,1)</f>
        <v>#REF!</v>
      </c>
      <c r="F196" s="127"/>
      <c r="G196" s="219" t="e">
        <f t="shared" si="2"/>
        <v>#REF!</v>
      </c>
      <c r="H196" s="178" t="e">
        <f>_xlfn.XLOOKUP($B196,COA!$B:$B,COA!$C:$C,0,0,1)</f>
        <v>#REF!</v>
      </c>
      <c r="I196" s="178" t="e">
        <f>_xlfn.XLOOKUP($B196,COA!$B:$B,COA!$D:$D,0,0,1)</f>
        <v>#REF!</v>
      </c>
      <c r="J196" s="178" t="e">
        <f>_xlfn.XLOOKUP($B196,COA!$B:$B,COA!$E:$E,0,0,1)</f>
        <v>#REF!</v>
      </c>
      <c r="K196" s="80"/>
      <c r="L196" s="19"/>
      <c r="M196" s="85" t="e">
        <f>_xlfn.XLOOKUP(J196,#REF!,#REF!,0,0,1)</f>
        <v>#REF!</v>
      </c>
      <c r="N196" s="87"/>
      <c r="O196" s="87"/>
      <c r="P196" s="87"/>
      <c r="Q196" s="87"/>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row>
    <row r="197" spans="1:42" hidden="1" outlineLevel="1" x14ac:dyDescent="0.25">
      <c r="A197" s="50"/>
      <c r="B197" s="155" t="e">
        <f>COA!#REF!</f>
        <v>#REF!</v>
      </c>
      <c r="C197" s="127" t="e">
        <f>_xlfn.XLOOKUP(B197,#REF!,#REF!,0,0,1)</f>
        <v>#REF!</v>
      </c>
      <c r="D197" s="127" t="e">
        <f>SUMIF(#REF!,#REF!,#REF!)+SUMIF(#REF!,'FY Current'!B197,#REF!)</f>
        <v>#REF!</v>
      </c>
      <c r="E197" s="127" t="e">
        <f>_xlfn.XLOOKUP(B197,#REF!,#REF!,0,0,1)</f>
        <v>#REF!</v>
      </c>
      <c r="F197" s="127"/>
      <c r="G197" s="219" t="e">
        <f t="shared" si="2"/>
        <v>#REF!</v>
      </c>
      <c r="H197" s="178" t="e">
        <f>_xlfn.XLOOKUP($B197,COA!$B:$B,COA!$C:$C,0,0,1)</f>
        <v>#REF!</v>
      </c>
      <c r="I197" s="178" t="e">
        <f>_xlfn.XLOOKUP($B197,COA!$B:$B,COA!$D:$D,0,0,1)</f>
        <v>#REF!</v>
      </c>
      <c r="J197" s="178" t="e">
        <f>_xlfn.XLOOKUP($B197,COA!$B:$B,COA!$E:$E,0,0,1)</f>
        <v>#REF!</v>
      </c>
      <c r="K197" s="80"/>
      <c r="L197" s="19"/>
      <c r="M197" s="85" t="e">
        <f>_xlfn.XLOOKUP(J197,#REF!,#REF!,0,0,1)</f>
        <v>#REF!</v>
      </c>
      <c r="N197" s="87"/>
      <c r="O197" s="87"/>
      <c r="P197" s="87"/>
      <c r="Q197" s="87"/>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row>
    <row r="198" spans="1:42" hidden="1" outlineLevel="1" x14ac:dyDescent="0.25">
      <c r="A198" s="50"/>
      <c r="B198" s="155" t="e">
        <f>COA!#REF!</f>
        <v>#REF!</v>
      </c>
      <c r="C198" s="127" t="e">
        <f>_xlfn.XLOOKUP(B198,#REF!,#REF!,0,0,1)</f>
        <v>#REF!</v>
      </c>
      <c r="D198" s="127" t="e">
        <f>SUMIF(#REF!,#REF!,#REF!)+SUMIF(#REF!,'FY Current'!B198,#REF!)</f>
        <v>#REF!</v>
      </c>
      <c r="E198" s="127" t="e">
        <f>_xlfn.XLOOKUP(B198,#REF!,#REF!,0,0,1)</f>
        <v>#REF!</v>
      </c>
      <c r="F198" s="127"/>
      <c r="G198" s="219" t="e">
        <f t="shared" si="2"/>
        <v>#REF!</v>
      </c>
      <c r="H198" s="178" t="e">
        <f>_xlfn.XLOOKUP($B198,COA!$B:$B,COA!$C:$C,0,0,1)</f>
        <v>#REF!</v>
      </c>
      <c r="I198" s="178" t="e">
        <f>_xlfn.XLOOKUP($B198,COA!$B:$B,COA!$D:$D,0,0,1)</f>
        <v>#REF!</v>
      </c>
      <c r="J198" s="178" t="e">
        <f>_xlfn.XLOOKUP($B198,COA!$B:$B,COA!$E:$E,0,0,1)</f>
        <v>#REF!</v>
      </c>
      <c r="K198" s="80"/>
      <c r="L198" s="19"/>
      <c r="M198" s="85" t="e">
        <f>_xlfn.XLOOKUP(J198,#REF!,#REF!,0,0,1)</f>
        <v>#REF!</v>
      </c>
      <c r="N198" s="87"/>
      <c r="O198" s="87"/>
      <c r="P198" s="87"/>
      <c r="Q198" s="87"/>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row>
    <row r="199" spans="1:42" hidden="1" outlineLevel="1" x14ac:dyDescent="0.25">
      <c r="A199" s="50"/>
      <c r="B199" s="155" t="e">
        <f>COA!#REF!</f>
        <v>#REF!</v>
      </c>
      <c r="C199" s="127" t="e">
        <f>_xlfn.XLOOKUP(B199,#REF!,#REF!,0,0,1)</f>
        <v>#REF!</v>
      </c>
      <c r="D199" s="127" t="e">
        <f>SUMIF(#REF!,#REF!,#REF!)+SUMIF(#REF!,'FY Current'!B199,#REF!)</f>
        <v>#REF!</v>
      </c>
      <c r="E199" s="127" t="e">
        <f>_xlfn.XLOOKUP(B199,#REF!,#REF!,0,0,1)</f>
        <v>#REF!</v>
      </c>
      <c r="F199" s="127"/>
      <c r="G199" s="219" t="e">
        <f t="shared" ref="G199:G262" si="4">ROUND(SUM(C199:F199),0)</f>
        <v>#REF!</v>
      </c>
      <c r="H199" s="178" t="e">
        <f>_xlfn.XLOOKUP($B199,COA!$B:$B,COA!$C:$C,0,0,1)</f>
        <v>#REF!</v>
      </c>
      <c r="I199" s="178" t="e">
        <f>_xlfn.XLOOKUP($B199,COA!$B:$B,COA!$D:$D,0,0,1)</f>
        <v>#REF!</v>
      </c>
      <c r="J199" s="178" t="e">
        <f>_xlfn.XLOOKUP($B199,COA!$B:$B,COA!$E:$E,0,0,1)</f>
        <v>#REF!</v>
      </c>
      <c r="K199" s="80"/>
      <c r="L199" s="19"/>
      <c r="M199" s="85" t="e">
        <f>_xlfn.XLOOKUP(J199,#REF!,#REF!,0,0,1)</f>
        <v>#REF!</v>
      </c>
      <c r="N199" s="87"/>
      <c r="O199" s="87"/>
      <c r="P199" s="87"/>
      <c r="Q199" s="87"/>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row>
    <row r="200" spans="1:42" hidden="1" outlineLevel="1" x14ac:dyDescent="0.25">
      <c r="A200" s="50"/>
      <c r="B200" s="155" t="e">
        <f>COA!#REF!</f>
        <v>#REF!</v>
      </c>
      <c r="C200" s="127" t="e">
        <f>_xlfn.XLOOKUP(B200,#REF!,#REF!,0,0,1)</f>
        <v>#REF!</v>
      </c>
      <c r="D200" s="127" t="e">
        <f>SUMIF(#REF!,#REF!,#REF!)+SUMIF(#REF!,'FY Current'!B200,#REF!)</f>
        <v>#REF!</v>
      </c>
      <c r="E200" s="127" t="e">
        <f>_xlfn.XLOOKUP(B200,#REF!,#REF!,0,0,1)</f>
        <v>#REF!</v>
      </c>
      <c r="F200" s="127"/>
      <c r="G200" s="219" t="e">
        <f t="shared" si="4"/>
        <v>#REF!</v>
      </c>
      <c r="H200" s="178" t="e">
        <f>_xlfn.XLOOKUP($B200,COA!$B:$B,COA!$C:$C,0,0,1)</f>
        <v>#REF!</v>
      </c>
      <c r="I200" s="178" t="e">
        <f>_xlfn.XLOOKUP($B200,COA!$B:$B,COA!$D:$D,0,0,1)</f>
        <v>#REF!</v>
      </c>
      <c r="J200" s="178" t="e">
        <f>_xlfn.XLOOKUP($B200,COA!$B:$B,COA!$E:$E,0,0,1)</f>
        <v>#REF!</v>
      </c>
      <c r="K200" s="80"/>
      <c r="L200" s="19"/>
      <c r="M200" s="85" t="e">
        <f>_xlfn.XLOOKUP(J200,#REF!,#REF!,0,0,1)</f>
        <v>#REF!</v>
      </c>
      <c r="N200" s="87"/>
      <c r="O200" s="87"/>
      <c r="P200" s="87"/>
      <c r="Q200" s="87"/>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row>
    <row r="201" spans="1:42" hidden="1" outlineLevel="1" x14ac:dyDescent="0.25">
      <c r="A201" s="50"/>
      <c r="B201" s="155" t="e">
        <f>COA!#REF!</f>
        <v>#REF!</v>
      </c>
      <c r="C201" s="127" t="e">
        <f>_xlfn.XLOOKUP(B201,#REF!,#REF!,0,0,1)</f>
        <v>#REF!</v>
      </c>
      <c r="D201" s="127" t="e">
        <f>SUMIF(#REF!,#REF!,#REF!)+SUMIF(#REF!,'FY Current'!B201,#REF!)</f>
        <v>#REF!</v>
      </c>
      <c r="E201" s="127" t="e">
        <f>_xlfn.XLOOKUP(B201,#REF!,#REF!,0,0,1)</f>
        <v>#REF!</v>
      </c>
      <c r="F201" s="127"/>
      <c r="G201" s="219" t="e">
        <f t="shared" si="4"/>
        <v>#REF!</v>
      </c>
      <c r="H201" s="178" t="e">
        <f>_xlfn.XLOOKUP($B201,COA!$B:$B,COA!$C:$C,0,0,1)</f>
        <v>#REF!</v>
      </c>
      <c r="I201" s="178" t="e">
        <f>_xlfn.XLOOKUP($B201,COA!$B:$B,COA!$D:$D,0,0,1)</f>
        <v>#REF!</v>
      </c>
      <c r="J201" s="178" t="e">
        <f>_xlfn.XLOOKUP($B201,COA!$B:$B,COA!$E:$E,0,0,1)</f>
        <v>#REF!</v>
      </c>
      <c r="K201" s="80"/>
      <c r="L201" s="19"/>
      <c r="M201" s="85" t="e">
        <f>_xlfn.XLOOKUP(J201,#REF!,#REF!,0,0,1)</f>
        <v>#REF!</v>
      </c>
      <c r="N201" s="87"/>
      <c r="O201" s="87"/>
      <c r="P201" s="87"/>
      <c r="Q201" s="87"/>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row>
    <row r="202" spans="1:42" hidden="1" outlineLevel="1" x14ac:dyDescent="0.25">
      <c r="A202" s="50"/>
      <c r="B202" s="155" t="e">
        <f>COA!#REF!</f>
        <v>#REF!</v>
      </c>
      <c r="C202" s="127" t="e">
        <f>_xlfn.XLOOKUP(B202,#REF!,#REF!,0,0,1)</f>
        <v>#REF!</v>
      </c>
      <c r="D202" s="127" t="e">
        <f>SUMIF(#REF!,#REF!,#REF!)+SUMIF(#REF!,'FY Current'!B202,#REF!)</f>
        <v>#REF!</v>
      </c>
      <c r="E202" s="127" t="e">
        <f>_xlfn.XLOOKUP(B202,#REF!,#REF!,0,0,1)</f>
        <v>#REF!</v>
      </c>
      <c r="F202" s="127"/>
      <c r="G202" s="219" t="e">
        <f t="shared" si="4"/>
        <v>#REF!</v>
      </c>
      <c r="H202" s="178" t="e">
        <f>_xlfn.XLOOKUP($B202,COA!$B:$B,COA!$C:$C,0,0,1)</f>
        <v>#REF!</v>
      </c>
      <c r="I202" s="178" t="e">
        <f>_xlfn.XLOOKUP($B202,COA!$B:$B,COA!$D:$D,0,0,1)</f>
        <v>#REF!</v>
      </c>
      <c r="J202" s="178" t="e">
        <f>_xlfn.XLOOKUP($B202,COA!$B:$B,COA!$E:$E,0,0,1)</f>
        <v>#REF!</v>
      </c>
      <c r="K202" s="80"/>
      <c r="L202" s="19"/>
      <c r="M202" s="85" t="e">
        <f>_xlfn.XLOOKUP(J202,#REF!,#REF!,0,0,1)</f>
        <v>#REF!</v>
      </c>
      <c r="N202" s="87"/>
      <c r="O202" s="87"/>
      <c r="P202" s="87"/>
      <c r="Q202" s="87"/>
      <c r="R202" s="85"/>
      <c r="S202" s="85"/>
      <c r="T202" s="85"/>
      <c r="U202" s="85"/>
      <c r="V202" s="85"/>
      <c r="W202" s="85"/>
      <c r="X202" s="85"/>
      <c r="Y202" s="85"/>
      <c r="Z202" s="85"/>
      <c r="AA202" s="85"/>
      <c r="AB202" s="85"/>
      <c r="AC202" s="85"/>
      <c r="AD202" s="85"/>
      <c r="AE202" s="85"/>
      <c r="AF202" s="85"/>
      <c r="AG202" s="85"/>
      <c r="AH202" s="85"/>
      <c r="AI202" s="85"/>
      <c r="AJ202" s="85"/>
      <c r="AK202" s="85"/>
      <c r="AL202" s="85"/>
      <c r="AM202" s="85"/>
      <c r="AN202" s="85"/>
      <c r="AO202" s="85"/>
      <c r="AP202" s="85"/>
    </row>
    <row r="203" spans="1:42" hidden="1" outlineLevel="1" x14ac:dyDescent="0.25">
      <c r="A203" s="50"/>
      <c r="B203" s="155" t="e">
        <f>COA!#REF!</f>
        <v>#REF!</v>
      </c>
      <c r="C203" s="127" t="e">
        <f>_xlfn.XLOOKUP(B203,#REF!,#REF!,0,0,1)</f>
        <v>#REF!</v>
      </c>
      <c r="D203" s="127" t="e">
        <f>SUMIF(#REF!,#REF!,#REF!)+SUMIF(#REF!,'FY Current'!B203,#REF!)</f>
        <v>#REF!</v>
      </c>
      <c r="E203" s="127" t="e">
        <f>_xlfn.XLOOKUP(B203,#REF!,#REF!,0,0,1)</f>
        <v>#REF!</v>
      </c>
      <c r="F203" s="127"/>
      <c r="G203" s="219" t="e">
        <f t="shared" si="4"/>
        <v>#REF!</v>
      </c>
      <c r="H203" s="178" t="e">
        <f>_xlfn.XLOOKUP($B203,COA!$B:$B,COA!$C:$C,0,0,1)</f>
        <v>#REF!</v>
      </c>
      <c r="I203" s="178" t="e">
        <f>_xlfn.XLOOKUP($B203,COA!$B:$B,COA!$D:$D,0,0,1)</f>
        <v>#REF!</v>
      </c>
      <c r="J203" s="178" t="e">
        <f>_xlfn.XLOOKUP($B203,COA!$B:$B,COA!$E:$E,0,0,1)</f>
        <v>#REF!</v>
      </c>
      <c r="K203" s="80"/>
      <c r="L203" s="19"/>
      <c r="M203" s="85" t="e">
        <f>_xlfn.XLOOKUP(J203,#REF!,#REF!,0,0,1)</f>
        <v>#REF!</v>
      </c>
      <c r="N203" s="87"/>
      <c r="O203" s="87"/>
      <c r="P203" s="87"/>
      <c r="Q203" s="87"/>
      <c r="R203" s="85"/>
      <c r="S203" s="85"/>
      <c r="T203" s="85"/>
      <c r="U203" s="85"/>
      <c r="V203" s="85"/>
      <c r="W203" s="85"/>
      <c r="X203" s="85"/>
      <c r="Y203" s="85"/>
      <c r="Z203" s="85"/>
      <c r="AA203" s="85"/>
      <c r="AB203" s="85"/>
      <c r="AC203" s="85"/>
      <c r="AD203" s="85"/>
      <c r="AE203" s="85"/>
      <c r="AF203" s="85"/>
      <c r="AG203" s="85"/>
      <c r="AH203" s="85"/>
      <c r="AI203" s="85"/>
      <c r="AJ203" s="85"/>
      <c r="AK203" s="85"/>
      <c r="AL203" s="85"/>
      <c r="AM203" s="85"/>
      <c r="AN203" s="85"/>
      <c r="AO203" s="85"/>
      <c r="AP203" s="85"/>
    </row>
    <row r="204" spans="1:42" hidden="1" outlineLevel="1" x14ac:dyDescent="0.25">
      <c r="A204" s="50"/>
      <c r="B204" s="155" t="e">
        <f>COA!#REF!</f>
        <v>#REF!</v>
      </c>
      <c r="C204" s="127" t="e">
        <f>_xlfn.XLOOKUP(B204,#REF!,#REF!,0,0,1)</f>
        <v>#REF!</v>
      </c>
      <c r="D204" s="127" t="e">
        <f>SUMIF(#REF!,#REF!,#REF!)+SUMIF(#REF!,'FY Current'!B204,#REF!)</f>
        <v>#REF!</v>
      </c>
      <c r="E204" s="127" t="e">
        <f>_xlfn.XLOOKUP(B204,#REF!,#REF!,0,0,1)</f>
        <v>#REF!</v>
      </c>
      <c r="F204" s="127"/>
      <c r="G204" s="219" t="e">
        <f t="shared" si="4"/>
        <v>#REF!</v>
      </c>
      <c r="H204" s="178" t="e">
        <f>_xlfn.XLOOKUP($B204,COA!$B:$B,COA!$C:$C,0,0,1)</f>
        <v>#REF!</v>
      </c>
      <c r="I204" s="178" t="e">
        <f>_xlfn.XLOOKUP($B204,COA!$B:$B,COA!$D:$D,0,0,1)</f>
        <v>#REF!</v>
      </c>
      <c r="J204" s="178" t="e">
        <f>_xlfn.XLOOKUP($B204,COA!$B:$B,COA!$E:$E,0,0,1)</f>
        <v>#REF!</v>
      </c>
      <c r="K204" s="80"/>
      <c r="L204" s="19"/>
      <c r="M204" s="85" t="e">
        <f>_xlfn.XLOOKUP(J204,#REF!,#REF!,0,0,1)</f>
        <v>#REF!</v>
      </c>
      <c r="N204" s="87"/>
      <c r="O204" s="87"/>
      <c r="P204" s="87"/>
      <c r="Q204" s="87"/>
      <c r="R204" s="85"/>
      <c r="S204" s="85"/>
      <c r="T204" s="85"/>
      <c r="U204" s="85"/>
      <c r="V204" s="85"/>
      <c r="W204" s="85"/>
      <c r="X204" s="85"/>
      <c r="Y204" s="85"/>
      <c r="Z204" s="85"/>
      <c r="AA204" s="85"/>
      <c r="AB204" s="85"/>
      <c r="AC204" s="85"/>
      <c r="AD204" s="85"/>
      <c r="AE204" s="85"/>
      <c r="AF204" s="85"/>
      <c r="AG204" s="85"/>
      <c r="AH204" s="85"/>
      <c r="AI204" s="85"/>
      <c r="AJ204" s="85"/>
      <c r="AK204" s="85"/>
      <c r="AL204" s="85"/>
      <c r="AM204" s="85"/>
      <c r="AN204" s="85"/>
      <c r="AO204" s="85"/>
      <c r="AP204" s="85"/>
    </row>
    <row r="205" spans="1:42" hidden="1" outlineLevel="1" x14ac:dyDescent="0.25">
      <c r="A205" s="50"/>
      <c r="B205" s="155" t="e">
        <f>COA!#REF!</f>
        <v>#REF!</v>
      </c>
      <c r="C205" s="127" t="e">
        <f>_xlfn.XLOOKUP(B205,#REF!,#REF!,0,0,1)</f>
        <v>#REF!</v>
      </c>
      <c r="D205" s="127" t="e">
        <f>SUMIF(#REF!,#REF!,#REF!)+SUMIF(#REF!,'FY Current'!B205,#REF!)</f>
        <v>#REF!</v>
      </c>
      <c r="E205" s="127" t="e">
        <f>_xlfn.XLOOKUP(B205,#REF!,#REF!,0,0,1)</f>
        <v>#REF!</v>
      </c>
      <c r="F205" s="127"/>
      <c r="G205" s="219" t="e">
        <f t="shared" si="4"/>
        <v>#REF!</v>
      </c>
      <c r="H205" s="178" t="e">
        <f>_xlfn.XLOOKUP($B205,COA!$B:$B,COA!$C:$C,0,0,1)</f>
        <v>#REF!</v>
      </c>
      <c r="I205" s="178" t="e">
        <f>_xlfn.XLOOKUP($B205,COA!$B:$B,COA!$D:$D,0,0,1)</f>
        <v>#REF!</v>
      </c>
      <c r="J205" s="178" t="e">
        <f>_xlfn.XLOOKUP($B205,COA!$B:$B,COA!$E:$E,0,0,1)</f>
        <v>#REF!</v>
      </c>
      <c r="K205" s="80"/>
      <c r="L205" s="19"/>
      <c r="M205" s="85" t="e">
        <f>_xlfn.XLOOKUP(J205,#REF!,#REF!,0,0,1)</f>
        <v>#REF!</v>
      </c>
      <c r="N205" s="87"/>
      <c r="O205" s="87"/>
      <c r="P205" s="87"/>
      <c r="Q205" s="87"/>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row>
    <row r="206" spans="1:42" hidden="1" outlineLevel="1" x14ac:dyDescent="0.25">
      <c r="A206" s="50"/>
      <c r="B206" s="155" t="e">
        <f>COA!#REF!</f>
        <v>#REF!</v>
      </c>
      <c r="C206" s="127" t="e">
        <f>_xlfn.XLOOKUP(B206,#REF!,#REF!,0,0,1)</f>
        <v>#REF!</v>
      </c>
      <c r="D206" s="127" t="e">
        <f>SUMIF(#REF!,#REF!,#REF!)+SUMIF(#REF!,'FY Current'!B206,#REF!)</f>
        <v>#REF!</v>
      </c>
      <c r="E206" s="127" t="e">
        <f>_xlfn.XLOOKUP(B206,#REF!,#REF!,0,0,1)</f>
        <v>#REF!</v>
      </c>
      <c r="F206" s="127"/>
      <c r="G206" s="219" t="e">
        <f t="shared" si="4"/>
        <v>#REF!</v>
      </c>
      <c r="H206" s="178" t="e">
        <f>_xlfn.XLOOKUP($B206,COA!$B:$B,COA!$C:$C,0,0,1)</f>
        <v>#REF!</v>
      </c>
      <c r="I206" s="178" t="e">
        <f>_xlfn.XLOOKUP($B206,COA!$B:$B,COA!$D:$D,0,0,1)</f>
        <v>#REF!</v>
      </c>
      <c r="J206" s="178" t="e">
        <f>_xlfn.XLOOKUP($B206,COA!$B:$B,COA!$E:$E,0,0,1)</f>
        <v>#REF!</v>
      </c>
      <c r="K206" s="80"/>
      <c r="L206" s="19"/>
      <c r="M206" s="85" t="e">
        <f>_xlfn.XLOOKUP(J206,#REF!,#REF!,0,0,1)</f>
        <v>#REF!</v>
      </c>
      <c r="N206" s="87"/>
      <c r="O206" s="87"/>
      <c r="P206" s="87"/>
      <c r="Q206" s="87"/>
      <c r="R206" s="85"/>
      <c r="S206" s="85"/>
      <c r="T206" s="85"/>
      <c r="U206" s="85"/>
      <c r="V206" s="85"/>
      <c r="W206" s="85"/>
      <c r="X206" s="85"/>
      <c r="Y206" s="85"/>
      <c r="Z206" s="85"/>
      <c r="AA206" s="85"/>
      <c r="AB206" s="85"/>
      <c r="AC206" s="85"/>
      <c r="AD206" s="85"/>
      <c r="AE206" s="85"/>
      <c r="AF206" s="85"/>
      <c r="AG206" s="85"/>
      <c r="AH206" s="85"/>
      <c r="AI206" s="85"/>
      <c r="AJ206" s="85"/>
      <c r="AK206" s="85"/>
      <c r="AL206" s="85"/>
      <c r="AM206" s="85"/>
      <c r="AN206" s="85"/>
      <c r="AO206" s="85"/>
      <c r="AP206" s="85"/>
    </row>
    <row r="207" spans="1:42" hidden="1" outlineLevel="1" x14ac:dyDescent="0.25">
      <c r="A207" s="50"/>
      <c r="B207" s="155" t="e">
        <f>COA!#REF!</f>
        <v>#REF!</v>
      </c>
      <c r="C207" s="127" t="e">
        <f>_xlfn.XLOOKUP(B207,#REF!,#REF!,0,0,1)</f>
        <v>#REF!</v>
      </c>
      <c r="D207" s="127" t="e">
        <f>SUMIF(#REF!,#REF!,#REF!)+SUMIF(#REF!,'FY Current'!B207,#REF!)</f>
        <v>#REF!</v>
      </c>
      <c r="E207" s="127" t="e">
        <f>_xlfn.XLOOKUP(B207,#REF!,#REF!,0,0,1)</f>
        <v>#REF!</v>
      </c>
      <c r="F207" s="127"/>
      <c r="G207" s="219" t="e">
        <f t="shared" si="4"/>
        <v>#REF!</v>
      </c>
      <c r="H207" s="178" t="e">
        <f>_xlfn.XLOOKUP($B207,COA!$B:$B,COA!$C:$C,0,0,1)</f>
        <v>#REF!</v>
      </c>
      <c r="I207" s="178" t="e">
        <f>_xlfn.XLOOKUP($B207,COA!$B:$B,COA!$D:$D,0,0,1)</f>
        <v>#REF!</v>
      </c>
      <c r="J207" s="178" t="e">
        <f>_xlfn.XLOOKUP($B207,COA!$B:$B,COA!$E:$E,0,0,1)</f>
        <v>#REF!</v>
      </c>
      <c r="K207" s="80"/>
      <c r="L207" s="19"/>
      <c r="M207" s="85" t="e">
        <f>_xlfn.XLOOKUP(J207,#REF!,#REF!,0,0,1)</f>
        <v>#REF!</v>
      </c>
      <c r="N207" s="87"/>
      <c r="O207" s="87"/>
      <c r="P207" s="87"/>
      <c r="Q207" s="87"/>
      <c r="R207" s="85"/>
      <c r="S207" s="85"/>
      <c r="T207" s="85"/>
      <c r="U207" s="85"/>
      <c r="V207" s="85"/>
      <c r="W207" s="85"/>
      <c r="X207" s="85"/>
      <c r="Y207" s="85"/>
      <c r="Z207" s="85"/>
      <c r="AA207" s="85"/>
      <c r="AB207" s="85"/>
      <c r="AC207" s="85"/>
      <c r="AD207" s="85"/>
      <c r="AE207" s="85"/>
      <c r="AF207" s="85"/>
      <c r="AG207" s="85"/>
      <c r="AH207" s="85"/>
      <c r="AI207" s="85"/>
      <c r="AJ207" s="85"/>
      <c r="AK207" s="85"/>
      <c r="AL207" s="85"/>
      <c r="AM207" s="85"/>
      <c r="AN207" s="85"/>
      <c r="AO207" s="85"/>
      <c r="AP207" s="85"/>
    </row>
    <row r="208" spans="1:42" hidden="1" outlineLevel="1" x14ac:dyDescent="0.25">
      <c r="A208" s="50"/>
      <c r="B208" s="155" t="e">
        <f>COA!#REF!</f>
        <v>#REF!</v>
      </c>
      <c r="C208" s="127" t="e">
        <f>_xlfn.XLOOKUP(B208,#REF!,#REF!,0,0,1)</f>
        <v>#REF!</v>
      </c>
      <c r="D208" s="127" t="e">
        <f>SUMIF(#REF!,#REF!,#REF!)+SUMIF(#REF!,'FY Current'!B208,#REF!)</f>
        <v>#REF!</v>
      </c>
      <c r="E208" s="127" t="e">
        <f>_xlfn.XLOOKUP(B208,#REF!,#REF!,0,0,1)</f>
        <v>#REF!</v>
      </c>
      <c r="F208" s="127"/>
      <c r="G208" s="219" t="e">
        <f t="shared" si="4"/>
        <v>#REF!</v>
      </c>
      <c r="H208" s="178" t="e">
        <f>_xlfn.XLOOKUP($B208,COA!$B:$B,COA!$C:$C,0,0,1)</f>
        <v>#REF!</v>
      </c>
      <c r="I208" s="178" t="e">
        <f>_xlfn.XLOOKUP($B208,COA!$B:$B,COA!$D:$D,0,0,1)</f>
        <v>#REF!</v>
      </c>
      <c r="J208" s="178" t="e">
        <f>_xlfn.XLOOKUP($B208,COA!$B:$B,COA!$E:$E,0,0,1)</f>
        <v>#REF!</v>
      </c>
      <c r="K208" s="80"/>
      <c r="L208" s="19"/>
      <c r="M208" s="85" t="e">
        <f>_xlfn.XLOOKUP(J208,#REF!,#REF!,0,0,1)</f>
        <v>#REF!</v>
      </c>
      <c r="N208" s="87"/>
      <c r="O208" s="87"/>
      <c r="P208" s="87"/>
      <c r="Q208" s="87"/>
      <c r="R208" s="85"/>
      <c r="S208" s="85"/>
      <c r="T208" s="85"/>
      <c r="U208" s="85"/>
      <c r="V208" s="85"/>
      <c r="W208" s="85"/>
      <c r="X208" s="85"/>
      <c r="Y208" s="85"/>
      <c r="Z208" s="85"/>
      <c r="AA208" s="85"/>
      <c r="AB208" s="85"/>
      <c r="AC208" s="85"/>
      <c r="AD208" s="85"/>
      <c r="AE208" s="85"/>
      <c r="AF208" s="85"/>
      <c r="AG208" s="85"/>
      <c r="AH208" s="85"/>
      <c r="AI208" s="85"/>
      <c r="AJ208" s="85"/>
      <c r="AK208" s="85"/>
      <c r="AL208" s="85"/>
      <c r="AM208" s="85"/>
      <c r="AN208" s="85"/>
      <c r="AO208" s="85"/>
      <c r="AP208" s="85"/>
    </row>
    <row r="209" spans="1:42" hidden="1" outlineLevel="1" x14ac:dyDescent="0.25">
      <c r="A209" s="50"/>
      <c r="B209" s="155" t="e">
        <f>COA!#REF!</f>
        <v>#REF!</v>
      </c>
      <c r="C209" s="127" t="e">
        <f>_xlfn.XLOOKUP(B209,#REF!,#REF!,0,0,1)</f>
        <v>#REF!</v>
      </c>
      <c r="D209" s="127" t="e">
        <f>SUMIF(#REF!,#REF!,#REF!)+SUMIF(#REF!,'FY Current'!B209,#REF!)</f>
        <v>#REF!</v>
      </c>
      <c r="E209" s="127" t="e">
        <f>_xlfn.XLOOKUP(B209,#REF!,#REF!,0,0,1)</f>
        <v>#REF!</v>
      </c>
      <c r="F209" s="127"/>
      <c r="G209" s="219" t="e">
        <f t="shared" si="4"/>
        <v>#REF!</v>
      </c>
      <c r="H209" s="178" t="e">
        <f>_xlfn.XLOOKUP($B209,COA!$B:$B,COA!$C:$C,0,0,1)</f>
        <v>#REF!</v>
      </c>
      <c r="I209" s="178" t="e">
        <f>_xlfn.XLOOKUP($B209,COA!$B:$B,COA!$D:$D,0,0,1)</f>
        <v>#REF!</v>
      </c>
      <c r="J209" s="178" t="e">
        <f>_xlfn.XLOOKUP($B209,COA!$B:$B,COA!$E:$E,0,0,1)</f>
        <v>#REF!</v>
      </c>
      <c r="K209" s="80"/>
      <c r="L209" s="19"/>
      <c r="M209" s="85" t="e">
        <f>_xlfn.XLOOKUP(J209,#REF!,#REF!,0,0,1)</f>
        <v>#REF!</v>
      </c>
      <c r="N209" s="87"/>
      <c r="O209" s="87"/>
      <c r="P209" s="87"/>
      <c r="Q209" s="87"/>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row>
    <row r="210" spans="1:42" hidden="1" outlineLevel="1" x14ac:dyDescent="0.25">
      <c r="A210" s="50"/>
      <c r="B210" s="155" t="e">
        <f>COA!#REF!</f>
        <v>#REF!</v>
      </c>
      <c r="C210" s="127" t="e">
        <f>_xlfn.XLOOKUP(B210,#REF!,#REF!,0,0,1)</f>
        <v>#REF!</v>
      </c>
      <c r="D210" s="127" t="e">
        <f>SUMIF(#REF!,#REF!,#REF!)+SUMIF(#REF!,'FY Current'!B210,#REF!)</f>
        <v>#REF!</v>
      </c>
      <c r="E210" s="127" t="e">
        <f>_xlfn.XLOOKUP(B210,#REF!,#REF!,0,0,1)</f>
        <v>#REF!</v>
      </c>
      <c r="F210" s="127"/>
      <c r="G210" s="219" t="e">
        <f t="shared" si="4"/>
        <v>#REF!</v>
      </c>
      <c r="H210" s="178" t="e">
        <f>_xlfn.XLOOKUP($B210,COA!$B:$B,COA!$C:$C,0,0,1)</f>
        <v>#REF!</v>
      </c>
      <c r="I210" s="178" t="e">
        <f>_xlfn.XLOOKUP($B210,COA!$B:$B,COA!$D:$D,0,0,1)</f>
        <v>#REF!</v>
      </c>
      <c r="J210" s="178" t="e">
        <f>_xlfn.XLOOKUP($B210,COA!$B:$B,COA!$E:$E,0,0,1)</f>
        <v>#REF!</v>
      </c>
      <c r="K210" s="80"/>
      <c r="L210" s="19"/>
      <c r="M210" s="85" t="e">
        <f>_xlfn.XLOOKUP(J210,#REF!,#REF!,0,0,1)</f>
        <v>#REF!</v>
      </c>
      <c r="N210" s="87"/>
      <c r="O210" s="87"/>
      <c r="P210" s="87"/>
      <c r="Q210" s="87"/>
      <c r="R210" s="85"/>
      <c r="S210" s="85"/>
      <c r="T210" s="85"/>
      <c r="U210" s="85"/>
      <c r="V210" s="85"/>
      <c r="W210" s="85"/>
      <c r="X210" s="85"/>
      <c r="Y210" s="85"/>
      <c r="Z210" s="85"/>
      <c r="AA210" s="85"/>
      <c r="AB210" s="85"/>
      <c r="AC210" s="85"/>
      <c r="AD210" s="85"/>
      <c r="AE210" s="85"/>
      <c r="AF210" s="85"/>
      <c r="AG210" s="85"/>
      <c r="AH210" s="85"/>
      <c r="AI210" s="85"/>
      <c r="AJ210" s="85"/>
      <c r="AK210" s="85"/>
      <c r="AL210" s="85"/>
      <c r="AM210" s="85"/>
      <c r="AN210" s="85"/>
      <c r="AO210" s="85"/>
      <c r="AP210" s="85"/>
    </row>
    <row r="211" spans="1:42" hidden="1" outlineLevel="1" x14ac:dyDescent="0.25">
      <c r="A211" s="50"/>
      <c r="B211" s="155" t="e">
        <f>COA!#REF!</f>
        <v>#REF!</v>
      </c>
      <c r="C211" s="127" t="e">
        <f>_xlfn.XLOOKUP(B211,#REF!,#REF!,0,0,1)</f>
        <v>#REF!</v>
      </c>
      <c r="D211" s="127" t="e">
        <f>SUMIF(#REF!,#REF!,#REF!)+SUMIF(#REF!,'FY Current'!B211,#REF!)</f>
        <v>#REF!</v>
      </c>
      <c r="E211" s="127" t="e">
        <f>_xlfn.XLOOKUP(B211,#REF!,#REF!,0,0,1)</f>
        <v>#REF!</v>
      </c>
      <c r="F211" s="127"/>
      <c r="G211" s="219" t="e">
        <f t="shared" si="4"/>
        <v>#REF!</v>
      </c>
      <c r="H211" s="178" t="e">
        <f>_xlfn.XLOOKUP($B211,COA!$B:$B,COA!$C:$C,0,0,1)</f>
        <v>#REF!</v>
      </c>
      <c r="I211" s="178" t="e">
        <f>_xlfn.XLOOKUP($B211,COA!$B:$B,COA!$D:$D,0,0,1)</f>
        <v>#REF!</v>
      </c>
      <c r="J211" s="178" t="e">
        <f>_xlfn.XLOOKUP($B211,COA!$B:$B,COA!$E:$E,0,0,1)</f>
        <v>#REF!</v>
      </c>
      <c r="K211" s="80"/>
      <c r="L211" s="19"/>
      <c r="M211" s="85" t="e">
        <f>_xlfn.XLOOKUP(J211,#REF!,#REF!,0,0,1)</f>
        <v>#REF!</v>
      </c>
      <c r="N211" s="87"/>
      <c r="O211" s="87"/>
      <c r="P211" s="87"/>
      <c r="Q211" s="87"/>
      <c r="R211" s="85"/>
      <c r="S211" s="85"/>
      <c r="T211" s="85"/>
      <c r="U211" s="85"/>
      <c r="V211" s="85"/>
      <c r="W211" s="85"/>
      <c r="X211" s="85"/>
      <c r="Y211" s="85"/>
      <c r="Z211" s="85"/>
      <c r="AA211" s="85"/>
      <c r="AB211" s="85"/>
      <c r="AC211" s="85"/>
      <c r="AD211" s="85"/>
      <c r="AE211" s="85"/>
      <c r="AF211" s="85"/>
      <c r="AG211" s="85"/>
      <c r="AH211" s="85"/>
      <c r="AI211" s="85"/>
      <c r="AJ211" s="85"/>
      <c r="AK211" s="85"/>
      <c r="AL211" s="85"/>
      <c r="AM211" s="85"/>
      <c r="AN211" s="85"/>
      <c r="AO211" s="85"/>
      <c r="AP211" s="85"/>
    </row>
    <row r="212" spans="1:42" hidden="1" outlineLevel="1" x14ac:dyDescent="0.25">
      <c r="A212" s="50"/>
      <c r="B212" s="155" t="e">
        <f>COA!#REF!</f>
        <v>#REF!</v>
      </c>
      <c r="C212" s="127" t="e">
        <f>_xlfn.XLOOKUP(B212,#REF!,#REF!,0,0,1)</f>
        <v>#REF!</v>
      </c>
      <c r="D212" s="127" t="e">
        <f>SUMIF(#REF!,#REF!,#REF!)+SUMIF(#REF!,'FY Current'!B212,#REF!)</f>
        <v>#REF!</v>
      </c>
      <c r="E212" s="127" t="e">
        <f>_xlfn.XLOOKUP(B212,#REF!,#REF!,0,0,1)</f>
        <v>#REF!</v>
      </c>
      <c r="F212" s="127"/>
      <c r="G212" s="219" t="e">
        <f t="shared" si="4"/>
        <v>#REF!</v>
      </c>
      <c r="H212" s="178" t="e">
        <f>_xlfn.XLOOKUP($B212,COA!$B:$B,COA!$C:$C,0,0,1)</f>
        <v>#REF!</v>
      </c>
      <c r="I212" s="178" t="e">
        <f>_xlfn.XLOOKUP($B212,COA!$B:$B,COA!$D:$D,0,0,1)</f>
        <v>#REF!</v>
      </c>
      <c r="J212" s="178" t="e">
        <f>_xlfn.XLOOKUP($B212,COA!$B:$B,COA!$E:$E,0,0,1)</f>
        <v>#REF!</v>
      </c>
      <c r="K212" s="80"/>
      <c r="L212" s="19"/>
      <c r="M212" s="85" t="e">
        <f>_xlfn.XLOOKUP(J212,#REF!,#REF!,0,0,1)</f>
        <v>#REF!</v>
      </c>
      <c r="N212" s="87"/>
      <c r="O212" s="87"/>
      <c r="P212" s="87"/>
      <c r="Q212" s="87"/>
      <c r="R212" s="85"/>
      <c r="S212" s="85"/>
      <c r="T212" s="85"/>
      <c r="U212" s="85"/>
      <c r="V212" s="85"/>
      <c r="W212" s="85"/>
      <c r="X212" s="85"/>
      <c r="Y212" s="85"/>
      <c r="Z212" s="85"/>
      <c r="AA212" s="85"/>
      <c r="AB212" s="85"/>
      <c r="AC212" s="85"/>
      <c r="AD212" s="85"/>
      <c r="AE212" s="85"/>
      <c r="AF212" s="85"/>
      <c r="AG212" s="85"/>
      <c r="AH212" s="85"/>
      <c r="AI212" s="85"/>
      <c r="AJ212" s="85"/>
      <c r="AK212" s="85"/>
      <c r="AL212" s="85"/>
      <c r="AM212" s="85"/>
      <c r="AN212" s="85"/>
      <c r="AO212" s="85"/>
      <c r="AP212" s="85"/>
    </row>
    <row r="213" spans="1:42" hidden="1" outlineLevel="1" x14ac:dyDescent="0.25">
      <c r="A213" s="50"/>
      <c r="B213" s="155" t="e">
        <f>COA!#REF!</f>
        <v>#REF!</v>
      </c>
      <c r="C213" s="127" t="e">
        <f>_xlfn.XLOOKUP(B213,#REF!,#REF!,0,0,1)</f>
        <v>#REF!</v>
      </c>
      <c r="D213" s="127" t="e">
        <f>SUMIF(#REF!,#REF!,#REF!)+SUMIF(#REF!,'FY Current'!B213,#REF!)</f>
        <v>#REF!</v>
      </c>
      <c r="E213" s="127" t="e">
        <f>_xlfn.XLOOKUP(B213,#REF!,#REF!,0,0,1)</f>
        <v>#REF!</v>
      </c>
      <c r="F213" s="127"/>
      <c r="G213" s="219" t="e">
        <f t="shared" si="4"/>
        <v>#REF!</v>
      </c>
      <c r="H213" s="178" t="e">
        <f>_xlfn.XLOOKUP($B213,COA!$B:$B,COA!$C:$C,0,0,1)</f>
        <v>#REF!</v>
      </c>
      <c r="I213" s="178" t="e">
        <f>_xlfn.XLOOKUP($B213,COA!$B:$B,COA!$D:$D,0,0,1)</f>
        <v>#REF!</v>
      </c>
      <c r="J213" s="178" t="e">
        <f>_xlfn.XLOOKUP($B213,COA!$B:$B,COA!$E:$E,0,0,1)</f>
        <v>#REF!</v>
      </c>
      <c r="K213" s="80"/>
      <c r="L213" s="19"/>
      <c r="M213" s="85" t="e">
        <f>_xlfn.XLOOKUP(J213,#REF!,#REF!,0,0,1)</f>
        <v>#REF!</v>
      </c>
      <c r="N213" s="87"/>
      <c r="O213" s="87"/>
      <c r="P213" s="87"/>
      <c r="Q213" s="87"/>
      <c r="R213" s="85"/>
      <c r="S213" s="85"/>
      <c r="T213" s="85"/>
      <c r="U213" s="85"/>
      <c r="V213" s="85"/>
      <c r="W213" s="85"/>
      <c r="X213" s="85"/>
      <c r="Y213" s="85"/>
      <c r="Z213" s="85"/>
      <c r="AA213" s="85"/>
      <c r="AB213" s="85"/>
      <c r="AC213" s="85"/>
      <c r="AD213" s="85"/>
      <c r="AE213" s="85"/>
      <c r="AF213" s="85"/>
      <c r="AG213" s="85"/>
      <c r="AH213" s="85"/>
      <c r="AI213" s="85"/>
      <c r="AJ213" s="85"/>
      <c r="AK213" s="85"/>
      <c r="AL213" s="85"/>
      <c r="AM213" s="85"/>
      <c r="AN213" s="85"/>
      <c r="AO213" s="85"/>
      <c r="AP213" s="85"/>
    </row>
    <row r="214" spans="1:42" hidden="1" outlineLevel="1" x14ac:dyDescent="0.25">
      <c r="A214" s="50"/>
      <c r="B214" s="155" t="e">
        <f>COA!#REF!</f>
        <v>#REF!</v>
      </c>
      <c r="C214" s="127" t="e">
        <f>_xlfn.XLOOKUP(B214,#REF!,#REF!,0,0,1)</f>
        <v>#REF!</v>
      </c>
      <c r="D214" s="127" t="e">
        <f>SUMIF(#REF!,#REF!,#REF!)+SUMIF(#REF!,'FY Current'!B214,#REF!)</f>
        <v>#REF!</v>
      </c>
      <c r="E214" s="127" t="e">
        <f>_xlfn.XLOOKUP(B214,#REF!,#REF!,0,0,1)</f>
        <v>#REF!</v>
      </c>
      <c r="F214" s="127"/>
      <c r="G214" s="219" t="e">
        <f t="shared" si="4"/>
        <v>#REF!</v>
      </c>
      <c r="H214" s="178" t="e">
        <f>_xlfn.XLOOKUP($B214,COA!$B:$B,COA!$C:$C,0,0,1)</f>
        <v>#REF!</v>
      </c>
      <c r="I214" s="178" t="e">
        <f>_xlfn.XLOOKUP($B214,COA!$B:$B,COA!$D:$D,0,0,1)</f>
        <v>#REF!</v>
      </c>
      <c r="J214" s="178" t="e">
        <f>_xlfn.XLOOKUP($B214,COA!$B:$B,COA!$E:$E,0,0,1)</f>
        <v>#REF!</v>
      </c>
      <c r="K214" s="80"/>
      <c r="L214" s="19"/>
      <c r="M214" s="85" t="e">
        <f>_xlfn.XLOOKUP(J214,#REF!,#REF!,0,0,1)</f>
        <v>#REF!</v>
      </c>
      <c r="N214" s="87"/>
      <c r="O214" s="87"/>
      <c r="P214" s="87"/>
      <c r="Q214" s="87"/>
      <c r="R214" s="85"/>
      <c r="S214" s="85"/>
      <c r="T214" s="85"/>
      <c r="U214" s="85"/>
      <c r="V214" s="85"/>
      <c r="W214" s="85"/>
      <c r="X214" s="85"/>
      <c r="Y214" s="85"/>
      <c r="Z214" s="85"/>
      <c r="AA214" s="85"/>
      <c r="AB214" s="85"/>
      <c r="AC214" s="85"/>
      <c r="AD214" s="85"/>
      <c r="AE214" s="85"/>
      <c r="AF214" s="85"/>
      <c r="AG214" s="85"/>
      <c r="AH214" s="85"/>
      <c r="AI214" s="85"/>
      <c r="AJ214" s="85"/>
      <c r="AK214" s="85"/>
      <c r="AL214" s="85"/>
      <c r="AM214" s="85"/>
      <c r="AN214" s="85"/>
      <c r="AO214" s="85"/>
      <c r="AP214" s="85"/>
    </row>
    <row r="215" spans="1:42" hidden="1" outlineLevel="1" x14ac:dyDescent="0.25">
      <c r="A215" s="50"/>
      <c r="B215" s="155" t="e">
        <f>COA!#REF!</f>
        <v>#REF!</v>
      </c>
      <c r="C215" s="127" t="e">
        <f>_xlfn.XLOOKUP(B215,#REF!,#REF!,0,0,1)</f>
        <v>#REF!</v>
      </c>
      <c r="D215" s="127" t="e">
        <f>SUMIF(#REF!,#REF!,#REF!)+SUMIF(#REF!,'FY Current'!B215,#REF!)</f>
        <v>#REF!</v>
      </c>
      <c r="E215" s="127" t="e">
        <f>_xlfn.XLOOKUP(B215,#REF!,#REF!,0,0,1)</f>
        <v>#REF!</v>
      </c>
      <c r="F215" s="127"/>
      <c r="G215" s="219" t="e">
        <f t="shared" si="4"/>
        <v>#REF!</v>
      </c>
      <c r="H215" s="178" t="e">
        <f>_xlfn.XLOOKUP($B215,COA!$B:$B,COA!$C:$C,0,0,1)</f>
        <v>#REF!</v>
      </c>
      <c r="I215" s="178" t="e">
        <f>_xlfn.XLOOKUP($B215,COA!$B:$B,COA!$D:$D,0,0,1)</f>
        <v>#REF!</v>
      </c>
      <c r="J215" s="178" t="e">
        <f>_xlfn.XLOOKUP($B215,COA!$B:$B,COA!$E:$E,0,0,1)</f>
        <v>#REF!</v>
      </c>
      <c r="K215" s="80"/>
      <c r="L215" s="19"/>
      <c r="M215" s="85" t="e">
        <f>_xlfn.XLOOKUP(J215,#REF!,#REF!,0,0,1)</f>
        <v>#REF!</v>
      </c>
      <c r="N215" s="87"/>
      <c r="O215" s="87"/>
      <c r="P215" s="87"/>
      <c r="Q215" s="87"/>
      <c r="R215" s="85"/>
      <c r="S215" s="85"/>
      <c r="T215" s="85"/>
      <c r="U215" s="85"/>
      <c r="V215" s="85"/>
      <c r="W215" s="85"/>
      <c r="X215" s="85"/>
      <c r="Y215" s="85"/>
      <c r="Z215" s="85"/>
      <c r="AA215" s="85"/>
      <c r="AB215" s="85"/>
      <c r="AC215" s="85"/>
      <c r="AD215" s="85"/>
      <c r="AE215" s="85"/>
      <c r="AF215" s="85"/>
      <c r="AG215" s="85"/>
      <c r="AH215" s="85"/>
      <c r="AI215" s="85"/>
      <c r="AJ215" s="85"/>
      <c r="AK215" s="85"/>
      <c r="AL215" s="85"/>
      <c r="AM215" s="85"/>
      <c r="AN215" s="85"/>
      <c r="AO215" s="85"/>
      <c r="AP215" s="85"/>
    </row>
    <row r="216" spans="1:42" hidden="1" outlineLevel="1" x14ac:dyDescent="0.25">
      <c r="A216" s="50"/>
      <c r="B216" s="155" t="e">
        <f>COA!#REF!</f>
        <v>#REF!</v>
      </c>
      <c r="C216" s="127" t="e">
        <f>_xlfn.XLOOKUP(B216,#REF!,#REF!,0,0,1)</f>
        <v>#REF!</v>
      </c>
      <c r="D216" s="127" t="e">
        <f>SUMIF(#REF!,#REF!,#REF!)+SUMIF(#REF!,'FY Current'!B216,#REF!)</f>
        <v>#REF!</v>
      </c>
      <c r="E216" s="127" t="e">
        <f>_xlfn.XLOOKUP(B216,#REF!,#REF!,0,0,1)</f>
        <v>#REF!</v>
      </c>
      <c r="F216" s="127"/>
      <c r="G216" s="219" t="e">
        <f t="shared" si="4"/>
        <v>#REF!</v>
      </c>
      <c r="H216" s="178" t="e">
        <f>_xlfn.XLOOKUP($B216,COA!$B:$B,COA!$C:$C,0,0,1)</f>
        <v>#REF!</v>
      </c>
      <c r="I216" s="178" t="e">
        <f>_xlfn.XLOOKUP($B216,COA!$B:$B,COA!$D:$D,0,0,1)</f>
        <v>#REF!</v>
      </c>
      <c r="J216" s="178" t="e">
        <f>_xlfn.XLOOKUP($B216,COA!$B:$B,COA!$E:$E,0,0,1)</f>
        <v>#REF!</v>
      </c>
      <c r="K216" s="80"/>
      <c r="L216" s="19"/>
      <c r="M216" s="85" t="e">
        <f>_xlfn.XLOOKUP(J216,#REF!,#REF!,0,0,1)</f>
        <v>#REF!</v>
      </c>
      <c r="N216" s="87"/>
      <c r="O216" s="87"/>
      <c r="P216" s="87"/>
      <c r="Q216" s="87"/>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row>
    <row r="217" spans="1:42" hidden="1" outlineLevel="1" x14ac:dyDescent="0.25">
      <c r="A217" s="50"/>
      <c r="B217" s="155" t="e">
        <f>COA!#REF!</f>
        <v>#REF!</v>
      </c>
      <c r="C217" s="127" t="e">
        <f>_xlfn.XLOOKUP(B217,#REF!,#REF!,0,0,1)</f>
        <v>#REF!</v>
      </c>
      <c r="D217" s="127" t="e">
        <f>SUMIF(#REF!,#REF!,#REF!)+SUMIF(#REF!,'FY Current'!B217,#REF!)</f>
        <v>#REF!</v>
      </c>
      <c r="E217" s="127" t="e">
        <f>_xlfn.XLOOKUP(B217,#REF!,#REF!,0,0,1)</f>
        <v>#REF!</v>
      </c>
      <c r="F217" s="127"/>
      <c r="G217" s="219" t="e">
        <f t="shared" si="4"/>
        <v>#REF!</v>
      </c>
      <c r="H217" s="178" t="e">
        <f>_xlfn.XLOOKUP($B217,COA!$B:$B,COA!$C:$C,0,0,1)</f>
        <v>#REF!</v>
      </c>
      <c r="I217" s="178" t="e">
        <f>_xlfn.XLOOKUP($B217,COA!$B:$B,COA!$D:$D,0,0,1)</f>
        <v>#REF!</v>
      </c>
      <c r="J217" s="178" t="e">
        <f>_xlfn.XLOOKUP($B217,COA!$B:$B,COA!$E:$E,0,0,1)</f>
        <v>#REF!</v>
      </c>
      <c r="K217" s="80"/>
      <c r="L217" s="19"/>
      <c r="M217" s="85" t="e">
        <f>_xlfn.XLOOKUP(J217,#REF!,#REF!,0,0,1)</f>
        <v>#REF!</v>
      </c>
      <c r="N217" s="87"/>
      <c r="O217" s="87"/>
      <c r="P217" s="87"/>
      <c r="Q217" s="87"/>
      <c r="R217" s="85"/>
      <c r="S217" s="85"/>
      <c r="T217" s="85"/>
      <c r="U217" s="85"/>
      <c r="V217" s="85"/>
      <c r="W217" s="85"/>
      <c r="X217" s="85"/>
      <c r="Y217" s="85"/>
      <c r="Z217" s="85"/>
      <c r="AA217" s="85"/>
      <c r="AB217" s="85"/>
      <c r="AC217" s="85"/>
      <c r="AD217" s="85"/>
      <c r="AE217" s="85"/>
      <c r="AF217" s="85"/>
      <c r="AG217" s="85"/>
      <c r="AH217" s="85"/>
      <c r="AI217" s="85"/>
      <c r="AJ217" s="85"/>
      <c r="AK217" s="85"/>
      <c r="AL217" s="85"/>
      <c r="AM217" s="85"/>
      <c r="AN217" s="85"/>
      <c r="AO217" s="85"/>
      <c r="AP217" s="85"/>
    </row>
    <row r="218" spans="1:42" hidden="1" outlineLevel="1" x14ac:dyDescent="0.25">
      <c r="A218" s="50"/>
      <c r="B218" s="155" t="e">
        <f>COA!#REF!</f>
        <v>#REF!</v>
      </c>
      <c r="C218" s="127" t="e">
        <f>_xlfn.XLOOKUP(B218,#REF!,#REF!,0,0,1)</f>
        <v>#REF!</v>
      </c>
      <c r="D218" s="127" t="e">
        <f>SUMIF(#REF!,#REF!,#REF!)+SUMIF(#REF!,'FY Current'!B218,#REF!)</f>
        <v>#REF!</v>
      </c>
      <c r="E218" s="127" t="e">
        <f>_xlfn.XLOOKUP(B218,#REF!,#REF!,0,0,1)</f>
        <v>#REF!</v>
      </c>
      <c r="F218" s="127"/>
      <c r="G218" s="219" t="e">
        <f t="shared" si="4"/>
        <v>#REF!</v>
      </c>
      <c r="H218" s="178" t="e">
        <f>_xlfn.XLOOKUP($B218,COA!$B:$B,COA!$C:$C,0,0,1)</f>
        <v>#REF!</v>
      </c>
      <c r="I218" s="178" t="e">
        <f>_xlfn.XLOOKUP($B218,COA!$B:$B,COA!$D:$D,0,0,1)</f>
        <v>#REF!</v>
      </c>
      <c r="J218" s="178" t="e">
        <f>_xlfn.XLOOKUP($B218,COA!$B:$B,COA!$E:$E,0,0,1)</f>
        <v>#REF!</v>
      </c>
      <c r="K218" s="80"/>
      <c r="L218" s="19"/>
      <c r="M218" s="85" t="e">
        <f>_xlfn.XLOOKUP(J218,#REF!,#REF!,0,0,1)</f>
        <v>#REF!</v>
      </c>
      <c r="N218" s="87"/>
      <c r="O218" s="87"/>
      <c r="P218" s="87"/>
      <c r="Q218" s="87"/>
      <c r="R218" s="85"/>
      <c r="S218" s="85"/>
      <c r="T218" s="85"/>
      <c r="U218" s="85"/>
      <c r="V218" s="85"/>
      <c r="W218" s="85"/>
      <c r="X218" s="85"/>
      <c r="Y218" s="85"/>
      <c r="Z218" s="85"/>
      <c r="AA218" s="85"/>
      <c r="AB218" s="85"/>
      <c r="AC218" s="85"/>
      <c r="AD218" s="85"/>
      <c r="AE218" s="85"/>
      <c r="AF218" s="85"/>
      <c r="AG218" s="85"/>
      <c r="AH218" s="85"/>
      <c r="AI218" s="85"/>
      <c r="AJ218" s="85"/>
      <c r="AK218" s="85"/>
      <c r="AL218" s="85"/>
      <c r="AM218" s="85"/>
      <c r="AN218" s="85"/>
      <c r="AO218" s="85"/>
      <c r="AP218" s="85"/>
    </row>
    <row r="219" spans="1:42" hidden="1" outlineLevel="1" x14ac:dyDescent="0.25">
      <c r="A219" s="50"/>
      <c r="B219" s="155" t="e">
        <f>COA!#REF!</f>
        <v>#REF!</v>
      </c>
      <c r="C219" s="127" t="e">
        <f>_xlfn.XLOOKUP(B219,#REF!,#REF!,0,0,1)</f>
        <v>#REF!</v>
      </c>
      <c r="D219" s="127" t="e">
        <f>SUMIF(#REF!,#REF!,#REF!)+SUMIF(#REF!,'FY Current'!B219,#REF!)</f>
        <v>#REF!</v>
      </c>
      <c r="E219" s="127" t="e">
        <f>_xlfn.XLOOKUP(B219,#REF!,#REF!,0,0,1)</f>
        <v>#REF!</v>
      </c>
      <c r="F219" s="127"/>
      <c r="G219" s="219" t="e">
        <f t="shared" si="4"/>
        <v>#REF!</v>
      </c>
      <c r="H219" s="178" t="e">
        <f>_xlfn.XLOOKUP($B219,COA!$B:$B,COA!$C:$C,0,0,1)</f>
        <v>#REF!</v>
      </c>
      <c r="I219" s="178" t="e">
        <f>_xlfn.XLOOKUP($B219,COA!$B:$B,COA!$D:$D,0,0,1)</f>
        <v>#REF!</v>
      </c>
      <c r="J219" s="178" t="e">
        <f>_xlfn.XLOOKUP($B219,COA!$B:$B,COA!$E:$E,0,0,1)</f>
        <v>#REF!</v>
      </c>
      <c r="K219" s="80"/>
      <c r="L219" s="19"/>
      <c r="M219" s="85" t="e">
        <f>_xlfn.XLOOKUP(J219,#REF!,#REF!,0,0,1)</f>
        <v>#REF!</v>
      </c>
      <c r="N219" s="87"/>
      <c r="O219" s="87"/>
      <c r="P219" s="87"/>
      <c r="Q219" s="87"/>
      <c r="R219" s="85"/>
      <c r="S219" s="85"/>
      <c r="T219" s="85"/>
      <c r="U219" s="85"/>
      <c r="V219" s="85"/>
      <c r="W219" s="85"/>
      <c r="X219" s="85"/>
      <c r="Y219" s="85"/>
      <c r="Z219" s="85"/>
      <c r="AA219" s="85"/>
      <c r="AB219" s="85"/>
      <c r="AC219" s="85"/>
      <c r="AD219" s="85"/>
      <c r="AE219" s="85"/>
      <c r="AF219" s="85"/>
      <c r="AG219" s="85"/>
      <c r="AH219" s="85"/>
      <c r="AI219" s="85"/>
      <c r="AJ219" s="85"/>
      <c r="AK219" s="85"/>
      <c r="AL219" s="85"/>
      <c r="AM219" s="85"/>
      <c r="AN219" s="85"/>
      <c r="AO219" s="85"/>
      <c r="AP219" s="85"/>
    </row>
    <row r="220" spans="1:42" hidden="1" outlineLevel="1" x14ac:dyDescent="0.25">
      <c r="A220" s="50"/>
      <c r="B220" s="155" t="e">
        <f>COA!#REF!</f>
        <v>#REF!</v>
      </c>
      <c r="C220" s="127" t="e">
        <f>_xlfn.XLOOKUP(B220,#REF!,#REF!,0,0,1)</f>
        <v>#REF!</v>
      </c>
      <c r="D220" s="127" t="e">
        <f>SUMIF(#REF!,#REF!,#REF!)+SUMIF(#REF!,'FY Current'!B220,#REF!)</f>
        <v>#REF!</v>
      </c>
      <c r="E220" s="127" t="e">
        <f>_xlfn.XLOOKUP(B220,#REF!,#REF!,0,0,1)</f>
        <v>#REF!</v>
      </c>
      <c r="F220" s="127"/>
      <c r="G220" s="219" t="e">
        <f t="shared" si="4"/>
        <v>#REF!</v>
      </c>
      <c r="H220" s="178" t="e">
        <f>_xlfn.XLOOKUP($B220,COA!$B:$B,COA!$C:$C,0,0,1)</f>
        <v>#REF!</v>
      </c>
      <c r="I220" s="178" t="e">
        <f>_xlfn.XLOOKUP($B220,COA!$B:$B,COA!$D:$D,0,0,1)</f>
        <v>#REF!</v>
      </c>
      <c r="J220" s="178" t="e">
        <f>_xlfn.XLOOKUP($B220,COA!$B:$B,COA!$E:$E,0,0,1)</f>
        <v>#REF!</v>
      </c>
      <c r="K220" s="80"/>
      <c r="L220" s="19"/>
      <c r="M220" s="85" t="e">
        <f>_xlfn.XLOOKUP(J220,#REF!,#REF!,0,0,1)</f>
        <v>#REF!</v>
      </c>
      <c r="N220" s="87"/>
      <c r="O220" s="87"/>
      <c r="P220" s="87"/>
      <c r="Q220" s="87"/>
      <c r="R220" s="85"/>
      <c r="S220" s="85"/>
      <c r="T220" s="85"/>
      <c r="U220" s="85"/>
      <c r="V220" s="85"/>
      <c r="W220" s="85"/>
      <c r="X220" s="85"/>
      <c r="Y220" s="85"/>
      <c r="Z220" s="85"/>
      <c r="AA220" s="85"/>
      <c r="AB220" s="85"/>
      <c r="AC220" s="85"/>
      <c r="AD220" s="85"/>
      <c r="AE220" s="85"/>
      <c r="AF220" s="85"/>
      <c r="AG220" s="85"/>
      <c r="AH220" s="85"/>
      <c r="AI220" s="85"/>
      <c r="AJ220" s="85"/>
      <c r="AK220" s="85"/>
      <c r="AL220" s="85"/>
      <c r="AM220" s="85"/>
      <c r="AN220" s="85"/>
      <c r="AO220" s="85"/>
      <c r="AP220" s="85"/>
    </row>
    <row r="221" spans="1:42" hidden="1" outlineLevel="1" x14ac:dyDescent="0.25">
      <c r="A221" s="50"/>
      <c r="B221" s="155" t="e">
        <f>COA!#REF!</f>
        <v>#REF!</v>
      </c>
      <c r="C221" s="127" t="e">
        <f>_xlfn.XLOOKUP(B221,#REF!,#REF!,0,0,1)</f>
        <v>#REF!</v>
      </c>
      <c r="D221" s="127" t="e">
        <f>SUMIF(#REF!,#REF!,#REF!)+SUMIF(#REF!,'FY Current'!B221,#REF!)</f>
        <v>#REF!</v>
      </c>
      <c r="E221" s="127" t="e">
        <f>_xlfn.XLOOKUP(B221,#REF!,#REF!,0,0,1)</f>
        <v>#REF!</v>
      </c>
      <c r="F221" s="127"/>
      <c r="G221" s="219" t="e">
        <f t="shared" si="4"/>
        <v>#REF!</v>
      </c>
      <c r="H221" s="178" t="e">
        <f>_xlfn.XLOOKUP($B221,COA!$B:$B,COA!$C:$C,0,0,1)</f>
        <v>#REF!</v>
      </c>
      <c r="I221" s="178" t="e">
        <f>_xlfn.XLOOKUP($B221,COA!$B:$B,COA!$D:$D,0,0,1)</f>
        <v>#REF!</v>
      </c>
      <c r="J221" s="178" t="e">
        <f>_xlfn.XLOOKUP($B221,COA!$B:$B,COA!$E:$E,0,0,1)</f>
        <v>#REF!</v>
      </c>
      <c r="K221" s="80"/>
      <c r="L221" s="19"/>
      <c r="M221" s="85" t="e">
        <f>_xlfn.XLOOKUP(J221,#REF!,#REF!,0,0,1)</f>
        <v>#REF!</v>
      </c>
      <c r="N221" s="87"/>
      <c r="O221" s="87"/>
      <c r="P221" s="87"/>
      <c r="Q221" s="87"/>
      <c r="R221" s="85"/>
      <c r="S221" s="85"/>
      <c r="T221" s="85"/>
      <c r="U221" s="85"/>
      <c r="V221" s="85"/>
      <c r="W221" s="85"/>
      <c r="X221" s="85"/>
      <c r="Y221" s="85"/>
      <c r="Z221" s="85"/>
      <c r="AA221" s="85"/>
      <c r="AB221" s="85"/>
      <c r="AC221" s="85"/>
      <c r="AD221" s="85"/>
      <c r="AE221" s="85"/>
      <c r="AF221" s="85"/>
      <c r="AG221" s="85"/>
      <c r="AH221" s="85"/>
      <c r="AI221" s="85"/>
      <c r="AJ221" s="85"/>
      <c r="AK221" s="85"/>
      <c r="AL221" s="85"/>
      <c r="AM221" s="85"/>
      <c r="AN221" s="85"/>
      <c r="AO221" s="85"/>
      <c r="AP221" s="85"/>
    </row>
    <row r="222" spans="1:42" hidden="1" outlineLevel="1" x14ac:dyDescent="0.25">
      <c r="A222" s="50"/>
      <c r="B222" s="155" t="e">
        <f>COA!#REF!</f>
        <v>#REF!</v>
      </c>
      <c r="C222" s="127" t="e">
        <f>_xlfn.XLOOKUP(B222,#REF!,#REF!,0,0,1)</f>
        <v>#REF!</v>
      </c>
      <c r="D222" s="127" t="e">
        <f>SUMIF(#REF!,#REF!,#REF!)+SUMIF(#REF!,'FY Current'!B222,#REF!)</f>
        <v>#REF!</v>
      </c>
      <c r="E222" s="127" t="e">
        <f>_xlfn.XLOOKUP(B222,#REF!,#REF!,0,0,1)</f>
        <v>#REF!</v>
      </c>
      <c r="F222" s="127"/>
      <c r="G222" s="219" t="e">
        <f t="shared" si="4"/>
        <v>#REF!</v>
      </c>
      <c r="H222" s="178" t="e">
        <f>_xlfn.XLOOKUP($B222,COA!$B:$B,COA!$C:$C,0,0,1)</f>
        <v>#REF!</v>
      </c>
      <c r="I222" s="178" t="e">
        <f>_xlfn.XLOOKUP($B222,COA!$B:$B,COA!$D:$D,0,0,1)</f>
        <v>#REF!</v>
      </c>
      <c r="J222" s="178" t="e">
        <f>_xlfn.XLOOKUP($B222,COA!$B:$B,COA!$E:$E,0,0,1)</f>
        <v>#REF!</v>
      </c>
      <c r="K222" s="80"/>
      <c r="L222" s="19"/>
      <c r="M222" s="85" t="e">
        <f>_xlfn.XLOOKUP(J222,#REF!,#REF!,0,0,1)</f>
        <v>#REF!</v>
      </c>
      <c r="N222" s="87"/>
      <c r="O222" s="87"/>
      <c r="P222" s="87"/>
      <c r="Q222" s="87"/>
      <c r="R222" s="85"/>
      <c r="S222" s="85"/>
      <c r="T222" s="85"/>
      <c r="U222" s="85"/>
      <c r="V222" s="85"/>
      <c r="W222" s="85"/>
      <c r="X222" s="85"/>
      <c r="Y222" s="85"/>
      <c r="Z222" s="85"/>
      <c r="AA222" s="85"/>
      <c r="AB222" s="85"/>
      <c r="AC222" s="85"/>
      <c r="AD222" s="85"/>
      <c r="AE222" s="85"/>
      <c r="AF222" s="85"/>
      <c r="AG222" s="85"/>
      <c r="AH222" s="85"/>
      <c r="AI222" s="85"/>
      <c r="AJ222" s="85"/>
      <c r="AK222" s="85"/>
      <c r="AL222" s="85"/>
      <c r="AM222" s="85"/>
      <c r="AN222" s="85"/>
      <c r="AO222" s="85"/>
      <c r="AP222" s="85"/>
    </row>
    <row r="223" spans="1:42" hidden="1" outlineLevel="1" x14ac:dyDescent="0.25">
      <c r="A223" s="50"/>
      <c r="B223" s="155" t="e">
        <f>COA!#REF!</f>
        <v>#REF!</v>
      </c>
      <c r="C223" s="127" t="e">
        <f>_xlfn.XLOOKUP(B223,#REF!,#REF!,0,0,1)</f>
        <v>#REF!</v>
      </c>
      <c r="D223" s="127" t="e">
        <f>SUMIF(#REF!,#REF!,#REF!)+SUMIF(#REF!,'FY Current'!B223,#REF!)</f>
        <v>#REF!</v>
      </c>
      <c r="E223" s="127" t="e">
        <f>_xlfn.XLOOKUP(B223,#REF!,#REF!,0,0,1)</f>
        <v>#REF!</v>
      </c>
      <c r="F223" s="127"/>
      <c r="G223" s="219" t="e">
        <f t="shared" si="4"/>
        <v>#REF!</v>
      </c>
      <c r="H223" s="178" t="e">
        <f>_xlfn.XLOOKUP($B223,COA!$B:$B,COA!$C:$C,0,0,1)</f>
        <v>#REF!</v>
      </c>
      <c r="I223" s="178" t="e">
        <f>_xlfn.XLOOKUP($B223,COA!$B:$B,COA!$D:$D,0,0,1)</f>
        <v>#REF!</v>
      </c>
      <c r="J223" s="178" t="e">
        <f>_xlfn.XLOOKUP($B223,COA!$B:$B,COA!$E:$E,0,0,1)</f>
        <v>#REF!</v>
      </c>
      <c r="K223" s="80"/>
      <c r="L223" s="19"/>
      <c r="M223" s="85" t="e">
        <f>_xlfn.XLOOKUP(J223,#REF!,#REF!,0,0,1)</f>
        <v>#REF!</v>
      </c>
      <c r="N223" s="87"/>
      <c r="O223" s="87"/>
      <c r="P223" s="87"/>
      <c r="Q223" s="87"/>
      <c r="R223" s="85"/>
      <c r="S223" s="85"/>
      <c r="T223" s="85"/>
      <c r="U223" s="85"/>
      <c r="V223" s="85"/>
      <c r="W223" s="85"/>
      <c r="X223" s="85"/>
      <c r="Y223" s="85"/>
      <c r="Z223" s="85"/>
      <c r="AA223" s="85"/>
      <c r="AB223" s="85"/>
      <c r="AC223" s="85"/>
      <c r="AD223" s="85"/>
      <c r="AE223" s="85"/>
      <c r="AF223" s="85"/>
      <c r="AG223" s="85"/>
      <c r="AH223" s="85"/>
      <c r="AI223" s="85"/>
      <c r="AJ223" s="85"/>
      <c r="AK223" s="85"/>
      <c r="AL223" s="85"/>
      <c r="AM223" s="85"/>
      <c r="AN223" s="85"/>
      <c r="AO223" s="85"/>
      <c r="AP223" s="85"/>
    </row>
    <row r="224" spans="1:42" hidden="1" outlineLevel="1" x14ac:dyDescent="0.25">
      <c r="A224" s="50"/>
      <c r="B224" s="155" t="e">
        <f>COA!#REF!</f>
        <v>#REF!</v>
      </c>
      <c r="C224" s="127" t="e">
        <f>_xlfn.XLOOKUP(B224,#REF!,#REF!,0,0,1)</f>
        <v>#REF!</v>
      </c>
      <c r="D224" s="127" t="e">
        <f>SUMIF(#REF!,#REF!,#REF!)+SUMIF(#REF!,'FY Current'!B224,#REF!)</f>
        <v>#REF!</v>
      </c>
      <c r="E224" s="127" t="e">
        <f>_xlfn.XLOOKUP(B224,#REF!,#REF!,0,0,1)</f>
        <v>#REF!</v>
      </c>
      <c r="F224" s="127"/>
      <c r="G224" s="219" t="e">
        <f t="shared" si="4"/>
        <v>#REF!</v>
      </c>
      <c r="H224" s="178" t="e">
        <f>_xlfn.XLOOKUP($B224,COA!$B:$B,COA!$C:$C,0,0,1)</f>
        <v>#REF!</v>
      </c>
      <c r="I224" s="178" t="e">
        <f>_xlfn.XLOOKUP($B224,COA!$B:$B,COA!$D:$D,0,0,1)</f>
        <v>#REF!</v>
      </c>
      <c r="J224" s="178" t="e">
        <f>_xlfn.XLOOKUP($B224,COA!$B:$B,COA!$E:$E,0,0,1)</f>
        <v>#REF!</v>
      </c>
      <c r="K224" s="80"/>
      <c r="L224" s="19"/>
      <c r="M224" s="85" t="e">
        <f>_xlfn.XLOOKUP(J224,#REF!,#REF!,0,0,1)</f>
        <v>#REF!</v>
      </c>
      <c r="N224" s="87"/>
      <c r="O224" s="87"/>
      <c r="P224" s="87"/>
      <c r="Q224" s="87"/>
      <c r="R224" s="85"/>
      <c r="S224" s="85"/>
      <c r="T224" s="85"/>
      <c r="U224" s="85"/>
      <c r="V224" s="85"/>
      <c r="W224" s="85"/>
      <c r="X224" s="85"/>
      <c r="Y224" s="85"/>
      <c r="Z224" s="85"/>
      <c r="AA224" s="85"/>
      <c r="AB224" s="85"/>
      <c r="AC224" s="85"/>
      <c r="AD224" s="85"/>
      <c r="AE224" s="85"/>
      <c r="AF224" s="85"/>
      <c r="AG224" s="85"/>
      <c r="AH224" s="85"/>
      <c r="AI224" s="85"/>
      <c r="AJ224" s="85"/>
      <c r="AK224" s="85"/>
      <c r="AL224" s="85"/>
      <c r="AM224" s="85"/>
      <c r="AN224" s="85"/>
      <c r="AO224" s="85"/>
      <c r="AP224" s="85"/>
    </row>
    <row r="225" spans="1:42" hidden="1" outlineLevel="1" x14ac:dyDescent="0.25">
      <c r="A225" s="50"/>
      <c r="B225" s="155" t="e">
        <f>COA!#REF!</f>
        <v>#REF!</v>
      </c>
      <c r="C225" s="127" t="e">
        <f>_xlfn.XLOOKUP(B225,#REF!,#REF!,0,0,1)</f>
        <v>#REF!</v>
      </c>
      <c r="D225" s="127" t="e">
        <f>SUMIF(#REF!,#REF!,#REF!)+SUMIF(#REF!,'FY Current'!B225,#REF!)</f>
        <v>#REF!</v>
      </c>
      <c r="E225" s="127" t="e">
        <f>_xlfn.XLOOKUP(B225,#REF!,#REF!,0,0,1)</f>
        <v>#REF!</v>
      </c>
      <c r="F225" s="127"/>
      <c r="G225" s="219" t="e">
        <f t="shared" si="4"/>
        <v>#REF!</v>
      </c>
      <c r="H225" s="178" t="e">
        <f>_xlfn.XLOOKUP($B225,COA!$B:$B,COA!$C:$C,0,0,1)</f>
        <v>#REF!</v>
      </c>
      <c r="I225" s="178" t="e">
        <f>_xlfn.XLOOKUP($B225,COA!$B:$B,COA!$D:$D,0,0,1)</f>
        <v>#REF!</v>
      </c>
      <c r="J225" s="178" t="e">
        <f>_xlfn.XLOOKUP($B225,COA!$B:$B,COA!$E:$E,0,0,1)</f>
        <v>#REF!</v>
      </c>
      <c r="K225" s="80"/>
      <c r="L225" s="19"/>
      <c r="M225" s="85" t="e">
        <f>_xlfn.XLOOKUP(J225,#REF!,#REF!,0,0,1)</f>
        <v>#REF!</v>
      </c>
      <c r="N225" s="87"/>
      <c r="O225" s="87"/>
      <c r="P225" s="87"/>
      <c r="Q225" s="87"/>
      <c r="R225" s="85"/>
      <c r="S225" s="85"/>
      <c r="T225" s="85"/>
      <c r="U225" s="85"/>
      <c r="V225" s="85"/>
      <c r="W225" s="85"/>
      <c r="X225" s="85"/>
      <c r="Y225" s="85"/>
      <c r="Z225" s="85"/>
      <c r="AA225" s="85"/>
      <c r="AB225" s="85"/>
      <c r="AC225" s="85"/>
      <c r="AD225" s="85"/>
      <c r="AE225" s="85"/>
      <c r="AF225" s="85"/>
      <c r="AG225" s="85"/>
      <c r="AH225" s="85"/>
      <c r="AI225" s="85"/>
      <c r="AJ225" s="85"/>
      <c r="AK225" s="85"/>
      <c r="AL225" s="85"/>
      <c r="AM225" s="85"/>
      <c r="AN225" s="85"/>
      <c r="AO225" s="85"/>
      <c r="AP225" s="85"/>
    </row>
    <row r="226" spans="1:42" hidden="1" outlineLevel="1" x14ac:dyDescent="0.25">
      <c r="A226" s="50"/>
      <c r="B226" s="155" t="e">
        <f>COA!#REF!</f>
        <v>#REF!</v>
      </c>
      <c r="C226" s="127" t="e">
        <f>_xlfn.XLOOKUP(B226,#REF!,#REF!,0,0,1)</f>
        <v>#REF!</v>
      </c>
      <c r="D226" s="127" t="e">
        <f>SUMIF(#REF!,#REF!,#REF!)+SUMIF(#REF!,'FY Current'!B226,#REF!)</f>
        <v>#REF!</v>
      </c>
      <c r="E226" s="127" t="e">
        <f>_xlfn.XLOOKUP(B226,#REF!,#REF!,0,0,1)</f>
        <v>#REF!</v>
      </c>
      <c r="F226" s="127"/>
      <c r="G226" s="219" t="e">
        <f t="shared" si="4"/>
        <v>#REF!</v>
      </c>
      <c r="H226" s="178" t="e">
        <f>_xlfn.XLOOKUP($B226,COA!$B:$B,COA!$C:$C,0,0,1)</f>
        <v>#REF!</v>
      </c>
      <c r="I226" s="178" t="e">
        <f>_xlfn.XLOOKUP($B226,COA!$B:$B,COA!$D:$D,0,0,1)</f>
        <v>#REF!</v>
      </c>
      <c r="J226" s="178" t="e">
        <f>_xlfn.XLOOKUP($B226,COA!$B:$B,COA!$E:$E,0,0,1)</f>
        <v>#REF!</v>
      </c>
      <c r="K226" s="80"/>
      <c r="L226" s="19"/>
      <c r="M226" s="85" t="e">
        <f>_xlfn.XLOOKUP(J226,#REF!,#REF!,0,0,1)</f>
        <v>#REF!</v>
      </c>
      <c r="N226" s="87"/>
      <c r="O226" s="87"/>
      <c r="P226" s="87"/>
      <c r="Q226" s="87"/>
      <c r="R226" s="85"/>
      <c r="S226" s="85"/>
      <c r="T226" s="85"/>
      <c r="U226" s="85"/>
      <c r="V226" s="85"/>
      <c r="W226" s="85"/>
      <c r="X226" s="85"/>
      <c r="Y226" s="85"/>
      <c r="Z226" s="85"/>
      <c r="AA226" s="85"/>
      <c r="AB226" s="85"/>
      <c r="AC226" s="85"/>
      <c r="AD226" s="85"/>
      <c r="AE226" s="85"/>
      <c r="AF226" s="85"/>
      <c r="AG226" s="85"/>
      <c r="AH226" s="85"/>
      <c r="AI226" s="85"/>
      <c r="AJ226" s="85"/>
      <c r="AK226" s="85"/>
      <c r="AL226" s="85"/>
      <c r="AM226" s="85"/>
      <c r="AN226" s="85"/>
      <c r="AO226" s="85"/>
      <c r="AP226" s="85"/>
    </row>
    <row r="227" spans="1:42" hidden="1" outlineLevel="1" x14ac:dyDescent="0.25">
      <c r="A227" s="50"/>
      <c r="B227" s="155" t="e">
        <f>COA!#REF!</f>
        <v>#REF!</v>
      </c>
      <c r="C227" s="127" t="e">
        <f>_xlfn.XLOOKUP(B227,#REF!,#REF!,0,0,1)</f>
        <v>#REF!</v>
      </c>
      <c r="D227" s="127" t="e">
        <f>SUMIF(#REF!,#REF!,#REF!)+SUMIF(#REF!,'FY Current'!B227,#REF!)</f>
        <v>#REF!</v>
      </c>
      <c r="E227" s="127" t="e">
        <f>_xlfn.XLOOKUP(B227,#REF!,#REF!,0,0,1)</f>
        <v>#REF!</v>
      </c>
      <c r="F227" s="127"/>
      <c r="G227" s="219" t="e">
        <f t="shared" si="4"/>
        <v>#REF!</v>
      </c>
      <c r="H227" s="178" t="e">
        <f>_xlfn.XLOOKUP($B227,COA!$B:$B,COA!$C:$C,0,0,1)</f>
        <v>#REF!</v>
      </c>
      <c r="I227" s="178" t="e">
        <f>_xlfn.XLOOKUP($B227,COA!$B:$B,COA!$D:$D,0,0,1)</f>
        <v>#REF!</v>
      </c>
      <c r="J227" s="178" t="e">
        <f>_xlfn.XLOOKUP($B227,COA!$B:$B,COA!$E:$E,0,0,1)</f>
        <v>#REF!</v>
      </c>
      <c r="K227" s="80"/>
      <c r="L227" s="19"/>
      <c r="M227" s="85" t="e">
        <f>_xlfn.XLOOKUP(J227,#REF!,#REF!,0,0,1)</f>
        <v>#REF!</v>
      </c>
      <c r="N227" s="87"/>
      <c r="O227" s="87"/>
      <c r="P227" s="87"/>
      <c r="Q227" s="87"/>
      <c r="R227" s="85"/>
      <c r="S227" s="85"/>
      <c r="T227" s="85"/>
      <c r="U227" s="85"/>
      <c r="V227" s="85"/>
      <c r="W227" s="85"/>
      <c r="X227" s="85"/>
      <c r="Y227" s="85"/>
      <c r="Z227" s="85"/>
      <c r="AA227" s="85"/>
      <c r="AB227" s="85"/>
      <c r="AC227" s="85"/>
      <c r="AD227" s="85"/>
      <c r="AE227" s="85"/>
      <c r="AF227" s="85"/>
      <c r="AG227" s="85"/>
      <c r="AH227" s="85"/>
      <c r="AI227" s="85"/>
      <c r="AJ227" s="85"/>
      <c r="AK227" s="85"/>
      <c r="AL227" s="85"/>
      <c r="AM227" s="85"/>
      <c r="AN227" s="85"/>
      <c r="AO227" s="85"/>
      <c r="AP227" s="85"/>
    </row>
    <row r="228" spans="1:42" hidden="1" outlineLevel="1" x14ac:dyDescent="0.25">
      <c r="A228" s="50"/>
      <c r="B228" s="155" t="e">
        <f>COA!#REF!</f>
        <v>#REF!</v>
      </c>
      <c r="C228" s="127" t="e">
        <f>_xlfn.XLOOKUP(B228,#REF!,#REF!,0,0,1)</f>
        <v>#REF!</v>
      </c>
      <c r="D228" s="127" t="e">
        <f>SUMIF(#REF!,#REF!,#REF!)+SUMIF(#REF!,'FY Current'!B228,#REF!)</f>
        <v>#REF!</v>
      </c>
      <c r="E228" s="127" t="e">
        <f>_xlfn.XLOOKUP(B228,#REF!,#REF!,0,0,1)</f>
        <v>#REF!</v>
      </c>
      <c r="F228" s="127"/>
      <c r="G228" s="219" t="e">
        <f t="shared" si="4"/>
        <v>#REF!</v>
      </c>
      <c r="H228" s="178" t="e">
        <f>_xlfn.XLOOKUP($B228,COA!$B:$B,COA!$C:$C,0,0,1)</f>
        <v>#REF!</v>
      </c>
      <c r="I228" s="178" t="e">
        <f>_xlfn.XLOOKUP($B228,COA!$B:$B,COA!$D:$D,0,0,1)</f>
        <v>#REF!</v>
      </c>
      <c r="J228" s="178" t="e">
        <f>_xlfn.XLOOKUP($B228,COA!$B:$B,COA!$E:$E,0,0,1)</f>
        <v>#REF!</v>
      </c>
      <c r="K228" s="80"/>
      <c r="L228" s="19"/>
      <c r="M228" s="85" t="e">
        <f>_xlfn.XLOOKUP(J228,#REF!,#REF!,0,0,1)</f>
        <v>#REF!</v>
      </c>
      <c r="N228" s="87"/>
      <c r="O228" s="87"/>
      <c r="P228" s="87"/>
      <c r="Q228" s="87"/>
      <c r="R228" s="85"/>
      <c r="S228" s="85"/>
      <c r="T228" s="85"/>
      <c r="U228" s="85"/>
      <c r="V228" s="85"/>
      <c r="W228" s="85"/>
      <c r="X228" s="85"/>
      <c r="Y228" s="85"/>
      <c r="Z228" s="85"/>
      <c r="AA228" s="85"/>
      <c r="AB228" s="85"/>
      <c r="AC228" s="85"/>
      <c r="AD228" s="85"/>
      <c r="AE228" s="85"/>
      <c r="AF228" s="85"/>
      <c r="AG228" s="85"/>
      <c r="AH228" s="85"/>
      <c r="AI228" s="85"/>
      <c r="AJ228" s="85"/>
      <c r="AK228" s="85"/>
      <c r="AL228" s="85"/>
      <c r="AM228" s="85"/>
      <c r="AN228" s="85"/>
      <c r="AO228" s="85"/>
      <c r="AP228" s="85"/>
    </row>
    <row r="229" spans="1:42" hidden="1" outlineLevel="1" x14ac:dyDescent="0.25">
      <c r="A229" s="50"/>
      <c r="B229" s="155" t="e">
        <f>COA!#REF!</f>
        <v>#REF!</v>
      </c>
      <c r="C229" s="127" t="e">
        <f>_xlfn.XLOOKUP(B229,#REF!,#REF!,0,0,1)</f>
        <v>#REF!</v>
      </c>
      <c r="D229" s="127" t="e">
        <f>SUMIF(#REF!,#REF!,#REF!)+SUMIF(#REF!,'FY Current'!B229,#REF!)</f>
        <v>#REF!</v>
      </c>
      <c r="E229" s="127" t="e">
        <f>_xlfn.XLOOKUP(B229,#REF!,#REF!,0,0,1)</f>
        <v>#REF!</v>
      </c>
      <c r="F229" s="127"/>
      <c r="G229" s="219" t="e">
        <f t="shared" si="4"/>
        <v>#REF!</v>
      </c>
      <c r="H229" s="178" t="e">
        <f>_xlfn.XLOOKUP($B229,COA!$B:$B,COA!$C:$C,0,0,1)</f>
        <v>#REF!</v>
      </c>
      <c r="I229" s="178" t="e">
        <f>_xlfn.XLOOKUP($B229,COA!$B:$B,COA!$D:$D,0,0,1)</f>
        <v>#REF!</v>
      </c>
      <c r="J229" s="178" t="e">
        <f>_xlfn.XLOOKUP($B229,COA!$B:$B,COA!$E:$E,0,0,1)</f>
        <v>#REF!</v>
      </c>
      <c r="K229" s="80"/>
      <c r="L229" s="19"/>
      <c r="M229" s="85" t="e">
        <f>_xlfn.XLOOKUP(J229,#REF!,#REF!,0,0,1)</f>
        <v>#REF!</v>
      </c>
      <c r="N229" s="87"/>
      <c r="O229" s="87"/>
      <c r="P229" s="87"/>
      <c r="Q229" s="87"/>
      <c r="R229" s="85"/>
      <c r="S229" s="85"/>
      <c r="T229" s="85"/>
      <c r="U229" s="85"/>
      <c r="V229" s="85"/>
      <c r="W229" s="85"/>
      <c r="X229" s="85"/>
      <c r="Y229" s="85"/>
      <c r="Z229" s="85"/>
      <c r="AA229" s="85"/>
      <c r="AB229" s="85"/>
      <c r="AC229" s="85"/>
      <c r="AD229" s="85"/>
      <c r="AE229" s="85"/>
      <c r="AF229" s="85"/>
      <c r="AG229" s="85"/>
      <c r="AH229" s="85"/>
      <c r="AI229" s="85"/>
      <c r="AJ229" s="85"/>
      <c r="AK229" s="85"/>
      <c r="AL229" s="85"/>
      <c r="AM229" s="85"/>
      <c r="AN229" s="85"/>
      <c r="AO229" s="85"/>
      <c r="AP229" s="85"/>
    </row>
    <row r="230" spans="1:42" hidden="1" outlineLevel="1" x14ac:dyDescent="0.25">
      <c r="A230" s="50"/>
      <c r="B230" s="155" t="e">
        <f>COA!#REF!</f>
        <v>#REF!</v>
      </c>
      <c r="C230" s="127" t="e">
        <f>_xlfn.XLOOKUP(B230,#REF!,#REF!,0,0,1)</f>
        <v>#REF!</v>
      </c>
      <c r="D230" s="127" t="e">
        <f>SUMIF(#REF!,#REF!,#REF!)+SUMIF(#REF!,'FY Current'!B230,#REF!)</f>
        <v>#REF!</v>
      </c>
      <c r="E230" s="127" t="e">
        <f>_xlfn.XLOOKUP(B230,#REF!,#REF!,0,0,1)</f>
        <v>#REF!</v>
      </c>
      <c r="F230" s="127"/>
      <c r="G230" s="219" t="e">
        <f t="shared" si="4"/>
        <v>#REF!</v>
      </c>
      <c r="H230" s="178" t="e">
        <f>_xlfn.XLOOKUP($B230,COA!$B:$B,COA!$C:$C,0,0,1)</f>
        <v>#REF!</v>
      </c>
      <c r="I230" s="178" t="e">
        <f>_xlfn.XLOOKUP($B230,COA!$B:$B,COA!$D:$D,0,0,1)</f>
        <v>#REF!</v>
      </c>
      <c r="J230" s="178" t="e">
        <f>_xlfn.XLOOKUP($B230,COA!$B:$B,COA!$E:$E,0,0,1)</f>
        <v>#REF!</v>
      </c>
      <c r="K230" s="80"/>
      <c r="L230" s="19"/>
      <c r="M230" s="85" t="e">
        <f>_xlfn.XLOOKUP(J230,#REF!,#REF!,0,0,1)</f>
        <v>#REF!</v>
      </c>
      <c r="N230" s="87"/>
      <c r="O230" s="87"/>
      <c r="P230" s="87"/>
      <c r="Q230" s="87"/>
      <c r="R230" s="85"/>
      <c r="S230" s="85"/>
      <c r="T230" s="85"/>
      <c r="U230" s="85"/>
      <c r="V230" s="85"/>
      <c r="W230" s="85"/>
      <c r="X230" s="85"/>
      <c r="Y230" s="85"/>
      <c r="Z230" s="85"/>
      <c r="AA230" s="85"/>
      <c r="AB230" s="85"/>
      <c r="AC230" s="85"/>
      <c r="AD230" s="85"/>
      <c r="AE230" s="85"/>
      <c r="AF230" s="85"/>
      <c r="AG230" s="85"/>
      <c r="AH230" s="85"/>
      <c r="AI230" s="85"/>
      <c r="AJ230" s="85"/>
      <c r="AK230" s="85"/>
      <c r="AL230" s="85"/>
      <c r="AM230" s="85"/>
      <c r="AN230" s="85"/>
      <c r="AO230" s="85"/>
      <c r="AP230" s="85"/>
    </row>
    <row r="231" spans="1:42" hidden="1" outlineLevel="1" x14ac:dyDescent="0.25">
      <c r="A231" s="50"/>
      <c r="B231" s="155" t="e">
        <f>COA!#REF!</f>
        <v>#REF!</v>
      </c>
      <c r="C231" s="127" t="e">
        <f>_xlfn.XLOOKUP(B231,#REF!,#REF!,0,0,1)</f>
        <v>#REF!</v>
      </c>
      <c r="D231" s="127" t="e">
        <f>SUMIF(#REF!,#REF!,#REF!)+SUMIF(#REF!,'FY Current'!B231,#REF!)</f>
        <v>#REF!</v>
      </c>
      <c r="E231" s="127" t="e">
        <f>_xlfn.XLOOKUP(B231,#REF!,#REF!,0,0,1)</f>
        <v>#REF!</v>
      </c>
      <c r="F231" s="127"/>
      <c r="G231" s="219" t="e">
        <f t="shared" si="4"/>
        <v>#REF!</v>
      </c>
      <c r="H231" s="178" t="e">
        <f>_xlfn.XLOOKUP($B231,COA!$B:$B,COA!$C:$C,0,0,1)</f>
        <v>#REF!</v>
      </c>
      <c r="I231" s="178" t="e">
        <f>_xlfn.XLOOKUP($B231,COA!$B:$B,COA!$D:$D,0,0,1)</f>
        <v>#REF!</v>
      </c>
      <c r="J231" s="178" t="e">
        <f>_xlfn.XLOOKUP($B231,COA!$B:$B,COA!$E:$E,0,0,1)</f>
        <v>#REF!</v>
      </c>
      <c r="K231" s="80"/>
      <c r="L231" s="19"/>
      <c r="M231" s="85" t="e">
        <f>_xlfn.XLOOKUP(J231,#REF!,#REF!,0,0,1)</f>
        <v>#REF!</v>
      </c>
      <c r="N231" s="87"/>
      <c r="O231" s="87"/>
      <c r="P231" s="87"/>
      <c r="Q231" s="87"/>
      <c r="R231" s="85"/>
      <c r="S231" s="85"/>
      <c r="T231" s="85"/>
      <c r="U231" s="85"/>
      <c r="V231" s="85"/>
      <c r="W231" s="85"/>
      <c r="X231" s="85"/>
      <c r="Y231" s="85"/>
      <c r="Z231" s="85"/>
      <c r="AA231" s="85"/>
      <c r="AB231" s="85"/>
      <c r="AC231" s="85"/>
      <c r="AD231" s="85"/>
      <c r="AE231" s="85"/>
      <c r="AF231" s="85"/>
      <c r="AG231" s="85"/>
      <c r="AH231" s="85"/>
      <c r="AI231" s="85"/>
      <c r="AJ231" s="85"/>
      <c r="AK231" s="85"/>
      <c r="AL231" s="85"/>
      <c r="AM231" s="85"/>
      <c r="AN231" s="85"/>
      <c r="AO231" s="85"/>
      <c r="AP231" s="85"/>
    </row>
    <row r="232" spans="1:42" hidden="1" outlineLevel="1" x14ac:dyDescent="0.25">
      <c r="A232" s="50"/>
      <c r="B232" s="155" t="e">
        <f>COA!#REF!</f>
        <v>#REF!</v>
      </c>
      <c r="C232" s="127" t="e">
        <f>_xlfn.XLOOKUP(B232,#REF!,#REF!,0,0,1)</f>
        <v>#REF!</v>
      </c>
      <c r="D232" s="127" t="e">
        <f>SUMIF(#REF!,#REF!,#REF!)+SUMIF(#REF!,'FY Current'!B232,#REF!)</f>
        <v>#REF!</v>
      </c>
      <c r="E232" s="127" t="e">
        <f>_xlfn.XLOOKUP(B232,#REF!,#REF!,0,0,1)</f>
        <v>#REF!</v>
      </c>
      <c r="F232" s="127"/>
      <c r="G232" s="219" t="e">
        <f t="shared" si="4"/>
        <v>#REF!</v>
      </c>
      <c r="H232" s="178" t="e">
        <f>_xlfn.XLOOKUP($B232,COA!$B:$B,COA!$C:$C,0,0,1)</f>
        <v>#REF!</v>
      </c>
      <c r="I232" s="178" t="e">
        <f>_xlfn.XLOOKUP($B232,COA!$B:$B,COA!$D:$D,0,0,1)</f>
        <v>#REF!</v>
      </c>
      <c r="J232" s="178" t="e">
        <f>_xlfn.XLOOKUP($B232,COA!$B:$B,COA!$E:$E,0,0,1)</f>
        <v>#REF!</v>
      </c>
      <c r="K232" s="80"/>
      <c r="L232" s="19"/>
      <c r="M232" s="85" t="e">
        <f>_xlfn.XLOOKUP(J232,#REF!,#REF!,0,0,1)</f>
        <v>#REF!</v>
      </c>
      <c r="N232" s="87"/>
      <c r="O232" s="87"/>
      <c r="P232" s="87"/>
      <c r="Q232" s="87"/>
      <c r="R232" s="85"/>
      <c r="S232" s="85"/>
      <c r="T232" s="85"/>
      <c r="U232" s="85"/>
      <c r="V232" s="85"/>
      <c r="W232" s="85"/>
      <c r="X232" s="85"/>
      <c r="Y232" s="85"/>
      <c r="Z232" s="85"/>
      <c r="AA232" s="85"/>
      <c r="AB232" s="85"/>
      <c r="AC232" s="85"/>
      <c r="AD232" s="85"/>
      <c r="AE232" s="85"/>
      <c r="AF232" s="85"/>
      <c r="AG232" s="85"/>
      <c r="AH232" s="85"/>
      <c r="AI232" s="85"/>
      <c r="AJ232" s="85"/>
      <c r="AK232" s="85"/>
      <c r="AL232" s="85"/>
      <c r="AM232" s="85"/>
      <c r="AN232" s="85"/>
      <c r="AO232" s="85"/>
      <c r="AP232" s="85"/>
    </row>
    <row r="233" spans="1:42" hidden="1" outlineLevel="1" x14ac:dyDescent="0.25">
      <c r="A233" s="50"/>
      <c r="B233" s="155" t="e">
        <f>COA!#REF!</f>
        <v>#REF!</v>
      </c>
      <c r="C233" s="127" t="e">
        <f>_xlfn.XLOOKUP(B233,#REF!,#REF!,0,0,1)</f>
        <v>#REF!</v>
      </c>
      <c r="D233" s="127" t="e">
        <f>SUMIF(#REF!,#REF!,#REF!)+SUMIF(#REF!,'FY Current'!B233,#REF!)</f>
        <v>#REF!</v>
      </c>
      <c r="E233" s="127" t="e">
        <f>_xlfn.XLOOKUP(B233,#REF!,#REF!,0,0,1)</f>
        <v>#REF!</v>
      </c>
      <c r="F233" s="127"/>
      <c r="G233" s="219" t="e">
        <f t="shared" si="4"/>
        <v>#REF!</v>
      </c>
      <c r="H233" s="178" t="e">
        <f>_xlfn.XLOOKUP($B233,COA!$B:$B,COA!$C:$C,0,0,1)</f>
        <v>#REF!</v>
      </c>
      <c r="I233" s="178" t="e">
        <f>_xlfn.XLOOKUP($B233,COA!$B:$B,COA!$D:$D,0,0,1)</f>
        <v>#REF!</v>
      </c>
      <c r="J233" s="178" t="e">
        <f>_xlfn.XLOOKUP($B233,COA!$B:$B,COA!$E:$E,0,0,1)</f>
        <v>#REF!</v>
      </c>
      <c r="K233" s="80"/>
      <c r="L233" s="19"/>
      <c r="M233" s="85" t="e">
        <f>_xlfn.XLOOKUP(J233,#REF!,#REF!,0,0,1)</f>
        <v>#REF!</v>
      </c>
      <c r="N233" s="87"/>
      <c r="O233" s="87"/>
      <c r="P233" s="87"/>
      <c r="Q233" s="87"/>
      <c r="R233" s="85"/>
      <c r="S233" s="85"/>
      <c r="T233" s="85"/>
      <c r="U233" s="85"/>
      <c r="V233" s="85"/>
      <c r="W233" s="85"/>
      <c r="X233" s="85"/>
      <c r="Y233" s="85"/>
      <c r="Z233" s="85"/>
      <c r="AA233" s="85"/>
      <c r="AB233" s="85"/>
      <c r="AC233" s="85"/>
      <c r="AD233" s="85"/>
      <c r="AE233" s="85"/>
      <c r="AF233" s="85"/>
      <c r="AG233" s="85"/>
      <c r="AH233" s="85"/>
      <c r="AI233" s="85"/>
      <c r="AJ233" s="85"/>
      <c r="AK233" s="85"/>
      <c r="AL233" s="85"/>
      <c r="AM233" s="85"/>
      <c r="AN233" s="85"/>
      <c r="AO233" s="85"/>
      <c r="AP233" s="85"/>
    </row>
    <row r="234" spans="1:42" hidden="1" outlineLevel="1" x14ac:dyDescent="0.25">
      <c r="A234" s="50"/>
      <c r="B234" s="155" t="e">
        <f>COA!#REF!</f>
        <v>#REF!</v>
      </c>
      <c r="C234" s="127" t="e">
        <f>_xlfn.XLOOKUP(B234,#REF!,#REF!,0,0,1)</f>
        <v>#REF!</v>
      </c>
      <c r="D234" s="127" t="e">
        <f>SUMIF(#REF!,#REF!,#REF!)+SUMIF(#REF!,'FY Current'!B234,#REF!)</f>
        <v>#REF!</v>
      </c>
      <c r="E234" s="127" t="e">
        <f>_xlfn.XLOOKUP(B234,#REF!,#REF!,0,0,1)</f>
        <v>#REF!</v>
      </c>
      <c r="F234" s="127"/>
      <c r="G234" s="219" t="e">
        <f t="shared" si="4"/>
        <v>#REF!</v>
      </c>
      <c r="H234" s="178" t="e">
        <f>_xlfn.XLOOKUP($B234,COA!$B:$B,COA!$C:$C,0,0,1)</f>
        <v>#REF!</v>
      </c>
      <c r="I234" s="178" t="e">
        <f>_xlfn.XLOOKUP($B234,COA!$B:$B,COA!$D:$D,0,0,1)</f>
        <v>#REF!</v>
      </c>
      <c r="J234" s="178" t="e">
        <f>_xlfn.XLOOKUP($B234,COA!$B:$B,COA!$E:$E,0,0,1)</f>
        <v>#REF!</v>
      </c>
      <c r="K234" s="80"/>
      <c r="L234" s="19"/>
      <c r="M234" s="85" t="e">
        <f>_xlfn.XLOOKUP(J234,#REF!,#REF!,0,0,1)</f>
        <v>#REF!</v>
      </c>
      <c r="N234" s="87"/>
      <c r="O234" s="87"/>
      <c r="P234" s="87"/>
      <c r="Q234" s="87"/>
      <c r="R234" s="85"/>
      <c r="S234" s="85"/>
      <c r="T234" s="85"/>
      <c r="U234" s="85"/>
      <c r="V234" s="85"/>
      <c r="W234" s="85"/>
      <c r="X234" s="85"/>
      <c r="Y234" s="85"/>
      <c r="Z234" s="85"/>
      <c r="AA234" s="85"/>
      <c r="AB234" s="85"/>
      <c r="AC234" s="85"/>
      <c r="AD234" s="85"/>
      <c r="AE234" s="85"/>
      <c r="AF234" s="85"/>
      <c r="AG234" s="85"/>
      <c r="AH234" s="85"/>
      <c r="AI234" s="85"/>
      <c r="AJ234" s="85"/>
      <c r="AK234" s="85"/>
      <c r="AL234" s="85"/>
      <c r="AM234" s="85"/>
      <c r="AN234" s="85"/>
      <c r="AO234" s="85"/>
      <c r="AP234" s="85"/>
    </row>
    <row r="235" spans="1:42" hidden="1" outlineLevel="1" x14ac:dyDescent="0.25">
      <c r="A235" s="50"/>
      <c r="B235" s="155" t="e">
        <f>COA!#REF!</f>
        <v>#REF!</v>
      </c>
      <c r="C235" s="127" t="e">
        <f>_xlfn.XLOOKUP(B235,#REF!,#REF!,0,0,1)</f>
        <v>#REF!</v>
      </c>
      <c r="D235" s="127" t="e">
        <f>SUMIF(#REF!,#REF!,#REF!)+SUMIF(#REF!,'FY Current'!B235,#REF!)</f>
        <v>#REF!</v>
      </c>
      <c r="E235" s="127" t="e">
        <f>_xlfn.XLOOKUP(B235,#REF!,#REF!,0,0,1)</f>
        <v>#REF!</v>
      </c>
      <c r="F235" s="127"/>
      <c r="G235" s="219" t="e">
        <f t="shared" si="4"/>
        <v>#REF!</v>
      </c>
      <c r="H235" s="178" t="e">
        <f>_xlfn.XLOOKUP($B235,COA!$B:$B,COA!$C:$C,0,0,1)</f>
        <v>#REF!</v>
      </c>
      <c r="I235" s="178" t="e">
        <f>_xlfn.XLOOKUP($B235,COA!$B:$B,COA!$D:$D,0,0,1)</f>
        <v>#REF!</v>
      </c>
      <c r="J235" s="178" t="e">
        <f>_xlfn.XLOOKUP($B235,COA!$B:$B,COA!$E:$E,0,0,1)</f>
        <v>#REF!</v>
      </c>
      <c r="K235" s="80"/>
      <c r="L235" s="19"/>
      <c r="M235" s="85" t="e">
        <f>_xlfn.XLOOKUP(J235,#REF!,#REF!,0,0,1)</f>
        <v>#REF!</v>
      </c>
      <c r="N235" s="87"/>
      <c r="O235" s="87"/>
      <c r="P235" s="87"/>
      <c r="Q235" s="87"/>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row>
    <row r="236" spans="1:42" hidden="1" outlineLevel="1" x14ac:dyDescent="0.25">
      <c r="A236" s="50"/>
      <c r="B236" s="155" t="e">
        <f>COA!#REF!</f>
        <v>#REF!</v>
      </c>
      <c r="C236" s="127" t="e">
        <f>_xlfn.XLOOKUP(B236,#REF!,#REF!,0,0,1)</f>
        <v>#REF!</v>
      </c>
      <c r="D236" s="127" t="e">
        <f>SUMIF(#REF!,#REF!,#REF!)+SUMIF(#REF!,'FY Current'!B236,#REF!)</f>
        <v>#REF!</v>
      </c>
      <c r="E236" s="127" t="e">
        <f>_xlfn.XLOOKUP(B236,#REF!,#REF!,0,0,1)</f>
        <v>#REF!</v>
      </c>
      <c r="F236" s="127"/>
      <c r="G236" s="219" t="e">
        <f t="shared" si="4"/>
        <v>#REF!</v>
      </c>
      <c r="H236" s="178" t="e">
        <f>_xlfn.XLOOKUP($B236,COA!$B:$B,COA!$C:$C,0,0,1)</f>
        <v>#REF!</v>
      </c>
      <c r="I236" s="178" t="e">
        <f>_xlfn.XLOOKUP($B236,COA!$B:$B,COA!$D:$D,0,0,1)</f>
        <v>#REF!</v>
      </c>
      <c r="J236" s="178" t="e">
        <f>_xlfn.XLOOKUP($B236,COA!$B:$B,COA!$E:$E,0,0,1)</f>
        <v>#REF!</v>
      </c>
      <c r="K236" s="80"/>
      <c r="L236" s="19"/>
      <c r="M236" s="85" t="e">
        <f>_xlfn.XLOOKUP(J236,#REF!,#REF!,0,0,1)</f>
        <v>#REF!</v>
      </c>
      <c r="N236" s="87"/>
      <c r="O236" s="87"/>
      <c r="P236" s="87"/>
      <c r="Q236" s="87"/>
      <c r="R236" s="85"/>
      <c r="S236" s="85"/>
      <c r="T236" s="85"/>
      <c r="U236" s="85"/>
      <c r="V236" s="85"/>
      <c r="W236" s="85"/>
      <c r="X236" s="85"/>
      <c r="Y236" s="85"/>
      <c r="Z236" s="85"/>
      <c r="AA236" s="85"/>
      <c r="AB236" s="85"/>
      <c r="AC236" s="85"/>
      <c r="AD236" s="85"/>
      <c r="AE236" s="85"/>
      <c r="AF236" s="85"/>
      <c r="AG236" s="85"/>
      <c r="AH236" s="85"/>
      <c r="AI236" s="85"/>
      <c r="AJ236" s="85"/>
      <c r="AK236" s="85"/>
      <c r="AL236" s="85"/>
      <c r="AM236" s="85"/>
      <c r="AN236" s="85"/>
      <c r="AO236" s="85"/>
      <c r="AP236" s="85"/>
    </row>
    <row r="237" spans="1:42" hidden="1" outlineLevel="1" x14ac:dyDescent="0.25">
      <c r="A237" s="50"/>
      <c r="B237" s="155" t="e">
        <f>COA!#REF!</f>
        <v>#REF!</v>
      </c>
      <c r="C237" s="127" t="e">
        <f>_xlfn.XLOOKUP(B237,#REF!,#REF!,0,0,1)</f>
        <v>#REF!</v>
      </c>
      <c r="D237" s="127" t="e">
        <f>SUMIF(#REF!,#REF!,#REF!)+SUMIF(#REF!,'FY Current'!B237,#REF!)</f>
        <v>#REF!</v>
      </c>
      <c r="E237" s="127" t="e">
        <f>_xlfn.XLOOKUP(B237,#REF!,#REF!,0,0,1)</f>
        <v>#REF!</v>
      </c>
      <c r="F237" s="127"/>
      <c r="G237" s="219" t="e">
        <f t="shared" si="4"/>
        <v>#REF!</v>
      </c>
      <c r="H237" s="178" t="e">
        <f>_xlfn.XLOOKUP($B237,COA!$B:$B,COA!$C:$C,0,0,1)</f>
        <v>#REF!</v>
      </c>
      <c r="I237" s="178" t="e">
        <f>_xlfn.XLOOKUP($B237,COA!$B:$B,COA!$D:$D,0,0,1)</f>
        <v>#REF!</v>
      </c>
      <c r="J237" s="178" t="e">
        <f>_xlfn.XLOOKUP($B237,COA!$B:$B,COA!$E:$E,0,0,1)</f>
        <v>#REF!</v>
      </c>
      <c r="K237" s="80"/>
      <c r="L237" s="19"/>
      <c r="M237" s="85" t="e">
        <f>_xlfn.XLOOKUP(J237,#REF!,#REF!,0,0,1)</f>
        <v>#REF!</v>
      </c>
      <c r="N237" s="87"/>
      <c r="O237" s="87"/>
      <c r="P237" s="87"/>
      <c r="Q237" s="87"/>
      <c r="R237" s="85"/>
      <c r="S237" s="85"/>
      <c r="T237" s="85"/>
      <c r="U237" s="85"/>
      <c r="V237" s="85"/>
      <c r="W237" s="85"/>
      <c r="X237" s="85"/>
      <c r="Y237" s="85"/>
      <c r="Z237" s="85"/>
      <c r="AA237" s="85"/>
      <c r="AB237" s="85"/>
      <c r="AC237" s="85"/>
      <c r="AD237" s="85"/>
      <c r="AE237" s="85"/>
      <c r="AF237" s="85"/>
      <c r="AG237" s="85"/>
      <c r="AH237" s="85"/>
      <c r="AI237" s="85"/>
      <c r="AJ237" s="85"/>
      <c r="AK237" s="85"/>
      <c r="AL237" s="85"/>
      <c r="AM237" s="85"/>
      <c r="AN237" s="85"/>
      <c r="AO237" s="85"/>
      <c r="AP237" s="85"/>
    </row>
    <row r="238" spans="1:42" hidden="1" outlineLevel="1" x14ac:dyDescent="0.25">
      <c r="A238" s="50"/>
      <c r="B238" s="155" t="e">
        <f>COA!#REF!</f>
        <v>#REF!</v>
      </c>
      <c r="C238" s="127" t="e">
        <f>_xlfn.XLOOKUP(B238,#REF!,#REF!,0,0,1)</f>
        <v>#REF!</v>
      </c>
      <c r="D238" s="127" t="e">
        <f>SUMIF(#REF!,#REF!,#REF!)+SUMIF(#REF!,'FY Current'!B238,#REF!)</f>
        <v>#REF!</v>
      </c>
      <c r="E238" s="127" t="e">
        <f>_xlfn.XLOOKUP(B238,#REF!,#REF!,0,0,1)</f>
        <v>#REF!</v>
      </c>
      <c r="F238" s="127"/>
      <c r="G238" s="219" t="e">
        <f t="shared" si="4"/>
        <v>#REF!</v>
      </c>
      <c r="H238" s="178" t="e">
        <f>_xlfn.XLOOKUP($B238,COA!$B:$B,COA!$C:$C,0,0,1)</f>
        <v>#REF!</v>
      </c>
      <c r="I238" s="178" t="e">
        <f>_xlfn.XLOOKUP($B238,COA!$B:$B,COA!$D:$D,0,0,1)</f>
        <v>#REF!</v>
      </c>
      <c r="J238" s="178" t="e">
        <f>_xlfn.XLOOKUP($B238,COA!$B:$B,COA!$E:$E,0,0,1)</f>
        <v>#REF!</v>
      </c>
      <c r="K238" s="80"/>
      <c r="L238" s="19"/>
      <c r="M238" s="85" t="e">
        <f>_xlfn.XLOOKUP(J238,#REF!,#REF!,0,0,1)</f>
        <v>#REF!</v>
      </c>
      <c r="N238" s="87"/>
      <c r="O238" s="87"/>
      <c r="P238" s="87"/>
      <c r="Q238" s="87"/>
      <c r="R238" s="85"/>
      <c r="S238" s="85"/>
      <c r="T238" s="85"/>
      <c r="U238" s="85"/>
      <c r="V238" s="85"/>
      <c r="W238" s="85"/>
      <c r="X238" s="85"/>
      <c r="Y238" s="85"/>
      <c r="Z238" s="85"/>
      <c r="AA238" s="85"/>
      <c r="AB238" s="85"/>
      <c r="AC238" s="85"/>
      <c r="AD238" s="85"/>
      <c r="AE238" s="85"/>
      <c r="AF238" s="85"/>
      <c r="AG238" s="85"/>
      <c r="AH238" s="85"/>
      <c r="AI238" s="85"/>
      <c r="AJ238" s="85"/>
      <c r="AK238" s="85"/>
      <c r="AL238" s="85"/>
      <c r="AM238" s="85"/>
      <c r="AN238" s="85"/>
      <c r="AO238" s="85"/>
      <c r="AP238" s="85"/>
    </row>
    <row r="239" spans="1:42" hidden="1" outlineLevel="1" x14ac:dyDescent="0.25">
      <c r="A239" s="50"/>
      <c r="B239" s="155" t="e">
        <f>COA!#REF!</f>
        <v>#REF!</v>
      </c>
      <c r="C239" s="127" t="e">
        <f>_xlfn.XLOOKUP(B239,#REF!,#REF!,0,0,1)</f>
        <v>#REF!</v>
      </c>
      <c r="D239" s="127" t="e">
        <f>SUMIF(#REF!,#REF!,#REF!)+SUMIF(#REF!,'FY Current'!B239,#REF!)</f>
        <v>#REF!</v>
      </c>
      <c r="E239" s="127" t="e">
        <f>_xlfn.XLOOKUP(B239,#REF!,#REF!,0,0,1)</f>
        <v>#REF!</v>
      </c>
      <c r="F239" s="127"/>
      <c r="G239" s="219" t="e">
        <f t="shared" si="4"/>
        <v>#REF!</v>
      </c>
      <c r="H239" s="178" t="e">
        <f>_xlfn.XLOOKUP($B239,COA!$B:$B,COA!$C:$C,0,0,1)</f>
        <v>#REF!</v>
      </c>
      <c r="I239" s="178" t="e">
        <f>_xlfn.XLOOKUP($B239,COA!$B:$B,COA!$D:$D,0,0,1)</f>
        <v>#REF!</v>
      </c>
      <c r="J239" s="178" t="e">
        <f>_xlfn.XLOOKUP($B239,COA!$B:$B,COA!$E:$E,0,0,1)</f>
        <v>#REF!</v>
      </c>
      <c r="K239" s="80"/>
      <c r="L239" s="19"/>
      <c r="M239" s="85" t="e">
        <f>_xlfn.XLOOKUP(J239,#REF!,#REF!,0,0,1)</f>
        <v>#REF!</v>
      </c>
      <c r="N239" s="87"/>
      <c r="O239" s="87"/>
      <c r="P239" s="87"/>
      <c r="Q239" s="87"/>
      <c r="R239" s="85"/>
      <c r="S239" s="85"/>
      <c r="T239" s="85"/>
      <c r="U239" s="85"/>
      <c r="V239" s="85"/>
      <c r="W239" s="85"/>
      <c r="X239" s="85"/>
      <c r="Y239" s="85"/>
      <c r="Z239" s="85"/>
      <c r="AA239" s="85"/>
      <c r="AB239" s="85"/>
      <c r="AC239" s="85"/>
      <c r="AD239" s="85"/>
      <c r="AE239" s="85"/>
      <c r="AF239" s="85"/>
      <c r="AG239" s="85"/>
      <c r="AH239" s="85"/>
      <c r="AI239" s="85"/>
      <c r="AJ239" s="85"/>
      <c r="AK239" s="85"/>
      <c r="AL239" s="85"/>
      <c r="AM239" s="85"/>
      <c r="AN239" s="85"/>
      <c r="AO239" s="85"/>
      <c r="AP239" s="85"/>
    </row>
    <row r="240" spans="1:42" hidden="1" outlineLevel="1" x14ac:dyDescent="0.25">
      <c r="A240" s="50"/>
      <c r="B240" s="155" t="e">
        <f>COA!#REF!</f>
        <v>#REF!</v>
      </c>
      <c r="C240" s="127" t="e">
        <f>_xlfn.XLOOKUP(B240,#REF!,#REF!,0,0,1)</f>
        <v>#REF!</v>
      </c>
      <c r="D240" s="127" t="e">
        <f>SUMIF(#REF!,#REF!,#REF!)+SUMIF(#REF!,'FY Current'!B240,#REF!)</f>
        <v>#REF!</v>
      </c>
      <c r="E240" s="127" t="e">
        <f>_xlfn.XLOOKUP(B240,#REF!,#REF!,0,0,1)</f>
        <v>#REF!</v>
      </c>
      <c r="F240" s="127"/>
      <c r="G240" s="219" t="e">
        <f t="shared" si="4"/>
        <v>#REF!</v>
      </c>
      <c r="H240" s="178" t="e">
        <f>_xlfn.XLOOKUP($B240,COA!$B:$B,COA!$C:$C,0,0,1)</f>
        <v>#REF!</v>
      </c>
      <c r="I240" s="178" t="e">
        <f>_xlfn.XLOOKUP($B240,COA!$B:$B,COA!$D:$D,0,0,1)</f>
        <v>#REF!</v>
      </c>
      <c r="J240" s="178" t="e">
        <f>_xlfn.XLOOKUP($B240,COA!$B:$B,COA!$E:$E,0,0,1)</f>
        <v>#REF!</v>
      </c>
      <c r="K240" s="80"/>
      <c r="L240" s="19"/>
      <c r="M240" s="85" t="e">
        <f>_xlfn.XLOOKUP(J240,#REF!,#REF!,0,0,1)</f>
        <v>#REF!</v>
      </c>
      <c r="N240" s="87"/>
      <c r="O240" s="87"/>
      <c r="P240" s="87"/>
      <c r="Q240" s="87"/>
      <c r="R240" s="85"/>
      <c r="S240" s="85"/>
      <c r="T240" s="85"/>
      <c r="U240" s="85"/>
      <c r="V240" s="85"/>
      <c r="W240" s="85"/>
      <c r="X240" s="85"/>
      <c r="Y240" s="85"/>
      <c r="Z240" s="85"/>
      <c r="AA240" s="85"/>
      <c r="AB240" s="85"/>
      <c r="AC240" s="85"/>
      <c r="AD240" s="85"/>
      <c r="AE240" s="85"/>
      <c r="AF240" s="85"/>
      <c r="AG240" s="85"/>
      <c r="AH240" s="85"/>
      <c r="AI240" s="85"/>
      <c r="AJ240" s="85"/>
      <c r="AK240" s="85"/>
      <c r="AL240" s="85"/>
      <c r="AM240" s="85"/>
      <c r="AN240" s="85"/>
      <c r="AO240" s="85"/>
      <c r="AP240" s="85"/>
    </row>
    <row r="241" spans="1:42" hidden="1" outlineLevel="1" x14ac:dyDescent="0.25">
      <c r="A241" s="50"/>
      <c r="B241" s="155" t="e">
        <f>COA!#REF!</f>
        <v>#REF!</v>
      </c>
      <c r="C241" s="127" t="e">
        <f>_xlfn.XLOOKUP(B241,#REF!,#REF!,0,0,1)</f>
        <v>#REF!</v>
      </c>
      <c r="D241" s="127" t="e">
        <f>SUMIF(#REF!,#REF!,#REF!)+SUMIF(#REF!,'FY Current'!B241,#REF!)</f>
        <v>#REF!</v>
      </c>
      <c r="E241" s="127" t="e">
        <f>_xlfn.XLOOKUP(B241,#REF!,#REF!,0,0,1)</f>
        <v>#REF!</v>
      </c>
      <c r="F241" s="127"/>
      <c r="G241" s="219" t="e">
        <f t="shared" si="4"/>
        <v>#REF!</v>
      </c>
      <c r="H241" s="178" t="e">
        <f>_xlfn.XLOOKUP($B241,COA!$B:$B,COA!$C:$C,0,0,1)</f>
        <v>#REF!</v>
      </c>
      <c r="I241" s="178" t="e">
        <f>_xlfn.XLOOKUP($B241,COA!$B:$B,COA!$D:$D,0,0,1)</f>
        <v>#REF!</v>
      </c>
      <c r="J241" s="178" t="e">
        <f>_xlfn.XLOOKUP($B241,COA!$B:$B,COA!$E:$E,0,0,1)</f>
        <v>#REF!</v>
      </c>
      <c r="K241" s="80"/>
      <c r="L241" s="19"/>
      <c r="M241" s="85" t="e">
        <f>_xlfn.XLOOKUP(J241,#REF!,#REF!,0,0,1)</f>
        <v>#REF!</v>
      </c>
      <c r="N241" s="87"/>
      <c r="O241" s="87"/>
      <c r="P241" s="87"/>
      <c r="Q241" s="87"/>
      <c r="R241" s="85"/>
      <c r="S241" s="85"/>
      <c r="T241" s="85"/>
      <c r="U241" s="85"/>
      <c r="V241" s="85"/>
      <c r="W241" s="85"/>
      <c r="X241" s="85"/>
      <c r="Y241" s="85"/>
      <c r="Z241" s="85"/>
      <c r="AA241" s="85"/>
      <c r="AB241" s="85"/>
      <c r="AC241" s="85"/>
      <c r="AD241" s="85"/>
      <c r="AE241" s="85"/>
      <c r="AF241" s="85"/>
      <c r="AG241" s="85"/>
      <c r="AH241" s="85"/>
      <c r="AI241" s="85"/>
      <c r="AJ241" s="85"/>
      <c r="AK241" s="85"/>
      <c r="AL241" s="85"/>
      <c r="AM241" s="85"/>
      <c r="AN241" s="85"/>
      <c r="AO241" s="85"/>
      <c r="AP241" s="85"/>
    </row>
    <row r="242" spans="1:42" hidden="1" outlineLevel="1" x14ac:dyDescent="0.25">
      <c r="A242" s="50"/>
      <c r="B242" s="155" t="e">
        <f>COA!#REF!</f>
        <v>#REF!</v>
      </c>
      <c r="C242" s="127" t="e">
        <f>_xlfn.XLOOKUP(B242,#REF!,#REF!,0,0,1)</f>
        <v>#REF!</v>
      </c>
      <c r="D242" s="127" t="e">
        <f>SUMIF(#REF!,#REF!,#REF!)+SUMIF(#REF!,'FY Current'!B242,#REF!)</f>
        <v>#REF!</v>
      </c>
      <c r="E242" s="127" t="e">
        <f>_xlfn.XLOOKUP(B242,#REF!,#REF!,0,0,1)</f>
        <v>#REF!</v>
      </c>
      <c r="F242" s="127"/>
      <c r="G242" s="219" t="e">
        <f t="shared" si="4"/>
        <v>#REF!</v>
      </c>
      <c r="H242" s="178" t="e">
        <f>_xlfn.XLOOKUP($B242,COA!$B:$B,COA!$C:$C,0,0,1)</f>
        <v>#REF!</v>
      </c>
      <c r="I242" s="178" t="e">
        <f>_xlfn.XLOOKUP($B242,COA!$B:$B,COA!$D:$D,0,0,1)</f>
        <v>#REF!</v>
      </c>
      <c r="J242" s="178" t="e">
        <f>_xlfn.XLOOKUP($B242,COA!$B:$B,COA!$E:$E,0,0,1)</f>
        <v>#REF!</v>
      </c>
      <c r="K242" s="80"/>
      <c r="L242" s="19"/>
      <c r="M242" s="85" t="e">
        <f>_xlfn.XLOOKUP(J242,#REF!,#REF!,0,0,1)</f>
        <v>#REF!</v>
      </c>
      <c r="N242" s="87"/>
      <c r="O242" s="87"/>
      <c r="P242" s="87"/>
      <c r="Q242" s="87"/>
      <c r="R242" s="85"/>
      <c r="S242" s="85"/>
      <c r="T242" s="85"/>
      <c r="U242" s="85"/>
      <c r="V242" s="85"/>
      <c r="W242" s="85"/>
      <c r="X242" s="85"/>
      <c r="Y242" s="85"/>
      <c r="Z242" s="85"/>
      <c r="AA242" s="85"/>
      <c r="AB242" s="85"/>
      <c r="AC242" s="85"/>
      <c r="AD242" s="85"/>
      <c r="AE242" s="85"/>
      <c r="AF242" s="85"/>
      <c r="AG242" s="85"/>
      <c r="AH242" s="85"/>
      <c r="AI242" s="85"/>
      <c r="AJ242" s="85"/>
      <c r="AK242" s="85"/>
      <c r="AL242" s="85"/>
      <c r="AM242" s="85"/>
      <c r="AN242" s="85"/>
      <c r="AO242" s="85"/>
      <c r="AP242" s="85"/>
    </row>
    <row r="243" spans="1:42" hidden="1" outlineLevel="1" x14ac:dyDescent="0.25">
      <c r="A243" s="50"/>
      <c r="B243" s="155" t="e">
        <f>COA!#REF!</f>
        <v>#REF!</v>
      </c>
      <c r="C243" s="127" t="e">
        <f>_xlfn.XLOOKUP(B243,#REF!,#REF!,0,0,1)</f>
        <v>#REF!</v>
      </c>
      <c r="D243" s="127" t="e">
        <f>SUMIF(#REF!,#REF!,#REF!)+SUMIF(#REF!,'FY Current'!B243,#REF!)</f>
        <v>#REF!</v>
      </c>
      <c r="E243" s="127" t="e">
        <f>_xlfn.XLOOKUP(B243,#REF!,#REF!,0,0,1)</f>
        <v>#REF!</v>
      </c>
      <c r="F243" s="127"/>
      <c r="G243" s="219" t="e">
        <f t="shared" si="4"/>
        <v>#REF!</v>
      </c>
      <c r="H243" s="178" t="e">
        <f>_xlfn.XLOOKUP($B243,COA!$B:$B,COA!$C:$C,0,0,1)</f>
        <v>#REF!</v>
      </c>
      <c r="I243" s="178" t="e">
        <f>_xlfn.XLOOKUP($B243,COA!$B:$B,COA!$D:$D,0,0,1)</f>
        <v>#REF!</v>
      </c>
      <c r="J243" s="178" t="e">
        <f>_xlfn.XLOOKUP($B243,COA!$B:$B,COA!$E:$E,0,0,1)</f>
        <v>#REF!</v>
      </c>
      <c r="K243" s="80"/>
      <c r="L243" s="19"/>
      <c r="M243" s="85" t="e">
        <f>_xlfn.XLOOKUP(J243,#REF!,#REF!,0,0,1)</f>
        <v>#REF!</v>
      </c>
      <c r="N243" s="87"/>
      <c r="O243" s="87"/>
      <c r="P243" s="87"/>
      <c r="Q243" s="87"/>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P243" s="85"/>
    </row>
    <row r="244" spans="1:42" hidden="1" outlineLevel="1" x14ac:dyDescent="0.25">
      <c r="A244" s="50"/>
      <c r="B244" s="155" t="e">
        <f>COA!#REF!</f>
        <v>#REF!</v>
      </c>
      <c r="C244" s="127" t="e">
        <f>_xlfn.XLOOKUP(B244,#REF!,#REF!,0,0,1)</f>
        <v>#REF!</v>
      </c>
      <c r="D244" s="127" t="e">
        <f>SUMIF(#REF!,#REF!,#REF!)+SUMIF(#REF!,'FY Current'!B244,#REF!)</f>
        <v>#REF!</v>
      </c>
      <c r="E244" s="127" t="e">
        <f>_xlfn.XLOOKUP(B244,#REF!,#REF!,0,0,1)</f>
        <v>#REF!</v>
      </c>
      <c r="F244" s="127"/>
      <c r="G244" s="219" t="e">
        <f t="shared" si="4"/>
        <v>#REF!</v>
      </c>
      <c r="H244" s="178" t="e">
        <f>_xlfn.XLOOKUP($B244,COA!$B:$B,COA!$C:$C,0,0,1)</f>
        <v>#REF!</v>
      </c>
      <c r="I244" s="178" t="e">
        <f>_xlfn.XLOOKUP($B244,COA!$B:$B,COA!$D:$D,0,0,1)</f>
        <v>#REF!</v>
      </c>
      <c r="J244" s="178" t="e">
        <f>_xlfn.XLOOKUP($B244,COA!$B:$B,COA!$E:$E,0,0,1)</f>
        <v>#REF!</v>
      </c>
      <c r="K244" s="80"/>
      <c r="L244" s="19"/>
      <c r="M244" s="85" t="e">
        <f>_xlfn.XLOOKUP(J244,#REF!,#REF!,0,0,1)</f>
        <v>#REF!</v>
      </c>
      <c r="N244" s="87"/>
      <c r="O244" s="87"/>
      <c r="P244" s="87"/>
      <c r="Q244" s="87"/>
      <c r="R244" s="85"/>
      <c r="S244" s="85"/>
      <c r="T244" s="85"/>
      <c r="U244" s="85"/>
      <c r="V244" s="85"/>
      <c r="W244" s="85"/>
      <c r="X244" s="85"/>
      <c r="Y244" s="85"/>
      <c r="Z244" s="85"/>
      <c r="AA244" s="85"/>
      <c r="AB244" s="85"/>
      <c r="AC244" s="85"/>
      <c r="AD244" s="85"/>
      <c r="AE244" s="85"/>
      <c r="AF244" s="85"/>
      <c r="AG244" s="85"/>
      <c r="AH244" s="85"/>
      <c r="AI244" s="85"/>
      <c r="AJ244" s="85"/>
      <c r="AK244" s="85"/>
      <c r="AL244" s="85"/>
      <c r="AM244" s="85"/>
      <c r="AN244" s="85"/>
      <c r="AO244" s="85"/>
      <c r="AP244" s="85"/>
    </row>
    <row r="245" spans="1:42" hidden="1" outlineLevel="1" x14ac:dyDescent="0.25">
      <c r="A245" s="50"/>
      <c r="B245" s="155" t="e">
        <f>COA!#REF!</f>
        <v>#REF!</v>
      </c>
      <c r="C245" s="127" t="e">
        <f>_xlfn.XLOOKUP(B245,#REF!,#REF!,0,0,1)</f>
        <v>#REF!</v>
      </c>
      <c r="D245" s="127" t="e">
        <f>SUMIF(#REF!,#REF!,#REF!)+SUMIF(#REF!,'FY Current'!B245,#REF!)</f>
        <v>#REF!</v>
      </c>
      <c r="E245" s="127" t="e">
        <f>_xlfn.XLOOKUP(B245,#REF!,#REF!,0,0,1)</f>
        <v>#REF!</v>
      </c>
      <c r="F245" s="127"/>
      <c r="G245" s="219" t="e">
        <f t="shared" si="4"/>
        <v>#REF!</v>
      </c>
      <c r="H245" s="178" t="e">
        <f>_xlfn.XLOOKUP($B245,COA!$B:$B,COA!$C:$C,0,0,1)</f>
        <v>#REF!</v>
      </c>
      <c r="I245" s="178" t="e">
        <f>_xlfn.XLOOKUP($B245,COA!$B:$B,COA!$D:$D,0,0,1)</f>
        <v>#REF!</v>
      </c>
      <c r="J245" s="178" t="e">
        <f>_xlfn.XLOOKUP($B245,COA!$B:$B,COA!$E:$E,0,0,1)</f>
        <v>#REF!</v>
      </c>
      <c r="K245" s="80"/>
      <c r="L245" s="19"/>
      <c r="M245" s="85" t="e">
        <f>_xlfn.XLOOKUP(J245,#REF!,#REF!,0,0,1)</f>
        <v>#REF!</v>
      </c>
      <c r="N245" s="87"/>
      <c r="O245" s="87"/>
      <c r="P245" s="87"/>
      <c r="Q245" s="87"/>
      <c r="R245" s="85"/>
      <c r="S245" s="85"/>
      <c r="T245" s="85"/>
      <c r="U245" s="85"/>
      <c r="V245" s="85"/>
      <c r="W245" s="85"/>
      <c r="X245" s="85"/>
      <c r="Y245" s="85"/>
      <c r="Z245" s="85"/>
      <c r="AA245" s="85"/>
      <c r="AB245" s="85"/>
      <c r="AC245" s="85"/>
      <c r="AD245" s="85"/>
      <c r="AE245" s="85"/>
      <c r="AF245" s="85"/>
      <c r="AG245" s="85"/>
      <c r="AH245" s="85"/>
      <c r="AI245" s="85"/>
      <c r="AJ245" s="85"/>
      <c r="AK245" s="85"/>
      <c r="AL245" s="85"/>
      <c r="AM245" s="85"/>
      <c r="AN245" s="85"/>
      <c r="AO245" s="85"/>
      <c r="AP245" s="85"/>
    </row>
    <row r="246" spans="1:42" hidden="1" outlineLevel="1" x14ac:dyDescent="0.25">
      <c r="A246" s="50"/>
      <c r="B246" s="155" t="e">
        <f>COA!#REF!</f>
        <v>#REF!</v>
      </c>
      <c r="C246" s="127" t="e">
        <f>_xlfn.XLOOKUP(B246,#REF!,#REF!,0,0,1)</f>
        <v>#REF!</v>
      </c>
      <c r="D246" s="127" t="e">
        <f>SUMIF(#REF!,#REF!,#REF!)+SUMIF(#REF!,'FY Current'!B246,#REF!)</f>
        <v>#REF!</v>
      </c>
      <c r="E246" s="127" t="e">
        <f>_xlfn.XLOOKUP(B246,#REF!,#REF!,0,0,1)</f>
        <v>#REF!</v>
      </c>
      <c r="F246" s="127"/>
      <c r="G246" s="219" t="e">
        <f t="shared" si="4"/>
        <v>#REF!</v>
      </c>
      <c r="H246" s="178" t="e">
        <f>_xlfn.XLOOKUP($B246,COA!$B:$B,COA!$C:$C,0,0,1)</f>
        <v>#REF!</v>
      </c>
      <c r="I246" s="178" t="e">
        <f>_xlfn.XLOOKUP($B246,COA!$B:$B,COA!$D:$D,0,0,1)</f>
        <v>#REF!</v>
      </c>
      <c r="J246" s="178" t="e">
        <f>_xlfn.XLOOKUP($B246,COA!$B:$B,COA!$E:$E,0,0,1)</f>
        <v>#REF!</v>
      </c>
      <c r="K246" s="80"/>
      <c r="L246" s="19"/>
      <c r="M246" s="85" t="e">
        <f>_xlfn.XLOOKUP(J246,#REF!,#REF!,0,0,1)</f>
        <v>#REF!</v>
      </c>
      <c r="N246" s="87"/>
      <c r="O246" s="87"/>
      <c r="P246" s="87"/>
      <c r="Q246" s="87"/>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row>
    <row r="247" spans="1:42" hidden="1" outlineLevel="1" x14ac:dyDescent="0.25">
      <c r="A247" s="50"/>
      <c r="B247" s="155" t="e">
        <f>COA!#REF!</f>
        <v>#REF!</v>
      </c>
      <c r="C247" s="127" t="e">
        <f>_xlfn.XLOOKUP(B247,#REF!,#REF!,0,0,1)</f>
        <v>#REF!</v>
      </c>
      <c r="D247" s="127" t="e">
        <f>SUMIF(#REF!,#REF!,#REF!)+SUMIF(#REF!,'FY Current'!B247,#REF!)</f>
        <v>#REF!</v>
      </c>
      <c r="E247" s="127" t="e">
        <f>_xlfn.XLOOKUP(B247,#REF!,#REF!,0,0,1)</f>
        <v>#REF!</v>
      </c>
      <c r="F247" s="127"/>
      <c r="G247" s="219" t="e">
        <f t="shared" si="4"/>
        <v>#REF!</v>
      </c>
      <c r="H247" s="178" t="e">
        <f>_xlfn.XLOOKUP($B247,COA!$B:$B,COA!$C:$C,0,0,1)</f>
        <v>#REF!</v>
      </c>
      <c r="I247" s="178" t="e">
        <f>_xlfn.XLOOKUP($B247,COA!$B:$B,COA!$D:$D,0,0,1)</f>
        <v>#REF!</v>
      </c>
      <c r="J247" s="178" t="e">
        <f>_xlfn.XLOOKUP($B247,COA!$B:$B,COA!$E:$E,0,0,1)</f>
        <v>#REF!</v>
      </c>
      <c r="K247" s="80"/>
      <c r="L247" s="19"/>
      <c r="M247" s="85" t="e">
        <f>_xlfn.XLOOKUP(J247,#REF!,#REF!,0,0,1)</f>
        <v>#REF!</v>
      </c>
      <c r="N247" s="87"/>
      <c r="O247" s="87"/>
      <c r="P247" s="87"/>
      <c r="Q247" s="87"/>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row>
    <row r="248" spans="1:42" hidden="1" outlineLevel="1" x14ac:dyDescent="0.25">
      <c r="A248" s="50"/>
      <c r="B248" s="155" t="e">
        <f>COA!#REF!</f>
        <v>#REF!</v>
      </c>
      <c r="C248" s="127" t="e">
        <f>_xlfn.XLOOKUP(B248,#REF!,#REF!,0,0,1)</f>
        <v>#REF!</v>
      </c>
      <c r="D248" s="127" t="e">
        <f>SUMIF(#REF!,#REF!,#REF!)+SUMIF(#REF!,'FY Current'!B248,#REF!)</f>
        <v>#REF!</v>
      </c>
      <c r="E248" s="127" t="e">
        <f>_xlfn.XLOOKUP(B248,#REF!,#REF!,0,0,1)</f>
        <v>#REF!</v>
      </c>
      <c r="F248" s="127"/>
      <c r="G248" s="219" t="e">
        <f t="shared" si="4"/>
        <v>#REF!</v>
      </c>
      <c r="H248" s="178" t="e">
        <f>_xlfn.XLOOKUP($B248,COA!$B:$B,COA!$C:$C,0,0,1)</f>
        <v>#REF!</v>
      </c>
      <c r="I248" s="178" t="e">
        <f>_xlfn.XLOOKUP($B248,COA!$B:$B,COA!$D:$D,0,0,1)</f>
        <v>#REF!</v>
      </c>
      <c r="J248" s="178" t="e">
        <f>_xlfn.XLOOKUP($B248,COA!$B:$B,COA!$E:$E,0,0,1)</f>
        <v>#REF!</v>
      </c>
      <c r="K248" s="80"/>
      <c r="L248" s="19"/>
      <c r="M248" s="85" t="e">
        <f>_xlfn.XLOOKUP(J248,#REF!,#REF!,0,0,1)</f>
        <v>#REF!</v>
      </c>
      <c r="N248" s="87"/>
      <c r="O248" s="87"/>
      <c r="P248" s="87"/>
      <c r="Q248" s="87"/>
      <c r="R248" s="85"/>
      <c r="S248" s="85"/>
      <c r="T248" s="85"/>
      <c r="U248" s="85"/>
      <c r="V248" s="85"/>
      <c r="W248" s="85"/>
      <c r="X248" s="85"/>
      <c r="Y248" s="85"/>
      <c r="Z248" s="85"/>
      <c r="AA248" s="85"/>
      <c r="AB248" s="85"/>
      <c r="AC248" s="85"/>
      <c r="AD248" s="85"/>
      <c r="AE248" s="85"/>
      <c r="AF248" s="85"/>
      <c r="AG248" s="85"/>
      <c r="AH248" s="85"/>
      <c r="AI248" s="85"/>
      <c r="AJ248" s="85"/>
      <c r="AK248" s="85"/>
      <c r="AL248" s="85"/>
      <c r="AM248" s="85"/>
      <c r="AN248" s="85"/>
      <c r="AO248" s="85"/>
      <c r="AP248" s="85"/>
    </row>
    <row r="249" spans="1:42" hidden="1" outlineLevel="1" x14ac:dyDescent="0.25">
      <c r="A249" s="50"/>
      <c r="B249" s="155" t="e">
        <f>COA!#REF!</f>
        <v>#REF!</v>
      </c>
      <c r="C249" s="127" t="e">
        <f>_xlfn.XLOOKUP(B249,#REF!,#REF!,0,0,1)</f>
        <v>#REF!</v>
      </c>
      <c r="D249" s="127" t="e">
        <f>SUMIF(#REF!,#REF!,#REF!)+SUMIF(#REF!,'FY Current'!B249,#REF!)</f>
        <v>#REF!</v>
      </c>
      <c r="E249" s="127" t="e">
        <f>_xlfn.XLOOKUP(B249,#REF!,#REF!,0,0,1)</f>
        <v>#REF!</v>
      </c>
      <c r="F249" s="127"/>
      <c r="G249" s="219" t="e">
        <f t="shared" si="4"/>
        <v>#REF!</v>
      </c>
      <c r="H249" s="178" t="e">
        <f>_xlfn.XLOOKUP($B249,COA!$B:$B,COA!$C:$C,0,0,1)</f>
        <v>#REF!</v>
      </c>
      <c r="I249" s="178" t="e">
        <f>_xlfn.XLOOKUP($B249,COA!$B:$B,COA!$D:$D,0,0,1)</f>
        <v>#REF!</v>
      </c>
      <c r="J249" s="178" t="e">
        <f>_xlfn.XLOOKUP($B249,COA!$B:$B,COA!$E:$E,0,0,1)</f>
        <v>#REF!</v>
      </c>
      <c r="K249" s="80"/>
      <c r="L249" s="19"/>
      <c r="M249" s="85" t="e">
        <f>_xlfn.XLOOKUP(J249,#REF!,#REF!,0,0,1)</f>
        <v>#REF!</v>
      </c>
      <c r="N249" s="87"/>
      <c r="O249" s="87"/>
      <c r="P249" s="87"/>
      <c r="Q249" s="87"/>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row>
    <row r="250" spans="1:42" hidden="1" outlineLevel="1" x14ac:dyDescent="0.25">
      <c r="A250" s="50"/>
      <c r="B250" s="155" t="e">
        <f>COA!#REF!</f>
        <v>#REF!</v>
      </c>
      <c r="C250" s="127" t="e">
        <f>_xlfn.XLOOKUP(B250,#REF!,#REF!,0,0,1)</f>
        <v>#REF!</v>
      </c>
      <c r="D250" s="127" t="e">
        <f>SUMIF(#REF!,#REF!,#REF!)+SUMIF(#REF!,'FY Current'!B250,#REF!)</f>
        <v>#REF!</v>
      </c>
      <c r="E250" s="127" t="e">
        <f>_xlfn.XLOOKUP(B250,#REF!,#REF!,0,0,1)</f>
        <v>#REF!</v>
      </c>
      <c r="F250" s="127"/>
      <c r="G250" s="219" t="e">
        <f t="shared" si="4"/>
        <v>#REF!</v>
      </c>
      <c r="H250" s="178" t="e">
        <f>_xlfn.XLOOKUP($B250,COA!$B:$B,COA!$C:$C,0,0,1)</f>
        <v>#REF!</v>
      </c>
      <c r="I250" s="178" t="e">
        <f>_xlfn.XLOOKUP($B250,COA!$B:$B,COA!$D:$D,0,0,1)</f>
        <v>#REF!</v>
      </c>
      <c r="J250" s="178" t="e">
        <f>_xlfn.XLOOKUP($B250,COA!$B:$B,COA!$E:$E,0,0,1)</f>
        <v>#REF!</v>
      </c>
      <c r="K250" s="80"/>
      <c r="L250" s="19"/>
      <c r="M250" s="85" t="e">
        <f>_xlfn.XLOOKUP(J250,#REF!,#REF!,0,0,1)</f>
        <v>#REF!</v>
      </c>
      <c r="N250" s="87"/>
      <c r="O250" s="87"/>
      <c r="P250" s="87"/>
      <c r="Q250" s="87"/>
      <c r="R250" s="85"/>
      <c r="S250" s="85"/>
      <c r="T250" s="85"/>
      <c r="U250" s="85"/>
      <c r="V250" s="85"/>
      <c r="W250" s="85"/>
      <c r="X250" s="85"/>
      <c r="Y250" s="85"/>
      <c r="Z250" s="85"/>
      <c r="AA250" s="85"/>
      <c r="AB250" s="85"/>
      <c r="AC250" s="85"/>
      <c r="AD250" s="85"/>
      <c r="AE250" s="85"/>
      <c r="AF250" s="85"/>
      <c r="AG250" s="85"/>
      <c r="AH250" s="85"/>
      <c r="AI250" s="85"/>
      <c r="AJ250" s="85"/>
      <c r="AK250" s="85"/>
      <c r="AL250" s="85"/>
      <c r="AM250" s="85"/>
      <c r="AN250" s="85"/>
      <c r="AO250" s="85"/>
      <c r="AP250" s="85"/>
    </row>
    <row r="251" spans="1:42" hidden="1" outlineLevel="1" x14ac:dyDescent="0.25">
      <c r="A251" s="50"/>
      <c r="B251" s="155" t="e">
        <f>COA!#REF!</f>
        <v>#REF!</v>
      </c>
      <c r="C251" s="127" t="e">
        <f>_xlfn.XLOOKUP(B251,#REF!,#REF!,0,0,1)</f>
        <v>#REF!</v>
      </c>
      <c r="D251" s="127" t="e">
        <f>SUMIF(#REF!,#REF!,#REF!)+SUMIF(#REF!,'FY Current'!B251,#REF!)</f>
        <v>#REF!</v>
      </c>
      <c r="E251" s="127" t="e">
        <f>_xlfn.XLOOKUP(B251,#REF!,#REF!,0,0,1)</f>
        <v>#REF!</v>
      </c>
      <c r="F251" s="127"/>
      <c r="G251" s="219" t="e">
        <f t="shared" si="4"/>
        <v>#REF!</v>
      </c>
      <c r="H251" s="178" t="e">
        <f>_xlfn.XLOOKUP($B251,COA!$B:$B,COA!$C:$C,0,0,1)</f>
        <v>#REF!</v>
      </c>
      <c r="I251" s="178" t="e">
        <f>_xlfn.XLOOKUP($B251,COA!$B:$B,COA!$D:$D,0,0,1)</f>
        <v>#REF!</v>
      </c>
      <c r="J251" s="178" t="e">
        <f>_xlfn.XLOOKUP($B251,COA!$B:$B,COA!$E:$E,0,0,1)</f>
        <v>#REF!</v>
      </c>
      <c r="K251" s="80"/>
      <c r="L251" s="19"/>
      <c r="M251" s="85" t="e">
        <f>_xlfn.XLOOKUP(J251,#REF!,#REF!,0,0,1)</f>
        <v>#REF!</v>
      </c>
      <c r="N251" s="87"/>
      <c r="O251" s="87"/>
      <c r="P251" s="87"/>
      <c r="Q251" s="87"/>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row>
    <row r="252" spans="1:42" hidden="1" outlineLevel="1" x14ac:dyDescent="0.25">
      <c r="A252" s="50"/>
      <c r="B252" s="155" t="e">
        <f>COA!#REF!</f>
        <v>#REF!</v>
      </c>
      <c r="C252" s="127" t="e">
        <f>_xlfn.XLOOKUP(B252,#REF!,#REF!,0,0,1)</f>
        <v>#REF!</v>
      </c>
      <c r="D252" s="127" t="e">
        <f>SUMIF(#REF!,#REF!,#REF!)+SUMIF(#REF!,'FY Current'!B252,#REF!)</f>
        <v>#REF!</v>
      </c>
      <c r="E252" s="127" t="e">
        <f>_xlfn.XLOOKUP(B252,#REF!,#REF!,0,0,1)</f>
        <v>#REF!</v>
      </c>
      <c r="F252" s="127"/>
      <c r="G252" s="219" t="e">
        <f t="shared" si="4"/>
        <v>#REF!</v>
      </c>
      <c r="H252" s="178" t="e">
        <f>_xlfn.XLOOKUP($B252,COA!$B:$B,COA!$C:$C,0,0,1)</f>
        <v>#REF!</v>
      </c>
      <c r="I252" s="178" t="e">
        <f>_xlfn.XLOOKUP($B252,COA!$B:$B,COA!$D:$D,0,0,1)</f>
        <v>#REF!</v>
      </c>
      <c r="J252" s="178" t="e">
        <f>_xlfn.XLOOKUP($B252,COA!$B:$B,COA!$E:$E,0,0,1)</f>
        <v>#REF!</v>
      </c>
      <c r="K252" s="80"/>
      <c r="L252" s="19"/>
      <c r="M252" s="85" t="e">
        <f>_xlfn.XLOOKUP(J252,#REF!,#REF!,0,0,1)</f>
        <v>#REF!</v>
      </c>
      <c r="N252" s="87"/>
      <c r="O252" s="87"/>
      <c r="P252" s="87"/>
      <c r="Q252" s="87"/>
      <c r="R252" s="85"/>
      <c r="S252" s="85"/>
      <c r="T252" s="85"/>
      <c r="U252" s="85"/>
      <c r="V252" s="85"/>
      <c r="W252" s="85"/>
      <c r="X252" s="85"/>
      <c r="Y252" s="85"/>
      <c r="Z252" s="85"/>
      <c r="AA252" s="85"/>
      <c r="AB252" s="85"/>
      <c r="AC252" s="85"/>
      <c r="AD252" s="85"/>
      <c r="AE252" s="85"/>
      <c r="AF252" s="85"/>
      <c r="AG252" s="85"/>
      <c r="AH252" s="85"/>
      <c r="AI252" s="85"/>
      <c r="AJ252" s="85"/>
      <c r="AK252" s="85"/>
      <c r="AL252" s="85"/>
      <c r="AM252" s="85"/>
      <c r="AN252" s="85"/>
      <c r="AO252" s="85"/>
      <c r="AP252" s="85"/>
    </row>
    <row r="253" spans="1:42" hidden="1" outlineLevel="1" x14ac:dyDescent="0.25">
      <c r="A253" s="50"/>
      <c r="B253" s="155" t="e">
        <f>COA!#REF!</f>
        <v>#REF!</v>
      </c>
      <c r="C253" s="127" t="e">
        <f>_xlfn.XLOOKUP(B253,#REF!,#REF!,0,0,1)</f>
        <v>#REF!</v>
      </c>
      <c r="D253" s="127" t="e">
        <f>SUMIF(#REF!,#REF!,#REF!)+SUMIF(#REF!,'FY Current'!B253,#REF!)</f>
        <v>#REF!</v>
      </c>
      <c r="E253" s="127" t="e">
        <f>_xlfn.XLOOKUP(B253,#REF!,#REF!,0,0,1)</f>
        <v>#REF!</v>
      </c>
      <c r="F253" s="127"/>
      <c r="G253" s="219" t="e">
        <f t="shared" si="4"/>
        <v>#REF!</v>
      </c>
      <c r="H253" s="178" t="e">
        <f>_xlfn.XLOOKUP($B253,COA!$B:$B,COA!$C:$C,0,0,1)</f>
        <v>#REF!</v>
      </c>
      <c r="I253" s="178" t="e">
        <f>_xlfn.XLOOKUP($B253,COA!$B:$B,COA!$D:$D,0,0,1)</f>
        <v>#REF!</v>
      </c>
      <c r="J253" s="178" t="e">
        <f>_xlfn.XLOOKUP($B253,COA!$B:$B,COA!$E:$E,0,0,1)</f>
        <v>#REF!</v>
      </c>
      <c r="K253" s="80"/>
      <c r="L253" s="19"/>
      <c r="M253" s="85" t="e">
        <f>_xlfn.XLOOKUP(J253,#REF!,#REF!,0,0,1)</f>
        <v>#REF!</v>
      </c>
      <c r="N253" s="87"/>
      <c r="O253" s="87"/>
      <c r="P253" s="87"/>
      <c r="Q253" s="87"/>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row>
    <row r="254" spans="1:42" hidden="1" outlineLevel="1" x14ac:dyDescent="0.25">
      <c r="A254" s="50"/>
      <c r="B254" s="155" t="e">
        <f>COA!#REF!</f>
        <v>#REF!</v>
      </c>
      <c r="C254" s="127" t="e">
        <f>_xlfn.XLOOKUP(B254,#REF!,#REF!,0,0,1)</f>
        <v>#REF!</v>
      </c>
      <c r="D254" s="127" t="e">
        <f>SUMIF(#REF!,#REF!,#REF!)+SUMIF(#REF!,'FY Current'!B254,#REF!)</f>
        <v>#REF!</v>
      </c>
      <c r="E254" s="127" t="e">
        <f>_xlfn.XLOOKUP(B254,#REF!,#REF!,0,0,1)</f>
        <v>#REF!</v>
      </c>
      <c r="F254" s="127"/>
      <c r="G254" s="219" t="e">
        <f t="shared" si="4"/>
        <v>#REF!</v>
      </c>
      <c r="H254" s="178" t="e">
        <f>_xlfn.XLOOKUP($B254,COA!$B:$B,COA!$C:$C,0,0,1)</f>
        <v>#REF!</v>
      </c>
      <c r="I254" s="178" t="e">
        <f>_xlfn.XLOOKUP($B254,COA!$B:$B,COA!$D:$D,0,0,1)</f>
        <v>#REF!</v>
      </c>
      <c r="J254" s="178" t="e">
        <f>_xlfn.XLOOKUP($B254,COA!$B:$B,COA!$E:$E,0,0,1)</f>
        <v>#REF!</v>
      </c>
      <c r="K254" s="80"/>
      <c r="L254" s="19"/>
      <c r="M254" s="85" t="e">
        <f>_xlfn.XLOOKUP(J254,#REF!,#REF!,0,0,1)</f>
        <v>#REF!</v>
      </c>
      <c r="N254" s="87"/>
      <c r="O254" s="87"/>
      <c r="P254" s="87"/>
      <c r="Q254" s="87"/>
      <c r="R254" s="85"/>
      <c r="S254" s="85"/>
      <c r="T254" s="85"/>
      <c r="U254" s="85"/>
      <c r="V254" s="85"/>
      <c r="W254" s="85"/>
      <c r="X254" s="85"/>
      <c r="Y254" s="85"/>
      <c r="Z254" s="85"/>
      <c r="AA254" s="85"/>
      <c r="AB254" s="85"/>
      <c r="AC254" s="85"/>
      <c r="AD254" s="85"/>
      <c r="AE254" s="85"/>
      <c r="AF254" s="85"/>
      <c r="AG254" s="85"/>
      <c r="AH254" s="85"/>
      <c r="AI254" s="85"/>
      <c r="AJ254" s="85"/>
      <c r="AK254" s="85"/>
      <c r="AL254" s="85"/>
      <c r="AM254" s="85"/>
      <c r="AN254" s="85"/>
      <c r="AO254" s="85"/>
      <c r="AP254" s="85"/>
    </row>
    <row r="255" spans="1:42" hidden="1" outlineLevel="1" x14ac:dyDescent="0.25">
      <c r="A255" s="50"/>
      <c r="B255" s="155" t="e">
        <f>COA!#REF!</f>
        <v>#REF!</v>
      </c>
      <c r="C255" s="127" t="e">
        <f>_xlfn.XLOOKUP(B255,#REF!,#REF!,0,0,1)</f>
        <v>#REF!</v>
      </c>
      <c r="D255" s="127" t="e">
        <f>SUMIF(#REF!,#REF!,#REF!)+SUMIF(#REF!,'FY Current'!B255,#REF!)</f>
        <v>#REF!</v>
      </c>
      <c r="E255" s="127" t="e">
        <f>_xlfn.XLOOKUP(B255,#REF!,#REF!,0,0,1)</f>
        <v>#REF!</v>
      </c>
      <c r="F255" s="127"/>
      <c r="G255" s="219" t="e">
        <f t="shared" si="4"/>
        <v>#REF!</v>
      </c>
      <c r="H255" s="178" t="e">
        <f>_xlfn.XLOOKUP($B255,COA!$B:$B,COA!$C:$C,0,0,1)</f>
        <v>#REF!</v>
      </c>
      <c r="I255" s="178" t="e">
        <f>_xlfn.XLOOKUP($B255,COA!$B:$B,COA!$D:$D,0,0,1)</f>
        <v>#REF!</v>
      </c>
      <c r="J255" s="178" t="e">
        <f>_xlfn.XLOOKUP($B255,COA!$B:$B,COA!$E:$E,0,0,1)</f>
        <v>#REF!</v>
      </c>
      <c r="K255" s="80"/>
      <c r="L255" s="19"/>
      <c r="M255" s="85" t="e">
        <f>_xlfn.XLOOKUP(J255,#REF!,#REF!,0,0,1)</f>
        <v>#REF!</v>
      </c>
      <c r="N255" s="87"/>
      <c r="O255" s="87"/>
      <c r="P255" s="87"/>
      <c r="Q255" s="87"/>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row>
    <row r="256" spans="1:42" hidden="1" outlineLevel="1" x14ac:dyDescent="0.25">
      <c r="A256" s="50"/>
      <c r="B256" s="155" t="e">
        <f>COA!#REF!</f>
        <v>#REF!</v>
      </c>
      <c r="C256" s="127" t="e">
        <f>_xlfn.XLOOKUP(B256,#REF!,#REF!,0,0,1)</f>
        <v>#REF!</v>
      </c>
      <c r="D256" s="127" t="e">
        <f>SUMIF(#REF!,#REF!,#REF!)+SUMIF(#REF!,'FY Current'!B256,#REF!)</f>
        <v>#REF!</v>
      </c>
      <c r="E256" s="127" t="e">
        <f>_xlfn.XLOOKUP(B256,#REF!,#REF!,0,0,1)</f>
        <v>#REF!</v>
      </c>
      <c r="F256" s="127"/>
      <c r="G256" s="219" t="e">
        <f t="shared" si="4"/>
        <v>#REF!</v>
      </c>
      <c r="H256" s="178" t="e">
        <f>_xlfn.XLOOKUP($B256,COA!$B:$B,COA!$C:$C,0,0,1)</f>
        <v>#REF!</v>
      </c>
      <c r="I256" s="178" t="e">
        <f>_xlfn.XLOOKUP($B256,COA!$B:$B,COA!$D:$D,0,0,1)</f>
        <v>#REF!</v>
      </c>
      <c r="J256" s="178" t="e">
        <f>_xlfn.XLOOKUP($B256,COA!$B:$B,COA!$E:$E,0,0,1)</f>
        <v>#REF!</v>
      </c>
      <c r="K256" s="80"/>
      <c r="L256" s="19"/>
      <c r="M256" s="85" t="e">
        <f>_xlfn.XLOOKUP(J256,#REF!,#REF!,0,0,1)</f>
        <v>#REF!</v>
      </c>
      <c r="N256" s="87"/>
      <c r="O256" s="87"/>
      <c r="P256" s="87"/>
      <c r="Q256" s="87"/>
      <c r="R256" s="85"/>
      <c r="S256" s="85"/>
      <c r="T256" s="85"/>
      <c r="U256" s="85"/>
      <c r="V256" s="85"/>
      <c r="W256" s="85"/>
      <c r="X256" s="85"/>
      <c r="Y256" s="85"/>
      <c r="Z256" s="85"/>
      <c r="AA256" s="85"/>
      <c r="AB256" s="85"/>
      <c r="AC256" s="85"/>
      <c r="AD256" s="85"/>
      <c r="AE256" s="85"/>
      <c r="AF256" s="85"/>
      <c r="AG256" s="85"/>
      <c r="AH256" s="85"/>
      <c r="AI256" s="85"/>
      <c r="AJ256" s="85"/>
      <c r="AK256" s="85"/>
      <c r="AL256" s="85"/>
      <c r="AM256" s="85"/>
      <c r="AN256" s="85"/>
      <c r="AO256" s="85"/>
      <c r="AP256" s="85"/>
    </row>
    <row r="257" spans="1:42" hidden="1" outlineLevel="1" x14ac:dyDescent="0.25">
      <c r="A257" s="50"/>
      <c r="B257" s="155" t="e">
        <f>COA!#REF!</f>
        <v>#REF!</v>
      </c>
      <c r="C257" s="127" t="e">
        <f>_xlfn.XLOOKUP(B257,#REF!,#REF!,0,0,1)</f>
        <v>#REF!</v>
      </c>
      <c r="D257" s="127" t="e">
        <f>SUMIF(#REF!,#REF!,#REF!)+SUMIF(#REF!,'FY Current'!B257,#REF!)</f>
        <v>#REF!</v>
      </c>
      <c r="E257" s="127" t="e">
        <f>_xlfn.XLOOKUP(B257,#REF!,#REF!,0,0,1)</f>
        <v>#REF!</v>
      </c>
      <c r="F257" s="127"/>
      <c r="G257" s="219" t="e">
        <f t="shared" si="4"/>
        <v>#REF!</v>
      </c>
      <c r="H257" s="178" t="e">
        <f>_xlfn.XLOOKUP($B257,COA!$B:$B,COA!$C:$C,0,0,1)</f>
        <v>#REF!</v>
      </c>
      <c r="I257" s="178" t="e">
        <f>_xlfn.XLOOKUP($B257,COA!$B:$B,COA!$D:$D,0,0,1)</f>
        <v>#REF!</v>
      </c>
      <c r="J257" s="178" t="e">
        <f>_xlfn.XLOOKUP($B257,COA!$B:$B,COA!$E:$E,0,0,1)</f>
        <v>#REF!</v>
      </c>
      <c r="K257" s="80"/>
      <c r="L257" s="19"/>
      <c r="M257" s="85" t="e">
        <f>_xlfn.XLOOKUP(J257,#REF!,#REF!,0,0,1)</f>
        <v>#REF!</v>
      </c>
      <c r="N257" s="87"/>
      <c r="O257" s="87"/>
      <c r="P257" s="87"/>
      <c r="Q257" s="87"/>
      <c r="R257" s="85"/>
      <c r="S257" s="85"/>
      <c r="T257" s="85"/>
      <c r="U257" s="85"/>
      <c r="V257" s="85"/>
      <c r="W257" s="85"/>
      <c r="X257" s="85"/>
      <c r="Y257" s="85"/>
      <c r="Z257" s="85"/>
      <c r="AA257" s="85"/>
      <c r="AB257" s="85"/>
      <c r="AC257" s="85"/>
      <c r="AD257" s="85"/>
      <c r="AE257" s="85"/>
      <c r="AF257" s="85"/>
      <c r="AG257" s="85"/>
      <c r="AH257" s="85"/>
      <c r="AI257" s="85"/>
      <c r="AJ257" s="85"/>
      <c r="AK257" s="85"/>
      <c r="AL257" s="85"/>
      <c r="AM257" s="85"/>
      <c r="AN257" s="85"/>
      <c r="AO257" s="85"/>
      <c r="AP257" s="85"/>
    </row>
    <row r="258" spans="1:42" hidden="1" outlineLevel="1" x14ac:dyDescent="0.25">
      <c r="A258" s="50"/>
      <c r="B258" s="155" t="e">
        <f>COA!#REF!</f>
        <v>#REF!</v>
      </c>
      <c r="C258" s="127" t="e">
        <f>_xlfn.XLOOKUP(B258,#REF!,#REF!,0,0,1)</f>
        <v>#REF!</v>
      </c>
      <c r="D258" s="127" t="e">
        <f>SUMIF(#REF!,#REF!,#REF!)+SUMIF(#REF!,'FY Current'!B258,#REF!)</f>
        <v>#REF!</v>
      </c>
      <c r="E258" s="127" t="e">
        <f>_xlfn.XLOOKUP(B258,#REF!,#REF!,0,0,1)</f>
        <v>#REF!</v>
      </c>
      <c r="F258" s="127"/>
      <c r="G258" s="219" t="e">
        <f t="shared" si="4"/>
        <v>#REF!</v>
      </c>
      <c r="H258" s="178" t="e">
        <f>_xlfn.XLOOKUP($B258,COA!$B:$B,COA!$C:$C,0,0,1)</f>
        <v>#REF!</v>
      </c>
      <c r="I258" s="178" t="e">
        <f>_xlfn.XLOOKUP($B258,COA!$B:$B,COA!$D:$D,0,0,1)</f>
        <v>#REF!</v>
      </c>
      <c r="J258" s="178" t="e">
        <f>_xlfn.XLOOKUP($B258,COA!$B:$B,COA!$E:$E,0,0,1)</f>
        <v>#REF!</v>
      </c>
      <c r="K258" s="80"/>
      <c r="L258" s="19"/>
      <c r="M258" s="85" t="e">
        <f>_xlfn.XLOOKUP(J258,#REF!,#REF!,0,0,1)</f>
        <v>#REF!</v>
      </c>
      <c r="N258" s="87"/>
      <c r="O258" s="87"/>
      <c r="P258" s="87"/>
      <c r="Q258" s="87"/>
      <c r="R258" s="85"/>
      <c r="S258" s="85"/>
      <c r="T258" s="85"/>
      <c r="U258" s="85"/>
      <c r="V258" s="85"/>
      <c r="W258" s="85"/>
      <c r="X258" s="85"/>
      <c r="Y258" s="85"/>
      <c r="Z258" s="85"/>
      <c r="AA258" s="85"/>
      <c r="AB258" s="85"/>
      <c r="AC258" s="85"/>
      <c r="AD258" s="85"/>
      <c r="AE258" s="85"/>
      <c r="AF258" s="85"/>
      <c r="AG258" s="85"/>
      <c r="AH258" s="85"/>
      <c r="AI258" s="85"/>
      <c r="AJ258" s="85"/>
      <c r="AK258" s="85"/>
      <c r="AL258" s="85"/>
      <c r="AM258" s="85"/>
      <c r="AN258" s="85"/>
      <c r="AO258" s="85"/>
      <c r="AP258" s="85"/>
    </row>
    <row r="259" spans="1:42" hidden="1" outlineLevel="1" x14ac:dyDescent="0.25">
      <c r="A259" s="50"/>
      <c r="B259" s="155" t="e">
        <f>COA!#REF!</f>
        <v>#REF!</v>
      </c>
      <c r="C259" s="127" t="e">
        <f>_xlfn.XLOOKUP(B259,#REF!,#REF!,0,0,1)</f>
        <v>#REF!</v>
      </c>
      <c r="D259" s="127" t="e">
        <f>SUMIF(#REF!,#REF!,#REF!)+SUMIF(#REF!,'FY Current'!B259,#REF!)</f>
        <v>#REF!</v>
      </c>
      <c r="E259" s="127" t="e">
        <f>_xlfn.XLOOKUP(B259,#REF!,#REF!,0,0,1)</f>
        <v>#REF!</v>
      </c>
      <c r="F259" s="127"/>
      <c r="G259" s="219" t="e">
        <f t="shared" si="4"/>
        <v>#REF!</v>
      </c>
      <c r="H259" s="178" t="e">
        <f>_xlfn.XLOOKUP($B259,COA!$B:$B,COA!$C:$C,0,0,1)</f>
        <v>#REF!</v>
      </c>
      <c r="I259" s="178" t="e">
        <f>_xlfn.XLOOKUP($B259,COA!$B:$B,COA!$D:$D,0,0,1)</f>
        <v>#REF!</v>
      </c>
      <c r="J259" s="178" t="e">
        <f>_xlfn.XLOOKUP($B259,COA!$B:$B,COA!$E:$E,0,0,1)</f>
        <v>#REF!</v>
      </c>
      <c r="K259" s="80"/>
      <c r="L259" s="19"/>
      <c r="M259" s="85" t="e">
        <f>_xlfn.XLOOKUP(J259,#REF!,#REF!,0,0,1)</f>
        <v>#REF!</v>
      </c>
      <c r="N259" s="87"/>
      <c r="O259" s="87"/>
      <c r="P259" s="87"/>
      <c r="Q259" s="87"/>
      <c r="R259" s="85"/>
      <c r="S259" s="85"/>
      <c r="T259" s="85"/>
      <c r="U259" s="85"/>
      <c r="V259" s="85"/>
      <c r="W259" s="85"/>
      <c r="X259" s="85"/>
      <c r="Y259" s="85"/>
      <c r="Z259" s="85"/>
      <c r="AA259" s="85"/>
      <c r="AB259" s="85"/>
      <c r="AC259" s="85"/>
      <c r="AD259" s="85"/>
      <c r="AE259" s="85"/>
      <c r="AF259" s="85"/>
      <c r="AG259" s="85"/>
      <c r="AH259" s="85"/>
      <c r="AI259" s="85"/>
      <c r="AJ259" s="85"/>
      <c r="AK259" s="85"/>
      <c r="AL259" s="85"/>
      <c r="AM259" s="85"/>
      <c r="AN259" s="85"/>
      <c r="AO259" s="85"/>
      <c r="AP259" s="85"/>
    </row>
    <row r="260" spans="1:42" hidden="1" outlineLevel="1" x14ac:dyDescent="0.25">
      <c r="A260" s="50"/>
      <c r="B260" s="155" t="e">
        <f>COA!#REF!</f>
        <v>#REF!</v>
      </c>
      <c r="C260" s="127" t="e">
        <f>_xlfn.XLOOKUP(B260,#REF!,#REF!,0,0,1)</f>
        <v>#REF!</v>
      </c>
      <c r="D260" s="127" t="e">
        <f>SUMIF(#REF!,#REF!,#REF!)+SUMIF(#REF!,'FY Current'!B260,#REF!)</f>
        <v>#REF!</v>
      </c>
      <c r="E260" s="127" t="e">
        <f>_xlfn.XLOOKUP(B260,#REF!,#REF!,0,0,1)</f>
        <v>#REF!</v>
      </c>
      <c r="F260" s="127"/>
      <c r="G260" s="219" t="e">
        <f t="shared" si="4"/>
        <v>#REF!</v>
      </c>
      <c r="H260" s="178" t="e">
        <f>_xlfn.XLOOKUP($B260,COA!$B:$B,COA!$C:$C,0,0,1)</f>
        <v>#REF!</v>
      </c>
      <c r="I260" s="178" t="e">
        <f>_xlfn.XLOOKUP($B260,COA!$B:$B,COA!$D:$D,0,0,1)</f>
        <v>#REF!</v>
      </c>
      <c r="J260" s="178" t="e">
        <f>_xlfn.XLOOKUP($B260,COA!$B:$B,COA!$E:$E,0,0,1)</f>
        <v>#REF!</v>
      </c>
      <c r="K260" s="80"/>
      <c r="L260" s="19"/>
      <c r="M260" s="85" t="e">
        <f>_xlfn.XLOOKUP(J260,#REF!,#REF!,0,0,1)</f>
        <v>#REF!</v>
      </c>
      <c r="N260" s="87"/>
      <c r="O260" s="87"/>
      <c r="P260" s="87"/>
      <c r="Q260" s="87"/>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row>
    <row r="261" spans="1:42" hidden="1" outlineLevel="1" x14ac:dyDescent="0.25">
      <c r="A261" s="50"/>
      <c r="B261" s="155" t="e">
        <f>COA!#REF!</f>
        <v>#REF!</v>
      </c>
      <c r="C261" s="127" t="e">
        <f>_xlfn.XLOOKUP(B261,#REF!,#REF!,0,0,1)</f>
        <v>#REF!</v>
      </c>
      <c r="D261" s="127" t="e">
        <f>SUMIF(#REF!,#REF!,#REF!)+SUMIF(#REF!,'FY Current'!B261,#REF!)</f>
        <v>#REF!</v>
      </c>
      <c r="E261" s="127" t="e">
        <f>_xlfn.XLOOKUP(B261,#REF!,#REF!,0,0,1)</f>
        <v>#REF!</v>
      </c>
      <c r="F261" s="127"/>
      <c r="G261" s="219" t="e">
        <f t="shared" si="4"/>
        <v>#REF!</v>
      </c>
      <c r="H261" s="178" t="e">
        <f>_xlfn.XLOOKUP($B261,COA!$B:$B,COA!$C:$C,0,0,1)</f>
        <v>#REF!</v>
      </c>
      <c r="I261" s="178" t="e">
        <f>_xlfn.XLOOKUP($B261,COA!$B:$B,COA!$D:$D,0,0,1)</f>
        <v>#REF!</v>
      </c>
      <c r="J261" s="178" t="e">
        <f>_xlfn.XLOOKUP($B261,COA!$B:$B,COA!$E:$E,0,0,1)</f>
        <v>#REF!</v>
      </c>
      <c r="K261" s="80"/>
      <c r="L261" s="19"/>
      <c r="M261" s="85" t="e">
        <f>_xlfn.XLOOKUP(J261,#REF!,#REF!,0,0,1)</f>
        <v>#REF!</v>
      </c>
      <c r="N261" s="87"/>
      <c r="O261" s="87"/>
      <c r="P261" s="87"/>
      <c r="Q261" s="87"/>
      <c r="R261" s="85"/>
      <c r="S261" s="85"/>
      <c r="T261" s="85"/>
      <c r="U261" s="85"/>
      <c r="V261" s="85"/>
      <c r="W261" s="85"/>
      <c r="X261" s="85"/>
      <c r="Y261" s="85"/>
      <c r="Z261" s="85"/>
      <c r="AA261" s="85"/>
      <c r="AB261" s="85"/>
      <c r="AC261" s="85"/>
      <c r="AD261" s="85"/>
      <c r="AE261" s="85"/>
      <c r="AF261" s="85"/>
      <c r="AG261" s="85"/>
      <c r="AH261" s="85"/>
      <c r="AI261" s="85"/>
      <c r="AJ261" s="85"/>
      <c r="AK261" s="85"/>
      <c r="AL261" s="85"/>
      <c r="AM261" s="85"/>
      <c r="AN261" s="85"/>
      <c r="AO261" s="85"/>
      <c r="AP261" s="85"/>
    </row>
    <row r="262" spans="1:42" hidden="1" outlineLevel="1" x14ac:dyDescent="0.25">
      <c r="A262" s="50"/>
      <c r="B262" s="155" t="e">
        <f>COA!#REF!</f>
        <v>#REF!</v>
      </c>
      <c r="C262" s="127" t="e">
        <f>_xlfn.XLOOKUP(B262,#REF!,#REF!,0,0,1)</f>
        <v>#REF!</v>
      </c>
      <c r="D262" s="127" t="e">
        <f>SUMIF(#REF!,#REF!,#REF!)+SUMIF(#REF!,'FY Current'!B262,#REF!)</f>
        <v>#REF!</v>
      </c>
      <c r="E262" s="127" t="e">
        <f>_xlfn.XLOOKUP(B262,#REF!,#REF!,0,0,1)</f>
        <v>#REF!</v>
      </c>
      <c r="F262" s="127"/>
      <c r="G262" s="219" t="e">
        <f t="shared" si="4"/>
        <v>#REF!</v>
      </c>
      <c r="H262" s="178" t="e">
        <f>_xlfn.XLOOKUP($B262,COA!$B:$B,COA!$C:$C,0,0,1)</f>
        <v>#REF!</v>
      </c>
      <c r="I262" s="178" t="e">
        <f>_xlfn.XLOOKUP($B262,COA!$B:$B,COA!$D:$D,0,0,1)</f>
        <v>#REF!</v>
      </c>
      <c r="J262" s="178" t="e">
        <f>_xlfn.XLOOKUP($B262,COA!$B:$B,COA!$E:$E,0,0,1)</f>
        <v>#REF!</v>
      </c>
      <c r="K262" s="80"/>
      <c r="L262" s="19"/>
      <c r="M262" s="85" t="e">
        <f>_xlfn.XLOOKUP(J262,#REF!,#REF!,0,0,1)</f>
        <v>#REF!</v>
      </c>
      <c r="N262" s="87"/>
      <c r="O262" s="87"/>
      <c r="P262" s="87"/>
      <c r="Q262" s="87"/>
      <c r="R262" s="85"/>
      <c r="S262" s="85"/>
      <c r="T262" s="85"/>
      <c r="U262" s="85"/>
      <c r="V262" s="85"/>
      <c r="W262" s="85"/>
      <c r="X262" s="85"/>
      <c r="Y262" s="85"/>
      <c r="Z262" s="85"/>
      <c r="AA262" s="85"/>
      <c r="AB262" s="85"/>
      <c r="AC262" s="85"/>
      <c r="AD262" s="85"/>
      <c r="AE262" s="85"/>
      <c r="AF262" s="85"/>
      <c r="AG262" s="85"/>
      <c r="AH262" s="85"/>
      <c r="AI262" s="85"/>
      <c r="AJ262" s="85"/>
      <c r="AK262" s="85"/>
      <c r="AL262" s="85"/>
      <c r="AM262" s="85"/>
      <c r="AN262" s="85"/>
      <c r="AO262" s="85"/>
      <c r="AP262" s="85"/>
    </row>
    <row r="263" spans="1:42" hidden="1" outlineLevel="1" x14ac:dyDescent="0.25">
      <c r="A263" s="50"/>
      <c r="B263" s="155" t="e">
        <f>COA!#REF!</f>
        <v>#REF!</v>
      </c>
      <c r="C263" s="127" t="e">
        <f>_xlfn.XLOOKUP(B263,#REF!,#REF!,0,0,1)</f>
        <v>#REF!</v>
      </c>
      <c r="D263" s="127" t="e">
        <f>SUMIF(#REF!,#REF!,#REF!)+SUMIF(#REF!,'FY Current'!B263,#REF!)</f>
        <v>#REF!</v>
      </c>
      <c r="E263" s="127" t="e">
        <f>_xlfn.XLOOKUP(B263,#REF!,#REF!,0,0,1)</f>
        <v>#REF!</v>
      </c>
      <c r="F263" s="127"/>
      <c r="G263" s="219" t="e">
        <f t="shared" ref="G263:G327" si="5">ROUND(SUM(C263:F263),0)</f>
        <v>#REF!</v>
      </c>
      <c r="H263" s="178" t="e">
        <f>_xlfn.XLOOKUP($B263,COA!$B:$B,COA!$C:$C,0,0,1)</f>
        <v>#REF!</v>
      </c>
      <c r="I263" s="178" t="e">
        <f>_xlfn.XLOOKUP($B263,COA!$B:$B,COA!$D:$D,0,0,1)</f>
        <v>#REF!</v>
      </c>
      <c r="J263" s="178" t="e">
        <f>_xlfn.XLOOKUP($B263,COA!$B:$B,COA!$E:$E,0,0,1)</f>
        <v>#REF!</v>
      </c>
      <c r="K263" s="80"/>
      <c r="L263" s="19"/>
      <c r="M263" s="85" t="e">
        <f>_xlfn.XLOOKUP(J263,#REF!,#REF!,0,0,1)</f>
        <v>#REF!</v>
      </c>
      <c r="N263" s="87"/>
      <c r="O263" s="87"/>
      <c r="P263" s="87"/>
      <c r="Q263" s="87"/>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row>
    <row r="264" spans="1:42" hidden="1" outlineLevel="1" x14ac:dyDescent="0.25">
      <c r="A264" s="50"/>
      <c r="B264" s="155" t="e">
        <f>COA!#REF!</f>
        <v>#REF!</v>
      </c>
      <c r="C264" s="127" t="e">
        <f>_xlfn.XLOOKUP(B264,#REF!,#REF!,0,0,1)</f>
        <v>#REF!</v>
      </c>
      <c r="D264" s="127" t="e">
        <f>SUMIF(#REF!,#REF!,#REF!)+SUMIF(#REF!,'FY Current'!B264,#REF!)</f>
        <v>#REF!</v>
      </c>
      <c r="E264" s="127" t="e">
        <f>_xlfn.XLOOKUP(B264,#REF!,#REF!,0,0,1)</f>
        <v>#REF!</v>
      </c>
      <c r="F264" s="127"/>
      <c r="G264" s="219" t="e">
        <f t="shared" si="5"/>
        <v>#REF!</v>
      </c>
      <c r="H264" s="178" t="e">
        <f>_xlfn.XLOOKUP($B264,COA!$B:$B,COA!$C:$C,0,0,1)</f>
        <v>#REF!</v>
      </c>
      <c r="I264" s="178" t="e">
        <f>_xlfn.XLOOKUP($B264,COA!$B:$B,COA!$D:$D,0,0,1)</f>
        <v>#REF!</v>
      </c>
      <c r="J264" s="178" t="e">
        <f>_xlfn.XLOOKUP($B264,COA!$B:$B,COA!$E:$E,0,0,1)</f>
        <v>#REF!</v>
      </c>
      <c r="K264" s="80"/>
      <c r="L264" s="19"/>
      <c r="M264" s="85" t="e">
        <f>_xlfn.XLOOKUP(J264,#REF!,#REF!,0,0,1)</f>
        <v>#REF!</v>
      </c>
      <c r="N264" s="87"/>
      <c r="O264" s="87"/>
      <c r="P264" s="87"/>
      <c r="Q264" s="87"/>
      <c r="R264" s="85"/>
      <c r="S264" s="85"/>
      <c r="T264" s="85"/>
      <c r="U264" s="85"/>
      <c r="V264" s="85"/>
      <c r="W264" s="85"/>
      <c r="X264" s="85"/>
      <c r="Y264" s="85"/>
      <c r="Z264" s="85"/>
      <c r="AA264" s="85"/>
      <c r="AB264" s="85"/>
      <c r="AC264" s="85"/>
      <c r="AD264" s="85"/>
      <c r="AE264" s="85"/>
      <c r="AF264" s="85"/>
      <c r="AG264" s="85"/>
      <c r="AH264" s="85"/>
      <c r="AI264" s="85"/>
      <c r="AJ264" s="85"/>
      <c r="AK264" s="85"/>
      <c r="AL264" s="85"/>
      <c r="AM264" s="85"/>
      <c r="AN264" s="85"/>
      <c r="AO264" s="85"/>
      <c r="AP264" s="85"/>
    </row>
    <row r="265" spans="1:42" hidden="1" outlineLevel="1" x14ac:dyDescent="0.25">
      <c r="A265" s="50"/>
      <c r="B265" s="155" t="e">
        <f>COA!#REF!</f>
        <v>#REF!</v>
      </c>
      <c r="C265" s="127" t="e">
        <f>_xlfn.XLOOKUP(B265,#REF!,#REF!,0,0,1)</f>
        <v>#REF!</v>
      </c>
      <c r="D265" s="127" t="e">
        <f>SUMIF(#REF!,#REF!,#REF!)+SUMIF(#REF!,'FY Current'!B265,#REF!)</f>
        <v>#REF!</v>
      </c>
      <c r="E265" s="127" t="e">
        <f>_xlfn.XLOOKUP(B265,#REF!,#REF!,0,0,1)</f>
        <v>#REF!</v>
      </c>
      <c r="F265" s="127"/>
      <c r="G265" s="219" t="e">
        <f t="shared" si="5"/>
        <v>#REF!</v>
      </c>
      <c r="H265" s="178" t="e">
        <f>_xlfn.XLOOKUP($B265,COA!$B:$B,COA!$C:$C,0,0,1)</f>
        <v>#REF!</v>
      </c>
      <c r="I265" s="178" t="e">
        <f>_xlfn.XLOOKUP($B265,COA!$B:$B,COA!$D:$D,0,0,1)</f>
        <v>#REF!</v>
      </c>
      <c r="J265" s="178" t="e">
        <f>_xlfn.XLOOKUP($B265,COA!$B:$B,COA!$E:$E,0,0,1)</f>
        <v>#REF!</v>
      </c>
      <c r="K265" s="80"/>
      <c r="L265" s="19"/>
      <c r="M265" s="85" t="e">
        <f>_xlfn.XLOOKUP(J265,#REF!,#REF!,0,0,1)</f>
        <v>#REF!</v>
      </c>
      <c r="N265" s="87"/>
      <c r="O265" s="87"/>
      <c r="P265" s="87"/>
      <c r="Q265" s="87"/>
      <c r="R265" s="85"/>
      <c r="S265" s="85"/>
      <c r="T265" s="85"/>
      <c r="U265" s="85"/>
      <c r="V265" s="85"/>
      <c r="W265" s="85"/>
      <c r="X265" s="85"/>
      <c r="Y265" s="85"/>
      <c r="Z265" s="85"/>
      <c r="AA265" s="85"/>
      <c r="AB265" s="85"/>
      <c r="AC265" s="85"/>
      <c r="AD265" s="85"/>
      <c r="AE265" s="85"/>
      <c r="AF265" s="85"/>
      <c r="AG265" s="85"/>
      <c r="AH265" s="85"/>
      <c r="AI265" s="85"/>
      <c r="AJ265" s="85"/>
      <c r="AK265" s="85"/>
      <c r="AL265" s="85"/>
      <c r="AM265" s="85"/>
      <c r="AN265" s="85"/>
      <c r="AO265" s="85"/>
      <c r="AP265" s="85"/>
    </row>
    <row r="266" spans="1:42" hidden="1" outlineLevel="1" x14ac:dyDescent="0.25">
      <c r="A266" s="50"/>
      <c r="B266" s="155" t="e">
        <f>COA!#REF!</f>
        <v>#REF!</v>
      </c>
      <c r="C266" s="127" t="e">
        <f>_xlfn.XLOOKUP(B266,#REF!,#REF!,0,0,1)</f>
        <v>#REF!</v>
      </c>
      <c r="D266" s="127" t="e">
        <f>SUMIF(#REF!,#REF!,#REF!)+SUMIF(#REF!,'FY Current'!B266,#REF!)</f>
        <v>#REF!</v>
      </c>
      <c r="E266" s="127" t="e">
        <f>_xlfn.XLOOKUP(B266,#REF!,#REF!,0,0,1)</f>
        <v>#REF!</v>
      </c>
      <c r="F266" s="127"/>
      <c r="G266" s="219" t="e">
        <f t="shared" si="5"/>
        <v>#REF!</v>
      </c>
      <c r="H266" s="178" t="e">
        <f>_xlfn.XLOOKUP($B266,COA!$B:$B,COA!$C:$C,0,0,1)</f>
        <v>#REF!</v>
      </c>
      <c r="I266" s="178" t="e">
        <f>_xlfn.XLOOKUP($B266,COA!$B:$B,COA!$D:$D,0,0,1)</f>
        <v>#REF!</v>
      </c>
      <c r="J266" s="178" t="e">
        <f>_xlfn.XLOOKUP($B266,COA!$B:$B,COA!$E:$E,0,0,1)</f>
        <v>#REF!</v>
      </c>
      <c r="K266" s="80"/>
      <c r="L266" s="19"/>
      <c r="M266" s="85" t="e">
        <f>_xlfn.XLOOKUP(J266,#REF!,#REF!,0,0,1)</f>
        <v>#REF!</v>
      </c>
      <c r="N266" s="87"/>
      <c r="O266" s="87"/>
      <c r="P266" s="87"/>
      <c r="Q266" s="87"/>
      <c r="R266" s="85"/>
      <c r="S266" s="85"/>
      <c r="T266" s="85"/>
      <c r="U266" s="85"/>
      <c r="V266" s="85"/>
      <c r="W266" s="85"/>
      <c r="X266" s="85"/>
      <c r="Y266" s="85"/>
      <c r="Z266" s="85"/>
      <c r="AA266" s="85"/>
      <c r="AB266" s="85"/>
      <c r="AC266" s="85"/>
      <c r="AD266" s="85"/>
      <c r="AE266" s="85"/>
      <c r="AF266" s="85"/>
      <c r="AG266" s="85"/>
      <c r="AH266" s="85"/>
      <c r="AI266" s="85"/>
      <c r="AJ266" s="85"/>
      <c r="AK266" s="85"/>
      <c r="AL266" s="85"/>
      <c r="AM266" s="85"/>
      <c r="AN266" s="85"/>
      <c r="AO266" s="85"/>
      <c r="AP266" s="85"/>
    </row>
    <row r="267" spans="1:42" hidden="1" outlineLevel="1" x14ac:dyDescent="0.25">
      <c r="A267" s="50"/>
      <c r="B267" s="155" t="e">
        <f>COA!#REF!</f>
        <v>#REF!</v>
      </c>
      <c r="C267" s="127" t="e">
        <f>_xlfn.XLOOKUP(B267,#REF!,#REF!,0,0,1)</f>
        <v>#REF!</v>
      </c>
      <c r="D267" s="127" t="e">
        <f>SUMIF(#REF!,#REF!,#REF!)+SUMIF(#REF!,'FY Current'!B267,#REF!)</f>
        <v>#REF!</v>
      </c>
      <c r="E267" s="127" t="e">
        <f>_xlfn.XLOOKUP(B267,#REF!,#REF!,0,0,1)</f>
        <v>#REF!</v>
      </c>
      <c r="F267" s="127"/>
      <c r="G267" s="219" t="e">
        <f t="shared" si="5"/>
        <v>#REF!</v>
      </c>
      <c r="H267" s="178" t="e">
        <f>_xlfn.XLOOKUP($B267,COA!$B:$B,COA!$C:$C,0,0,1)</f>
        <v>#REF!</v>
      </c>
      <c r="I267" s="178" t="e">
        <f>_xlfn.XLOOKUP($B267,COA!$B:$B,COA!$D:$D,0,0,1)</f>
        <v>#REF!</v>
      </c>
      <c r="J267" s="178" t="e">
        <f>_xlfn.XLOOKUP($B267,COA!$B:$B,COA!$E:$E,0,0,1)</f>
        <v>#REF!</v>
      </c>
      <c r="K267" s="80"/>
      <c r="L267" s="19"/>
      <c r="M267" s="85" t="e">
        <f>_xlfn.XLOOKUP(J267,#REF!,#REF!,0,0,1)</f>
        <v>#REF!</v>
      </c>
      <c r="N267" s="87"/>
      <c r="O267" s="87"/>
      <c r="P267" s="87"/>
      <c r="Q267" s="87"/>
      <c r="R267" s="85"/>
      <c r="S267" s="85"/>
      <c r="T267" s="85"/>
      <c r="U267" s="85"/>
      <c r="V267" s="85"/>
      <c r="W267" s="85"/>
      <c r="X267" s="85"/>
      <c r="Y267" s="85"/>
      <c r="Z267" s="85"/>
      <c r="AA267" s="85"/>
      <c r="AB267" s="85"/>
      <c r="AC267" s="85"/>
      <c r="AD267" s="85"/>
      <c r="AE267" s="85"/>
      <c r="AF267" s="85"/>
      <c r="AG267" s="85"/>
      <c r="AH267" s="85"/>
      <c r="AI267" s="85"/>
      <c r="AJ267" s="85"/>
      <c r="AK267" s="85"/>
      <c r="AL267" s="85"/>
      <c r="AM267" s="85"/>
      <c r="AN267" s="85"/>
      <c r="AO267" s="85"/>
      <c r="AP267" s="85"/>
    </row>
    <row r="268" spans="1:42" hidden="1" outlineLevel="1" x14ac:dyDescent="0.25">
      <c r="A268" s="50"/>
      <c r="B268" s="155" t="e">
        <f>COA!#REF!</f>
        <v>#REF!</v>
      </c>
      <c r="C268" s="127" t="e">
        <f>_xlfn.XLOOKUP(B268,#REF!,#REF!,0,0,1)</f>
        <v>#REF!</v>
      </c>
      <c r="D268" s="127" t="e">
        <f>SUMIF(#REF!,#REF!,#REF!)+SUMIF(#REF!,'FY Current'!B268,#REF!)</f>
        <v>#REF!</v>
      </c>
      <c r="E268" s="127" t="e">
        <f>_xlfn.XLOOKUP(B268,#REF!,#REF!,0,0,1)</f>
        <v>#REF!</v>
      </c>
      <c r="F268" s="127"/>
      <c r="G268" s="219" t="e">
        <f t="shared" si="5"/>
        <v>#REF!</v>
      </c>
      <c r="H268" s="178" t="e">
        <f>_xlfn.XLOOKUP($B268,COA!$B:$B,COA!$C:$C,0,0,1)</f>
        <v>#REF!</v>
      </c>
      <c r="I268" s="178" t="e">
        <f>_xlfn.XLOOKUP($B268,COA!$B:$B,COA!$D:$D,0,0,1)</f>
        <v>#REF!</v>
      </c>
      <c r="J268" s="178" t="e">
        <f>_xlfn.XLOOKUP($B268,COA!$B:$B,COA!$E:$E,0,0,1)</f>
        <v>#REF!</v>
      </c>
      <c r="K268" s="80"/>
      <c r="L268" s="19"/>
      <c r="M268" s="85" t="e">
        <f>_xlfn.XLOOKUP(J268,#REF!,#REF!,0,0,1)</f>
        <v>#REF!</v>
      </c>
      <c r="N268" s="87"/>
      <c r="O268" s="87"/>
      <c r="P268" s="87"/>
      <c r="Q268" s="87"/>
      <c r="R268" s="85"/>
      <c r="S268" s="85"/>
      <c r="T268" s="85"/>
      <c r="U268" s="85"/>
      <c r="V268" s="85"/>
      <c r="W268" s="85"/>
      <c r="X268" s="85"/>
      <c r="Y268" s="85"/>
      <c r="Z268" s="85"/>
      <c r="AA268" s="85"/>
      <c r="AB268" s="85"/>
      <c r="AC268" s="85"/>
      <c r="AD268" s="85"/>
      <c r="AE268" s="85"/>
      <c r="AF268" s="85"/>
      <c r="AG268" s="85"/>
      <c r="AH268" s="85"/>
      <c r="AI268" s="85"/>
      <c r="AJ268" s="85"/>
      <c r="AK268" s="85"/>
      <c r="AL268" s="85"/>
      <c r="AM268" s="85"/>
      <c r="AN268" s="85"/>
      <c r="AO268" s="85"/>
      <c r="AP268" s="85"/>
    </row>
    <row r="269" spans="1:42" hidden="1" outlineLevel="1" x14ac:dyDescent="0.25">
      <c r="A269" s="50"/>
      <c r="B269" s="155" t="e">
        <f>COA!#REF!</f>
        <v>#REF!</v>
      </c>
      <c r="C269" s="127" t="e">
        <f>_xlfn.XLOOKUP(B269,#REF!,#REF!,0,0,1)</f>
        <v>#REF!</v>
      </c>
      <c r="D269" s="127" t="e">
        <f>SUMIF(#REF!,#REF!,#REF!)+SUMIF(#REF!,'FY Current'!B269,#REF!)</f>
        <v>#REF!</v>
      </c>
      <c r="E269" s="127" t="e">
        <f>_xlfn.XLOOKUP(B269,#REF!,#REF!,0,0,1)</f>
        <v>#REF!</v>
      </c>
      <c r="F269" s="127"/>
      <c r="G269" s="219" t="e">
        <f t="shared" si="5"/>
        <v>#REF!</v>
      </c>
      <c r="H269" s="178" t="e">
        <f>_xlfn.XLOOKUP($B269,COA!$B:$B,COA!$C:$C,0,0,1)</f>
        <v>#REF!</v>
      </c>
      <c r="I269" s="178" t="e">
        <f>_xlfn.XLOOKUP($B269,COA!$B:$B,COA!$D:$D,0,0,1)</f>
        <v>#REF!</v>
      </c>
      <c r="J269" s="178" t="e">
        <f>_xlfn.XLOOKUP($B269,COA!$B:$B,COA!$E:$E,0,0,1)</f>
        <v>#REF!</v>
      </c>
      <c r="K269" s="80"/>
      <c r="L269" s="19"/>
      <c r="M269" s="85" t="e">
        <f>_xlfn.XLOOKUP(J269,#REF!,#REF!,0,0,1)</f>
        <v>#REF!</v>
      </c>
      <c r="N269" s="87"/>
      <c r="O269" s="87"/>
      <c r="P269" s="87"/>
      <c r="Q269" s="87"/>
      <c r="R269" s="85"/>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row>
    <row r="270" spans="1:42" hidden="1" outlineLevel="1" x14ac:dyDescent="0.25">
      <c r="A270" s="50"/>
      <c r="B270" s="155" t="e">
        <f>COA!#REF!</f>
        <v>#REF!</v>
      </c>
      <c r="C270" s="127" t="e">
        <f>_xlfn.XLOOKUP(B270,#REF!,#REF!,0,0,1)</f>
        <v>#REF!</v>
      </c>
      <c r="D270" s="127" t="e">
        <f>SUMIF(#REF!,#REF!,#REF!)+SUMIF(#REF!,'FY Current'!B270,#REF!)</f>
        <v>#REF!</v>
      </c>
      <c r="E270" s="127" t="e">
        <f>_xlfn.XLOOKUP(B270,#REF!,#REF!,0,0,1)</f>
        <v>#REF!</v>
      </c>
      <c r="F270" s="127"/>
      <c r="G270" s="219" t="e">
        <f t="shared" si="5"/>
        <v>#REF!</v>
      </c>
      <c r="H270" s="178" t="e">
        <f>_xlfn.XLOOKUP($B270,COA!$B:$B,COA!$C:$C,0,0,1)</f>
        <v>#REF!</v>
      </c>
      <c r="I270" s="178" t="e">
        <f>_xlfn.XLOOKUP($B270,COA!$B:$B,COA!$D:$D,0,0,1)</f>
        <v>#REF!</v>
      </c>
      <c r="J270" s="178" t="e">
        <f>_xlfn.XLOOKUP($B270,COA!$B:$B,COA!$E:$E,0,0,1)</f>
        <v>#REF!</v>
      </c>
      <c r="K270" s="80"/>
      <c r="L270" s="19"/>
      <c r="M270" s="85" t="e">
        <f>_xlfn.XLOOKUP(J270,#REF!,#REF!,0,0,1)</f>
        <v>#REF!</v>
      </c>
      <c r="N270" s="87"/>
      <c r="O270" s="87"/>
      <c r="P270" s="87"/>
      <c r="Q270" s="87"/>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c r="AP270" s="85"/>
    </row>
    <row r="271" spans="1:42" hidden="1" outlineLevel="1" x14ac:dyDescent="0.25">
      <c r="A271" s="50"/>
      <c r="B271" s="155" t="e">
        <f>COA!#REF!</f>
        <v>#REF!</v>
      </c>
      <c r="C271" s="127" t="e">
        <f>_xlfn.XLOOKUP(B271,#REF!,#REF!,0,0,1)</f>
        <v>#REF!</v>
      </c>
      <c r="D271" s="127" t="e">
        <f>SUMIF(#REF!,#REF!,#REF!)+SUMIF(#REF!,'FY Current'!B271,#REF!)</f>
        <v>#REF!</v>
      </c>
      <c r="E271" s="127" t="e">
        <f>_xlfn.XLOOKUP(B271,#REF!,#REF!,0,0,1)</f>
        <v>#REF!</v>
      </c>
      <c r="F271" s="127"/>
      <c r="G271" s="219" t="e">
        <f t="shared" si="5"/>
        <v>#REF!</v>
      </c>
      <c r="H271" s="178" t="e">
        <f>_xlfn.XLOOKUP($B271,COA!$B:$B,COA!$C:$C,0,0,1)</f>
        <v>#REF!</v>
      </c>
      <c r="I271" s="178" t="e">
        <f>_xlfn.XLOOKUP($B271,COA!$B:$B,COA!$D:$D,0,0,1)</f>
        <v>#REF!</v>
      </c>
      <c r="J271" s="178" t="e">
        <f>_xlfn.XLOOKUP($B271,COA!$B:$B,COA!$E:$E,0,0,1)</f>
        <v>#REF!</v>
      </c>
      <c r="K271" s="80"/>
      <c r="L271" s="19"/>
      <c r="M271" s="85" t="e">
        <f>_xlfn.XLOOKUP(J271,#REF!,#REF!,0,0,1)</f>
        <v>#REF!</v>
      </c>
      <c r="N271" s="87"/>
      <c r="O271" s="87"/>
      <c r="P271" s="87"/>
      <c r="Q271" s="87"/>
      <c r="R271" s="85"/>
      <c r="S271" s="85"/>
      <c r="T271" s="85"/>
      <c r="U271" s="85"/>
      <c r="V271" s="85"/>
      <c r="W271" s="85"/>
      <c r="X271" s="85"/>
      <c r="Y271" s="85"/>
      <c r="Z271" s="85"/>
      <c r="AA271" s="85"/>
      <c r="AB271" s="85"/>
      <c r="AC271" s="85"/>
      <c r="AD271" s="85"/>
      <c r="AE271" s="85"/>
      <c r="AF271" s="85"/>
      <c r="AG271" s="85"/>
      <c r="AH271" s="85"/>
      <c r="AI271" s="85"/>
      <c r="AJ271" s="85"/>
      <c r="AK271" s="85"/>
      <c r="AL271" s="85"/>
      <c r="AM271" s="85"/>
      <c r="AN271" s="85"/>
      <c r="AO271" s="85"/>
      <c r="AP271" s="85"/>
    </row>
    <row r="272" spans="1:42" hidden="1" outlineLevel="1" x14ac:dyDescent="0.25">
      <c r="A272" s="50"/>
      <c r="B272" s="155" t="e">
        <f>COA!#REF!</f>
        <v>#REF!</v>
      </c>
      <c r="C272" s="127" t="e">
        <f>_xlfn.XLOOKUP(B272,#REF!,#REF!,0,0,1)</f>
        <v>#REF!</v>
      </c>
      <c r="D272" s="127" t="e">
        <f>SUMIF(#REF!,#REF!,#REF!)+SUMIF(#REF!,'FY Current'!B272,#REF!)</f>
        <v>#REF!</v>
      </c>
      <c r="E272" s="127" t="e">
        <f>_xlfn.XLOOKUP(B272,#REF!,#REF!,0,0,1)</f>
        <v>#REF!</v>
      </c>
      <c r="F272" s="127"/>
      <c r="G272" s="219" t="e">
        <f t="shared" si="5"/>
        <v>#REF!</v>
      </c>
      <c r="H272" s="178" t="e">
        <f>_xlfn.XLOOKUP($B272,COA!$B:$B,COA!$C:$C,0,0,1)</f>
        <v>#REF!</v>
      </c>
      <c r="I272" s="178" t="e">
        <f>_xlfn.XLOOKUP($B272,COA!$B:$B,COA!$D:$D,0,0,1)</f>
        <v>#REF!</v>
      </c>
      <c r="J272" s="178" t="e">
        <f>_xlfn.XLOOKUP($B272,COA!$B:$B,COA!$E:$E,0,0,1)</f>
        <v>#REF!</v>
      </c>
      <c r="K272" s="80"/>
      <c r="L272" s="19"/>
      <c r="M272" s="85" t="e">
        <f>_xlfn.XLOOKUP(J272,#REF!,#REF!,0,0,1)</f>
        <v>#REF!</v>
      </c>
      <c r="N272" s="87"/>
      <c r="O272" s="87"/>
      <c r="P272" s="87"/>
      <c r="Q272" s="87"/>
      <c r="R272" s="85"/>
      <c r="S272" s="85"/>
      <c r="T272" s="85"/>
      <c r="U272" s="85"/>
      <c r="V272" s="85"/>
      <c r="W272" s="85"/>
      <c r="X272" s="85"/>
      <c r="Y272" s="85"/>
      <c r="Z272" s="85"/>
      <c r="AA272" s="85"/>
      <c r="AB272" s="85"/>
      <c r="AC272" s="85"/>
      <c r="AD272" s="85"/>
      <c r="AE272" s="85"/>
      <c r="AF272" s="85"/>
      <c r="AG272" s="85"/>
      <c r="AH272" s="85"/>
      <c r="AI272" s="85"/>
      <c r="AJ272" s="85"/>
      <c r="AK272" s="85"/>
      <c r="AL272" s="85"/>
      <c r="AM272" s="85"/>
      <c r="AN272" s="85"/>
      <c r="AO272" s="85"/>
      <c r="AP272" s="85"/>
    </row>
    <row r="273" spans="1:42" hidden="1" outlineLevel="1" x14ac:dyDescent="0.25">
      <c r="A273" s="50"/>
      <c r="B273" s="155" t="e">
        <f>COA!#REF!</f>
        <v>#REF!</v>
      </c>
      <c r="C273" s="127" t="e">
        <f>_xlfn.XLOOKUP(B273,#REF!,#REF!,0,0,1)</f>
        <v>#REF!</v>
      </c>
      <c r="D273" s="127" t="e">
        <f>SUMIF(#REF!,#REF!,#REF!)+SUMIF(#REF!,'FY Current'!B273,#REF!)</f>
        <v>#REF!</v>
      </c>
      <c r="E273" s="127" t="e">
        <f>_xlfn.XLOOKUP(B273,#REF!,#REF!,0,0,1)</f>
        <v>#REF!</v>
      </c>
      <c r="F273" s="127"/>
      <c r="G273" s="219" t="e">
        <f t="shared" si="5"/>
        <v>#REF!</v>
      </c>
      <c r="H273" s="178" t="e">
        <f>_xlfn.XLOOKUP($B273,COA!$B:$B,COA!$C:$C,0,0,1)</f>
        <v>#REF!</v>
      </c>
      <c r="I273" s="178" t="e">
        <f>_xlfn.XLOOKUP($B273,COA!$B:$B,COA!$D:$D,0,0,1)</f>
        <v>#REF!</v>
      </c>
      <c r="J273" s="178" t="e">
        <f>_xlfn.XLOOKUP($B273,COA!$B:$B,COA!$E:$E,0,0,1)</f>
        <v>#REF!</v>
      </c>
      <c r="K273" s="80"/>
      <c r="L273" s="19"/>
      <c r="M273" s="85" t="e">
        <f>_xlfn.XLOOKUP(J273,#REF!,#REF!,0,0,1)</f>
        <v>#REF!</v>
      </c>
      <c r="N273" s="87"/>
      <c r="O273" s="87"/>
      <c r="P273" s="87"/>
      <c r="Q273" s="87"/>
      <c r="R273" s="85"/>
      <c r="S273" s="85"/>
      <c r="T273" s="85"/>
      <c r="U273" s="85"/>
      <c r="V273" s="85"/>
      <c r="W273" s="85"/>
      <c r="X273" s="85"/>
      <c r="Y273" s="85"/>
      <c r="Z273" s="85"/>
      <c r="AA273" s="85"/>
      <c r="AB273" s="85"/>
      <c r="AC273" s="85"/>
      <c r="AD273" s="85"/>
      <c r="AE273" s="85"/>
      <c r="AF273" s="85"/>
      <c r="AG273" s="85"/>
      <c r="AH273" s="85"/>
      <c r="AI273" s="85"/>
      <c r="AJ273" s="85"/>
      <c r="AK273" s="85"/>
      <c r="AL273" s="85"/>
      <c r="AM273" s="85"/>
      <c r="AN273" s="85"/>
      <c r="AO273" s="85"/>
      <c r="AP273" s="85"/>
    </row>
    <row r="274" spans="1:42" hidden="1" outlineLevel="1" x14ac:dyDescent="0.25">
      <c r="A274" s="50"/>
      <c r="B274" s="155" t="e">
        <f>COA!#REF!</f>
        <v>#REF!</v>
      </c>
      <c r="C274" s="127" t="e">
        <f>_xlfn.XLOOKUP(B274,#REF!,#REF!,0,0,1)</f>
        <v>#REF!</v>
      </c>
      <c r="D274" s="127" t="e">
        <f>SUMIF(#REF!,#REF!,#REF!)+SUMIF(#REF!,'FY Current'!B274,#REF!)</f>
        <v>#REF!</v>
      </c>
      <c r="E274" s="127" t="e">
        <f>_xlfn.XLOOKUP(B274,#REF!,#REF!,0,0,1)</f>
        <v>#REF!</v>
      </c>
      <c r="F274" s="127"/>
      <c r="G274" s="219" t="e">
        <f t="shared" si="5"/>
        <v>#REF!</v>
      </c>
      <c r="H274" s="178" t="e">
        <f>_xlfn.XLOOKUP($B274,COA!$B:$B,COA!$C:$C,0,0,1)</f>
        <v>#REF!</v>
      </c>
      <c r="I274" s="178" t="e">
        <f>_xlfn.XLOOKUP($B274,COA!$B:$B,COA!$D:$D,0,0,1)</f>
        <v>#REF!</v>
      </c>
      <c r="J274" s="178" t="e">
        <f>_xlfn.XLOOKUP($B274,COA!$B:$B,COA!$E:$E,0,0,1)</f>
        <v>#REF!</v>
      </c>
      <c r="K274" s="80"/>
      <c r="L274" s="19"/>
      <c r="M274" s="85" t="e">
        <f>_xlfn.XLOOKUP(J274,#REF!,#REF!,0,0,1)</f>
        <v>#REF!</v>
      </c>
      <c r="N274" s="87"/>
      <c r="O274" s="87"/>
      <c r="P274" s="87"/>
      <c r="Q274" s="87"/>
      <c r="R274" s="85"/>
      <c r="S274" s="85"/>
      <c r="T274" s="85"/>
      <c r="U274" s="85"/>
      <c r="V274" s="85"/>
      <c r="W274" s="85"/>
      <c r="X274" s="85"/>
      <c r="Y274" s="85"/>
      <c r="Z274" s="85"/>
      <c r="AA274" s="85"/>
      <c r="AB274" s="85"/>
      <c r="AC274" s="85"/>
      <c r="AD274" s="85"/>
      <c r="AE274" s="85"/>
      <c r="AF274" s="85"/>
      <c r="AG274" s="85"/>
      <c r="AH274" s="85"/>
      <c r="AI274" s="85"/>
      <c r="AJ274" s="85"/>
      <c r="AK274" s="85"/>
      <c r="AL274" s="85"/>
      <c r="AM274" s="85"/>
      <c r="AN274" s="85"/>
      <c r="AO274" s="85"/>
      <c r="AP274" s="85"/>
    </row>
    <row r="275" spans="1:42" hidden="1" outlineLevel="1" x14ac:dyDescent="0.25">
      <c r="A275" s="50"/>
      <c r="B275" s="155" t="e">
        <f>COA!#REF!</f>
        <v>#REF!</v>
      </c>
      <c r="C275" s="127" t="e">
        <f>_xlfn.XLOOKUP(B275,#REF!,#REF!,0,0,1)</f>
        <v>#REF!</v>
      </c>
      <c r="D275" s="127" t="e">
        <f>SUMIF(#REF!,#REF!,#REF!)+SUMIF(#REF!,'FY Current'!B275,#REF!)</f>
        <v>#REF!</v>
      </c>
      <c r="E275" s="127" t="e">
        <f>_xlfn.XLOOKUP(B275,#REF!,#REF!,0,0,1)</f>
        <v>#REF!</v>
      </c>
      <c r="F275" s="127"/>
      <c r="G275" s="219" t="e">
        <f t="shared" si="5"/>
        <v>#REF!</v>
      </c>
      <c r="H275" s="178" t="e">
        <f>_xlfn.XLOOKUP($B275,COA!$B:$B,COA!$C:$C,0,0,1)</f>
        <v>#REF!</v>
      </c>
      <c r="I275" s="178" t="e">
        <f>_xlfn.XLOOKUP($B275,COA!$B:$B,COA!$D:$D,0,0,1)</f>
        <v>#REF!</v>
      </c>
      <c r="J275" s="178" t="e">
        <f>_xlfn.XLOOKUP($B275,COA!$B:$B,COA!$E:$E,0,0,1)</f>
        <v>#REF!</v>
      </c>
      <c r="K275" s="80"/>
      <c r="L275" s="19"/>
      <c r="M275" s="85" t="e">
        <f>_xlfn.XLOOKUP(J275,#REF!,#REF!,0,0,1)</f>
        <v>#REF!</v>
      </c>
      <c r="N275" s="87"/>
      <c r="O275" s="87"/>
      <c r="P275" s="87"/>
      <c r="Q275" s="87"/>
      <c r="R275" s="85"/>
      <c r="S275" s="85"/>
      <c r="T275" s="85"/>
      <c r="U275" s="85"/>
      <c r="V275" s="85"/>
      <c r="W275" s="85"/>
      <c r="X275" s="85"/>
      <c r="Y275" s="85"/>
      <c r="Z275" s="85"/>
      <c r="AA275" s="85"/>
      <c r="AB275" s="85"/>
      <c r="AC275" s="85"/>
      <c r="AD275" s="85"/>
      <c r="AE275" s="85"/>
      <c r="AF275" s="85"/>
      <c r="AG275" s="85"/>
      <c r="AH275" s="85"/>
      <c r="AI275" s="85"/>
      <c r="AJ275" s="85"/>
      <c r="AK275" s="85"/>
      <c r="AL275" s="85"/>
      <c r="AM275" s="85"/>
      <c r="AN275" s="85"/>
      <c r="AO275" s="85"/>
      <c r="AP275" s="85"/>
    </row>
    <row r="276" spans="1:42" hidden="1" outlineLevel="1" x14ac:dyDescent="0.25">
      <c r="A276" s="50"/>
      <c r="B276" s="155" t="e">
        <f>COA!#REF!</f>
        <v>#REF!</v>
      </c>
      <c r="C276" s="127" t="e">
        <f>_xlfn.XLOOKUP(B276,#REF!,#REF!,0,0,1)</f>
        <v>#REF!</v>
      </c>
      <c r="D276" s="127" t="e">
        <f>SUMIF(#REF!,#REF!,#REF!)+SUMIF(#REF!,'FY Current'!B276,#REF!)</f>
        <v>#REF!</v>
      </c>
      <c r="E276" s="127" t="e">
        <f>_xlfn.XLOOKUP(B276,#REF!,#REF!,0,0,1)</f>
        <v>#REF!</v>
      </c>
      <c r="F276" s="127"/>
      <c r="G276" s="219" t="e">
        <f t="shared" si="5"/>
        <v>#REF!</v>
      </c>
      <c r="H276" s="178" t="e">
        <f>_xlfn.XLOOKUP($B276,COA!$B:$B,COA!$C:$C,0,0,1)</f>
        <v>#REF!</v>
      </c>
      <c r="I276" s="178" t="e">
        <f>_xlfn.XLOOKUP($B276,COA!$B:$B,COA!$D:$D,0,0,1)</f>
        <v>#REF!</v>
      </c>
      <c r="J276" s="178" t="e">
        <f>_xlfn.XLOOKUP($B276,COA!$B:$B,COA!$E:$E,0,0,1)</f>
        <v>#REF!</v>
      </c>
      <c r="K276" s="80"/>
      <c r="L276" s="19"/>
      <c r="M276" s="85" t="e">
        <f>_xlfn.XLOOKUP(J276,#REF!,#REF!,0,0,1)</f>
        <v>#REF!</v>
      </c>
      <c r="N276" s="87"/>
      <c r="O276" s="87"/>
      <c r="P276" s="87"/>
      <c r="Q276" s="87"/>
      <c r="R276" s="85"/>
      <c r="S276" s="85"/>
      <c r="T276" s="85"/>
      <c r="U276" s="85"/>
      <c r="V276" s="85"/>
      <c r="W276" s="85"/>
      <c r="X276" s="85"/>
      <c r="Y276" s="85"/>
      <c r="Z276" s="85"/>
      <c r="AA276" s="85"/>
      <c r="AB276" s="85"/>
      <c r="AC276" s="85"/>
      <c r="AD276" s="85"/>
      <c r="AE276" s="85"/>
      <c r="AF276" s="85"/>
      <c r="AG276" s="85"/>
      <c r="AH276" s="85"/>
      <c r="AI276" s="85"/>
      <c r="AJ276" s="85"/>
      <c r="AK276" s="85"/>
      <c r="AL276" s="85"/>
      <c r="AM276" s="85"/>
      <c r="AN276" s="85"/>
      <c r="AO276" s="85"/>
      <c r="AP276" s="85"/>
    </row>
    <row r="277" spans="1:42" hidden="1" outlineLevel="1" x14ac:dyDescent="0.25">
      <c r="A277" s="50"/>
      <c r="B277" s="155" t="e">
        <f>COA!#REF!</f>
        <v>#REF!</v>
      </c>
      <c r="C277" s="127" t="e">
        <f>_xlfn.XLOOKUP(B277,#REF!,#REF!,0,0,1)</f>
        <v>#REF!</v>
      </c>
      <c r="D277" s="127" t="e">
        <f>SUMIF(#REF!,#REF!,#REF!)+SUMIF(#REF!,'FY Current'!B277,#REF!)</f>
        <v>#REF!</v>
      </c>
      <c r="E277" s="127" t="e">
        <f>_xlfn.XLOOKUP(B277,#REF!,#REF!,0,0,1)</f>
        <v>#REF!</v>
      </c>
      <c r="F277" s="127"/>
      <c r="G277" s="219" t="e">
        <f t="shared" si="5"/>
        <v>#REF!</v>
      </c>
      <c r="H277" s="178" t="e">
        <f>_xlfn.XLOOKUP($B277,COA!$B:$B,COA!$C:$C,0,0,1)</f>
        <v>#REF!</v>
      </c>
      <c r="I277" s="178" t="e">
        <f>_xlfn.XLOOKUP($B277,COA!$B:$B,COA!$D:$D,0,0,1)</f>
        <v>#REF!</v>
      </c>
      <c r="J277" s="178" t="e">
        <f>_xlfn.XLOOKUP($B277,COA!$B:$B,COA!$E:$E,0,0,1)</f>
        <v>#REF!</v>
      </c>
      <c r="K277" s="80"/>
      <c r="L277" s="19"/>
      <c r="M277" s="85" t="e">
        <f>_xlfn.XLOOKUP(J277,#REF!,#REF!,0,0,1)</f>
        <v>#REF!</v>
      </c>
      <c r="N277" s="87"/>
      <c r="O277" s="87"/>
      <c r="P277" s="87"/>
      <c r="Q277" s="87"/>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85"/>
      <c r="AP277" s="85"/>
    </row>
    <row r="278" spans="1:42" hidden="1" outlineLevel="1" x14ac:dyDescent="0.25">
      <c r="A278" s="50"/>
      <c r="B278" s="155" t="e">
        <f>COA!#REF!</f>
        <v>#REF!</v>
      </c>
      <c r="C278" s="127" t="e">
        <f>_xlfn.XLOOKUP(B278,#REF!,#REF!,0,0,1)</f>
        <v>#REF!</v>
      </c>
      <c r="D278" s="127" t="e">
        <f>SUMIF(#REF!,#REF!,#REF!)+SUMIF(#REF!,'FY Current'!B278,#REF!)</f>
        <v>#REF!</v>
      </c>
      <c r="E278" s="127" t="e">
        <f>_xlfn.XLOOKUP(B278,#REF!,#REF!,0,0,1)</f>
        <v>#REF!</v>
      </c>
      <c r="F278" s="127"/>
      <c r="G278" s="219" t="e">
        <f t="shared" si="5"/>
        <v>#REF!</v>
      </c>
      <c r="H278" s="178" t="e">
        <f>_xlfn.XLOOKUP($B278,COA!$B:$B,COA!$C:$C,0,0,1)</f>
        <v>#REF!</v>
      </c>
      <c r="I278" s="178" t="e">
        <f>_xlfn.XLOOKUP($B278,COA!$B:$B,COA!$D:$D,0,0,1)</f>
        <v>#REF!</v>
      </c>
      <c r="J278" s="178" t="e">
        <f>_xlfn.XLOOKUP($B278,COA!$B:$B,COA!$E:$E,0,0,1)</f>
        <v>#REF!</v>
      </c>
      <c r="K278" s="80"/>
      <c r="L278" s="19"/>
      <c r="M278" s="85" t="e">
        <f>_xlfn.XLOOKUP(J278,#REF!,#REF!,0,0,1)</f>
        <v>#REF!</v>
      </c>
      <c r="N278" s="87"/>
      <c r="O278" s="87"/>
      <c r="P278" s="87"/>
      <c r="Q278" s="87"/>
      <c r="R278" s="85"/>
      <c r="S278" s="85"/>
      <c r="T278" s="85"/>
      <c r="U278" s="85"/>
      <c r="V278" s="85"/>
      <c r="W278" s="85"/>
      <c r="X278" s="85"/>
      <c r="Y278" s="85"/>
      <c r="Z278" s="85"/>
      <c r="AA278" s="85"/>
      <c r="AB278" s="85"/>
      <c r="AC278" s="85"/>
      <c r="AD278" s="85"/>
      <c r="AE278" s="85"/>
      <c r="AF278" s="85"/>
      <c r="AG278" s="85"/>
      <c r="AH278" s="85"/>
      <c r="AI278" s="85"/>
      <c r="AJ278" s="85"/>
      <c r="AK278" s="85"/>
      <c r="AL278" s="85"/>
      <c r="AM278" s="85"/>
      <c r="AN278" s="85"/>
      <c r="AO278" s="85"/>
      <c r="AP278" s="85"/>
    </row>
    <row r="279" spans="1:42" hidden="1" outlineLevel="1" x14ac:dyDescent="0.25">
      <c r="A279" s="50"/>
      <c r="B279" s="155" t="e">
        <f>COA!#REF!</f>
        <v>#REF!</v>
      </c>
      <c r="C279" s="127" t="e">
        <f>_xlfn.XLOOKUP(B279,#REF!,#REF!,0,0,1)</f>
        <v>#REF!</v>
      </c>
      <c r="D279" s="127" t="e">
        <f>SUMIF(#REF!,#REF!,#REF!)+SUMIF(#REF!,'FY Current'!B279,#REF!)</f>
        <v>#REF!</v>
      </c>
      <c r="E279" s="127" t="e">
        <f>_xlfn.XLOOKUP(B279,#REF!,#REF!,0,0,1)</f>
        <v>#REF!</v>
      </c>
      <c r="F279" s="127"/>
      <c r="G279" s="219" t="e">
        <f t="shared" si="5"/>
        <v>#REF!</v>
      </c>
      <c r="H279" s="178" t="e">
        <f>_xlfn.XLOOKUP($B279,COA!$B:$B,COA!$C:$C,0,0,1)</f>
        <v>#REF!</v>
      </c>
      <c r="I279" s="178" t="e">
        <f>_xlfn.XLOOKUP($B279,COA!$B:$B,COA!$D:$D,0,0,1)</f>
        <v>#REF!</v>
      </c>
      <c r="J279" s="178" t="e">
        <f>_xlfn.XLOOKUP($B279,COA!$B:$B,COA!$E:$E,0,0,1)</f>
        <v>#REF!</v>
      </c>
      <c r="K279" s="80"/>
      <c r="L279" s="19"/>
      <c r="M279" s="85" t="e">
        <f>_xlfn.XLOOKUP(J279,#REF!,#REF!,0,0,1)</f>
        <v>#REF!</v>
      </c>
      <c r="N279" s="87"/>
      <c r="O279" s="87"/>
      <c r="P279" s="87"/>
      <c r="Q279" s="87"/>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85"/>
      <c r="AP279" s="85"/>
    </row>
    <row r="280" spans="1:42" hidden="1" outlineLevel="1" x14ac:dyDescent="0.25">
      <c r="A280" s="50"/>
      <c r="B280" s="155" t="e">
        <f>COA!#REF!</f>
        <v>#REF!</v>
      </c>
      <c r="C280" s="127" t="e">
        <f>_xlfn.XLOOKUP(B280,#REF!,#REF!,0,0,1)</f>
        <v>#REF!</v>
      </c>
      <c r="D280" s="127" t="e">
        <f>SUMIF(#REF!,#REF!,#REF!)+SUMIF(#REF!,'FY Current'!B280,#REF!)</f>
        <v>#REF!</v>
      </c>
      <c r="E280" s="127" t="e">
        <f>_xlfn.XLOOKUP(B280,#REF!,#REF!,0,0,1)</f>
        <v>#REF!</v>
      </c>
      <c r="F280" s="127"/>
      <c r="G280" s="219" t="e">
        <f t="shared" si="5"/>
        <v>#REF!</v>
      </c>
      <c r="H280" s="178" t="e">
        <f>_xlfn.XLOOKUP($B280,COA!$B:$B,COA!$C:$C,0,0,1)</f>
        <v>#REF!</v>
      </c>
      <c r="I280" s="178" t="e">
        <f>_xlfn.XLOOKUP($B280,COA!$B:$B,COA!$D:$D,0,0,1)</f>
        <v>#REF!</v>
      </c>
      <c r="J280" s="178" t="e">
        <f>_xlfn.XLOOKUP($B280,COA!$B:$B,COA!$E:$E,0,0,1)</f>
        <v>#REF!</v>
      </c>
      <c r="K280" s="80"/>
      <c r="L280" s="19"/>
      <c r="M280" s="85" t="e">
        <f>_xlfn.XLOOKUP(J280,#REF!,#REF!,0,0,1)</f>
        <v>#REF!</v>
      </c>
      <c r="N280" s="87"/>
      <c r="O280" s="87"/>
      <c r="P280" s="87"/>
      <c r="Q280" s="87"/>
      <c r="R280" s="85"/>
      <c r="S280" s="85"/>
      <c r="T280" s="85"/>
      <c r="U280" s="85"/>
      <c r="V280" s="85"/>
      <c r="W280" s="85"/>
      <c r="X280" s="85"/>
      <c r="Y280" s="85"/>
      <c r="Z280" s="85"/>
      <c r="AA280" s="85"/>
      <c r="AB280" s="85"/>
      <c r="AC280" s="85"/>
      <c r="AD280" s="85"/>
      <c r="AE280" s="85"/>
      <c r="AF280" s="85"/>
      <c r="AG280" s="85"/>
      <c r="AH280" s="85"/>
      <c r="AI280" s="85"/>
      <c r="AJ280" s="85"/>
      <c r="AK280" s="85"/>
      <c r="AL280" s="85"/>
      <c r="AM280" s="85"/>
      <c r="AN280" s="85"/>
      <c r="AO280" s="85"/>
      <c r="AP280" s="85"/>
    </row>
    <row r="281" spans="1:42" hidden="1" outlineLevel="1" x14ac:dyDescent="0.25">
      <c r="A281" s="50"/>
      <c r="B281" s="155" t="e">
        <f>COA!#REF!</f>
        <v>#REF!</v>
      </c>
      <c r="C281" s="127" t="e">
        <f>_xlfn.XLOOKUP(B281,#REF!,#REF!,0,0,1)</f>
        <v>#REF!</v>
      </c>
      <c r="D281" s="127" t="e">
        <f>SUMIF(#REF!,#REF!,#REF!)+SUMIF(#REF!,'FY Current'!B281,#REF!)</f>
        <v>#REF!</v>
      </c>
      <c r="E281" s="127" t="e">
        <f>_xlfn.XLOOKUP(B281,#REF!,#REF!,0,0,1)</f>
        <v>#REF!</v>
      </c>
      <c r="F281" s="127"/>
      <c r="G281" s="219" t="e">
        <f t="shared" si="5"/>
        <v>#REF!</v>
      </c>
      <c r="H281" s="178" t="e">
        <f>_xlfn.XLOOKUP($B281,COA!$B:$B,COA!$C:$C,0,0,1)</f>
        <v>#REF!</v>
      </c>
      <c r="I281" s="178" t="e">
        <f>_xlfn.XLOOKUP($B281,COA!$B:$B,COA!$D:$D,0,0,1)</f>
        <v>#REF!</v>
      </c>
      <c r="J281" s="178" t="e">
        <f>_xlfn.XLOOKUP($B281,COA!$B:$B,COA!$E:$E,0,0,1)</f>
        <v>#REF!</v>
      </c>
      <c r="K281" s="80"/>
      <c r="L281" s="19"/>
      <c r="M281" s="85" t="e">
        <f>_xlfn.XLOOKUP(J281,#REF!,#REF!,0,0,1)</f>
        <v>#REF!</v>
      </c>
      <c r="N281" s="87"/>
      <c r="O281" s="87"/>
      <c r="P281" s="87"/>
      <c r="Q281" s="87"/>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85"/>
      <c r="AP281" s="85"/>
    </row>
    <row r="282" spans="1:42" hidden="1" outlineLevel="1" x14ac:dyDescent="0.25">
      <c r="A282" s="50"/>
      <c r="B282" s="155" t="e">
        <f>COA!#REF!</f>
        <v>#REF!</v>
      </c>
      <c r="C282" s="127" t="e">
        <f>_xlfn.XLOOKUP(B282,#REF!,#REF!,0,0,1)</f>
        <v>#REF!</v>
      </c>
      <c r="D282" s="127" t="e">
        <f>SUMIF(#REF!,#REF!,#REF!)+SUMIF(#REF!,'FY Current'!B282,#REF!)</f>
        <v>#REF!</v>
      </c>
      <c r="E282" s="127" t="e">
        <f>_xlfn.XLOOKUP(B282,#REF!,#REF!,0,0,1)</f>
        <v>#REF!</v>
      </c>
      <c r="F282" s="127"/>
      <c r="G282" s="219" t="e">
        <f t="shared" si="5"/>
        <v>#REF!</v>
      </c>
      <c r="H282" s="178" t="e">
        <f>_xlfn.XLOOKUP($B282,COA!$B:$B,COA!$C:$C,0,0,1)</f>
        <v>#REF!</v>
      </c>
      <c r="I282" s="178" t="e">
        <f>_xlfn.XLOOKUP($B282,COA!$B:$B,COA!$D:$D,0,0,1)</f>
        <v>#REF!</v>
      </c>
      <c r="J282" s="178" t="e">
        <f>_xlfn.XLOOKUP($B282,COA!$B:$B,COA!$E:$E,0,0,1)</f>
        <v>#REF!</v>
      </c>
      <c r="K282" s="80"/>
      <c r="L282" s="19"/>
      <c r="M282" s="85" t="e">
        <f>_xlfn.XLOOKUP(J282,#REF!,#REF!,0,0,1)</f>
        <v>#REF!</v>
      </c>
      <c r="N282" s="87"/>
      <c r="O282" s="87"/>
      <c r="P282" s="87"/>
      <c r="Q282" s="87"/>
      <c r="R282" s="85"/>
      <c r="S282" s="85"/>
      <c r="T282" s="85"/>
      <c r="U282" s="85"/>
      <c r="V282" s="85"/>
      <c r="W282" s="85"/>
      <c r="X282" s="85"/>
      <c r="Y282" s="85"/>
      <c r="Z282" s="85"/>
      <c r="AA282" s="85"/>
      <c r="AB282" s="85"/>
      <c r="AC282" s="85"/>
      <c r="AD282" s="85"/>
      <c r="AE282" s="85"/>
      <c r="AF282" s="85"/>
      <c r="AG282" s="85"/>
      <c r="AH282" s="85"/>
      <c r="AI282" s="85"/>
      <c r="AJ282" s="85"/>
      <c r="AK282" s="85"/>
      <c r="AL282" s="85"/>
      <c r="AM282" s="85"/>
      <c r="AN282" s="85"/>
      <c r="AO282" s="85"/>
      <c r="AP282" s="85"/>
    </row>
    <row r="283" spans="1:42" hidden="1" outlineLevel="1" x14ac:dyDescent="0.25">
      <c r="A283" s="50"/>
      <c r="B283" s="155" t="e">
        <f>COA!#REF!</f>
        <v>#REF!</v>
      </c>
      <c r="C283" s="127" t="e">
        <f>_xlfn.XLOOKUP(B283,#REF!,#REF!,0,0,1)</f>
        <v>#REF!</v>
      </c>
      <c r="D283" s="127" t="e">
        <f>SUMIF(#REF!,#REF!,#REF!)+SUMIF(#REF!,'FY Current'!B283,#REF!)</f>
        <v>#REF!</v>
      </c>
      <c r="E283" s="127" t="e">
        <f>_xlfn.XLOOKUP(B283,#REF!,#REF!,0,0,1)</f>
        <v>#REF!</v>
      </c>
      <c r="F283" s="127"/>
      <c r="G283" s="219" t="e">
        <f t="shared" si="5"/>
        <v>#REF!</v>
      </c>
      <c r="H283" s="178" t="e">
        <f>_xlfn.XLOOKUP($B283,COA!$B:$B,COA!$C:$C,0,0,1)</f>
        <v>#REF!</v>
      </c>
      <c r="I283" s="178" t="e">
        <f>_xlfn.XLOOKUP($B283,COA!$B:$B,COA!$D:$D,0,0,1)</f>
        <v>#REF!</v>
      </c>
      <c r="J283" s="178" t="e">
        <f>_xlfn.XLOOKUP($B283,COA!$B:$B,COA!$E:$E,0,0,1)</f>
        <v>#REF!</v>
      </c>
      <c r="K283" s="80"/>
      <c r="L283" s="19"/>
      <c r="M283" s="85" t="e">
        <f>_xlfn.XLOOKUP(J283,#REF!,#REF!,0,0,1)</f>
        <v>#REF!</v>
      </c>
      <c r="N283" s="87"/>
      <c r="O283" s="87"/>
      <c r="P283" s="87"/>
      <c r="Q283" s="87"/>
      <c r="R283" s="85"/>
      <c r="S283" s="85"/>
      <c r="T283" s="85"/>
      <c r="U283" s="85"/>
      <c r="V283" s="85"/>
      <c r="W283" s="85"/>
      <c r="X283" s="85"/>
      <c r="Y283" s="85"/>
      <c r="Z283" s="85"/>
      <c r="AA283" s="85"/>
      <c r="AB283" s="85"/>
      <c r="AC283" s="85"/>
      <c r="AD283" s="85"/>
      <c r="AE283" s="85"/>
      <c r="AF283" s="85"/>
      <c r="AG283" s="85"/>
      <c r="AH283" s="85"/>
      <c r="AI283" s="85"/>
      <c r="AJ283" s="85"/>
      <c r="AK283" s="85"/>
      <c r="AL283" s="85"/>
      <c r="AM283" s="85"/>
      <c r="AN283" s="85"/>
      <c r="AO283" s="85"/>
      <c r="AP283" s="85"/>
    </row>
    <row r="284" spans="1:42" hidden="1" outlineLevel="1" x14ac:dyDescent="0.25">
      <c r="A284" s="50"/>
      <c r="B284" s="155" t="e">
        <f>COA!#REF!</f>
        <v>#REF!</v>
      </c>
      <c r="C284" s="127" t="e">
        <f>_xlfn.XLOOKUP(B284,#REF!,#REF!,0,0,1)</f>
        <v>#REF!</v>
      </c>
      <c r="D284" s="127" t="e">
        <f>SUMIF(#REF!,#REF!,#REF!)+SUMIF(#REF!,'FY Current'!B284,#REF!)</f>
        <v>#REF!</v>
      </c>
      <c r="E284" s="127" t="e">
        <f>_xlfn.XLOOKUP(B284,#REF!,#REF!,0,0,1)</f>
        <v>#REF!</v>
      </c>
      <c r="F284" s="127"/>
      <c r="G284" s="219" t="e">
        <f t="shared" si="5"/>
        <v>#REF!</v>
      </c>
      <c r="H284" s="178" t="e">
        <f>_xlfn.XLOOKUP($B284,COA!$B:$B,COA!$C:$C,0,0,1)</f>
        <v>#REF!</v>
      </c>
      <c r="I284" s="178" t="e">
        <f>_xlfn.XLOOKUP($B284,COA!$B:$B,COA!$D:$D,0,0,1)</f>
        <v>#REF!</v>
      </c>
      <c r="J284" s="178" t="e">
        <f>_xlfn.XLOOKUP($B284,COA!$B:$B,COA!$E:$E,0,0,1)</f>
        <v>#REF!</v>
      </c>
      <c r="K284" s="80"/>
      <c r="L284" s="19"/>
      <c r="M284" s="85" t="e">
        <f>_xlfn.XLOOKUP(J284,#REF!,#REF!,0,0,1)</f>
        <v>#REF!</v>
      </c>
      <c r="N284" s="87"/>
      <c r="O284" s="87"/>
      <c r="P284" s="87"/>
      <c r="Q284" s="87"/>
      <c r="R284" s="85"/>
      <c r="S284" s="85"/>
      <c r="T284" s="85"/>
      <c r="U284" s="85"/>
      <c r="V284" s="85"/>
      <c r="W284" s="85"/>
      <c r="X284" s="85"/>
      <c r="Y284" s="85"/>
      <c r="Z284" s="85"/>
      <c r="AA284" s="85"/>
      <c r="AB284" s="85"/>
      <c r="AC284" s="85"/>
      <c r="AD284" s="85"/>
      <c r="AE284" s="85"/>
      <c r="AF284" s="85"/>
      <c r="AG284" s="85"/>
      <c r="AH284" s="85"/>
      <c r="AI284" s="85"/>
      <c r="AJ284" s="85"/>
      <c r="AK284" s="85"/>
      <c r="AL284" s="85"/>
      <c r="AM284" s="85"/>
      <c r="AN284" s="85"/>
      <c r="AO284" s="85"/>
      <c r="AP284" s="85"/>
    </row>
    <row r="285" spans="1:42" hidden="1" outlineLevel="1" x14ac:dyDescent="0.25">
      <c r="A285" s="50"/>
      <c r="B285" s="155" t="e">
        <f>COA!#REF!</f>
        <v>#REF!</v>
      </c>
      <c r="C285" s="127" t="e">
        <f>_xlfn.XLOOKUP(B285,#REF!,#REF!,0,0,1)</f>
        <v>#REF!</v>
      </c>
      <c r="D285" s="127" t="e">
        <f>SUMIF(#REF!,#REF!,#REF!)+SUMIF(#REF!,'FY Current'!B285,#REF!)</f>
        <v>#REF!</v>
      </c>
      <c r="E285" s="127" t="e">
        <f>_xlfn.XLOOKUP(B285,#REF!,#REF!,0,0,1)</f>
        <v>#REF!</v>
      </c>
      <c r="F285" s="127"/>
      <c r="G285" s="219" t="e">
        <f t="shared" si="5"/>
        <v>#REF!</v>
      </c>
      <c r="H285" s="178" t="e">
        <f>_xlfn.XLOOKUP($B285,COA!$B:$B,COA!$C:$C,0,0,1)</f>
        <v>#REF!</v>
      </c>
      <c r="I285" s="178" t="e">
        <f>_xlfn.XLOOKUP($B285,COA!$B:$B,COA!$D:$D,0,0,1)</f>
        <v>#REF!</v>
      </c>
      <c r="J285" s="178" t="e">
        <f>_xlfn.XLOOKUP($B285,COA!$B:$B,COA!$E:$E,0,0,1)</f>
        <v>#REF!</v>
      </c>
      <c r="K285" s="80"/>
      <c r="L285" s="19"/>
      <c r="M285" s="85" t="e">
        <f>_xlfn.XLOOKUP(J285,#REF!,#REF!,0,0,1)</f>
        <v>#REF!</v>
      </c>
      <c r="N285" s="87"/>
      <c r="O285" s="87"/>
      <c r="P285" s="87"/>
      <c r="Q285" s="87"/>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row>
    <row r="286" spans="1:42" hidden="1" outlineLevel="1" x14ac:dyDescent="0.25">
      <c r="A286" s="50"/>
      <c r="B286" s="155" t="e">
        <f>COA!#REF!</f>
        <v>#REF!</v>
      </c>
      <c r="C286" s="127" t="e">
        <f>_xlfn.XLOOKUP(B286,#REF!,#REF!,0,0,1)</f>
        <v>#REF!</v>
      </c>
      <c r="D286" s="127" t="e">
        <f>SUMIF(#REF!,#REF!,#REF!)+SUMIF(#REF!,'FY Current'!B286,#REF!)</f>
        <v>#REF!</v>
      </c>
      <c r="E286" s="127" t="e">
        <f>_xlfn.XLOOKUP(B286,#REF!,#REF!,0,0,1)</f>
        <v>#REF!</v>
      </c>
      <c r="F286" s="127"/>
      <c r="G286" s="219" t="e">
        <f t="shared" si="5"/>
        <v>#REF!</v>
      </c>
      <c r="H286" s="178" t="e">
        <f>_xlfn.XLOOKUP($B286,COA!$B:$B,COA!$C:$C,0,0,1)</f>
        <v>#REF!</v>
      </c>
      <c r="I286" s="178" t="e">
        <f>_xlfn.XLOOKUP($B286,COA!$B:$B,COA!$D:$D,0,0,1)</f>
        <v>#REF!</v>
      </c>
      <c r="J286" s="178" t="e">
        <f>_xlfn.XLOOKUP($B286,COA!$B:$B,COA!$E:$E,0,0,1)</f>
        <v>#REF!</v>
      </c>
      <c r="K286" s="80"/>
      <c r="L286" s="19"/>
      <c r="M286" s="85" t="e">
        <f>_xlfn.XLOOKUP(J286,#REF!,#REF!,0,0,1)</f>
        <v>#REF!</v>
      </c>
      <c r="N286" s="87"/>
      <c r="O286" s="87"/>
      <c r="P286" s="87"/>
      <c r="Q286" s="87"/>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5"/>
    </row>
    <row r="287" spans="1:42" hidden="1" outlineLevel="1" x14ac:dyDescent="0.25">
      <c r="A287" s="50"/>
      <c r="B287" s="155" t="e">
        <f>COA!#REF!</f>
        <v>#REF!</v>
      </c>
      <c r="C287" s="127" t="e">
        <f>_xlfn.XLOOKUP(B287,#REF!,#REF!,0,0,1)</f>
        <v>#REF!</v>
      </c>
      <c r="D287" s="127" t="e">
        <f>SUMIF(#REF!,#REF!,#REF!)+SUMIF(#REF!,'FY Current'!B287,#REF!)</f>
        <v>#REF!</v>
      </c>
      <c r="E287" s="127" t="e">
        <f>_xlfn.XLOOKUP(B287,#REF!,#REF!,0,0,1)</f>
        <v>#REF!</v>
      </c>
      <c r="F287" s="127"/>
      <c r="G287" s="219" t="e">
        <f t="shared" si="5"/>
        <v>#REF!</v>
      </c>
      <c r="H287" s="178" t="e">
        <f>_xlfn.XLOOKUP($B287,COA!$B:$B,COA!$C:$C,0,0,1)</f>
        <v>#REF!</v>
      </c>
      <c r="I287" s="178" t="e">
        <f>_xlfn.XLOOKUP($B287,COA!$B:$B,COA!$D:$D,0,0,1)</f>
        <v>#REF!</v>
      </c>
      <c r="J287" s="178" t="e">
        <f>_xlfn.XLOOKUP($B287,COA!$B:$B,COA!$E:$E,0,0,1)</f>
        <v>#REF!</v>
      </c>
      <c r="K287" s="80"/>
      <c r="L287" s="19"/>
      <c r="M287" s="85" t="e">
        <f>_xlfn.XLOOKUP(J287,#REF!,#REF!,0,0,1)</f>
        <v>#REF!</v>
      </c>
      <c r="N287" s="87"/>
      <c r="O287" s="87"/>
      <c r="P287" s="87"/>
      <c r="Q287" s="87"/>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row>
    <row r="288" spans="1:42" hidden="1" outlineLevel="1" x14ac:dyDescent="0.25">
      <c r="A288" s="50"/>
      <c r="B288" s="155" t="e">
        <f>COA!#REF!</f>
        <v>#REF!</v>
      </c>
      <c r="C288" s="127" t="e">
        <f>_xlfn.XLOOKUP(B288,#REF!,#REF!,0,0,1)</f>
        <v>#REF!</v>
      </c>
      <c r="D288" s="127" t="e">
        <f>SUMIF(#REF!,#REF!,#REF!)+SUMIF(#REF!,'FY Current'!B288,#REF!)</f>
        <v>#REF!</v>
      </c>
      <c r="E288" s="127" t="e">
        <f>_xlfn.XLOOKUP(B288,#REF!,#REF!,0,0,1)</f>
        <v>#REF!</v>
      </c>
      <c r="F288" s="127"/>
      <c r="G288" s="219" t="e">
        <f t="shared" si="5"/>
        <v>#REF!</v>
      </c>
      <c r="H288" s="178" t="e">
        <f>_xlfn.XLOOKUP($B288,COA!$B:$B,COA!$C:$C,0,0,1)</f>
        <v>#REF!</v>
      </c>
      <c r="I288" s="178" t="e">
        <f>_xlfn.XLOOKUP($B288,COA!$B:$B,COA!$D:$D,0,0,1)</f>
        <v>#REF!</v>
      </c>
      <c r="J288" s="178" t="e">
        <f>_xlfn.XLOOKUP($B288,COA!$B:$B,COA!$E:$E,0,0,1)</f>
        <v>#REF!</v>
      </c>
      <c r="K288" s="80"/>
      <c r="L288" s="19"/>
      <c r="M288" s="85" t="e">
        <f>_xlfn.XLOOKUP(J288,#REF!,#REF!,0,0,1)</f>
        <v>#REF!</v>
      </c>
      <c r="N288" s="87"/>
      <c r="O288" s="87"/>
      <c r="P288" s="87"/>
      <c r="Q288" s="87"/>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5"/>
    </row>
    <row r="289" spans="1:42" hidden="1" outlineLevel="1" x14ac:dyDescent="0.25">
      <c r="A289" s="50"/>
      <c r="B289" s="155" t="e">
        <f>COA!#REF!</f>
        <v>#REF!</v>
      </c>
      <c r="C289" s="127" t="e">
        <f>_xlfn.XLOOKUP(B289,#REF!,#REF!,0,0,1)</f>
        <v>#REF!</v>
      </c>
      <c r="D289" s="127" t="e">
        <f>SUMIF(#REF!,#REF!,#REF!)+SUMIF(#REF!,'FY Current'!B289,#REF!)</f>
        <v>#REF!</v>
      </c>
      <c r="E289" s="127" t="e">
        <f>_xlfn.XLOOKUP(B289,#REF!,#REF!,0,0,1)</f>
        <v>#REF!</v>
      </c>
      <c r="F289" s="127"/>
      <c r="G289" s="219" t="e">
        <f t="shared" si="5"/>
        <v>#REF!</v>
      </c>
      <c r="H289" s="178" t="e">
        <f>_xlfn.XLOOKUP($B289,COA!$B:$B,COA!$C:$C,0,0,1)</f>
        <v>#REF!</v>
      </c>
      <c r="I289" s="178" t="e">
        <f>_xlfn.XLOOKUP($B289,COA!$B:$B,COA!$D:$D,0,0,1)</f>
        <v>#REF!</v>
      </c>
      <c r="J289" s="178" t="e">
        <f>_xlfn.XLOOKUP($B289,COA!$B:$B,COA!$E:$E,0,0,1)</f>
        <v>#REF!</v>
      </c>
      <c r="K289" s="80"/>
      <c r="L289" s="19"/>
      <c r="M289" s="85" t="e">
        <f>_xlfn.XLOOKUP(J289,#REF!,#REF!,0,0,1)</f>
        <v>#REF!</v>
      </c>
      <c r="N289" s="87"/>
      <c r="O289" s="87"/>
      <c r="P289" s="87"/>
      <c r="Q289" s="87"/>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row>
    <row r="290" spans="1:42" hidden="1" outlineLevel="1" x14ac:dyDescent="0.25">
      <c r="A290" s="50"/>
      <c r="B290" s="155" t="e">
        <f>COA!#REF!</f>
        <v>#REF!</v>
      </c>
      <c r="C290" s="127" t="e">
        <f>_xlfn.XLOOKUP(B290,#REF!,#REF!,0,0,1)</f>
        <v>#REF!</v>
      </c>
      <c r="D290" s="127" t="e">
        <f>SUMIF(#REF!,#REF!,#REF!)+SUMIF(#REF!,'FY Current'!B290,#REF!)</f>
        <v>#REF!</v>
      </c>
      <c r="E290" s="127" t="e">
        <f>_xlfn.XLOOKUP(B290,#REF!,#REF!,0,0,1)</f>
        <v>#REF!</v>
      </c>
      <c r="F290" s="127"/>
      <c r="G290" s="219" t="e">
        <f t="shared" si="5"/>
        <v>#REF!</v>
      </c>
      <c r="H290" s="178" t="e">
        <f>_xlfn.XLOOKUP($B290,COA!$B:$B,COA!$C:$C,0,0,1)</f>
        <v>#REF!</v>
      </c>
      <c r="I290" s="178" t="e">
        <f>_xlfn.XLOOKUP($B290,COA!$B:$B,COA!$D:$D,0,0,1)</f>
        <v>#REF!</v>
      </c>
      <c r="J290" s="178" t="e">
        <f>_xlfn.XLOOKUP($B290,COA!$B:$B,COA!$E:$E,0,0,1)</f>
        <v>#REF!</v>
      </c>
      <c r="K290" s="80"/>
      <c r="L290" s="19"/>
      <c r="M290" s="85" t="e">
        <f>_xlfn.XLOOKUP(J290,#REF!,#REF!,0,0,1)</f>
        <v>#REF!</v>
      </c>
      <c r="N290" s="87"/>
      <c r="O290" s="87"/>
      <c r="P290" s="87"/>
      <c r="Q290" s="87"/>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5"/>
    </row>
    <row r="291" spans="1:42" hidden="1" outlineLevel="1" x14ac:dyDescent="0.25">
      <c r="A291" s="50"/>
      <c r="B291" s="155" t="e">
        <f>COA!#REF!</f>
        <v>#REF!</v>
      </c>
      <c r="C291" s="127" t="e">
        <f>_xlfn.XLOOKUP(B291,#REF!,#REF!,0,0,1)</f>
        <v>#REF!</v>
      </c>
      <c r="D291" s="127" t="e">
        <f>SUMIF(#REF!,#REF!,#REF!)+SUMIF(#REF!,'FY Current'!B291,#REF!)</f>
        <v>#REF!</v>
      </c>
      <c r="E291" s="127" t="e">
        <f>_xlfn.XLOOKUP(B291,#REF!,#REF!,0,0,1)</f>
        <v>#REF!</v>
      </c>
      <c r="F291" s="127"/>
      <c r="G291" s="219" t="e">
        <f t="shared" si="5"/>
        <v>#REF!</v>
      </c>
      <c r="H291" s="178" t="e">
        <f>_xlfn.XLOOKUP($B291,COA!$B:$B,COA!$C:$C,0,0,1)</f>
        <v>#REF!</v>
      </c>
      <c r="I291" s="178" t="e">
        <f>_xlfn.XLOOKUP($B291,COA!$B:$B,COA!$D:$D,0,0,1)</f>
        <v>#REF!</v>
      </c>
      <c r="J291" s="178" t="e">
        <f>_xlfn.XLOOKUP($B291,COA!$B:$B,COA!$E:$E,0,0,1)</f>
        <v>#REF!</v>
      </c>
      <c r="K291" s="80"/>
      <c r="L291" s="19"/>
      <c r="M291" s="85" t="e">
        <f>_xlfn.XLOOKUP(J291,#REF!,#REF!,0,0,1)</f>
        <v>#REF!</v>
      </c>
      <c r="N291" s="87"/>
      <c r="O291" s="87"/>
      <c r="P291" s="87"/>
      <c r="Q291" s="87"/>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row>
    <row r="292" spans="1:42" hidden="1" outlineLevel="1" x14ac:dyDescent="0.25">
      <c r="A292" s="50"/>
      <c r="B292" s="155" t="e">
        <f>COA!#REF!</f>
        <v>#REF!</v>
      </c>
      <c r="C292" s="127" t="e">
        <f>_xlfn.XLOOKUP(B292,#REF!,#REF!,0,0,1)</f>
        <v>#REF!</v>
      </c>
      <c r="D292" s="127" t="e">
        <f>SUMIF(#REF!,#REF!,#REF!)+SUMIF(#REF!,'FY Current'!B292,#REF!)</f>
        <v>#REF!</v>
      </c>
      <c r="E292" s="127" t="e">
        <f>_xlfn.XLOOKUP(B292,#REF!,#REF!,0,0,1)</f>
        <v>#REF!</v>
      </c>
      <c r="F292" s="127"/>
      <c r="G292" s="219" t="e">
        <f t="shared" si="5"/>
        <v>#REF!</v>
      </c>
      <c r="H292" s="178" t="e">
        <f>_xlfn.XLOOKUP($B292,COA!$B:$B,COA!$C:$C,0,0,1)</f>
        <v>#REF!</v>
      </c>
      <c r="I292" s="178" t="e">
        <f>_xlfn.XLOOKUP($B292,COA!$B:$B,COA!$D:$D,0,0,1)</f>
        <v>#REF!</v>
      </c>
      <c r="J292" s="178" t="e">
        <f>_xlfn.XLOOKUP($B292,COA!$B:$B,COA!$E:$E,0,0,1)</f>
        <v>#REF!</v>
      </c>
      <c r="K292" s="80"/>
      <c r="L292" s="19"/>
      <c r="M292" s="85" t="e">
        <f>_xlfn.XLOOKUP(J292,#REF!,#REF!,0,0,1)</f>
        <v>#REF!</v>
      </c>
      <c r="N292" s="87"/>
      <c r="O292" s="87"/>
      <c r="P292" s="87"/>
      <c r="Q292" s="87"/>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5"/>
    </row>
    <row r="293" spans="1:42" hidden="1" outlineLevel="1" x14ac:dyDescent="0.25">
      <c r="A293" s="50"/>
      <c r="B293" s="155" t="e">
        <f>COA!#REF!</f>
        <v>#REF!</v>
      </c>
      <c r="C293" s="127" t="e">
        <f>_xlfn.XLOOKUP(B293,#REF!,#REF!,0,0,1)</f>
        <v>#REF!</v>
      </c>
      <c r="D293" s="127" t="e">
        <f>SUMIF(#REF!,#REF!,#REF!)+SUMIF(#REF!,'FY Current'!B293,#REF!)</f>
        <v>#REF!</v>
      </c>
      <c r="E293" s="127" t="e">
        <f>_xlfn.XLOOKUP(B293,#REF!,#REF!,0,0,1)</f>
        <v>#REF!</v>
      </c>
      <c r="F293" s="127"/>
      <c r="G293" s="219" t="e">
        <f t="shared" si="5"/>
        <v>#REF!</v>
      </c>
      <c r="H293" s="178" t="e">
        <f>_xlfn.XLOOKUP($B293,COA!$B:$B,COA!$C:$C,0,0,1)</f>
        <v>#REF!</v>
      </c>
      <c r="I293" s="178" t="e">
        <f>_xlfn.XLOOKUP($B293,COA!$B:$B,COA!$D:$D,0,0,1)</f>
        <v>#REF!</v>
      </c>
      <c r="J293" s="178" t="e">
        <f>_xlfn.XLOOKUP($B293,COA!$B:$B,COA!$E:$E,0,0,1)</f>
        <v>#REF!</v>
      </c>
      <c r="K293" s="80"/>
      <c r="L293" s="19"/>
      <c r="M293" s="85" t="e">
        <f>_xlfn.XLOOKUP(J293,#REF!,#REF!,0,0,1)</f>
        <v>#REF!</v>
      </c>
      <c r="N293" s="87"/>
      <c r="O293" s="87"/>
      <c r="P293" s="87"/>
      <c r="Q293" s="87"/>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row>
    <row r="294" spans="1:42" hidden="1" outlineLevel="1" x14ac:dyDescent="0.25">
      <c r="A294" s="50"/>
      <c r="B294" s="155" t="e">
        <f>COA!#REF!</f>
        <v>#REF!</v>
      </c>
      <c r="C294" s="127" t="e">
        <f>_xlfn.XLOOKUP(B294,#REF!,#REF!,0,0,1)</f>
        <v>#REF!</v>
      </c>
      <c r="D294" s="127" t="e">
        <f>SUMIF(#REF!,#REF!,#REF!)+SUMIF(#REF!,'FY Current'!B294,#REF!)</f>
        <v>#REF!</v>
      </c>
      <c r="E294" s="127" t="e">
        <f>_xlfn.XLOOKUP(B294,#REF!,#REF!,0,0,1)</f>
        <v>#REF!</v>
      </c>
      <c r="F294" s="127"/>
      <c r="G294" s="219" t="e">
        <f t="shared" si="5"/>
        <v>#REF!</v>
      </c>
      <c r="H294" s="178" t="e">
        <f>_xlfn.XLOOKUP($B294,COA!$B:$B,COA!$C:$C,0,0,1)</f>
        <v>#REF!</v>
      </c>
      <c r="I294" s="178" t="e">
        <f>_xlfn.XLOOKUP($B294,COA!$B:$B,COA!$D:$D,0,0,1)</f>
        <v>#REF!</v>
      </c>
      <c r="J294" s="178" t="e">
        <f>_xlfn.XLOOKUP($B294,COA!$B:$B,COA!$E:$E,0,0,1)</f>
        <v>#REF!</v>
      </c>
      <c r="K294" s="80"/>
      <c r="L294" s="19"/>
      <c r="M294" s="85" t="e">
        <f>_xlfn.XLOOKUP(J294,#REF!,#REF!,0,0,1)</f>
        <v>#REF!</v>
      </c>
      <c r="N294" s="87"/>
      <c r="O294" s="87"/>
      <c r="P294" s="87"/>
      <c r="Q294" s="87"/>
      <c r="R294" s="85"/>
      <c r="S294" s="85"/>
      <c r="T294" s="85"/>
      <c r="U294" s="85"/>
      <c r="V294" s="85"/>
      <c r="W294" s="85"/>
      <c r="X294" s="85"/>
      <c r="Y294" s="85"/>
      <c r="Z294" s="85"/>
      <c r="AA294" s="85"/>
      <c r="AB294" s="85"/>
      <c r="AC294" s="85"/>
      <c r="AD294" s="85"/>
      <c r="AE294" s="85"/>
      <c r="AF294" s="85"/>
      <c r="AG294" s="85"/>
      <c r="AH294" s="85"/>
      <c r="AI294" s="85"/>
      <c r="AJ294" s="85"/>
      <c r="AK294" s="85"/>
      <c r="AL294" s="85"/>
      <c r="AM294" s="85"/>
      <c r="AN294" s="85"/>
      <c r="AO294" s="85"/>
      <c r="AP294" s="85"/>
    </row>
    <row r="295" spans="1:42" hidden="1" outlineLevel="1" x14ac:dyDescent="0.25">
      <c r="A295" s="50"/>
      <c r="B295" s="155" t="e">
        <f>COA!#REF!</f>
        <v>#REF!</v>
      </c>
      <c r="C295" s="127" t="e">
        <f>_xlfn.XLOOKUP(B295,#REF!,#REF!,0,0,1)</f>
        <v>#REF!</v>
      </c>
      <c r="D295" s="127" t="e">
        <f>SUMIF(#REF!,#REF!,#REF!)+SUMIF(#REF!,'FY Current'!B295,#REF!)</f>
        <v>#REF!</v>
      </c>
      <c r="E295" s="127" t="e">
        <f>_xlfn.XLOOKUP(B295,#REF!,#REF!,0,0,1)</f>
        <v>#REF!</v>
      </c>
      <c r="F295" s="127"/>
      <c r="G295" s="219" t="e">
        <f t="shared" si="5"/>
        <v>#REF!</v>
      </c>
      <c r="H295" s="178" t="e">
        <f>_xlfn.XLOOKUP($B295,COA!$B:$B,COA!$C:$C,0,0,1)</f>
        <v>#REF!</v>
      </c>
      <c r="I295" s="178" t="e">
        <f>_xlfn.XLOOKUP($B295,COA!$B:$B,COA!$D:$D,0,0,1)</f>
        <v>#REF!</v>
      </c>
      <c r="J295" s="178" t="e">
        <f>_xlfn.XLOOKUP($B295,COA!$B:$B,COA!$E:$E,0,0,1)</f>
        <v>#REF!</v>
      </c>
      <c r="K295" s="80"/>
      <c r="L295" s="19"/>
      <c r="M295" s="85" t="e">
        <f>_xlfn.XLOOKUP(J295,#REF!,#REF!,0,0,1)</f>
        <v>#REF!</v>
      </c>
      <c r="N295" s="87"/>
      <c r="O295" s="87"/>
      <c r="P295" s="87"/>
      <c r="Q295" s="87"/>
      <c r="R295" s="85"/>
      <c r="S295" s="85"/>
      <c r="T295" s="85"/>
      <c r="U295" s="85"/>
      <c r="V295" s="85"/>
      <c r="W295" s="85"/>
      <c r="X295" s="85"/>
      <c r="Y295" s="85"/>
      <c r="Z295" s="85"/>
      <c r="AA295" s="85"/>
      <c r="AB295" s="85"/>
      <c r="AC295" s="85"/>
      <c r="AD295" s="85"/>
      <c r="AE295" s="85"/>
      <c r="AF295" s="85"/>
      <c r="AG295" s="85"/>
      <c r="AH295" s="85"/>
      <c r="AI295" s="85"/>
      <c r="AJ295" s="85"/>
      <c r="AK295" s="85"/>
      <c r="AL295" s="85"/>
      <c r="AM295" s="85"/>
      <c r="AN295" s="85"/>
      <c r="AO295" s="85"/>
      <c r="AP295" s="85"/>
    </row>
    <row r="296" spans="1:42" hidden="1" outlineLevel="1" x14ac:dyDescent="0.25">
      <c r="A296" s="50"/>
      <c r="B296" s="155" t="e">
        <f>COA!#REF!</f>
        <v>#REF!</v>
      </c>
      <c r="C296" s="127" t="e">
        <f>_xlfn.XLOOKUP(B296,#REF!,#REF!,0,0,1)</f>
        <v>#REF!</v>
      </c>
      <c r="D296" s="127" t="e">
        <f>SUMIF(#REF!,#REF!,#REF!)+SUMIF(#REF!,'FY Current'!B296,#REF!)</f>
        <v>#REF!</v>
      </c>
      <c r="E296" s="127" t="e">
        <f>_xlfn.XLOOKUP(B296,#REF!,#REF!,0,0,1)</f>
        <v>#REF!</v>
      </c>
      <c r="F296" s="127"/>
      <c r="G296" s="219" t="e">
        <f t="shared" si="5"/>
        <v>#REF!</v>
      </c>
      <c r="H296" s="178" t="e">
        <f>_xlfn.XLOOKUP($B296,COA!$B:$B,COA!$C:$C,0,0,1)</f>
        <v>#REF!</v>
      </c>
      <c r="I296" s="178" t="e">
        <f>_xlfn.XLOOKUP($B296,COA!$B:$B,COA!$D:$D,0,0,1)</f>
        <v>#REF!</v>
      </c>
      <c r="J296" s="178" t="e">
        <f>_xlfn.XLOOKUP($B296,COA!$B:$B,COA!$E:$E,0,0,1)</f>
        <v>#REF!</v>
      </c>
      <c r="K296" s="80"/>
      <c r="L296" s="19"/>
      <c r="M296" s="85" t="e">
        <f>_xlfn.XLOOKUP(J296,#REF!,#REF!,0,0,1)</f>
        <v>#REF!</v>
      </c>
      <c r="N296" s="87"/>
      <c r="O296" s="87"/>
      <c r="P296" s="87"/>
      <c r="Q296" s="87"/>
      <c r="R296" s="85"/>
      <c r="S296" s="85"/>
      <c r="T296" s="85"/>
      <c r="U296" s="85"/>
      <c r="V296" s="85"/>
      <c r="W296" s="85"/>
      <c r="X296" s="85"/>
      <c r="Y296" s="85"/>
      <c r="Z296" s="85"/>
      <c r="AA296" s="85"/>
      <c r="AB296" s="85"/>
      <c r="AC296" s="85"/>
      <c r="AD296" s="85"/>
      <c r="AE296" s="85"/>
      <c r="AF296" s="85"/>
      <c r="AG296" s="85"/>
      <c r="AH296" s="85"/>
      <c r="AI296" s="85"/>
      <c r="AJ296" s="85"/>
      <c r="AK296" s="85"/>
      <c r="AL296" s="85"/>
      <c r="AM296" s="85"/>
      <c r="AN296" s="85"/>
      <c r="AO296" s="85"/>
      <c r="AP296" s="85"/>
    </row>
    <row r="297" spans="1:42" hidden="1" outlineLevel="1" x14ac:dyDescent="0.25">
      <c r="A297" s="50"/>
      <c r="B297" s="155" t="e">
        <f>COA!#REF!</f>
        <v>#REF!</v>
      </c>
      <c r="C297" s="127" t="e">
        <f>_xlfn.XLOOKUP(B297,#REF!,#REF!,0,0,1)</f>
        <v>#REF!</v>
      </c>
      <c r="D297" s="127" t="e">
        <f>SUMIF(#REF!,#REF!,#REF!)+SUMIF(#REF!,'FY Current'!B297,#REF!)</f>
        <v>#REF!</v>
      </c>
      <c r="E297" s="127" t="e">
        <f>_xlfn.XLOOKUP(B297,#REF!,#REF!,0,0,1)</f>
        <v>#REF!</v>
      </c>
      <c r="F297" s="127"/>
      <c r="G297" s="219" t="e">
        <f t="shared" si="5"/>
        <v>#REF!</v>
      </c>
      <c r="H297" s="178" t="e">
        <f>_xlfn.XLOOKUP($B297,COA!$B:$B,COA!$C:$C,0,0,1)</f>
        <v>#REF!</v>
      </c>
      <c r="I297" s="178" t="e">
        <f>_xlfn.XLOOKUP($B297,COA!$B:$B,COA!$D:$D,0,0,1)</f>
        <v>#REF!</v>
      </c>
      <c r="J297" s="178" t="e">
        <f>_xlfn.XLOOKUP($B297,COA!$B:$B,COA!$E:$E,0,0,1)</f>
        <v>#REF!</v>
      </c>
      <c r="K297" s="80"/>
      <c r="L297" s="19"/>
      <c r="M297" s="85" t="e">
        <f>_xlfn.XLOOKUP(J297,#REF!,#REF!,0,0,1)</f>
        <v>#REF!</v>
      </c>
      <c r="N297" s="87"/>
      <c r="O297" s="87"/>
      <c r="P297" s="87"/>
      <c r="Q297" s="87"/>
      <c r="R297" s="85"/>
      <c r="S297" s="85"/>
      <c r="T297" s="85"/>
      <c r="U297" s="85"/>
      <c r="V297" s="85"/>
      <c r="W297" s="85"/>
      <c r="X297" s="85"/>
      <c r="Y297" s="85"/>
      <c r="Z297" s="85"/>
      <c r="AA297" s="85"/>
      <c r="AB297" s="85"/>
      <c r="AC297" s="85"/>
      <c r="AD297" s="85"/>
      <c r="AE297" s="85"/>
      <c r="AF297" s="85"/>
      <c r="AG297" s="85"/>
      <c r="AH297" s="85"/>
      <c r="AI297" s="85"/>
      <c r="AJ297" s="85"/>
      <c r="AK297" s="85"/>
      <c r="AL297" s="85"/>
      <c r="AM297" s="85"/>
      <c r="AN297" s="85"/>
      <c r="AO297" s="85"/>
      <c r="AP297" s="85"/>
    </row>
    <row r="298" spans="1:42" hidden="1" outlineLevel="1" x14ac:dyDescent="0.25">
      <c r="A298" s="50"/>
      <c r="B298" s="155" t="e">
        <f>COA!#REF!</f>
        <v>#REF!</v>
      </c>
      <c r="C298" s="127" t="e">
        <f>_xlfn.XLOOKUP(B298,#REF!,#REF!,0,0,1)</f>
        <v>#REF!</v>
      </c>
      <c r="D298" s="127" t="e">
        <f>SUMIF(#REF!,#REF!,#REF!)+SUMIF(#REF!,'FY Current'!B298,#REF!)</f>
        <v>#REF!</v>
      </c>
      <c r="E298" s="127" t="e">
        <f>_xlfn.XLOOKUP(B298,#REF!,#REF!,0,0,1)</f>
        <v>#REF!</v>
      </c>
      <c r="F298" s="127"/>
      <c r="G298" s="219" t="e">
        <f t="shared" si="5"/>
        <v>#REF!</v>
      </c>
      <c r="H298" s="178" t="e">
        <f>_xlfn.XLOOKUP($B298,COA!$B:$B,COA!$C:$C,0,0,1)</f>
        <v>#REF!</v>
      </c>
      <c r="I298" s="178" t="e">
        <f>_xlfn.XLOOKUP($B298,COA!$B:$B,COA!$D:$D,0,0,1)</f>
        <v>#REF!</v>
      </c>
      <c r="J298" s="178" t="e">
        <f>_xlfn.XLOOKUP($B298,COA!$B:$B,COA!$E:$E,0,0,1)</f>
        <v>#REF!</v>
      </c>
      <c r="K298" s="80"/>
      <c r="L298" s="19"/>
      <c r="M298" s="85" t="e">
        <f>_xlfn.XLOOKUP(J298,#REF!,#REF!,0,0,1)</f>
        <v>#REF!</v>
      </c>
      <c r="N298" s="87"/>
      <c r="O298" s="87"/>
      <c r="P298" s="87"/>
      <c r="Q298" s="87"/>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row>
    <row r="299" spans="1:42" hidden="1" outlineLevel="1" x14ac:dyDescent="0.25">
      <c r="A299" s="50"/>
      <c r="B299" s="155" t="e">
        <f>COA!#REF!</f>
        <v>#REF!</v>
      </c>
      <c r="C299" s="127" t="e">
        <f>_xlfn.XLOOKUP(B299,#REF!,#REF!,0,0,1)</f>
        <v>#REF!</v>
      </c>
      <c r="D299" s="127" t="e">
        <f>SUMIF(#REF!,#REF!,#REF!)+SUMIF(#REF!,'FY Current'!B299,#REF!)</f>
        <v>#REF!</v>
      </c>
      <c r="E299" s="127" t="e">
        <f>_xlfn.XLOOKUP(B299,#REF!,#REF!,0,0,1)</f>
        <v>#REF!</v>
      </c>
      <c r="F299" s="127"/>
      <c r="G299" s="219" t="e">
        <f t="shared" si="5"/>
        <v>#REF!</v>
      </c>
      <c r="H299" s="178" t="e">
        <f>_xlfn.XLOOKUP($B299,COA!$B:$B,COA!$C:$C,0,0,1)</f>
        <v>#REF!</v>
      </c>
      <c r="I299" s="178" t="e">
        <f>_xlfn.XLOOKUP($B299,COA!$B:$B,COA!$D:$D,0,0,1)</f>
        <v>#REF!</v>
      </c>
      <c r="J299" s="178" t="e">
        <f>_xlfn.XLOOKUP($B299,COA!$B:$B,COA!$E:$E,0,0,1)</f>
        <v>#REF!</v>
      </c>
      <c r="K299" s="80"/>
      <c r="L299" s="19"/>
      <c r="M299" s="85" t="e">
        <f>_xlfn.XLOOKUP(J299,#REF!,#REF!,0,0,1)</f>
        <v>#REF!</v>
      </c>
      <c r="N299" s="87"/>
      <c r="O299" s="87"/>
      <c r="P299" s="87"/>
      <c r="Q299" s="87"/>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row>
    <row r="300" spans="1:42" hidden="1" outlineLevel="1" x14ac:dyDescent="0.25">
      <c r="A300" s="50"/>
      <c r="B300" s="155" t="e">
        <f>COA!#REF!</f>
        <v>#REF!</v>
      </c>
      <c r="C300" s="127" t="e">
        <f>_xlfn.XLOOKUP(B300,#REF!,#REF!,0,0,1)</f>
        <v>#REF!</v>
      </c>
      <c r="D300" s="127" t="e">
        <f>SUMIF(#REF!,#REF!,#REF!)+SUMIF(#REF!,'FY Current'!B300,#REF!)</f>
        <v>#REF!</v>
      </c>
      <c r="E300" s="127" t="e">
        <f>_xlfn.XLOOKUP(B300,#REF!,#REF!,0,0,1)</f>
        <v>#REF!</v>
      </c>
      <c r="F300" s="127"/>
      <c r="G300" s="219" t="e">
        <f t="shared" si="5"/>
        <v>#REF!</v>
      </c>
      <c r="H300" s="178" t="e">
        <f>_xlfn.XLOOKUP($B300,COA!$B:$B,COA!$C:$C,0,0,1)</f>
        <v>#REF!</v>
      </c>
      <c r="I300" s="178" t="e">
        <f>_xlfn.XLOOKUP($B300,COA!$B:$B,COA!$D:$D,0,0,1)</f>
        <v>#REF!</v>
      </c>
      <c r="J300" s="178" t="e">
        <f>_xlfn.XLOOKUP($B300,COA!$B:$B,COA!$E:$E,0,0,1)</f>
        <v>#REF!</v>
      </c>
      <c r="K300" s="80"/>
      <c r="L300" s="19"/>
      <c r="M300" s="85" t="e">
        <f>_xlfn.XLOOKUP(J300,#REF!,#REF!,0,0,1)</f>
        <v>#REF!</v>
      </c>
      <c r="N300" s="87"/>
      <c r="O300" s="87"/>
      <c r="P300" s="87"/>
      <c r="Q300" s="87"/>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row>
    <row r="301" spans="1:42" hidden="1" outlineLevel="1" x14ac:dyDescent="0.25">
      <c r="A301" s="50"/>
      <c r="B301" s="155" t="e">
        <f>COA!#REF!</f>
        <v>#REF!</v>
      </c>
      <c r="C301" s="127" t="e">
        <f>_xlfn.XLOOKUP(B301,#REF!,#REF!,0,0,1)</f>
        <v>#REF!</v>
      </c>
      <c r="D301" s="127" t="e">
        <f>SUMIF(#REF!,#REF!,#REF!)+SUMIF(#REF!,'FY Current'!B301,#REF!)</f>
        <v>#REF!</v>
      </c>
      <c r="E301" s="127" t="e">
        <f>_xlfn.XLOOKUP(B301,#REF!,#REF!,0,0,1)</f>
        <v>#REF!</v>
      </c>
      <c r="F301" s="127"/>
      <c r="G301" s="219" t="e">
        <f t="shared" si="5"/>
        <v>#REF!</v>
      </c>
      <c r="H301" s="178" t="e">
        <f>_xlfn.XLOOKUP($B301,COA!$B:$B,COA!$C:$C,0,0,1)</f>
        <v>#REF!</v>
      </c>
      <c r="I301" s="178" t="e">
        <f>_xlfn.XLOOKUP($B301,COA!$B:$B,COA!$D:$D,0,0,1)</f>
        <v>#REF!</v>
      </c>
      <c r="J301" s="178" t="e">
        <f>_xlfn.XLOOKUP($B301,COA!$B:$B,COA!$E:$E,0,0,1)</f>
        <v>#REF!</v>
      </c>
      <c r="K301" s="80"/>
      <c r="L301" s="19"/>
      <c r="M301" s="85" t="e">
        <f>_xlfn.XLOOKUP(J301,#REF!,#REF!,0,0,1)</f>
        <v>#REF!</v>
      </c>
      <c r="N301" s="87"/>
      <c r="O301" s="87"/>
      <c r="P301" s="87"/>
      <c r="Q301" s="87"/>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row>
    <row r="302" spans="1:42" hidden="1" outlineLevel="1" x14ac:dyDescent="0.25">
      <c r="A302" s="50"/>
      <c r="B302" s="155" t="e">
        <f>COA!#REF!</f>
        <v>#REF!</v>
      </c>
      <c r="C302" s="127" t="e">
        <f>_xlfn.XLOOKUP(B302,#REF!,#REF!,0,0,1)</f>
        <v>#REF!</v>
      </c>
      <c r="D302" s="127" t="e">
        <f>SUMIF(#REF!,#REF!,#REF!)+SUMIF(#REF!,'FY Current'!B302,#REF!)</f>
        <v>#REF!</v>
      </c>
      <c r="E302" s="127" t="e">
        <f>_xlfn.XLOOKUP(B302,#REF!,#REF!,0,0,1)</f>
        <v>#REF!</v>
      </c>
      <c r="F302" s="127"/>
      <c r="G302" s="219" t="e">
        <f t="shared" si="5"/>
        <v>#REF!</v>
      </c>
      <c r="H302" s="178" t="e">
        <f>_xlfn.XLOOKUP($B302,COA!$B:$B,COA!$C:$C,0,0,1)</f>
        <v>#REF!</v>
      </c>
      <c r="I302" s="178" t="e">
        <f>_xlfn.XLOOKUP($B302,COA!$B:$B,COA!$D:$D,0,0,1)</f>
        <v>#REF!</v>
      </c>
      <c r="J302" s="178" t="e">
        <f>_xlfn.XLOOKUP($B302,COA!$B:$B,COA!$E:$E,0,0,1)</f>
        <v>#REF!</v>
      </c>
      <c r="K302" s="80"/>
      <c r="L302" s="19"/>
      <c r="M302" s="85" t="e">
        <f>_xlfn.XLOOKUP(J302,#REF!,#REF!,0,0,1)</f>
        <v>#REF!</v>
      </c>
      <c r="N302" s="87"/>
      <c r="O302" s="87"/>
      <c r="P302" s="87"/>
      <c r="Q302" s="87"/>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row>
    <row r="303" spans="1:42" hidden="1" outlineLevel="1" x14ac:dyDescent="0.25">
      <c r="A303" s="50"/>
      <c r="B303" s="155" t="e">
        <f>COA!#REF!</f>
        <v>#REF!</v>
      </c>
      <c r="C303" s="127" t="e">
        <f>_xlfn.XLOOKUP(B303,#REF!,#REF!,0,0,1)</f>
        <v>#REF!</v>
      </c>
      <c r="D303" s="127" t="e">
        <f>SUMIF(#REF!,#REF!,#REF!)+SUMIF(#REF!,'FY Current'!B303,#REF!)</f>
        <v>#REF!</v>
      </c>
      <c r="E303" s="127" t="e">
        <f>_xlfn.XLOOKUP(B303,#REF!,#REF!,0,0,1)</f>
        <v>#REF!</v>
      </c>
      <c r="F303" s="127"/>
      <c r="G303" s="219" t="e">
        <f t="shared" si="5"/>
        <v>#REF!</v>
      </c>
      <c r="H303" s="178" t="e">
        <f>_xlfn.XLOOKUP($B303,COA!$B:$B,COA!$C:$C,0,0,1)</f>
        <v>#REF!</v>
      </c>
      <c r="I303" s="178" t="e">
        <f>_xlfn.XLOOKUP($B303,COA!$B:$B,COA!$D:$D,0,0,1)</f>
        <v>#REF!</v>
      </c>
      <c r="J303" s="178" t="e">
        <f>_xlfn.XLOOKUP($B303,COA!$B:$B,COA!$E:$E,0,0,1)</f>
        <v>#REF!</v>
      </c>
      <c r="K303" s="80"/>
      <c r="L303" s="19"/>
      <c r="M303" s="85" t="e">
        <f>_xlfn.XLOOKUP(J303,#REF!,#REF!,0,0,1)</f>
        <v>#REF!</v>
      </c>
      <c r="N303" s="87"/>
      <c r="O303" s="87"/>
      <c r="P303" s="87"/>
      <c r="Q303" s="87"/>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row>
    <row r="304" spans="1:42" hidden="1" outlineLevel="1" x14ac:dyDescent="0.25">
      <c r="A304" s="50"/>
      <c r="B304" s="155" t="e">
        <f>COA!#REF!</f>
        <v>#REF!</v>
      </c>
      <c r="C304" s="127" t="e">
        <f>_xlfn.XLOOKUP(B304,#REF!,#REF!,0,0,1)</f>
        <v>#REF!</v>
      </c>
      <c r="D304" s="127" t="e">
        <f>SUMIF(#REF!,#REF!,#REF!)+SUMIF(#REF!,'FY Current'!B304,#REF!)</f>
        <v>#REF!</v>
      </c>
      <c r="E304" s="127" t="e">
        <f>_xlfn.XLOOKUP(B304,#REF!,#REF!,0,0,1)</f>
        <v>#REF!</v>
      </c>
      <c r="F304" s="127"/>
      <c r="G304" s="219" t="e">
        <f t="shared" si="5"/>
        <v>#REF!</v>
      </c>
      <c r="H304" s="178" t="e">
        <f>_xlfn.XLOOKUP($B304,COA!$B:$B,COA!$C:$C,0,0,1)</f>
        <v>#REF!</v>
      </c>
      <c r="I304" s="178" t="e">
        <f>_xlfn.XLOOKUP($B304,COA!$B:$B,COA!$D:$D,0,0,1)</f>
        <v>#REF!</v>
      </c>
      <c r="J304" s="178" t="e">
        <f>_xlfn.XLOOKUP($B304,COA!$B:$B,COA!$E:$E,0,0,1)</f>
        <v>#REF!</v>
      </c>
      <c r="K304" s="80"/>
      <c r="L304" s="19"/>
      <c r="M304" s="85" t="e">
        <f>_xlfn.XLOOKUP(J304,#REF!,#REF!,0,0,1)</f>
        <v>#REF!</v>
      </c>
      <c r="N304" s="87"/>
      <c r="O304" s="87"/>
      <c r="P304" s="87"/>
      <c r="Q304" s="87"/>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row>
    <row r="305" spans="1:42" hidden="1" outlineLevel="1" x14ac:dyDescent="0.25">
      <c r="A305" s="50"/>
      <c r="B305" s="155" t="e">
        <f>COA!#REF!</f>
        <v>#REF!</v>
      </c>
      <c r="C305" s="127" t="e">
        <f>_xlfn.XLOOKUP(B305,#REF!,#REF!,0,0,1)</f>
        <v>#REF!</v>
      </c>
      <c r="D305" s="127" t="e">
        <f>SUMIF(#REF!,#REF!,#REF!)+SUMIF(#REF!,'FY Current'!B305,#REF!)</f>
        <v>#REF!</v>
      </c>
      <c r="E305" s="127" t="e">
        <f>_xlfn.XLOOKUP(B305,#REF!,#REF!,0,0,1)</f>
        <v>#REF!</v>
      </c>
      <c r="F305" s="127"/>
      <c r="G305" s="219" t="e">
        <f t="shared" si="5"/>
        <v>#REF!</v>
      </c>
      <c r="H305" s="178" t="e">
        <f>_xlfn.XLOOKUP($B305,COA!$B:$B,COA!$C:$C,0,0,1)</f>
        <v>#REF!</v>
      </c>
      <c r="I305" s="178" t="e">
        <f>_xlfn.XLOOKUP($B305,COA!$B:$B,COA!$D:$D,0,0,1)</f>
        <v>#REF!</v>
      </c>
      <c r="J305" s="178" t="e">
        <f>_xlfn.XLOOKUP($B305,COA!$B:$B,COA!$E:$E,0,0,1)</f>
        <v>#REF!</v>
      </c>
      <c r="K305" s="80"/>
      <c r="L305" s="19"/>
      <c r="M305" s="85" t="e">
        <f>_xlfn.XLOOKUP(J305,#REF!,#REF!,0,0,1)</f>
        <v>#REF!</v>
      </c>
      <c r="N305" s="87"/>
      <c r="O305" s="87"/>
      <c r="P305" s="87"/>
      <c r="Q305" s="87"/>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row>
    <row r="306" spans="1:42" hidden="1" outlineLevel="1" x14ac:dyDescent="0.25">
      <c r="A306" s="50"/>
      <c r="B306" s="155" t="e">
        <f>COA!#REF!</f>
        <v>#REF!</v>
      </c>
      <c r="C306" s="127" t="e">
        <f>_xlfn.XLOOKUP(B306,#REF!,#REF!,0,0,1)</f>
        <v>#REF!</v>
      </c>
      <c r="D306" s="127" t="e">
        <f>SUMIF(#REF!,#REF!,#REF!)+SUMIF(#REF!,'FY Current'!B306,#REF!)</f>
        <v>#REF!</v>
      </c>
      <c r="E306" s="127" t="e">
        <f>_xlfn.XLOOKUP(B306,#REF!,#REF!,0,0,1)</f>
        <v>#REF!</v>
      </c>
      <c r="F306" s="127"/>
      <c r="G306" s="219" t="e">
        <f t="shared" si="5"/>
        <v>#REF!</v>
      </c>
      <c r="H306" s="178" t="e">
        <f>_xlfn.XLOOKUP($B306,COA!$B:$B,COA!$C:$C,0,0,1)</f>
        <v>#REF!</v>
      </c>
      <c r="I306" s="178" t="e">
        <f>_xlfn.XLOOKUP($B306,COA!$B:$B,COA!$D:$D,0,0,1)</f>
        <v>#REF!</v>
      </c>
      <c r="J306" s="178" t="e">
        <f>_xlfn.XLOOKUP($B306,COA!$B:$B,COA!$E:$E,0,0,1)</f>
        <v>#REF!</v>
      </c>
      <c r="K306" s="80"/>
      <c r="L306" s="19"/>
      <c r="M306" s="85" t="e">
        <f>_xlfn.XLOOKUP(J306,#REF!,#REF!,0,0,1)</f>
        <v>#REF!</v>
      </c>
      <c r="N306" s="87"/>
      <c r="O306" s="87"/>
      <c r="P306" s="87"/>
      <c r="Q306" s="87"/>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row>
    <row r="307" spans="1:42" hidden="1" outlineLevel="1" x14ac:dyDescent="0.25">
      <c r="A307" s="50"/>
      <c r="B307" s="155" t="e">
        <f>COA!#REF!</f>
        <v>#REF!</v>
      </c>
      <c r="C307" s="127" t="e">
        <f>_xlfn.XLOOKUP(B307,#REF!,#REF!,0,0,1)</f>
        <v>#REF!</v>
      </c>
      <c r="D307" s="127" t="e">
        <f>SUMIF(#REF!,#REF!,#REF!)+SUMIF(#REF!,'FY Current'!B307,#REF!)</f>
        <v>#REF!</v>
      </c>
      <c r="E307" s="127" t="e">
        <f>_xlfn.XLOOKUP(B307,#REF!,#REF!,0,0,1)</f>
        <v>#REF!</v>
      </c>
      <c r="F307" s="127"/>
      <c r="G307" s="219" t="e">
        <f t="shared" si="5"/>
        <v>#REF!</v>
      </c>
      <c r="H307" s="178" t="e">
        <f>_xlfn.XLOOKUP($B307,COA!$B:$B,COA!$C:$C,0,0,1)</f>
        <v>#REF!</v>
      </c>
      <c r="I307" s="178" t="e">
        <f>_xlfn.XLOOKUP($B307,COA!$B:$B,COA!$D:$D,0,0,1)</f>
        <v>#REF!</v>
      </c>
      <c r="J307" s="178" t="e">
        <f>_xlfn.XLOOKUP($B307,COA!$B:$B,COA!$E:$E,0,0,1)</f>
        <v>#REF!</v>
      </c>
      <c r="K307" s="80"/>
      <c r="L307" s="19"/>
      <c r="M307" s="85" t="e">
        <f>_xlfn.XLOOKUP(J307,#REF!,#REF!,0,0,1)</f>
        <v>#REF!</v>
      </c>
      <c r="N307" s="87"/>
      <c r="O307" s="87"/>
      <c r="P307" s="87"/>
      <c r="Q307" s="87"/>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85"/>
      <c r="AP307" s="85"/>
    </row>
    <row r="308" spans="1:42" hidden="1" outlineLevel="1" x14ac:dyDescent="0.25">
      <c r="A308" s="50"/>
      <c r="B308" s="155" t="e">
        <f>COA!#REF!</f>
        <v>#REF!</v>
      </c>
      <c r="C308" s="127" t="e">
        <f>_xlfn.XLOOKUP(B308,#REF!,#REF!,0,0,1)</f>
        <v>#REF!</v>
      </c>
      <c r="D308" s="127" t="e">
        <f>SUMIF(#REF!,#REF!,#REF!)+SUMIF(#REF!,'FY Current'!B308,#REF!)</f>
        <v>#REF!</v>
      </c>
      <c r="E308" s="127" t="e">
        <f>_xlfn.XLOOKUP(B308,#REF!,#REF!,0,0,1)</f>
        <v>#REF!</v>
      </c>
      <c r="F308" s="127"/>
      <c r="G308" s="219" t="e">
        <f t="shared" si="5"/>
        <v>#REF!</v>
      </c>
      <c r="H308" s="178" t="e">
        <f>_xlfn.XLOOKUP($B308,COA!$B:$B,COA!$C:$C,0,0,1)</f>
        <v>#REF!</v>
      </c>
      <c r="I308" s="178" t="e">
        <f>_xlfn.XLOOKUP($B308,COA!$B:$B,COA!$D:$D,0,0,1)</f>
        <v>#REF!</v>
      </c>
      <c r="J308" s="178" t="e">
        <f>_xlfn.XLOOKUP($B308,COA!$B:$B,COA!$E:$E,0,0,1)</f>
        <v>#REF!</v>
      </c>
      <c r="K308" s="80"/>
      <c r="L308" s="19"/>
      <c r="M308" s="85" t="e">
        <f>_xlfn.XLOOKUP(J308,#REF!,#REF!,0,0,1)</f>
        <v>#REF!</v>
      </c>
      <c r="N308" s="87"/>
      <c r="O308" s="87"/>
      <c r="P308" s="87"/>
      <c r="Q308" s="87"/>
      <c r="R308" s="85"/>
      <c r="S308" s="85"/>
      <c r="T308" s="85"/>
      <c r="U308" s="85"/>
      <c r="V308" s="85"/>
      <c r="W308" s="85"/>
      <c r="X308" s="85"/>
      <c r="Y308" s="85"/>
      <c r="Z308" s="85"/>
      <c r="AA308" s="85"/>
      <c r="AB308" s="85"/>
      <c r="AC308" s="85"/>
      <c r="AD308" s="85"/>
      <c r="AE308" s="85"/>
      <c r="AF308" s="85"/>
      <c r="AG308" s="85"/>
      <c r="AH308" s="85"/>
      <c r="AI308" s="85"/>
      <c r="AJ308" s="85"/>
      <c r="AK308" s="85"/>
      <c r="AL308" s="85"/>
      <c r="AM308" s="85"/>
      <c r="AN308" s="85"/>
      <c r="AO308" s="85"/>
      <c r="AP308" s="85"/>
    </row>
    <row r="309" spans="1:42" hidden="1" outlineLevel="1" x14ac:dyDescent="0.25">
      <c r="A309" s="50"/>
      <c r="B309" s="155" t="e">
        <f>COA!#REF!</f>
        <v>#REF!</v>
      </c>
      <c r="C309" s="127" t="e">
        <f>_xlfn.XLOOKUP(B309,#REF!,#REF!,0,0,1)</f>
        <v>#REF!</v>
      </c>
      <c r="D309" s="127" t="e">
        <f>SUMIF(#REF!,#REF!,#REF!)+SUMIF(#REF!,'FY Current'!B309,#REF!)</f>
        <v>#REF!</v>
      </c>
      <c r="E309" s="127" t="e">
        <f>_xlfn.XLOOKUP(B309,#REF!,#REF!,0,0,1)</f>
        <v>#REF!</v>
      </c>
      <c r="F309" s="127"/>
      <c r="G309" s="219" t="e">
        <f t="shared" si="5"/>
        <v>#REF!</v>
      </c>
      <c r="H309" s="178" t="e">
        <f>_xlfn.XLOOKUP($B309,COA!$B:$B,COA!$C:$C,0,0,1)</f>
        <v>#REF!</v>
      </c>
      <c r="I309" s="178" t="e">
        <f>_xlfn.XLOOKUP($B309,COA!$B:$B,COA!$D:$D,0,0,1)</f>
        <v>#REF!</v>
      </c>
      <c r="J309" s="178" t="e">
        <f>_xlfn.XLOOKUP($B309,COA!$B:$B,COA!$E:$E,0,0,1)</f>
        <v>#REF!</v>
      </c>
      <c r="K309" s="80"/>
      <c r="L309" s="19"/>
      <c r="M309" s="85" t="e">
        <f>_xlfn.XLOOKUP(J309,#REF!,#REF!,0,0,1)</f>
        <v>#REF!</v>
      </c>
      <c r="N309" s="87"/>
      <c r="O309" s="87"/>
      <c r="P309" s="87"/>
      <c r="Q309" s="87"/>
      <c r="R309" s="85"/>
      <c r="S309" s="85"/>
      <c r="T309" s="85"/>
      <c r="U309" s="85"/>
      <c r="V309" s="85"/>
      <c r="W309" s="85"/>
      <c r="X309" s="85"/>
      <c r="Y309" s="85"/>
      <c r="Z309" s="85"/>
      <c r="AA309" s="85"/>
      <c r="AB309" s="85"/>
      <c r="AC309" s="85"/>
      <c r="AD309" s="85"/>
      <c r="AE309" s="85"/>
      <c r="AF309" s="85"/>
      <c r="AG309" s="85"/>
      <c r="AH309" s="85"/>
      <c r="AI309" s="85"/>
      <c r="AJ309" s="85"/>
      <c r="AK309" s="85"/>
      <c r="AL309" s="85"/>
      <c r="AM309" s="85"/>
      <c r="AN309" s="85"/>
      <c r="AO309" s="85"/>
      <c r="AP309" s="85"/>
    </row>
    <row r="310" spans="1:42" hidden="1" outlineLevel="1" x14ac:dyDescent="0.25">
      <c r="A310" s="50"/>
      <c r="B310" s="155" t="e">
        <f>COA!#REF!</f>
        <v>#REF!</v>
      </c>
      <c r="C310" s="127" t="e">
        <f>_xlfn.XLOOKUP(B310,#REF!,#REF!,0,0,1)</f>
        <v>#REF!</v>
      </c>
      <c r="D310" s="127" t="e">
        <f>SUMIF(#REF!,#REF!,#REF!)+SUMIF(#REF!,'FY Current'!B310,#REF!)</f>
        <v>#REF!</v>
      </c>
      <c r="E310" s="127" t="e">
        <f>_xlfn.XLOOKUP(B310,#REF!,#REF!,0,0,1)</f>
        <v>#REF!</v>
      </c>
      <c r="F310" s="127"/>
      <c r="G310" s="219" t="e">
        <f t="shared" si="5"/>
        <v>#REF!</v>
      </c>
      <c r="H310" s="178" t="e">
        <f>_xlfn.XLOOKUP($B310,COA!$B:$B,COA!$C:$C,0,0,1)</f>
        <v>#REF!</v>
      </c>
      <c r="I310" s="178" t="e">
        <f>_xlfn.XLOOKUP($B310,COA!$B:$B,COA!$D:$D,0,0,1)</f>
        <v>#REF!</v>
      </c>
      <c r="J310" s="178" t="e">
        <f>_xlfn.XLOOKUP($B310,COA!$B:$B,COA!$E:$E,0,0,1)</f>
        <v>#REF!</v>
      </c>
      <c r="K310" s="80"/>
      <c r="L310" s="19"/>
      <c r="M310" s="85" t="e">
        <f>_xlfn.XLOOKUP(J310,#REF!,#REF!,0,0,1)</f>
        <v>#REF!</v>
      </c>
      <c r="N310" s="87"/>
      <c r="O310" s="87"/>
      <c r="P310" s="87"/>
      <c r="Q310" s="87"/>
      <c r="R310" s="85"/>
      <c r="S310" s="85"/>
      <c r="T310" s="85"/>
      <c r="U310" s="85"/>
      <c r="V310" s="85"/>
      <c r="W310" s="85"/>
      <c r="X310" s="85"/>
      <c r="Y310" s="85"/>
      <c r="Z310" s="85"/>
      <c r="AA310" s="85"/>
      <c r="AB310" s="85"/>
      <c r="AC310" s="85"/>
      <c r="AD310" s="85"/>
      <c r="AE310" s="85"/>
      <c r="AF310" s="85"/>
      <c r="AG310" s="85"/>
      <c r="AH310" s="85"/>
      <c r="AI310" s="85"/>
      <c r="AJ310" s="85"/>
      <c r="AK310" s="85"/>
      <c r="AL310" s="85"/>
      <c r="AM310" s="85"/>
      <c r="AN310" s="85"/>
      <c r="AO310" s="85"/>
      <c r="AP310" s="85"/>
    </row>
    <row r="311" spans="1:42" hidden="1" outlineLevel="1" x14ac:dyDescent="0.25">
      <c r="A311" s="50"/>
      <c r="B311" s="155" t="e">
        <f>COA!#REF!</f>
        <v>#REF!</v>
      </c>
      <c r="C311" s="127" t="e">
        <f>_xlfn.XLOOKUP(B311,#REF!,#REF!,0,0,1)</f>
        <v>#REF!</v>
      </c>
      <c r="D311" s="127" t="e">
        <f>SUMIF(#REF!,#REF!,#REF!)+SUMIF(#REF!,'FY Current'!B311,#REF!)</f>
        <v>#REF!</v>
      </c>
      <c r="E311" s="127" t="e">
        <f>_xlfn.XLOOKUP(B311,#REF!,#REF!,0,0,1)</f>
        <v>#REF!</v>
      </c>
      <c r="F311" s="127"/>
      <c r="G311" s="219" t="e">
        <f t="shared" si="5"/>
        <v>#REF!</v>
      </c>
      <c r="H311" s="178" t="e">
        <f>_xlfn.XLOOKUP($B311,COA!$B:$B,COA!$C:$C,0,0,1)</f>
        <v>#REF!</v>
      </c>
      <c r="I311" s="178" t="e">
        <f>_xlfn.XLOOKUP($B311,COA!$B:$B,COA!$D:$D,0,0,1)</f>
        <v>#REF!</v>
      </c>
      <c r="J311" s="178" t="e">
        <f>_xlfn.XLOOKUP($B311,COA!$B:$B,COA!$E:$E,0,0,1)</f>
        <v>#REF!</v>
      </c>
      <c r="K311" s="80"/>
      <c r="L311" s="19"/>
      <c r="M311" s="85" t="e">
        <f>_xlfn.XLOOKUP(J311,#REF!,#REF!,0,0,1)</f>
        <v>#REF!</v>
      </c>
      <c r="N311" s="87"/>
      <c r="O311" s="87"/>
      <c r="P311" s="87"/>
      <c r="Q311" s="87"/>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row>
    <row r="312" spans="1:42" hidden="1" outlineLevel="1" x14ac:dyDescent="0.25">
      <c r="A312" s="50"/>
      <c r="B312" s="155" t="e">
        <f>COA!#REF!</f>
        <v>#REF!</v>
      </c>
      <c r="C312" s="127" t="e">
        <f>_xlfn.XLOOKUP(B312,#REF!,#REF!,0,0,1)</f>
        <v>#REF!</v>
      </c>
      <c r="D312" s="127" t="e">
        <f>SUMIF(#REF!,#REF!,#REF!)+SUMIF(#REF!,'FY Current'!B312,#REF!)</f>
        <v>#REF!</v>
      </c>
      <c r="E312" s="127" t="e">
        <f>_xlfn.XLOOKUP(B312,#REF!,#REF!,0,0,1)</f>
        <v>#REF!</v>
      </c>
      <c r="F312" s="127"/>
      <c r="G312" s="219" t="e">
        <f t="shared" si="5"/>
        <v>#REF!</v>
      </c>
      <c r="H312" s="178" t="e">
        <f>_xlfn.XLOOKUP($B312,COA!$B:$B,COA!$C:$C,0,0,1)</f>
        <v>#REF!</v>
      </c>
      <c r="I312" s="178" t="e">
        <f>_xlfn.XLOOKUP($B312,COA!$B:$B,COA!$D:$D,0,0,1)</f>
        <v>#REF!</v>
      </c>
      <c r="J312" s="178" t="e">
        <f>_xlfn.XLOOKUP($B312,COA!$B:$B,COA!$E:$E,0,0,1)</f>
        <v>#REF!</v>
      </c>
      <c r="K312" s="80"/>
      <c r="L312" s="19"/>
      <c r="M312" s="85" t="e">
        <f>_xlfn.XLOOKUP(J312,#REF!,#REF!,0,0,1)</f>
        <v>#REF!</v>
      </c>
      <c r="N312" s="87"/>
      <c r="O312" s="87"/>
      <c r="P312" s="87"/>
      <c r="Q312" s="87"/>
      <c r="R312" s="85"/>
      <c r="S312" s="85"/>
      <c r="T312" s="85"/>
      <c r="U312" s="85"/>
      <c r="V312" s="85"/>
      <c r="W312" s="85"/>
      <c r="X312" s="85"/>
      <c r="Y312" s="85"/>
      <c r="Z312" s="85"/>
      <c r="AA312" s="85"/>
      <c r="AB312" s="85"/>
      <c r="AC312" s="85"/>
      <c r="AD312" s="85"/>
      <c r="AE312" s="85"/>
      <c r="AF312" s="85"/>
      <c r="AG312" s="85"/>
      <c r="AH312" s="85"/>
      <c r="AI312" s="85"/>
      <c r="AJ312" s="85"/>
      <c r="AK312" s="85"/>
      <c r="AL312" s="85"/>
      <c r="AM312" s="85"/>
      <c r="AN312" s="85"/>
      <c r="AO312" s="85"/>
      <c r="AP312" s="85"/>
    </row>
    <row r="313" spans="1:42" hidden="1" outlineLevel="1" x14ac:dyDescent="0.25">
      <c r="A313" s="50"/>
      <c r="B313" s="155" t="e">
        <f>COA!#REF!</f>
        <v>#REF!</v>
      </c>
      <c r="C313" s="127" t="e">
        <f>_xlfn.XLOOKUP(B313,#REF!,#REF!,0,0,1)</f>
        <v>#REF!</v>
      </c>
      <c r="D313" s="127" t="e">
        <f>SUMIF(#REF!,#REF!,#REF!)+SUMIF(#REF!,'FY Current'!B313,#REF!)</f>
        <v>#REF!</v>
      </c>
      <c r="E313" s="127" t="e">
        <f>_xlfn.XLOOKUP(B313,#REF!,#REF!,0,0,1)</f>
        <v>#REF!</v>
      </c>
      <c r="F313" s="127"/>
      <c r="G313" s="219" t="e">
        <f t="shared" si="5"/>
        <v>#REF!</v>
      </c>
      <c r="H313" s="178" t="e">
        <f>_xlfn.XLOOKUP($B313,COA!$B:$B,COA!$C:$C,0,0,1)</f>
        <v>#REF!</v>
      </c>
      <c r="I313" s="178" t="e">
        <f>_xlfn.XLOOKUP($B313,COA!$B:$B,COA!$D:$D,0,0,1)</f>
        <v>#REF!</v>
      </c>
      <c r="J313" s="178" t="e">
        <f>_xlfn.XLOOKUP($B313,COA!$B:$B,COA!$E:$E,0,0,1)</f>
        <v>#REF!</v>
      </c>
      <c r="K313" s="80"/>
      <c r="L313" s="19"/>
      <c r="M313" s="85" t="e">
        <f>_xlfn.XLOOKUP(J313,#REF!,#REF!,0,0,1)</f>
        <v>#REF!</v>
      </c>
      <c r="N313" s="87"/>
      <c r="O313" s="87"/>
      <c r="P313" s="87"/>
      <c r="Q313" s="87"/>
      <c r="R313" s="85"/>
      <c r="S313" s="85"/>
      <c r="T313" s="85"/>
      <c r="U313" s="85"/>
      <c r="V313" s="85"/>
      <c r="W313" s="85"/>
      <c r="X313" s="85"/>
      <c r="Y313" s="85"/>
      <c r="Z313" s="85"/>
      <c r="AA313" s="85"/>
      <c r="AB313" s="85"/>
      <c r="AC313" s="85"/>
      <c r="AD313" s="85"/>
      <c r="AE313" s="85"/>
      <c r="AF313" s="85"/>
      <c r="AG313" s="85"/>
      <c r="AH313" s="85"/>
      <c r="AI313" s="85"/>
      <c r="AJ313" s="85"/>
      <c r="AK313" s="85"/>
      <c r="AL313" s="85"/>
      <c r="AM313" s="85"/>
      <c r="AN313" s="85"/>
      <c r="AO313" s="85"/>
      <c r="AP313" s="85"/>
    </row>
    <row r="314" spans="1:42" hidden="1" outlineLevel="1" x14ac:dyDescent="0.25">
      <c r="A314" s="50"/>
      <c r="B314" s="155" t="e">
        <f>COA!#REF!</f>
        <v>#REF!</v>
      </c>
      <c r="C314" s="127" t="e">
        <f>_xlfn.XLOOKUP(B314,#REF!,#REF!,0,0,1)</f>
        <v>#REF!</v>
      </c>
      <c r="D314" s="127" t="e">
        <f>SUMIF(#REF!,#REF!,#REF!)+SUMIF(#REF!,'FY Current'!B314,#REF!)</f>
        <v>#REF!</v>
      </c>
      <c r="E314" s="127" t="e">
        <f>_xlfn.XLOOKUP(B314,#REF!,#REF!,0,0,1)</f>
        <v>#REF!</v>
      </c>
      <c r="F314" s="127"/>
      <c r="G314" s="219" t="e">
        <f t="shared" si="5"/>
        <v>#REF!</v>
      </c>
      <c r="H314" s="178" t="e">
        <f>_xlfn.XLOOKUP($B314,COA!$B:$B,COA!$C:$C,0,0,1)</f>
        <v>#REF!</v>
      </c>
      <c r="I314" s="178" t="e">
        <f>_xlfn.XLOOKUP($B314,COA!$B:$B,COA!$D:$D,0,0,1)</f>
        <v>#REF!</v>
      </c>
      <c r="J314" s="178" t="e">
        <f>_xlfn.XLOOKUP($B314,COA!$B:$B,COA!$E:$E,0,0,1)</f>
        <v>#REF!</v>
      </c>
      <c r="K314" s="80"/>
      <c r="L314" s="19"/>
      <c r="M314" s="85" t="e">
        <f>_xlfn.XLOOKUP(J314,#REF!,#REF!,0,0,1)</f>
        <v>#REF!</v>
      </c>
      <c r="N314" s="87"/>
      <c r="O314" s="87"/>
      <c r="P314" s="87"/>
      <c r="Q314" s="87"/>
      <c r="R314" s="85"/>
      <c r="S314" s="85"/>
      <c r="T314" s="85"/>
      <c r="U314" s="85"/>
      <c r="V314" s="85"/>
      <c r="W314" s="85"/>
      <c r="X314" s="85"/>
      <c r="Y314" s="85"/>
      <c r="Z314" s="85"/>
      <c r="AA314" s="85"/>
      <c r="AB314" s="85"/>
      <c r="AC314" s="85"/>
      <c r="AD314" s="85"/>
      <c r="AE314" s="85"/>
      <c r="AF314" s="85"/>
      <c r="AG314" s="85"/>
      <c r="AH314" s="85"/>
      <c r="AI314" s="85"/>
      <c r="AJ314" s="85"/>
      <c r="AK314" s="85"/>
      <c r="AL314" s="85"/>
      <c r="AM314" s="85"/>
      <c r="AN314" s="85"/>
      <c r="AO314" s="85"/>
      <c r="AP314" s="85"/>
    </row>
    <row r="315" spans="1:42" hidden="1" outlineLevel="1" x14ac:dyDescent="0.25">
      <c r="A315" s="50"/>
      <c r="B315" s="155" t="e">
        <f>COA!#REF!</f>
        <v>#REF!</v>
      </c>
      <c r="C315" s="127" t="e">
        <f>_xlfn.XLOOKUP(B315,#REF!,#REF!,0,0,1)</f>
        <v>#REF!</v>
      </c>
      <c r="D315" s="127" t="e">
        <f>SUMIF(#REF!,#REF!,#REF!)+SUMIF(#REF!,'FY Current'!B315,#REF!)</f>
        <v>#REF!</v>
      </c>
      <c r="E315" s="127" t="e">
        <f>_xlfn.XLOOKUP(B315,#REF!,#REF!,0,0,1)</f>
        <v>#REF!</v>
      </c>
      <c r="F315" s="127"/>
      <c r="G315" s="219" t="e">
        <f t="shared" si="5"/>
        <v>#REF!</v>
      </c>
      <c r="H315" s="178" t="e">
        <f>_xlfn.XLOOKUP($B315,COA!$B:$B,COA!$C:$C,0,0,1)</f>
        <v>#REF!</v>
      </c>
      <c r="I315" s="178" t="e">
        <f>_xlfn.XLOOKUP($B315,COA!$B:$B,COA!$D:$D,0,0,1)</f>
        <v>#REF!</v>
      </c>
      <c r="J315" s="178" t="e">
        <f>_xlfn.XLOOKUP($B315,COA!$B:$B,COA!$E:$E,0,0,1)</f>
        <v>#REF!</v>
      </c>
      <c r="K315" s="80"/>
      <c r="L315" s="19"/>
      <c r="M315" s="85" t="e">
        <f>_xlfn.XLOOKUP(J315,#REF!,#REF!,0,0,1)</f>
        <v>#REF!</v>
      </c>
      <c r="N315" s="87"/>
      <c r="O315" s="87"/>
      <c r="P315" s="87"/>
      <c r="Q315" s="87"/>
      <c r="R315" s="85"/>
      <c r="S315" s="85"/>
      <c r="T315" s="85"/>
      <c r="U315" s="85"/>
      <c r="V315" s="85"/>
      <c r="W315" s="85"/>
      <c r="X315" s="85"/>
      <c r="Y315" s="85"/>
      <c r="Z315" s="85"/>
      <c r="AA315" s="85"/>
      <c r="AB315" s="85"/>
      <c r="AC315" s="85"/>
      <c r="AD315" s="85"/>
      <c r="AE315" s="85"/>
      <c r="AF315" s="85"/>
      <c r="AG315" s="85"/>
      <c r="AH315" s="85"/>
      <c r="AI315" s="85"/>
      <c r="AJ315" s="85"/>
      <c r="AK315" s="85"/>
      <c r="AL315" s="85"/>
      <c r="AM315" s="85"/>
      <c r="AN315" s="85"/>
      <c r="AO315" s="85"/>
      <c r="AP315" s="85"/>
    </row>
    <row r="316" spans="1:42" hidden="1" outlineLevel="1" x14ac:dyDescent="0.25">
      <c r="A316" s="50"/>
      <c r="B316" s="155" t="e">
        <f>COA!#REF!</f>
        <v>#REF!</v>
      </c>
      <c r="C316" s="127" t="e">
        <f>_xlfn.XLOOKUP(B316,#REF!,#REF!,0,0,1)</f>
        <v>#REF!</v>
      </c>
      <c r="D316" s="127" t="e">
        <f>SUMIF(#REF!,#REF!,#REF!)+SUMIF(#REF!,'FY Current'!B316,#REF!)</f>
        <v>#REF!</v>
      </c>
      <c r="E316" s="127" t="e">
        <f>_xlfn.XLOOKUP(B316,#REF!,#REF!,0,0,1)</f>
        <v>#REF!</v>
      </c>
      <c r="F316" s="127"/>
      <c r="G316" s="219" t="e">
        <f t="shared" si="5"/>
        <v>#REF!</v>
      </c>
      <c r="H316" s="178" t="e">
        <f>_xlfn.XLOOKUP($B316,COA!$B:$B,COA!$C:$C,0,0,1)</f>
        <v>#REF!</v>
      </c>
      <c r="I316" s="178" t="e">
        <f>_xlfn.XLOOKUP($B316,COA!$B:$B,COA!$D:$D,0,0,1)</f>
        <v>#REF!</v>
      </c>
      <c r="J316" s="178" t="e">
        <f>_xlfn.XLOOKUP($B316,COA!$B:$B,COA!$E:$E,0,0,1)</f>
        <v>#REF!</v>
      </c>
      <c r="K316" s="80"/>
      <c r="L316" s="19"/>
      <c r="M316" s="85" t="e">
        <f>_xlfn.XLOOKUP(J316,#REF!,#REF!,0,0,1)</f>
        <v>#REF!</v>
      </c>
      <c r="N316" s="87"/>
      <c r="O316" s="87"/>
      <c r="P316" s="87"/>
      <c r="Q316" s="87"/>
      <c r="R316" s="85"/>
      <c r="S316" s="85"/>
      <c r="T316" s="85"/>
      <c r="U316" s="85"/>
      <c r="V316" s="85"/>
      <c r="W316" s="85"/>
      <c r="X316" s="85"/>
      <c r="Y316" s="85"/>
      <c r="Z316" s="85"/>
      <c r="AA316" s="85"/>
      <c r="AB316" s="85"/>
      <c r="AC316" s="85"/>
      <c r="AD316" s="85"/>
      <c r="AE316" s="85"/>
      <c r="AF316" s="85"/>
      <c r="AG316" s="85"/>
      <c r="AH316" s="85"/>
      <c r="AI316" s="85"/>
      <c r="AJ316" s="85"/>
      <c r="AK316" s="85"/>
      <c r="AL316" s="85"/>
      <c r="AM316" s="85"/>
      <c r="AN316" s="85"/>
      <c r="AO316" s="85"/>
      <c r="AP316" s="85"/>
    </row>
    <row r="317" spans="1:42" hidden="1" outlineLevel="1" x14ac:dyDescent="0.25">
      <c r="A317" s="50"/>
      <c r="B317" s="155" t="e">
        <f>COA!#REF!</f>
        <v>#REF!</v>
      </c>
      <c r="C317" s="127" t="e">
        <f>_xlfn.XLOOKUP(B317,#REF!,#REF!,0,0,1)</f>
        <v>#REF!</v>
      </c>
      <c r="D317" s="127" t="e">
        <f>SUMIF(#REF!,#REF!,#REF!)+SUMIF(#REF!,'FY Current'!B317,#REF!)</f>
        <v>#REF!</v>
      </c>
      <c r="E317" s="127" t="e">
        <f>_xlfn.XLOOKUP(B317,#REF!,#REF!,0,0,1)</f>
        <v>#REF!</v>
      </c>
      <c r="F317" s="127"/>
      <c r="G317" s="219" t="e">
        <f t="shared" si="5"/>
        <v>#REF!</v>
      </c>
      <c r="H317" s="178" t="e">
        <f>_xlfn.XLOOKUP($B317,COA!$B:$B,COA!$C:$C,0,0,1)</f>
        <v>#REF!</v>
      </c>
      <c r="I317" s="178" t="e">
        <f>_xlfn.XLOOKUP($B317,COA!$B:$B,COA!$D:$D,0,0,1)</f>
        <v>#REF!</v>
      </c>
      <c r="J317" s="178" t="e">
        <f>_xlfn.XLOOKUP($B317,COA!$B:$B,COA!$E:$E,0,0,1)</f>
        <v>#REF!</v>
      </c>
      <c r="K317" s="80"/>
      <c r="L317" s="19"/>
      <c r="M317" s="85" t="e">
        <f>_xlfn.XLOOKUP(J317,#REF!,#REF!,0,0,1)</f>
        <v>#REF!</v>
      </c>
      <c r="N317" s="87"/>
      <c r="O317" s="87"/>
      <c r="P317" s="87"/>
      <c r="Q317" s="87"/>
      <c r="R317" s="85"/>
      <c r="S317" s="85"/>
      <c r="T317" s="85"/>
      <c r="U317" s="85"/>
      <c r="V317" s="85"/>
      <c r="W317" s="85"/>
      <c r="X317" s="85"/>
      <c r="Y317" s="85"/>
      <c r="Z317" s="85"/>
      <c r="AA317" s="85"/>
      <c r="AB317" s="85"/>
      <c r="AC317" s="85"/>
      <c r="AD317" s="85"/>
      <c r="AE317" s="85"/>
      <c r="AF317" s="85"/>
      <c r="AG317" s="85"/>
      <c r="AH317" s="85"/>
      <c r="AI317" s="85"/>
      <c r="AJ317" s="85"/>
      <c r="AK317" s="85"/>
      <c r="AL317" s="85"/>
      <c r="AM317" s="85"/>
      <c r="AN317" s="85"/>
      <c r="AO317" s="85"/>
      <c r="AP317" s="85"/>
    </row>
    <row r="318" spans="1:42" hidden="1" outlineLevel="1" x14ac:dyDescent="0.25">
      <c r="A318" s="50"/>
      <c r="B318" s="155" t="e">
        <f>COA!#REF!</f>
        <v>#REF!</v>
      </c>
      <c r="C318" s="127" t="e">
        <f>_xlfn.XLOOKUP(B318,#REF!,#REF!,0,0,1)</f>
        <v>#REF!</v>
      </c>
      <c r="D318" s="127" t="e">
        <f>SUMIF(#REF!,#REF!,#REF!)+SUMIF(#REF!,'FY Current'!B318,#REF!)</f>
        <v>#REF!</v>
      </c>
      <c r="E318" s="127" t="e">
        <f>_xlfn.XLOOKUP(B318,#REF!,#REF!,0,0,1)</f>
        <v>#REF!</v>
      </c>
      <c r="F318" s="127"/>
      <c r="G318" s="219" t="e">
        <f t="shared" si="5"/>
        <v>#REF!</v>
      </c>
      <c r="H318" s="178" t="e">
        <f>_xlfn.XLOOKUP($B318,COA!$B:$B,COA!$C:$C,0,0,1)</f>
        <v>#REF!</v>
      </c>
      <c r="I318" s="178" t="e">
        <f>_xlfn.XLOOKUP($B318,COA!$B:$B,COA!$D:$D,0,0,1)</f>
        <v>#REF!</v>
      </c>
      <c r="J318" s="178" t="e">
        <f>_xlfn.XLOOKUP($B318,COA!$B:$B,COA!$E:$E,0,0,1)</f>
        <v>#REF!</v>
      </c>
      <c r="K318" s="80"/>
      <c r="L318" s="19"/>
      <c r="M318" s="85" t="e">
        <f>_xlfn.XLOOKUP(J318,#REF!,#REF!,0,0,1)</f>
        <v>#REF!</v>
      </c>
      <c r="N318" s="87"/>
      <c r="O318" s="87"/>
      <c r="P318" s="87"/>
      <c r="Q318" s="87"/>
      <c r="R318" s="85"/>
      <c r="S318" s="85"/>
      <c r="T318" s="85"/>
      <c r="U318" s="85"/>
      <c r="V318" s="85"/>
      <c r="W318" s="85"/>
      <c r="X318" s="85"/>
      <c r="Y318" s="85"/>
      <c r="Z318" s="85"/>
      <c r="AA318" s="85"/>
      <c r="AB318" s="85"/>
      <c r="AC318" s="85"/>
      <c r="AD318" s="85"/>
      <c r="AE318" s="85"/>
      <c r="AF318" s="85"/>
      <c r="AG318" s="85"/>
      <c r="AH318" s="85"/>
      <c r="AI318" s="85"/>
      <c r="AJ318" s="85"/>
      <c r="AK318" s="85"/>
      <c r="AL318" s="85"/>
      <c r="AM318" s="85"/>
      <c r="AN318" s="85"/>
      <c r="AO318" s="85"/>
      <c r="AP318" s="85"/>
    </row>
    <row r="319" spans="1:42" hidden="1" outlineLevel="1" x14ac:dyDescent="0.25">
      <c r="A319" s="50"/>
      <c r="B319" s="155" t="e">
        <f>COA!#REF!</f>
        <v>#REF!</v>
      </c>
      <c r="C319" s="127" t="e">
        <f>_xlfn.XLOOKUP(B319,#REF!,#REF!,0,0,1)</f>
        <v>#REF!</v>
      </c>
      <c r="D319" s="127" t="e">
        <f>SUMIF(#REF!,#REF!,#REF!)+SUMIF(#REF!,'FY Current'!B319,#REF!)</f>
        <v>#REF!</v>
      </c>
      <c r="E319" s="127" t="e">
        <f>_xlfn.XLOOKUP(B319,#REF!,#REF!,0,0,1)</f>
        <v>#REF!</v>
      </c>
      <c r="F319" s="127"/>
      <c r="G319" s="219" t="e">
        <f t="shared" si="5"/>
        <v>#REF!</v>
      </c>
      <c r="H319" s="178" t="e">
        <f>_xlfn.XLOOKUP($B319,COA!$B:$B,COA!$C:$C,0,0,1)</f>
        <v>#REF!</v>
      </c>
      <c r="I319" s="178" t="e">
        <f>_xlfn.XLOOKUP($B319,COA!$B:$B,COA!$D:$D,0,0,1)</f>
        <v>#REF!</v>
      </c>
      <c r="J319" s="178" t="e">
        <f>_xlfn.XLOOKUP($B319,COA!$B:$B,COA!$E:$E,0,0,1)</f>
        <v>#REF!</v>
      </c>
      <c r="K319" s="80"/>
      <c r="L319" s="19"/>
      <c r="M319" s="85" t="e">
        <f>_xlfn.XLOOKUP(J319,#REF!,#REF!,0,0,1)</f>
        <v>#REF!</v>
      </c>
      <c r="N319" s="87"/>
      <c r="O319" s="87"/>
      <c r="P319" s="87"/>
      <c r="Q319" s="87"/>
      <c r="R319" s="85"/>
      <c r="S319" s="85"/>
      <c r="T319" s="85"/>
      <c r="U319" s="85"/>
      <c r="V319" s="85"/>
      <c r="W319" s="85"/>
      <c r="X319" s="85"/>
      <c r="Y319" s="85"/>
      <c r="Z319" s="85"/>
      <c r="AA319" s="85"/>
      <c r="AB319" s="85"/>
      <c r="AC319" s="85"/>
      <c r="AD319" s="85"/>
      <c r="AE319" s="85"/>
      <c r="AF319" s="85"/>
      <c r="AG319" s="85"/>
      <c r="AH319" s="85"/>
      <c r="AI319" s="85"/>
      <c r="AJ319" s="85"/>
      <c r="AK319" s="85"/>
      <c r="AL319" s="85"/>
      <c r="AM319" s="85"/>
      <c r="AN319" s="85"/>
      <c r="AO319" s="85"/>
      <c r="AP319" s="85"/>
    </row>
    <row r="320" spans="1:42" hidden="1" outlineLevel="1" x14ac:dyDescent="0.25">
      <c r="A320" s="50"/>
      <c r="B320" s="155" t="e">
        <f>COA!#REF!</f>
        <v>#REF!</v>
      </c>
      <c r="C320" s="127" t="e">
        <f>_xlfn.XLOOKUP(B320,#REF!,#REF!,0,0,1)</f>
        <v>#REF!</v>
      </c>
      <c r="D320" s="127" t="e">
        <f>SUMIF(#REF!,#REF!,#REF!)+SUMIF(#REF!,'FY Current'!B320,#REF!)</f>
        <v>#REF!</v>
      </c>
      <c r="E320" s="127" t="e">
        <f>_xlfn.XLOOKUP(B320,#REF!,#REF!,0,0,1)</f>
        <v>#REF!</v>
      </c>
      <c r="F320" s="127"/>
      <c r="G320" s="219" t="e">
        <f t="shared" si="5"/>
        <v>#REF!</v>
      </c>
      <c r="H320" s="178" t="e">
        <f>_xlfn.XLOOKUP($B320,COA!$B:$B,COA!$C:$C,0,0,1)</f>
        <v>#REF!</v>
      </c>
      <c r="I320" s="178" t="e">
        <f>_xlfn.XLOOKUP($B320,COA!$B:$B,COA!$D:$D,0,0,1)</f>
        <v>#REF!</v>
      </c>
      <c r="J320" s="178" t="e">
        <f>_xlfn.XLOOKUP($B320,COA!$B:$B,COA!$E:$E,0,0,1)</f>
        <v>#REF!</v>
      </c>
      <c r="K320" s="80"/>
      <c r="L320" s="19"/>
      <c r="M320" s="85" t="e">
        <f>_xlfn.XLOOKUP(J320,#REF!,#REF!,0,0,1)</f>
        <v>#REF!</v>
      </c>
      <c r="N320" s="87"/>
      <c r="O320" s="87"/>
      <c r="P320" s="87"/>
      <c r="Q320" s="87"/>
      <c r="R320" s="85"/>
      <c r="S320" s="85"/>
      <c r="T320" s="85"/>
      <c r="U320" s="85"/>
      <c r="V320" s="85"/>
      <c r="W320" s="85"/>
      <c r="X320" s="85"/>
      <c r="Y320" s="85"/>
      <c r="Z320" s="85"/>
      <c r="AA320" s="85"/>
      <c r="AB320" s="85"/>
      <c r="AC320" s="85"/>
      <c r="AD320" s="85"/>
      <c r="AE320" s="85"/>
      <c r="AF320" s="85"/>
      <c r="AG320" s="85"/>
      <c r="AH320" s="85"/>
      <c r="AI320" s="85"/>
      <c r="AJ320" s="85"/>
      <c r="AK320" s="85"/>
      <c r="AL320" s="85"/>
      <c r="AM320" s="85"/>
      <c r="AN320" s="85"/>
      <c r="AO320" s="85"/>
      <c r="AP320" s="85"/>
    </row>
    <row r="321" spans="1:44" hidden="1" outlineLevel="1" x14ac:dyDescent="0.25">
      <c r="A321" s="50"/>
      <c r="B321" s="155" t="e">
        <f>COA!#REF!</f>
        <v>#REF!</v>
      </c>
      <c r="C321" s="127" t="e">
        <f>_xlfn.XLOOKUP(B321,#REF!,#REF!,0,0,1)</f>
        <v>#REF!</v>
      </c>
      <c r="D321" s="127" t="e">
        <f>SUMIF(#REF!,#REF!,#REF!)+SUMIF(#REF!,'FY Current'!B321,#REF!)</f>
        <v>#REF!</v>
      </c>
      <c r="E321" s="127" t="e">
        <f>_xlfn.XLOOKUP(B321,#REF!,#REF!,0,0,1)</f>
        <v>#REF!</v>
      </c>
      <c r="F321" s="127"/>
      <c r="G321" s="219" t="e">
        <f t="shared" si="5"/>
        <v>#REF!</v>
      </c>
      <c r="H321" s="178" t="e">
        <f>_xlfn.XLOOKUP($B321,COA!$B:$B,COA!$C:$C,0,0,1)</f>
        <v>#REF!</v>
      </c>
      <c r="I321" s="178" t="e">
        <f>_xlfn.XLOOKUP($B321,COA!$B:$B,COA!$D:$D,0,0,1)</f>
        <v>#REF!</v>
      </c>
      <c r="J321" s="178" t="e">
        <f>_xlfn.XLOOKUP($B321,COA!$B:$B,COA!$E:$E,0,0,1)</f>
        <v>#REF!</v>
      </c>
      <c r="K321" s="80"/>
      <c r="L321" s="19"/>
      <c r="M321" s="85" t="e">
        <f>_xlfn.XLOOKUP(J321,#REF!,#REF!,0,0,1)</f>
        <v>#REF!</v>
      </c>
      <c r="N321" s="87"/>
      <c r="O321" s="87"/>
      <c r="P321" s="87"/>
      <c r="Q321" s="87"/>
      <c r="R321" s="85"/>
      <c r="S321" s="85"/>
      <c r="T321" s="85"/>
      <c r="U321" s="85"/>
      <c r="V321" s="85"/>
      <c r="W321" s="85"/>
      <c r="X321" s="85"/>
      <c r="Y321" s="85"/>
      <c r="Z321" s="85"/>
      <c r="AA321" s="85"/>
      <c r="AB321" s="85"/>
      <c r="AC321" s="85"/>
      <c r="AD321" s="85"/>
      <c r="AE321" s="85"/>
      <c r="AF321" s="85"/>
      <c r="AG321" s="85"/>
      <c r="AH321" s="85"/>
      <c r="AI321" s="85"/>
      <c r="AJ321" s="85"/>
      <c r="AK321" s="85"/>
      <c r="AL321" s="85"/>
      <c r="AM321" s="85"/>
      <c r="AN321" s="85"/>
      <c r="AO321" s="85"/>
      <c r="AP321" s="85"/>
    </row>
    <row r="322" spans="1:44" hidden="1" outlineLevel="1" x14ac:dyDescent="0.25">
      <c r="A322" s="50"/>
      <c r="B322" s="155" t="e">
        <f>COA!#REF!</f>
        <v>#REF!</v>
      </c>
      <c r="C322" s="127" t="e">
        <f>_xlfn.XLOOKUP(B322,#REF!,#REF!,0,0,1)</f>
        <v>#REF!</v>
      </c>
      <c r="D322" s="127" t="e">
        <f>SUMIF(#REF!,#REF!,#REF!)+SUMIF(#REF!,'FY Current'!B322,#REF!)</f>
        <v>#REF!</v>
      </c>
      <c r="E322" s="127" t="e">
        <f>_xlfn.XLOOKUP(B322,#REF!,#REF!,0,0,1)</f>
        <v>#REF!</v>
      </c>
      <c r="F322" s="127"/>
      <c r="G322" s="219" t="e">
        <f t="shared" si="5"/>
        <v>#REF!</v>
      </c>
      <c r="H322" s="178" t="e">
        <f>_xlfn.XLOOKUP($B322,COA!$B:$B,COA!$C:$C,0,0,1)</f>
        <v>#REF!</v>
      </c>
      <c r="I322" s="178" t="e">
        <f>_xlfn.XLOOKUP($B322,COA!$B:$B,COA!$D:$D,0,0,1)</f>
        <v>#REF!</v>
      </c>
      <c r="J322" s="178" t="e">
        <f>_xlfn.XLOOKUP($B322,COA!$B:$B,COA!$E:$E,0,0,1)</f>
        <v>#REF!</v>
      </c>
      <c r="K322" s="80"/>
      <c r="L322" s="19"/>
      <c r="M322" s="85" t="e">
        <f>_xlfn.XLOOKUP(J322,#REF!,#REF!,0,0,1)</f>
        <v>#REF!</v>
      </c>
      <c r="N322" s="87"/>
      <c r="O322" s="87"/>
      <c r="P322" s="87"/>
      <c r="Q322" s="87"/>
      <c r="R322" s="85"/>
      <c r="S322" s="85"/>
      <c r="T322" s="85"/>
      <c r="U322" s="85"/>
      <c r="V322" s="85"/>
      <c r="W322" s="85"/>
      <c r="X322" s="85"/>
      <c r="Y322" s="85"/>
      <c r="Z322" s="85"/>
      <c r="AA322" s="85"/>
      <c r="AB322" s="85"/>
      <c r="AC322" s="85"/>
      <c r="AD322" s="85"/>
      <c r="AE322" s="85"/>
      <c r="AF322" s="85"/>
      <c r="AG322" s="85"/>
      <c r="AH322" s="85"/>
      <c r="AI322" s="85"/>
      <c r="AJ322" s="85"/>
      <c r="AK322" s="85"/>
      <c r="AL322" s="85"/>
      <c r="AM322" s="85"/>
      <c r="AN322" s="85"/>
      <c r="AO322" s="85"/>
      <c r="AP322" s="85"/>
    </row>
    <row r="323" spans="1:44" hidden="1" outlineLevel="1" x14ac:dyDescent="0.25">
      <c r="A323" s="50"/>
      <c r="B323" s="155" t="e">
        <f>COA!#REF!</f>
        <v>#REF!</v>
      </c>
      <c r="C323" s="127" t="e">
        <f>_xlfn.XLOOKUP(B323,#REF!,#REF!,0,0,1)</f>
        <v>#REF!</v>
      </c>
      <c r="D323" s="127" t="e">
        <f>SUMIF(#REF!,#REF!,#REF!)+SUMIF(#REF!,'FY Current'!B323,#REF!)</f>
        <v>#REF!</v>
      </c>
      <c r="E323" s="127" t="e">
        <f>_xlfn.XLOOKUP(B323,#REF!,#REF!,0,0,1)</f>
        <v>#REF!</v>
      </c>
      <c r="F323" s="127"/>
      <c r="G323" s="219" t="e">
        <f t="shared" si="5"/>
        <v>#REF!</v>
      </c>
      <c r="H323" s="178" t="e">
        <f>_xlfn.XLOOKUP($B323,COA!$B:$B,COA!$C:$C,0,0,1)</f>
        <v>#REF!</v>
      </c>
      <c r="I323" s="178" t="e">
        <f>_xlfn.XLOOKUP($B323,COA!$B:$B,COA!$D:$D,0,0,1)</f>
        <v>#REF!</v>
      </c>
      <c r="J323" s="178" t="e">
        <f>_xlfn.XLOOKUP($B323,COA!$B:$B,COA!$E:$E,0,0,1)</f>
        <v>#REF!</v>
      </c>
      <c r="K323" s="80"/>
      <c r="L323" s="19"/>
      <c r="M323" s="85" t="e">
        <f>_xlfn.XLOOKUP(J323,#REF!,#REF!,0,0,1)</f>
        <v>#REF!</v>
      </c>
      <c r="N323" s="87"/>
      <c r="O323" s="87"/>
      <c r="P323" s="87"/>
      <c r="Q323" s="87"/>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85"/>
      <c r="AP323" s="85"/>
    </row>
    <row r="324" spans="1:44" hidden="1" outlineLevel="1" x14ac:dyDescent="0.25">
      <c r="A324" s="50"/>
      <c r="B324" s="155" t="e">
        <f>COA!#REF!</f>
        <v>#REF!</v>
      </c>
      <c r="C324" s="127" t="e">
        <f>_xlfn.XLOOKUP(B324,#REF!,#REF!,0,0,1)</f>
        <v>#REF!</v>
      </c>
      <c r="D324" s="127" t="e">
        <f>SUMIF(#REF!,#REF!,#REF!)+SUMIF(#REF!,'FY Current'!B324,#REF!)</f>
        <v>#REF!</v>
      </c>
      <c r="E324" s="127" t="e">
        <f>_xlfn.XLOOKUP(B324,#REF!,#REF!,0,0,1)</f>
        <v>#REF!</v>
      </c>
      <c r="F324" s="127"/>
      <c r="G324" s="219" t="e">
        <f t="shared" si="5"/>
        <v>#REF!</v>
      </c>
      <c r="H324" s="178" t="e">
        <f>_xlfn.XLOOKUP($B324,COA!$B:$B,COA!$C:$C,0,0,1)</f>
        <v>#REF!</v>
      </c>
      <c r="I324" s="178" t="e">
        <f>_xlfn.XLOOKUP($B324,COA!$B:$B,COA!$D:$D,0,0,1)</f>
        <v>#REF!</v>
      </c>
      <c r="J324" s="178" t="e">
        <f>_xlfn.XLOOKUP($B324,COA!$B:$B,COA!$E:$E,0,0,1)</f>
        <v>#REF!</v>
      </c>
      <c r="K324" s="80"/>
      <c r="L324" s="19"/>
      <c r="M324" s="85" t="e">
        <f>_xlfn.XLOOKUP(J324,#REF!,#REF!,0,0,1)</f>
        <v>#REF!</v>
      </c>
      <c r="N324" s="87"/>
      <c r="O324" s="87"/>
      <c r="P324" s="87"/>
      <c r="Q324" s="87"/>
      <c r="R324" s="85"/>
      <c r="S324" s="85"/>
      <c r="T324" s="85"/>
      <c r="U324" s="85"/>
      <c r="V324" s="85"/>
      <c r="W324" s="85"/>
      <c r="X324" s="85"/>
      <c r="Y324" s="85"/>
      <c r="Z324" s="85"/>
      <c r="AA324" s="85"/>
      <c r="AB324" s="85"/>
      <c r="AC324" s="85"/>
      <c r="AD324" s="85"/>
      <c r="AE324" s="85"/>
      <c r="AF324" s="85"/>
      <c r="AG324" s="85"/>
      <c r="AH324" s="85"/>
      <c r="AI324" s="85"/>
      <c r="AJ324" s="85"/>
      <c r="AK324" s="85"/>
      <c r="AL324" s="85"/>
      <c r="AM324" s="85"/>
      <c r="AN324" s="85"/>
      <c r="AO324" s="85"/>
      <c r="AP324" s="85"/>
    </row>
    <row r="325" spans="1:44" hidden="1" outlineLevel="1" x14ac:dyDescent="0.25">
      <c r="A325" s="50"/>
      <c r="B325" s="155" t="e">
        <f>COA!#REF!</f>
        <v>#REF!</v>
      </c>
      <c r="C325" s="127" t="e">
        <f>_xlfn.XLOOKUP(B325,#REF!,#REF!,0,0,1)</f>
        <v>#REF!</v>
      </c>
      <c r="D325" s="127" t="e">
        <f>SUMIF(#REF!,#REF!,#REF!)+SUMIF(#REF!,'FY Current'!B325,#REF!)</f>
        <v>#REF!</v>
      </c>
      <c r="E325" s="127" t="e">
        <f>_xlfn.XLOOKUP(B325,#REF!,#REF!,0,0,1)</f>
        <v>#REF!</v>
      </c>
      <c r="F325" s="127"/>
      <c r="G325" s="219" t="e">
        <f t="shared" si="5"/>
        <v>#REF!</v>
      </c>
      <c r="H325" s="178" t="e">
        <f>_xlfn.XLOOKUP($B325,COA!$B:$B,COA!$C:$C,0,0,1)</f>
        <v>#REF!</v>
      </c>
      <c r="I325" s="178" t="e">
        <f>_xlfn.XLOOKUP($B325,COA!$B:$B,COA!$D:$D,0,0,1)</f>
        <v>#REF!</v>
      </c>
      <c r="J325" s="178" t="e">
        <f>_xlfn.XLOOKUP($B325,COA!$B:$B,COA!$E:$E,0,0,1)</f>
        <v>#REF!</v>
      </c>
      <c r="K325" s="80"/>
      <c r="L325" s="19"/>
      <c r="M325" s="85" t="e">
        <f>_xlfn.XLOOKUP(J325,#REF!,#REF!,0,0,1)</f>
        <v>#REF!</v>
      </c>
      <c r="N325" s="87"/>
      <c r="O325" s="87"/>
      <c r="P325" s="87"/>
      <c r="Q325" s="87"/>
      <c r="R325" s="85"/>
      <c r="S325" s="85"/>
      <c r="T325" s="85"/>
      <c r="U325" s="85"/>
      <c r="V325" s="85"/>
      <c r="W325" s="85"/>
      <c r="X325" s="85"/>
      <c r="Y325" s="85"/>
      <c r="Z325" s="85"/>
      <c r="AA325" s="85"/>
      <c r="AB325" s="85"/>
      <c r="AC325" s="85"/>
      <c r="AD325" s="85"/>
      <c r="AE325" s="85"/>
      <c r="AF325" s="85"/>
      <c r="AG325" s="85"/>
      <c r="AH325" s="85"/>
      <c r="AI325" s="85"/>
      <c r="AJ325" s="85"/>
      <c r="AK325" s="85"/>
      <c r="AL325" s="85"/>
      <c r="AM325" s="85"/>
      <c r="AN325" s="85"/>
      <c r="AO325" s="85"/>
      <c r="AP325" s="85"/>
    </row>
    <row r="326" spans="1:44" hidden="1" outlineLevel="1" x14ac:dyDescent="0.25">
      <c r="A326" s="50"/>
      <c r="B326" s="155" t="e">
        <f>COA!#REF!</f>
        <v>#REF!</v>
      </c>
      <c r="C326" s="127" t="e">
        <f>_xlfn.XLOOKUP(B326,#REF!,#REF!,0,0,1)</f>
        <v>#REF!</v>
      </c>
      <c r="D326" s="127" t="e">
        <f>SUMIF(#REF!,#REF!,#REF!)+SUMIF(#REF!,'FY Current'!B326,#REF!)</f>
        <v>#REF!</v>
      </c>
      <c r="E326" s="127" t="e">
        <f>_xlfn.XLOOKUP(B326,#REF!,#REF!,0,0,1)</f>
        <v>#REF!</v>
      </c>
      <c r="F326" s="127"/>
      <c r="G326" s="219" t="e">
        <f t="shared" ref="G326" si="6">ROUND(SUM(C326:F326),0)</f>
        <v>#REF!</v>
      </c>
      <c r="H326" s="178" t="e">
        <f>_xlfn.XLOOKUP($B326,COA!$B:$B,COA!$C:$C,0,0,1)</f>
        <v>#REF!</v>
      </c>
      <c r="I326" s="178" t="e">
        <f>_xlfn.XLOOKUP($B326,COA!$B:$B,COA!$D:$D,0,0,1)</f>
        <v>#REF!</v>
      </c>
      <c r="J326" s="178" t="e">
        <f>_xlfn.XLOOKUP($B326,COA!$B:$B,COA!$E:$E,0,0,1)</f>
        <v>#REF!</v>
      </c>
      <c r="K326" s="80"/>
      <c r="L326" s="19"/>
      <c r="M326" s="85" t="e">
        <f>_xlfn.XLOOKUP(J326,#REF!,#REF!,0,0,1)</f>
        <v>#REF!</v>
      </c>
      <c r="N326" s="87"/>
      <c r="O326" s="87"/>
      <c r="P326" s="87"/>
      <c r="Q326" s="87"/>
      <c r="R326" s="85"/>
      <c r="S326" s="85"/>
      <c r="T326" s="85"/>
      <c r="U326" s="85"/>
      <c r="V326" s="85"/>
      <c r="W326" s="85"/>
      <c r="X326" s="85"/>
      <c r="Y326" s="85"/>
      <c r="Z326" s="85"/>
      <c r="AA326" s="85"/>
      <c r="AB326" s="85"/>
      <c r="AC326" s="85"/>
      <c r="AD326" s="85"/>
      <c r="AE326" s="85"/>
      <c r="AF326" s="85"/>
      <c r="AG326" s="85"/>
      <c r="AH326" s="85"/>
      <c r="AI326" s="85"/>
      <c r="AJ326" s="85"/>
      <c r="AK326" s="85"/>
      <c r="AL326" s="85"/>
      <c r="AM326" s="85"/>
      <c r="AN326" s="85"/>
      <c r="AO326" s="85"/>
      <c r="AP326" s="85"/>
    </row>
    <row r="327" spans="1:44" hidden="1" outlineLevel="1" x14ac:dyDescent="0.25">
      <c r="A327" s="50"/>
      <c r="B327" s="155"/>
      <c r="C327" s="58"/>
      <c r="D327" s="58"/>
      <c r="E327" s="58" t="e">
        <f>_xlfn.XLOOKUP(B327,#REF!,#REF!,0,0,1)</f>
        <v>#REF!</v>
      </c>
      <c r="F327" s="58"/>
      <c r="G327" s="57" t="e">
        <f t="shared" si="5"/>
        <v>#REF!</v>
      </c>
      <c r="H327" s="179"/>
      <c r="I327" s="178"/>
      <c r="J327" s="178"/>
      <c r="K327" s="81"/>
      <c r="L327" s="19"/>
      <c r="M327" s="85"/>
      <c r="N327" s="87"/>
      <c r="O327" s="87"/>
      <c r="P327" s="87"/>
      <c r="Q327" s="87"/>
      <c r="R327" s="85"/>
      <c r="S327" s="85"/>
      <c r="T327" s="85"/>
      <c r="U327" s="85"/>
      <c r="V327" s="85"/>
      <c r="W327" s="85"/>
      <c r="X327" s="85"/>
      <c r="Y327" s="85"/>
      <c r="Z327" s="85"/>
      <c r="AA327" s="85"/>
      <c r="AB327" s="85"/>
      <c r="AC327" s="85"/>
      <c r="AD327" s="85"/>
      <c r="AE327" s="85"/>
      <c r="AF327" s="85"/>
      <c r="AG327" s="85"/>
      <c r="AH327" s="85"/>
      <c r="AI327" s="85"/>
      <c r="AJ327" s="85"/>
      <c r="AK327" s="85"/>
      <c r="AL327" s="85"/>
      <c r="AM327" s="85"/>
      <c r="AN327" s="85"/>
      <c r="AO327" s="85"/>
      <c r="AP327" s="85"/>
    </row>
    <row r="328" spans="1:44" ht="12.6" collapsed="1" thickBot="1" x14ac:dyDescent="0.35">
      <c r="A328" s="48" t="s">
        <v>0</v>
      </c>
      <c r="B328" s="48"/>
      <c r="C328" s="49" t="e">
        <f>SUM(C5:C327)</f>
        <v>#REF!</v>
      </c>
      <c r="D328" s="49" t="e">
        <f>SUM(D5:D327)</f>
        <v>#REF!</v>
      </c>
      <c r="E328" s="49" t="e">
        <f>SUM(E5:E327)</f>
        <v>#REF!</v>
      </c>
      <c r="F328" s="49">
        <f>SUM(F5:F327)</f>
        <v>0</v>
      </c>
      <c r="G328" s="49" t="e">
        <f>SUM(G5:G327)</f>
        <v>#REF!</v>
      </c>
      <c r="H328" s="180"/>
      <c r="I328" s="48"/>
      <c r="J328" s="48"/>
      <c r="K328" s="84"/>
      <c r="L328" s="19"/>
      <c r="M328" s="87"/>
      <c r="N328" s="87"/>
      <c r="O328" s="87"/>
      <c r="P328" s="87"/>
      <c r="Q328" s="87"/>
      <c r="R328" s="85"/>
      <c r="S328" s="85"/>
      <c r="T328" s="85"/>
      <c r="U328" s="85"/>
      <c r="V328" s="85"/>
      <c r="W328" s="85"/>
      <c r="X328" s="85"/>
      <c r="Y328" s="85"/>
      <c r="Z328" s="85"/>
      <c r="AA328" s="85"/>
      <c r="AB328" s="85"/>
      <c r="AC328" s="85"/>
      <c r="AD328" s="85"/>
      <c r="AE328" s="85"/>
      <c r="AF328" s="85"/>
      <c r="AG328" s="85"/>
      <c r="AH328" s="85"/>
      <c r="AI328" s="85"/>
      <c r="AJ328" s="85"/>
      <c r="AK328" s="85"/>
      <c r="AL328" s="85"/>
      <c r="AM328" s="85"/>
      <c r="AN328" s="85"/>
      <c r="AO328" s="85"/>
      <c r="AP328" s="85"/>
    </row>
    <row r="329" spans="1:44" ht="12.6" thickTop="1" x14ac:dyDescent="0.3">
      <c r="C329" s="19"/>
      <c r="D329" s="19"/>
      <c r="E329" s="19"/>
      <c r="F329" s="19"/>
      <c r="G329" s="19"/>
      <c r="H329" s="181"/>
      <c r="I329" s="19"/>
      <c r="J329" s="19"/>
      <c r="K329" s="74"/>
      <c r="L329" s="19"/>
      <c r="M329" s="87"/>
      <c r="N329" s="87"/>
      <c r="O329" s="87"/>
      <c r="P329" s="87"/>
      <c r="Q329" s="87"/>
      <c r="R329" s="85"/>
      <c r="S329" s="85"/>
      <c r="T329" s="85"/>
      <c r="U329" s="85"/>
      <c r="V329" s="85"/>
      <c r="W329" s="85"/>
      <c r="X329" s="85"/>
      <c r="Y329" s="85"/>
      <c r="Z329" s="85"/>
      <c r="AA329" s="85"/>
      <c r="AB329" s="85"/>
      <c r="AC329" s="85"/>
      <c r="AD329" s="85"/>
      <c r="AE329" s="85"/>
      <c r="AF329" s="85"/>
      <c r="AG329" s="85"/>
      <c r="AH329" s="85"/>
      <c r="AI329" s="85"/>
      <c r="AJ329" s="85"/>
      <c r="AK329" s="85"/>
      <c r="AL329" s="85"/>
      <c r="AM329" s="85"/>
      <c r="AN329" s="85"/>
      <c r="AO329" s="85"/>
      <c r="AP329" s="85"/>
    </row>
    <row r="330" spans="1:44" x14ac:dyDescent="0.25">
      <c r="A330" s="75"/>
      <c r="B330" s="75"/>
      <c r="G330" s="76" t="e">
        <f>SUM(G43:G155)</f>
        <v>#REF!</v>
      </c>
      <c r="H330" s="186" t="s">
        <v>266</v>
      </c>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c r="AN330" s="85"/>
      <c r="AO330" s="85"/>
      <c r="AP330" s="85"/>
      <c r="AR330" s="89" t="s">
        <v>19</v>
      </c>
    </row>
    <row r="331" spans="1:44" x14ac:dyDescent="0.3">
      <c r="C331" s="19"/>
      <c r="D331" s="19"/>
      <c r="E331" s="19"/>
      <c r="F331" s="19"/>
      <c r="G331" s="76"/>
      <c r="H331" s="182"/>
      <c r="M331" s="64">
        <f>priorperiod_end_date</f>
        <v>45473</v>
      </c>
      <c r="N331" s="45" t="e">
        <f>_xlfn.XLOOKUP(N4,#REF!,#REF!,0,0,1)</f>
        <v>#REF!</v>
      </c>
      <c r="O331" s="45" t="e">
        <f>_xlfn.XLOOKUP(O4,#REF!,#REF!,0,0,1)</f>
        <v>#REF!</v>
      </c>
      <c r="P331" s="45" t="e">
        <f>_xlfn.XLOOKUP(P4,#REF!,#REF!,0,0,1)</f>
        <v>#REF!</v>
      </c>
      <c r="Q331" s="45" t="e">
        <f>_xlfn.XLOOKUP(Q4,#REF!,#REF!,0,0,1)</f>
        <v>#REF!</v>
      </c>
      <c r="R331" s="45" t="e">
        <f>_xlfn.XLOOKUP(R4,#REF!,#REF!,0,0,1)</f>
        <v>#REF!</v>
      </c>
      <c r="S331" s="45" t="e">
        <f>_xlfn.XLOOKUP(S4,#REF!,#REF!,0,0,1)</f>
        <v>#REF!</v>
      </c>
      <c r="T331" s="45" t="e">
        <f>_xlfn.XLOOKUP(T4,#REF!,#REF!,0,0,1)</f>
        <v>#REF!</v>
      </c>
      <c r="U331" s="45" t="e">
        <f>_xlfn.XLOOKUP(U4,#REF!,#REF!,0,0,1)</f>
        <v>#REF!</v>
      </c>
      <c r="V331" s="45" t="e">
        <f>_xlfn.XLOOKUP(V4,#REF!,#REF!,0,0,1)</f>
        <v>#REF!</v>
      </c>
      <c r="W331" s="45" t="e">
        <f>_xlfn.XLOOKUP(W4,#REF!,#REF!,0,0,1)</f>
        <v>#REF!</v>
      </c>
      <c r="X331" s="45" t="e">
        <f>_xlfn.XLOOKUP(X4,#REF!,#REF!,0,0,1)</f>
        <v>#REF!</v>
      </c>
      <c r="Y331" s="45" t="e">
        <f>_xlfn.XLOOKUP(Y4,#REF!,#REF!,0,0,1)</f>
        <v>#REF!</v>
      </c>
      <c r="Z331" s="45" t="e">
        <f>_xlfn.XLOOKUP(Z4,#REF!,#REF!,0,0,1)</f>
        <v>#REF!</v>
      </c>
      <c r="AA331" s="45" t="e">
        <f>_xlfn.XLOOKUP(AA4,#REF!,#REF!,0,0,1)</f>
        <v>#REF!</v>
      </c>
      <c r="AB331" s="45" t="e">
        <f>_xlfn.XLOOKUP(AB4,#REF!,#REF!,0,0,1)</f>
        <v>#REF!</v>
      </c>
      <c r="AC331" s="45" t="e">
        <f>_xlfn.XLOOKUP(AC4,#REF!,#REF!,0,0,1)</f>
        <v>#REF!</v>
      </c>
      <c r="AD331" s="45" t="e">
        <f>_xlfn.XLOOKUP(AD4,#REF!,#REF!,0,0,1)</f>
        <v>#REF!</v>
      </c>
      <c r="AE331" s="45" t="e">
        <f>_xlfn.XLOOKUP(AE4,#REF!,#REF!,0,0,1)</f>
        <v>#REF!</v>
      </c>
      <c r="AF331" s="45" t="e">
        <f>_xlfn.XLOOKUP(AF4,#REF!,#REF!,0,0,1)</f>
        <v>#REF!</v>
      </c>
      <c r="AG331" s="45" t="e">
        <f>_xlfn.XLOOKUP(AG4,#REF!,#REF!,0,0,1)</f>
        <v>#REF!</v>
      </c>
      <c r="AH331" s="45" t="e">
        <f>_xlfn.XLOOKUP(AH4,#REF!,#REF!,0,0,1)</f>
        <v>#REF!</v>
      </c>
      <c r="AI331" s="45" t="e">
        <f>_xlfn.XLOOKUP(AI4,#REF!,#REF!,0,0,1)</f>
        <v>#REF!</v>
      </c>
      <c r="AJ331" s="45" t="e">
        <f>_xlfn.XLOOKUP(AJ4,#REF!,#REF!,0,0,1)</f>
        <v>#REF!</v>
      </c>
      <c r="AK331" s="45" t="e">
        <f>_xlfn.XLOOKUP(AK4,#REF!,#REF!,0,0,1)</f>
        <v>#REF!</v>
      </c>
      <c r="AL331" s="45" t="e">
        <f>_xlfn.XLOOKUP(AL4,#REF!,#REF!,0,0,1)</f>
        <v>#REF!</v>
      </c>
      <c r="AM331" s="45" t="e">
        <f>_xlfn.XLOOKUP(AM4,#REF!,#REF!,0,0,1)</f>
        <v>#REF!</v>
      </c>
      <c r="AN331" s="45" t="e">
        <f>_xlfn.XLOOKUP(AN4,#REF!,#REF!,0,0,1)</f>
        <v>#REF!</v>
      </c>
      <c r="AO331" s="45" t="e">
        <f>_xlfn.XLOOKUP(AO4,#REF!,#REF!,0,0,1)</f>
        <v>#REF!</v>
      </c>
      <c r="AP331" s="45" t="e">
        <f>_xlfn.XLOOKUP(AP4,#REF!,#REF!,0,0,1)</f>
        <v>#REF!</v>
      </c>
      <c r="AR331" s="88" t="e">
        <f>SUM(N331:AP331)</f>
        <v>#REF!</v>
      </c>
    </row>
    <row r="332" spans="1:44" x14ac:dyDescent="0.3">
      <c r="M332" s="64">
        <f>currentperiod_end_date</f>
        <v>45838</v>
      </c>
      <c r="N332" s="45" t="e">
        <f t="shared" ref="N332:AL332" si="7">SUMIF($J:$J,N$4,$G:$G)</f>
        <v>#REF!</v>
      </c>
      <c r="O332" s="45" t="e">
        <f t="shared" si="7"/>
        <v>#REF!</v>
      </c>
      <c r="P332" s="45" t="e">
        <f t="shared" si="7"/>
        <v>#REF!</v>
      </c>
      <c r="Q332" s="45" t="e">
        <f t="shared" si="7"/>
        <v>#REF!</v>
      </c>
      <c r="R332" s="45" t="e">
        <f t="shared" si="7"/>
        <v>#REF!</v>
      </c>
      <c r="S332" s="45" t="e">
        <f t="shared" si="7"/>
        <v>#REF!</v>
      </c>
      <c r="T332" s="45" t="e">
        <f t="shared" si="7"/>
        <v>#REF!</v>
      </c>
      <c r="U332" s="45" t="e">
        <f t="shared" si="7"/>
        <v>#REF!</v>
      </c>
      <c r="V332" s="45" t="e">
        <f t="shared" si="7"/>
        <v>#REF!</v>
      </c>
      <c r="W332" s="45" t="e">
        <f t="shared" si="7"/>
        <v>#REF!</v>
      </c>
      <c r="X332" s="45" t="e">
        <f t="shared" si="7"/>
        <v>#REF!</v>
      </c>
      <c r="Y332" s="45" t="e">
        <f t="shared" si="7"/>
        <v>#REF!</v>
      </c>
      <c r="Z332" s="45" t="e">
        <f t="shared" si="7"/>
        <v>#REF!</v>
      </c>
      <c r="AA332" s="45" t="e">
        <f t="shared" si="7"/>
        <v>#REF!</v>
      </c>
      <c r="AB332" s="45" t="e">
        <f t="shared" si="7"/>
        <v>#REF!</v>
      </c>
      <c r="AC332" s="45" t="e">
        <f t="shared" si="7"/>
        <v>#REF!</v>
      </c>
      <c r="AD332" s="45" t="e">
        <f t="shared" si="7"/>
        <v>#REF!</v>
      </c>
      <c r="AE332" s="45" t="e">
        <f t="shared" si="7"/>
        <v>#REF!</v>
      </c>
      <c r="AF332" s="45" t="e">
        <f t="shared" si="7"/>
        <v>#REF!</v>
      </c>
      <c r="AG332" s="45" t="e">
        <f t="shared" si="7"/>
        <v>#REF!</v>
      </c>
      <c r="AH332" s="45" t="e">
        <f t="shared" si="7"/>
        <v>#REF!</v>
      </c>
      <c r="AI332" s="45" t="e">
        <f t="shared" si="7"/>
        <v>#REF!</v>
      </c>
      <c r="AJ332" s="45" t="e">
        <f t="shared" si="7"/>
        <v>#REF!</v>
      </c>
      <c r="AK332" s="45" t="e">
        <f t="shared" si="7"/>
        <v>#REF!</v>
      </c>
      <c r="AL332" s="45" t="e">
        <f t="shared" si="7"/>
        <v>#REF!</v>
      </c>
      <c r="AM332" s="45"/>
      <c r="AN332" s="45"/>
      <c r="AO332" s="45"/>
      <c r="AP332" s="45"/>
      <c r="AR332" s="88" t="e">
        <f>SUM(N332:AP332)</f>
        <v>#REF!</v>
      </c>
    </row>
    <row r="333" spans="1:44" ht="12.6" thickBot="1" x14ac:dyDescent="0.35">
      <c r="M333" s="56" t="s">
        <v>18</v>
      </c>
      <c r="N333" s="59" t="e">
        <f t="shared" ref="N333:AP333" si="8">N332-N331</f>
        <v>#REF!</v>
      </c>
      <c r="O333" s="59" t="e">
        <f t="shared" si="8"/>
        <v>#REF!</v>
      </c>
      <c r="P333" s="59" t="e">
        <f t="shared" si="8"/>
        <v>#REF!</v>
      </c>
      <c r="Q333" s="59" t="e">
        <f t="shared" si="8"/>
        <v>#REF!</v>
      </c>
      <c r="R333" s="59" t="e">
        <f t="shared" si="8"/>
        <v>#REF!</v>
      </c>
      <c r="S333" s="59" t="e">
        <f t="shared" si="8"/>
        <v>#REF!</v>
      </c>
      <c r="T333" s="59" t="e">
        <f t="shared" si="8"/>
        <v>#REF!</v>
      </c>
      <c r="U333" s="59" t="e">
        <f t="shared" si="8"/>
        <v>#REF!</v>
      </c>
      <c r="V333" s="59" t="e">
        <f t="shared" si="8"/>
        <v>#REF!</v>
      </c>
      <c r="W333" s="59" t="e">
        <f t="shared" si="8"/>
        <v>#REF!</v>
      </c>
      <c r="X333" s="59" t="e">
        <f t="shared" si="8"/>
        <v>#REF!</v>
      </c>
      <c r="Y333" s="59" t="e">
        <f t="shared" si="8"/>
        <v>#REF!</v>
      </c>
      <c r="Z333" s="59" t="e">
        <f t="shared" si="8"/>
        <v>#REF!</v>
      </c>
      <c r="AA333" s="59" t="e">
        <f t="shared" si="8"/>
        <v>#REF!</v>
      </c>
      <c r="AB333" s="59" t="e">
        <f t="shared" si="8"/>
        <v>#REF!</v>
      </c>
      <c r="AC333" s="59" t="e">
        <f t="shared" si="8"/>
        <v>#REF!</v>
      </c>
      <c r="AD333" s="59" t="e">
        <f t="shared" si="8"/>
        <v>#REF!</v>
      </c>
      <c r="AE333" s="59" t="e">
        <f t="shared" si="8"/>
        <v>#REF!</v>
      </c>
      <c r="AF333" s="59" t="e">
        <f t="shared" si="8"/>
        <v>#REF!</v>
      </c>
      <c r="AG333" s="59" t="e">
        <f t="shared" si="8"/>
        <v>#REF!</v>
      </c>
      <c r="AH333" s="59" t="e">
        <f t="shared" si="8"/>
        <v>#REF!</v>
      </c>
      <c r="AI333" s="59" t="e">
        <f t="shared" si="8"/>
        <v>#REF!</v>
      </c>
      <c r="AJ333" s="59" t="e">
        <f t="shared" si="8"/>
        <v>#REF!</v>
      </c>
      <c r="AK333" s="59" t="e">
        <f t="shared" si="8"/>
        <v>#REF!</v>
      </c>
      <c r="AL333" s="59" t="e">
        <f t="shared" si="8"/>
        <v>#REF!</v>
      </c>
      <c r="AM333" s="59" t="e">
        <f t="shared" si="8"/>
        <v>#REF!</v>
      </c>
      <c r="AN333" s="59" t="e">
        <f t="shared" si="8"/>
        <v>#REF!</v>
      </c>
      <c r="AO333" s="59" t="e">
        <f t="shared" si="8"/>
        <v>#REF!</v>
      </c>
      <c r="AP333" s="59" t="e">
        <f t="shared" si="8"/>
        <v>#REF!</v>
      </c>
    </row>
    <row r="334" spans="1:44" x14ac:dyDescent="0.3">
      <c r="A334" s="77"/>
      <c r="M334" s="50"/>
      <c r="N334" s="57"/>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row>
    <row r="335" spans="1:44" x14ac:dyDescent="0.3">
      <c r="A335" s="77"/>
      <c r="M335" s="69" t="s">
        <v>9</v>
      </c>
      <c r="N335" s="55"/>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row>
    <row r="336" spans="1:44" x14ac:dyDescent="0.3">
      <c r="A336" s="77"/>
      <c r="M336" s="53" t="s">
        <v>42</v>
      </c>
      <c r="N336" s="55">
        <f>ROUND(SUM(O336:AH336),0)</f>
        <v>0</v>
      </c>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row>
    <row r="337" spans="1:42" x14ac:dyDescent="0.3">
      <c r="A337" s="77"/>
      <c r="M337" s="53"/>
      <c r="N337" s="55"/>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row>
    <row r="338" spans="1:42" x14ac:dyDescent="0.3">
      <c r="M338" s="69" t="s">
        <v>46</v>
      </c>
      <c r="N338" s="55"/>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row>
    <row r="339" spans="1:42" x14ac:dyDescent="0.3">
      <c r="M339" s="53" t="s">
        <v>43</v>
      </c>
      <c r="N339" s="55">
        <f t="shared" ref="N339:N344" si="9">ROUND(SUM(O339:AH339),0)</f>
        <v>0</v>
      </c>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row>
    <row r="340" spans="1:42" x14ac:dyDescent="0.3">
      <c r="M340" s="53" t="s">
        <v>2</v>
      </c>
      <c r="N340" s="55">
        <f t="shared" si="9"/>
        <v>0</v>
      </c>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row>
    <row r="341" spans="1:42" x14ac:dyDescent="0.3">
      <c r="M341" s="53" t="s">
        <v>24</v>
      </c>
      <c r="N341" s="55">
        <f t="shared" si="9"/>
        <v>0</v>
      </c>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row>
    <row r="342" spans="1:42" x14ac:dyDescent="0.3">
      <c r="M342" s="53" t="s">
        <v>21</v>
      </c>
      <c r="N342" s="55">
        <f t="shared" si="9"/>
        <v>0</v>
      </c>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row>
    <row r="343" spans="1:42" x14ac:dyDescent="0.3">
      <c r="M343" s="53" t="s">
        <v>7</v>
      </c>
      <c r="N343" s="55">
        <f t="shared" si="9"/>
        <v>0</v>
      </c>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row>
    <row r="344" spans="1:42" x14ac:dyDescent="0.3">
      <c r="M344" s="53" t="s">
        <v>47</v>
      </c>
      <c r="N344" s="55">
        <f t="shared" si="9"/>
        <v>0</v>
      </c>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row>
    <row r="345" spans="1:42" x14ac:dyDescent="0.3">
      <c r="M345" s="53"/>
      <c r="N345" s="55"/>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row>
    <row r="346" spans="1:42" x14ac:dyDescent="0.3">
      <c r="M346" s="53"/>
      <c r="N346" s="55"/>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row>
    <row r="347" spans="1:42" x14ac:dyDescent="0.3">
      <c r="M347" s="70" t="s">
        <v>52</v>
      </c>
      <c r="N347" s="55"/>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row>
    <row r="348" spans="1:42" x14ac:dyDescent="0.3">
      <c r="M348" s="53" t="s">
        <v>15</v>
      </c>
      <c r="N348" s="55">
        <f t="shared" ref="N348:N354" si="10">ROUND(SUM(O348:AH348),0)</f>
        <v>0</v>
      </c>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row>
    <row r="349" spans="1:42" x14ac:dyDescent="0.3">
      <c r="M349" s="53" t="s">
        <v>22</v>
      </c>
      <c r="N349" s="55">
        <f t="shared" si="10"/>
        <v>0</v>
      </c>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row>
    <row r="350" spans="1:42" x14ac:dyDescent="0.3">
      <c r="M350" s="53" t="s">
        <v>29</v>
      </c>
      <c r="N350" s="55">
        <f t="shared" si="10"/>
        <v>0</v>
      </c>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row>
    <row r="351" spans="1:42" x14ac:dyDescent="0.3">
      <c r="M351" s="53" t="s">
        <v>3</v>
      </c>
      <c r="N351" s="55">
        <f t="shared" si="10"/>
        <v>0</v>
      </c>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row>
    <row r="352" spans="1:42" x14ac:dyDescent="0.3">
      <c r="M352" s="53" t="s">
        <v>4</v>
      </c>
      <c r="N352" s="55">
        <f t="shared" si="10"/>
        <v>0</v>
      </c>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row>
    <row r="353" spans="13:44" x14ac:dyDescent="0.3">
      <c r="M353" s="53" t="s">
        <v>74</v>
      </c>
      <c r="N353" s="55">
        <f t="shared" si="10"/>
        <v>0</v>
      </c>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row>
    <row r="354" spans="13:44" x14ac:dyDescent="0.3">
      <c r="M354" s="53" t="s">
        <v>50</v>
      </c>
      <c r="N354" s="55">
        <f t="shared" si="10"/>
        <v>0</v>
      </c>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row>
    <row r="355" spans="13:44" ht="12.6" thickBot="1" x14ac:dyDescent="0.35">
      <c r="M355" s="67" t="s">
        <v>51</v>
      </c>
      <c r="N355" s="68">
        <f>SUM(N336:N354)</f>
        <v>0</v>
      </c>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row>
    <row r="356" spans="13:44" x14ac:dyDescent="0.3">
      <c r="M356" s="60"/>
      <c r="N356" s="6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row>
    <row r="357" spans="13:44" x14ac:dyDescent="0.3">
      <c r="M357" s="69" t="s">
        <v>12</v>
      </c>
      <c r="N357" s="55"/>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row>
    <row r="358" spans="13:44" x14ac:dyDescent="0.3">
      <c r="M358" s="53" t="s">
        <v>57</v>
      </c>
      <c r="N358" s="55">
        <f>ROUND(SUM(O358:AH358),0)</f>
        <v>0</v>
      </c>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row>
    <row r="359" spans="13:44" x14ac:dyDescent="0.3">
      <c r="M359" s="53" t="s">
        <v>58</v>
      </c>
      <c r="N359" s="55">
        <f>ROUND(SUM(O359:AH359),0)</f>
        <v>0</v>
      </c>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row>
    <row r="360" spans="13:44" x14ac:dyDescent="0.3">
      <c r="M360" s="53" t="s">
        <v>83</v>
      </c>
      <c r="N360" s="55">
        <f>ROUND(SUM(O360:AH360),0)</f>
        <v>0</v>
      </c>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row>
    <row r="361" spans="13:44" x14ac:dyDescent="0.3">
      <c r="M361" s="53"/>
      <c r="N361" s="55"/>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row>
    <row r="362" spans="13:44" ht="12.6" thickBot="1" x14ac:dyDescent="0.35">
      <c r="M362" s="67" t="s">
        <v>122</v>
      </c>
      <c r="N362" s="68">
        <f>SUM(N358:N361)</f>
        <v>0</v>
      </c>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row>
    <row r="363" spans="13:44" x14ac:dyDescent="0.3">
      <c r="M363" s="60"/>
      <c r="N363" s="6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row>
    <row r="364" spans="13:44" x14ac:dyDescent="0.3">
      <c r="M364" s="69" t="s">
        <v>14</v>
      </c>
      <c r="N364" s="55"/>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row>
    <row r="365" spans="13:44" x14ac:dyDescent="0.3">
      <c r="M365" s="53" t="s">
        <v>53</v>
      </c>
      <c r="N365" s="55">
        <f t="shared" ref="N365:N374" si="11">ROUND(SUM(O365:AH365),0)</f>
        <v>0</v>
      </c>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row>
    <row r="366" spans="13:44" x14ac:dyDescent="0.3">
      <c r="M366" s="53" t="s">
        <v>54</v>
      </c>
      <c r="N366" s="55">
        <f t="shared" si="11"/>
        <v>0</v>
      </c>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row>
    <row r="367" spans="13:44" x14ac:dyDescent="0.3">
      <c r="M367" s="53" t="s">
        <v>49</v>
      </c>
      <c r="N367" s="55">
        <f>ROUND(SUM(O367:AH367),0)</f>
        <v>0</v>
      </c>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row>
    <row r="368" spans="13:44" x14ac:dyDescent="0.3">
      <c r="M368" s="53" t="s">
        <v>55</v>
      </c>
      <c r="N368" s="55">
        <f t="shared" si="11"/>
        <v>0</v>
      </c>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R368" s="73"/>
    </row>
    <row r="369" spans="13:45" x14ac:dyDescent="0.3">
      <c r="M369" s="53" t="s">
        <v>84</v>
      </c>
      <c r="N369" s="55">
        <f t="shared" si="11"/>
        <v>0</v>
      </c>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R369" s="73"/>
    </row>
    <row r="370" spans="13:45" x14ac:dyDescent="0.3">
      <c r="M370" s="53" t="s">
        <v>56</v>
      </c>
      <c r="N370" s="55">
        <f t="shared" si="11"/>
        <v>0</v>
      </c>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row>
    <row r="371" spans="13:45" x14ac:dyDescent="0.3">
      <c r="M371" s="53" t="s">
        <v>60</v>
      </c>
      <c r="N371" s="55">
        <f t="shared" si="11"/>
        <v>0</v>
      </c>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row>
    <row r="372" spans="13:45" x14ac:dyDescent="0.3">
      <c r="M372" s="53" t="s">
        <v>59</v>
      </c>
      <c r="N372" s="55">
        <f t="shared" si="11"/>
        <v>0</v>
      </c>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row>
    <row r="373" spans="13:45" x14ac:dyDescent="0.3">
      <c r="M373" s="53" t="s">
        <v>48</v>
      </c>
      <c r="N373" s="55">
        <f>ROUND(SUM(O373:AH373),0)</f>
        <v>0</v>
      </c>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row>
    <row r="374" spans="13:45" x14ac:dyDescent="0.3">
      <c r="M374" s="53" t="s">
        <v>61</v>
      </c>
      <c r="N374" s="55">
        <f t="shared" si="11"/>
        <v>0</v>
      </c>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row>
    <row r="375" spans="13:45" ht="12.6" thickBot="1" x14ac:dyDescent="0.35">
      <c r="M375" s="67" t="s">
        <v>121</v>
      </c>
      <c r="N375" s="68">
        <f>SUM(N365:N374)</f>
        <v>0</v>
      </c>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row>
    <row r="376" spans="13:45" x14ac:dyDescent="0.3">
      <c r="M376" s="60"/>
      <c r="N376" s="57"/>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row>
    <row r="377" spans="13:45" x14ac:dyDescent="0.3">
      <c r="M377" s="69" t="s">
        <v>63</v>
      </c>
      <c r="N377" s="55"/>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row>
    <row r="378" spans="13:45" x14ac:dyDescent="0.3">
      <c r="M378" s="53" t="s">
        <v>64</v>
      </c>
      <c r="N378" s="55">
        <f>ROUND(SUM(O378:AH378),0)</f>
        <v>0</v>
      </c>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row>
    <row r="379" spans="13:45" x14ac:dyDescent="0.3">
      <c r="M379" s="54"/>
      <c r="N379" s="55"/>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row>
    <row r="380" spans="13:45" x14ac:dyDescent="0.3">
      <c r="M380" s="54"/>
      <c r="N380" s="55"/>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row>
    <row r="381" spans="13:45" x14ac:dyDescent="0.3">
      <c r="M381" s="53"/>
      <c r="N381" s="55"/>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row>
    <row r="382" spans="13:45" ht="12.6" thickBot="1" x14ac:dyDescent="0.35">
      <c r="M382" s="62" t="s">
        <v>20</v>
      </c>
      <c r="N382" s="63">
        <f>SUM(N355,N362,N375)</f>
        <v>0</v>
      </c>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row>
    <row r="383" spans="13:45" x14ac:dyDescent="0.3">
      <c r="M383" s="60" t="s">
        <v>62</v>
      </c>
      <c r="N383" s="57">
        <f>ROUND(SUM(O383:AH383),0)</f>
        <v>0</v>
      </c>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S383" s="18" t="s">
        <v>125</v>
      </c>
    </row>
    <row r="384" spans="13:45" x14ac:dyDescent="0.3">
      <c r="M384" s="52" t="s">
        <v>67</v>
      </c>
      <c r="N384" s="55" t="e">
        <f>N331</f>
        <v>#REF!</v>
      </c>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row>
    <row r="385" spans="13:42" ht="12.6" thickBot="1" x14ac:dyDescent="0.35">
      <c r="M385" s="48" t="s">
        <v>66</v>
      </c>
      <c r="N385" s="49" t="e">
        <f>N384+N382+N383</f>
        <v>#REF!</v>
      </c>
      <c r="O385" s="49" t="e">
        <f t="shared" ref="O385:AP385" si="12">ROUND(SUM(O333:O384),0)</f>
        <v>#REF!</v>
      </c>
      <c r="P385" s="49" t="e">
        <f t="shared" si="12"/>
        <v>#REF!</v>
      </c>
      <c r="Q385" s="49" t="e">
        <f t="shared" si="12"/>
        <v>#REF!</v>
      </c>
      <c r="R385" s="49" t="e">
        <f t="shared" si="12"/>
        <v>#REF!</v>
      </c>
      <c r="S385" s="49" t="e">
        <f t="shared" si="12"/>
        <v>#REF!</v>
      </c>
      <c r="T385" s="49" t="e">
        <f t="shared" si="12"/>
        <v>#REF!</v>
      </c>
      <c r="U385" s="49" t="e">
        <f t="shared" si="12"/>
        <v>#REF!</v>
      </c>
      <c r="V385" s="49" t="e">
        <f t="shared" si="12"/>
        <v>#REF!</v>
      </c>
      <c r="W385" s="49" t="e">
        <f t="shared" si="12"/>
        <v>#REF!</v>
      </c>
      <c r="X385" s="49" t="e">
        <f t="shared" si="12"/>
        <v>#REF!</v>
      </c>
      <c r="Y385" s="49" t="e">
        <f t="shared" si="12"/>
        <v>#REF!</v>
      </c>
      <c r="Z385" s="49" t="e">
        <f t="shared" si="12"/>
        <v>#REF!</v>
      </c>
      <c r="AA385" s="49" t="e">
        <f t="shared" si="12"/>
        <v>#REF!</v>
      </c>
      <c r="AB385" s="49" t="e">
        <f t="shared" si="12"/>
        <v>#REF!</v>
      </c>
      <c r="AC385" s="49" t="e">
        <f t="shared" si="12"/>
        <v>#REF!</v>
      </c>
      <c r="AD385" s="49" t="e">
        <f t="shared" si="12"/>
        <v>#REF!</v>
      </c>
      <c r="AE385" s="49" t="e">
        <f t="shared" si="12"/>
        <v>#REF!</v>
      </c>
      <c r="AF385" s="49" t="e">
        <f t="shared" si="12"/>
        <v>#REF!</v>
      </c>
      <c r="AG385" s="49" t="e">
        <f t="shared" si="12"/>
        <v>#REF!</v>
      </c>
      <c r="AH385" s="49" t="e">
        <f t="shared" si="12"/>
        <v>#REF!</v>
      </c>
      <c r="AI385" s="49" t="e">
        <f t="shared" si="12"/>
        <v>#REF!</v>
      </c>
      <c r="AJ385" s="49" t="e">
        <f t="shared" si="12"/>
        <v>#REF!</v>
      </c>
      <c r="AK385" s="49" t="e">
        <f t="shared" si="12"/>
        <v>#REF!</v>
      </c>
      <c r="AL385" s="49" t="e">
        <f t="shared" si="12"/>
        <v>#REF!</v>
      </c>
      <c r="AM385" s="49" t="e">
        <f t="shared" si="12"/>
        <v>#REF!</v>
      </c>
      <c r="AN385" s="49" t="e">
        <f t="shared" si="12"/>
        <v>#REF!</v>
      </c>
      <c r="AO385" s="49" t="e">
        <f t="shared" si="12"/>
        <v>#REF!</v>
      </c>
      <c r="AP385" s="49" t="e">
        <f t="shared" si="12"/>
        <v>#REF!</v>
      </c>
    </row>
    <row r="386" spans="13:42" ht="12.6" thickTop="1" x14ac:dyDescent="0.3"/>
    <row r="387" spans="13:42" ht="12.6" thickBot="1" x14ac:dyDescent="0.35">
      <c r="M387" s="65" t="s">
        <v>19</v>
      </c>
      <c r="N387" s="66" t="e">
        <f>N385-N332</f>
        <v>#REF!</v>
      </c>
    </row>
    <row r="388" spans="13:42" ht="12.6" thickTop="1" x14ac:dyDescent="0.3"/>
  </sheetData>
  <autoFilter ref="A4:K328" xr:uid="{37EC9336-789A-4EBF-8461-03E705F54362}"/>
  <hyperlinks>
    <hyperlink ref="C3" location="'TB.1 - FY21'!A1" display="Tab TB.1" xr:uid="{C9EC9E39-6B5B-4AD4-92F9-674D432B1242}"/>
    <hyperlink ref="E3" location="'AJE.1 - FY21'!A1" display="Tab AJE.1" xr:uid="{2834301D-3779-495A-A398-370CB60E89E3}"/>
  </hyperlinks>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127C-20C6-47E3-BE74-E364E9A09C9B}">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758E-47C4-47E1-B784-D33C1C79200F}">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7820-E59A-4BD9-86E1-F270CE5B60F5}">
  <sheetPr>
    <tabColor rgb="FF00B0F0"/>
  </sheetPr>
  <dimension ref="A1:X235"/>
  <sheetViews>
    <sheetView workbookViewId="0"/>
  </sheetViews>
  <sheetFormatPr defaultColWidth="8.88671875" defaultRowHeight="12" outlineLevelRow="1" outlineLevelCol="1" x14ac:dyDescent="0.3"/>
  <cols>
    <col min="1" max="1" width="3.6640625" style="16" customWidth="1"/>
    <col min="2" max="2" width="43.5546875" style="16" customWidth="1"/>
    <col min="3" max="3" width="14.5546875" style="16" bestFit="1" customWidth="1"/>
    <col min="4" max="4" width="17.88671875" style="16" customWidth="1"/>
    <col min="5" max="5" width="15" style="16" customWidth="1"/>
    <col min="6" max="6" width="17.33203125" style="16" customWidth="1"/>
    <col min="7" max="7" width="33.109375" style="183" bestFit="1" customWidth="1"/>
    <col min="8" max="9" width="33.88671875" style="16" hidden="1" customWidth="1" outlineLevel="1"/>
    <col min="10" max="10" width="3" style="16" customWidth="1" collapsed="1"/>
    <col min="11" max="11" width="59.5546875" style="16" bestFit="1" customWidth="1"/>
    <col min="12" max="12" width="21" style="16" customWidth="1"/>
    <col min="13" max="13" width="12.88671875" style="16" bestFit="1" customWidth="1"/>
    <col min="14" max="21" width="18.109375" style="16" customWidth="1"/>
    <col min="22" max="22" width="3.88671875" style="16" customWidth="1"/>
    <col min="23" max="23" width="15" style="16" customWidth="1"/>
    <col min="24" max="16384" width="8.88671875" style="16"/>
  </cols>
  <sheetData>
    <row r="1" spans="1:22" ht="25.2" x14ac:dyDescent="0.3">
      <c r="A1" s="44" t="str">
        <f>company_name</f>
        <v>Consolidated Hallor Group Inc.</v>
      </c>
      <c r="B1" s="5"/>
      <c r="F1" s="71"/>
      <c r="G1" s="176"/>
      <c r="H1" s="19"/>
      <c r="I1" s="19"/>
    </row>
    <row r="2" spans="1:22" ht="21" x14ac:dyDescent="0.25">
      <c r="B2" s="511">
        <v>44926</v>
      </c>
      <c r="C2" s="131"/>
      <c r="F2" s="71"/>
      <c r="G2" s="664" t="s">
        <v>501</v>
      </c>
      <c r="H2" s="19"/>
      <c r="I2" s="19"/>
      <c r="K2" s="212"/>
      <c r="L2" s="211"/>
      <c r="M2" s="211"/>
      <c r="N2" s="211"/>
      <c r="O2" s="211"/>
      <c r="P2" s="211"/>
      <c r="Q2" s="211"/>
      <c r="R2" s="211"/>
      <c r="S2" s="211"/>
      <c r="T2" s="211"/>
    </row>
    <row r="3" spans="1:22" s="143" customFormat="1" ht="36.6" customHeight="1" x14ac:dyDescent="0.3">
      <c r="A3" s="142"/>
      <c r="C3" s="184"/>
      <c r="D3" s="184"/>
      <c r="E3" s="184"/>
      <c r="G3" s="177"/>
      <c r="K3" s="212"/>
      <c r="L3" s="211"/>
      <c r="M3" s="211"/>
      <c r="N3" s="211"/>
      <c r="O3" s="211"/>
      <c r="P3" s="211"/>
      <c r="Q3" s="211"/>
      <c r="R3" s="211"/>
      <c r="S3" s="211"/>
      <c r="T3" s="211"/>
      <c r="V3" s="145"/>
    </row>
    <row r="4" spans="1:22" ht="49.65" customHeight="1" thickBot="1" x14ac:dyDescent="0.3">
      <c r="A4" s="82"/>
      <c r="B4" s="82" t="s">
        <v>250</v>
      </c>
      <c r="C4" s="261" t="str">
        <f>TEXT(B2,"MMMM DD, YYYY")</f>
        <v>December 31, 2022</v>
      </c>
      <c r="D4" s="128" t="s">
        <v>376</v>
      </c>
      <c r="E4" s="128" t="s">
        <v>265</v>
      </c>
      <c r="F4" s="128" t="str">
        <f>"Adjusted Bal - "&amp;TEXT($B$2,"MMMM DD, YYYY")</f>
        <v>Adjusted Bal - December 31, 2022</v>
      </c>
      <c r="G4" s="82" t="s">
        <v>1</v>
      </c>
      <c r="H4" s="82" t="s">
        <v>40</v>
      </c>
      <c r="I4" s="82" t="s">
        <v>45</v>
      </c>
      <c r="K4" s="46"/>
      <c r="L4" s="126" t="s">
        <v>451</v>
      </c>
      <c r="M4" s="126" t="s">
        <v>22</v>
      </c>
      <c r="N4" s="126" t="s">
        <v>185</v>
      </c>
      <c r="O4" s="126" t="s">
        <v>502</v>
      </c>
      <c r="P4" s="126" t="s">
        <v>308</v>
      </c>
      <c r="Q4" s="126" t="s">
        <v>100</v>
      </c>
      <c r="R4" s="126" t="s">
        <v>5</v>
      </c>
      <c r="S4" s="126" t="s">
        <v>6</v>
      </c>
      <c r="T4" s="126" t="s">
        <v>403</v>
      </c>
      <c r="U4" s="126"/>
    </row>
    <row r="5" spans="1:22" hidden="1" outlineLevel="1" x14ac:dyDescent="0.25">
      <c r="A5" s="50"/>
      <c r="B5" s="155" t="str">
        <f>COA!B5</f>
        <v>1000 Chequing - 5002829</v>
      </c>
      <c r="C5" s="127">
        <f>_xlfn.XLOOKUP(B5,'TB.3 - Dec 31, 2022'!A:A,'TB.3 - Dec 31, 2022'!D:D,0,0,1)</f>
        <v>115727.27</v>
      </c>
      <c r="D5" s="127">
        <f>_xlfn.XLOOKUP(B5,'AJE.2B - F24'!A:A,'AJE.2B - F24'!M:M,0,0,1)</f>
        <v>0</v>
      </c>
      <c r="E5" s="127"/>
      <c r="F5" s="218">
        <f t="shared" ref="F5:F6" si="0">ROUND(SUM(C5:E5),0)</f>
        <v>115727</v>
      </c>
      <c r="G5" s="216" t="str">
        <f>_xlfn.XLOOKUP($B5,COA!$B:$B,COA!$C:$C,0,0,1)</f>
        <v>Cash</v>
      </c>
      <c r="H5" s="216" t="str">
        <f>_xlfn.XLOOKUP($B5,COA!$B:$B,COA!$D:$D,0,0,1)</f>
        <v>Cash</v>
      </c>
      <c r="I5" s="216" t="str">
        <f>_xlfn.XLOOKUP($B5,COA!$B:$B,COA!$E:$E,0,0,1)</f>
        <v>Cash</v>
      </c>
      <c r="K5" s="85" t="str">
        <f>_xlfn.XLOOKUP(I5,FS.1!A:A,I:I,0,0,1)</f>
        <v>Cash</v>
      </c>
      <c r="L5" s="85"/>
      <c r="M5" s="85"/>
      <c r="N5" s="85"/>
      <c r="O5" s="85"/>
      <c r="P5" s="85"/>
      <c r="Q5" s="85"/>
      <c r="R5" s="85"/>
      <c r="S5" s="85"/>
      <c r="T5" s="85"/>
      <c r="U5" s="85"/>
    </row>
    <row r="6" spans="1:22" hidden="1" outlineLevel="1" x14ac:dyDescent="0.25">
      <c r="A6" s="50"/>
      <c r="B6" s="155" t="str">
        <f>COA!B6</f>
        <v>1000 Undeposited Funds</v>
      </c>
      <c r="C6" s="127">
        <f>_xlfn.XLOOKUP(B6,'TB.3 - Dec 31, 2022'!A:A,'TB.3 - Dec 31, 2022'!D:D,0,0,1)</f>
        <v>0</v>
      </c>
      <c r="D6" s="127">
        <f>_xlfn.XLOOKUP(B6,'AJE.2B - F24'!A:A,'AJE.2B - F24'!M:M,0,0,1)</f>
        <v>0</v>
      </c>
      <c r="E6" s="127"/>
      <c r="F6" s="219">
        <f t="shared" si="0"/>
        <v>0</v>
      </c>
      <c r="G6" s="178" t="str">
        <f>_xlfn.XLOOKUP($B6,COA!$B:$B,COA!$C:$C,0,0,1)</f>
        <v>Cash</v>
      </c>
      <c r="H6" s="178" t="str">
        <f>_xlfn.XLOOKUP($B6,COA!$B:$B,COA!$D:$D,0,0,1)</f>
        <v>Cash</v>
      </c>
      <c r="I6" s="178" t="str">
        <f>_xlfn.XLOOKUP($B6,COA!$B:$B,COA!$E:$E,0,0,1)</f>
        <v>Cash</v>
      </c>
      <c r="K6" s="85" t="str">
        <f>_xlfn.XLOOKUP(I6,FS.1!A:A,I:I,0,0,1)</f>
        <v>Cash</v>
      </c>
      <c r="L6" s="85"/>
      <c r="M6" s="85"/>
      <c r="N6" s="85"/>
      <c r="O6" s="85"/>
      <c r="P6" s="85"/>
      <c r="Q6" s="85"/>
      <c r="R6" s="85"/>
      <c r="S6" s="85"/>
      <c r="T6" s="85"/>
      <c r="U6" s="85"/>
    </row>
    <row r="7" spans="1:22" hidden="1" outlineLevel="1" x14ac:dyDescent="0.25">
      <c r="A7" s="50"/>
      <c r="B7" s="155" t="str">
        <f>COA!B7</f>
        <v>1001 Petty Cash</v>
      </c>
      <c r="C7" s="127">
        <f>_xlfn.XLOOKUP(B7,'TB.3 - Dec 31, 2022'!A:A,'TB.3 - Dec 31, 2022'!D:D,0,0,1)</f>
        <v>0</v>
      </c>
      <c r="D7" s="127">
        <f>_xlfn.XLOOKUP(B7,'AJE.2B - F24'!A:A,'AJE.2B - F24'!M:M,0,0,1)</f>
        <v>0</v>
      </c>
      <c r="E7" s="127"/>
      <c r="F7" s="219">
        <f t="shared" ref="F7:F70" si="1">ROUND(SUM(C7:E7),0)</f>
        <v>0</v>
      </c>
      <c r="G7" s="178" t="str">
        <f>_xlfn.XLOOKUP($B7,COA!$B:$B,COA!$C:$C,0,0,1)</f>
        <v>Cash</v>
      </c>
      <c r="H7" s="178" t="str">
        <f>_xlfn.XLOOKUP($B7,COA!$B:$B,COA!$D:$D,0,0,1)</f>
        <v>Cash</v>
      </c>
      <c r="I7" s="178" t="str">
        <f>_xlfn.XLOOKUP($B7,COA!$B:$B,COA!$E:$E,0,0,1)</f>
        <v>Cash</v>
      </c>
      <c r="K7" s="85" t="str">
        <f>_xlfn.XLOOKUP(I7,FS.1!A:A,I:I,0,0,1)</f>
        <v>Cash</v>
      </c>
      <c r="L7" s="85"/>
      <c r="M7" s="85"/>
      <c r="N7" s="85"/>
      <c r="O7" s="85"/>
      <c r="P7" s="85"/>
      <c r="Q7" s="85"/>
      <c r="R7" s="85"/>
      <c r="S7" s="85"/>
      <c r="T7" s="85"/>
      <c r="U7" s="85"/>
    </row>
    <row r="8" spans="1:22" hidden="1" outlineLevel="1" x14ac:dyDescent="0.25">
      <c r="A8" s="50"/>
      <c r="B8" s="155" t="str">
        <f>COA!B8</f>
        <v>1002 TD - Chequing 1869</v>
      </c>
      <c r="C8" s="127">
        <f>_xlfn.XLOOKUP(B8,'TB.3 - Dec 31, 2022'!A:A,'TB.3 - Dec 31, 2022'!D:D,0,0,1)</f>
        <v>0</v>
      </c>
      <c r="D8" s="127">
        <f>_xlfn.XLOOKUP(B8,'AJE.2B - F24'!A:A,'AJE.2B - F24'!M:M,0,0,1)</f>
        <v>0</v>
      </c>
      <c r="E8" s="127"/>
      <c r="F8" s="219">
        <f t="shared" si="1"/>
        <v>0</v>
      </c>
      <c r="G8" s="178" t="str">
        <f>_xlfn.XLOOKUP($B8,COA!$B:$B,COA!$C:$C,0,0,1)</f>
        <v>Cash</v>
      </c>
      <c r="H8" s="178" t="str">
        <f>_xlfn.XLOOKUP($B8,COA!$B:$B,COA!$D:$D,0,0,1)</f>
        <v>Cash</v>
      </c>
      <c r="I8" s="178" t="str">
        <f>_xlfn.XLOOKUP($B8,COA!$B:$B,COA!$E:$E,0,0,1)</f>
        <v>Cash</v>
      </c>
      <c r="K8" s="85" t="str">
        <f>_xlfn.XLOOKUP(I8,FS.1!A:A,I:I,0,0,1)</f>
        <v>Cash</v>
      </c>
      <c r="L8" s="85"/>
      <c r="M8" s="85"/>
      <c r="N8" s="85"/>
      <c r="O8" s="85"/>
      <c r="P8" s="85"/>
      <c r="Q8" s="85"/>
      <c r="R8" s="85"/>
      <c r="S8" s="85"/>
      <c r="T8" s="85"/>
      <c r="U8" s="85"/>
    </row>
    <row r="9" spans="1:22" hidden="1" outlineLevel="1" x14ac:dyDescent="0.25">
      <c r="A9" s="50"/>
      <c r="B9" s="155" t="str">
        <f>COA!B9</f>
        <v>1003 TD - Savings 2407</v>
      </c>
      <c r="C9" s="127">
        <f>_xlfn.XLOOKUP(B9,'TB.3 - Dec 31, 2022'!A:A,'TB.3 - Dec 31, 2022'!D:D,0,0,1)</f>
        <v>0</v>
      </c>
      <c r="D9" s="127">
        <f>_xlfn.XLOOKUP(B9,'AJE.2B - F24'!A:A,'AJE.2B - F24'!M:M,0,0,1)</f>
        <v>0</v>
      </c>
      <c r="E9" s="127"/>
      <c r="F9" s="219">
        <f t="shared" si="1"/>
        <v>0</v>
      </c>
      <c r="G9" s="178" t="str">
        <f>_xlfn.XLOOKUP($B9,COA!$B:$B,COA!$C:$C,0,0,1)</f>
        <v>Cash</v>
      </c>
      <c r="H9" s="178" t="str">
        <f>_xlfn.XLOOKUP($B9,COA!$B:$B,COA!$D:$D,0,0,1)</f>
        <v>Cash</v>
      </c>
      <c r="I9" s="178" t="str">
        <f>_xlfn.XLOOKUP($B9,COA!$B:$B,COA!$E:$E,0,0,1)</f>
        <v>Cash</v>
      </c>
      <c r="K9" s="85" t="str">
        <f>_xlfn.XLOOKUP(I9,FS.1!A:A,I:I,0,0,1)</f>
        <v>Cash</v>
      </c>
      <c r="L9" s="85"/>
      <c r="M9" s="85"/>
      <c r="N9" s="85"/>
      <c r="O9" s="85"/>
      <c r="P9" s="85"/>
      <c r="Q9" s="85"/>
      <c r="R9" s="85"/>
      <c r="S9" s="85"/>
      <c r="T9" s="85"/>
      <c r="U9" s="85"/>
    </row>
    <row r="10" spans="1:22" hidden="1" outlineLevel="1" x14ac:dyDescent="0.25">
      <c r="A10" s="50"/>
      <c r="B10" s="155" t="str">
        <f>COA!B10</f>
        <v>1004 TD - Visa 7692</v>
      </c>
      <c r="C10" s="127">
        <f>_xlfn.XLOOKUP(B10,'TB.3 - Dec 31, 2022'!A:A,'TB.3 - Dec 31, 2022'!D:D,0,0,1)</f>
        <v>0</v>
      </c>
      <c r="D10" s="127">
        <f>_xlfn.XLOOKUP(B10,'AJE.2B - F24'!A:A,'AJE.2B - F24'!M:M,0,0,1)</f>
        <v>0</v>
      </c>
      <c r="E10" s="127"/>
      <c r="F10" s="219">
        <f t="shared" si="1"/>
        <v>0</v>
      </c>
      <c r="G10" s="178" t="str">
        <f>_xlfn.XLOOKUP($B10,COA!$B:$B,COA!$C:$C,0,0,1)</f>
        <v>Cash</v>
      </c>
      <c r="H10" s="178" t="str">
        <f>_xlfn.XLOOKUP($B10,COA!$B:$B,COA!$D:$D,0,0,1)</f>
        <v>Cash</v>
      </c>
      <c r="I10" s="178" t="str">
        <f>_xlfn.XLOOKUP($B10,COA!$B:$B,COA!$E:$E,0,0,1)</f>
        <v>Cash</v>
      </c>
      <c r="K10" s="85" t="str">
        <f>_xlfn.XLOOKUP(I10,FS.1!A:A,I:I,0,0,1)</f>
        <v>Cash</v>
      </c>
      <c r="L10" s="85"/>
      <c r="M10" s="85"/>
      <c r="N10" s="85"/>
      <c r="O10" s="85"/>
      <c r="P10" s="85"/>
      <c r="Q10" s="85"/>
      <c r="R10" s="85"/>
      <c r="S10" s="85"/>
      <c r="T10" s="85"/>
      <c r="U10" s="85"/>
    </row>
    <row r="11" spans="1:22" hidden="1" outlineLevel="1" x14ac:dyDescent="0.25">
      <c r="A11" s="50"/>
      <c r="B11" s="155" t="str">
        <f>COA!B11</f>
        <v>1005 Undeposited Funds</v>
      </c>
      <c r="C11" s="127">
        <f>_xlfn.XLOOKUP(B11,'TB.3 - Dec 31, 2022'!A:A,'TB.3 - Dec 31, 2022'!D:D,0,0,1)</f>
        <v>0</v>
      </c>
      <c r="D11" s="127">
        <f>_xlfn.XLOOKUP(B11,'AJE.2B - F24'!A:A,'AJE.2B - F24'!M:M,0,0,1)</f>
        <v>0</v>
      </c>
      <c r="E11" s="127"/>
      <c r="F11" s="219">
        <f t="shared" si="1"/>
        <v>0</v>
      </c>
      <c r="G11" s="178" t="str">
        <f>_xlfn.XLOOKUP($B11,COA!$B:$B,COA!$C:$C,0,0,1)</f>
        <v>Cash</v>
      </c>
      <c r="H11" s="178" t="str">
        <f>_xlfn.XLOOKUP($B11,COA!$B:$B,COA!$D:$D,0,0,1)</f>
        <v>Cash</v>
      </c>
      <c r="I11" s="178" t="str">
        <f>_xlfn.XLOOKUP($B11,COA!$B:$B,COA!$E:$E,0,0,1)</f>
        <v>Cash</v>
      </c>
      <c r="K11" s="85" t="str">
        <f>_xlfn.XLOOKUP(I11,FS.1!A:A,I:I,0,0,1)</f>
        <v>Cash</v>
      </c>
      <c r="L11" s="85"/>
      <c r="M11" s="85"/>
      <c r="N11" s="85"/>
      <c r="O11" s="85"/>
      <c r="P11" s="85"/>
      <c r="Q11" s="85"/>
      <c r="R11" s="85"/>
      <c r="S11" s="85"/>
      <c r="T11" s="85"/>
      <c r="U11" s="85"/>
    </row>
    <row r="12" spans="1:22" hidden="1" outlineLevel="1" x14ac:dyDescent="0.25">
      <c r="A12" s="50"/>
      <c r="B12" s="155" t="str">
        <f>COA!B12</f>
        <v>1005 Interior Savings - 5224</v>
      </c>
      <c r="C12" s="127">
        <f>_xlfn.XLOOKUP(B12,'TB.3 - Dec 31, 2022'!A:A,'TB.3 - Dec 31, 2022'!D:D,0,0,1)</f>
        <v>0</v>
      </c>
      <c r="D12" s="127">
        <f>_xlfn.XLOOKUP(B12,'AJE.2B - F24'!A:A,'AJE.2B - F24'!M:M,0,0,1)</f>
        <v>0</v>
      </c>
      <c r="E12" s="127"/>
      <c r="F12" s="219">
        <f t="shared" si="1"/>
        <v>0</v>
      </c>
      <c r="G12" s="178" t="str">
        <f>_xlfn.XLOOKUP($B12,COA!$B:$B,COA!$C:$C,0,0,1)</f>
        <v>Cash</v>
      </c>
      <c r="H12" s="178" t="str">
        <f>_xlfn.XLOOKUP($B12,COA!$B:$B,COA!$D:$D,0,0,1)</f>
        <v>Cash</v>
      </c>
      <c r="I12" s="178" t="str">
        <f>_xlfn.XLOOKUP($B12,COA!$B:$B,COA!$E:$E,0,0,1)</f>
        <v>Cash</v>
      </c>
      <c r="K12" s="85" t="str">
        <f>_xlfn.XLOOKUP(I12,FS.1!A:A,I:I,0,0,1)</f>
        <v>Cash</v>
      </c>
      <c r="L12" s="85"/>
      <c r="M12" s="85"/>
      <c r="N12" s="85"/>
      <c r="O12" s="85"/>
      <c r="P12" s="85"/>
      <c r="Q12" s="85"/>
      <c r="R12" s="85"/>
      <c r="S12" s="85"/>
      <c r="T12" s="85"/>
      <c r="U12" s="85"/>
    </row>
    <row r="13" spans="1:22" hidden="1" outlineLevel="1" x14ac:dyDescent="0.25">
      <c r="A13" s="50"/>
      <c r="B13" s="155" t="str">
        <f>COA!B13</f>
        <v>1006 Interior Savings - Member Shares 5182</v>
      </c>
      <c r="C13" s="127">
        <f>_xlfn.XLOOKUP(B13,'TB.3 - Dec 31, 2022'!A:A,'TB.3 - Dec 31, 2022'!D:D,0,0,1)</f>
        <v>0</v>
      </c>
      <c r="D13" s="127">
        <f>_xlfn.XLOOKUP(B13,'AJE.2B - F24'!A:A,'AJE.2B - F24'!M:M,0,0,1)</f>
        <v>0</v>
      </c>
      <c r="E13" s="127"/>
      <c r="F13" s="219">
        <f t="shared" si="1"/>
        <v>0</v>
      </c>
      <c r="G13" s="178" t="str">
        <f>_xlfn.XLOOKUP($B13,COA!$B:$B,COA!$C:$C,0,0,1)</f>
        <v>Cash</v>
      </c>
      <c r="H13" s="178" t="str">
        <f>_xlfn.XLOOKUP($B13,COA!$B:$B,COA!$D:$D,0,0,1)</f>
        <v>Cash</v>
      </c>
      <c r="I13" s="178" t="str">
        <f>_xlfn.XLOOKUP($B13,COA!$B:$B,COA!$E:$E,0,0,1)</f>
        <v>Cash</v>
      </c>
      <c r="K13" s="85" t="str">
        <f>_xlfn.XLOOKUP(I13,FS.1!A:A,I:I,0,0,1)</f>
        <v>Cash</v>
      </c>
      <c r="L13" s="85"/>
      <c r="M13" s="85"/>
      <c r="N13" s="85"/>
      <c r="O13" s="85"/>
      <c r="P13" s="85"/>
      <c r="Q13" s="85"/>
      <c r="R13" s="85"/>
      <c r="S13" s="85"/>
      <c r="T13" s="85"/>
      <c r="U13" s="85"/>
    </row>
    <row r="14" spans="1:22" hidden="1" outlineLevel="1" x14ac:dyDescent="0.25">
      <c r="A14" s="50"/>
      <c r="B14" s="155" t="str">
        <f>COA!B14</f>
        <v>1010 Bank - suspense</v>
      </c>
      <c r="C14" s="127">
        <f>_xlfn.XLOOKUP(B14,'TB.3 - Dec 31, 2022'!A:A,'TB.3 - Dec 31, 2022'!D:D,0,0,1)</f>
        <v>0</v>
      </c>
      <c r="D14" s="127">
        <f>_xlfn.XLOOKUP(B14,'AJE.2B - F24'!A:A,'AJE.2B - F24'!M:M,0,0,1)</f>
        <v>0</v>
      </c>
      <c r="E14" s="127"/>
      <c r="F14" s="219">
        <f t="shared" si="1"/>
        <v>0</v>
      </c>
      <c r="G14" s="178" t="str">
        <f>_xlfn.XLOOKUP($B14,COA!$B:$B,COA!$C:$C,0,0,1)</f>
        <v>Cash</v>
      </c>
      <c r="H14" s="178" t="str">
        <f>_xlfn.XLOOKUP($B14,COA!$B:$B,COA!$D:$D,0,0,1)</f>
        <v>Cash</v>
      </c>
      <c r="I14" s="178" t="str">
        <f>_xlfn.XLOOKUP($B14,COA!$B:$B,COA!$E:$E,0,0,1)</f>
        <v>Cash</v>
      </c>
      <c r="K14" s="85" t="str">
        <f>_xlfn.XLOOKUP(I14,FS.1!A:A,I:I,0,0,1)</f>
        <v>Cash</v>
      </c>
      <c r="L14" s="85"/>
      <c r="M14" s="85"/>
      <c r="N14" s="85"/>
      <c r="O14" s="85"/>
      <c r="P14" s="85"/>
      <c r="Q14" s="85"/>
      <c r="R14" s="85"/>
      <c r="S14" s="85"/>
      <c r="T14" s="85"/>
      <c r="U14" s="85"/>
    </row>
    <row r="15" spans="1:22" hidden="1" outlineLevel="1" x14ac:dyDescent="0.25">
      <c r="A15" s="50"/>
      <c r="B15" s="155" t="str">
        <f>COA!B15</f>
        <v>1100 Accounts Receivable (A/R)</v>
      </c>
      <c r="C15" s="127">
        <f>_xlfn.XLOOKUP(B15,'TB.3 - Dec 31, 2022'!A:A,'TB.3 - Dec 31, 2022'!D:D,0,0,1)</f>
        <v>0</v>
      </c>
      <c r="D15" s="127">
        <f>_xlfn.XLOOKUP(B15,'AJE.2B - F24'!A:A,'AJE.2B - F24'!M:M,0,0,1)</f>
        <v>0</v>
      </c>
      <c r="E15" s="127"/>
      <c r="F15" s="219">
        <f t="shared" si="1"/>
        <v>0</v>
      </c>
      <c r="G15" s="178" t="str">
        <f>_xlfn.XLOOKUP($B15,COA!$B:$B,COA!$C:$C,0,0,1)</f>
        <v>Receivables</v>
      </c>
      <c r="H15" s="178" t="str">
        <f>_xlfn.XLOOKUP($B15,COA!$B:$B,COA!$D:$D,0,0,1)</f>
        <v>Receivables</v>
      </c>
      <c r="I15" s="178" t="str">
        <f>_xlfn.XLOOKUP($B15,COA!$B:$B,COA!$E:$E,0,0,1)</f>
        <v>Receivables</v>
      </c>
      <c r="K15" s="85" t="str">
        <f>_xlfn.XLOOKUP(I15,FS.1!A:A,I:I,0,0,1)</f>
        <v>Cash</v>
      </c>
      <c r="L15" s="85"/>
      <c r="M15" s="85"/>
      <c r="N15" s="85"/>
      <c r="O15" s="85"/>
      <c r="P15" s="85"/>
      <c r="Q15" s="85"/>
      <c r="R15" s="85"/>
      <c r="S15" s="85"/>
      <c r="T15" s="85"/>
      <c r="U15" s="85"/>
    </row>
    <row r="16" spans="1:22" hidden="1" outlineLevel="1" x14ac:dyDescent="0.25">
      <c r="A16" s="50"/>
      <c r="B16" s="155" t="str">
        <f>COA!B16</f>
        <v>1100 Accounts Receivable</v>
      </c>
      <c r="C16" s="127">
        <f>_xlfn.XLOOKUP(B16,'TB.3 - Dec 31, 2022'!A:A,'TB.3 - Dec 31, 2022'!D:D,0,0,1)</f>
        <v>0</v>
      </c>
      <c r="D16" s="127">
        <f>_xlfn.XLOOKUP(B16,'AJE.2B - F24'!A:A,'AJE.2B - F24'!M:M,0,0,1)</f>
        <v>0</v>
      </c>
      <c r="E16" s="127"/>
      <c r="F16" s="219">
        <f t="shared" si="1"/>
        <v>0</v>
      </c>
      <c r="G16" s="178" t="str">
        <f>_xlfn.XLOOKUP($B16,COA!$B:$B,COA!$C:$C,0,0,1)</f>
        <v>Receivables</v>
      </c>
      <c r="H16" s="178" t="str">
        <f>_xlfn.XLOOKUP($B16,COA!$B:$B,COA!$D:$D,0,0,1)</f>
        <v>Receivables</v>
      </c>
      <c r="I16" s="178" t="str">
        <f>_xlfn.XLOOKUP($B16,COA!$B:$B,COA!$E:$E,0,0,1)</f>
        <v>Receivables</v>
      </c>
      <c r="K16" s="85" t="str">
        <f>_xlfn.XLOOKUP(I16,FS.1!A:A,I:I,0,0,1)</f>
        <v>Cash</v>
      </c>
      <c r="L16" s="85"/>
      <c r="M16" s="85"/>
      <c r="N16" s="85"/>
      <c r="O16" s="85"/>
      <c r="P16" s="85"/>
      <c r="Q16" s="85"/>
      <c r="R16" s="85"/>
      <c r="S16" s="85"/>
      <c r="T16" s="85"/>
      <c r="U16" s="85"/>
    </row>
    <row r="17" spans="1:21" hidden="1" outlineLevel="1" x14ac:dyDescent="0.25">
      <c r="A17" s="50"/>
      <c r="B17" s="155" t="str">
        <f>COA!B17</f>
        <v>1120 Work in progress inventory</v>
      </c>
      <c r="C17" s="127">
        <f>_xlfn.XLOOKUP(B17,'TB.3 - Dec 31, 2022'!A:A,'TB.3 - Dec 31, 2022'!D:D,0,0,1)</f>
        <v>0</v>
      </c>
      <c r="D17" s="127">
        <f>_xlfn.XLOOKUP(B17,'AJE.2B - F24'!A:A,'AJE.2B - F24'!M:M,0,0,1)</f>
        <v>0</v>
      </c>
      <c r="E17" s="127"/>
      <c r="F17" s="219">
        <f t="shared" si="1"/>
        <v>0</v>
      </c>
      <c r="G17" s="178" t="str">
        <f>_xlfn.XLOOKUP($B17,COA!$B:$B,COA!$C:$C,0,0,1)</f>
        <v>Inventory</v>
      </c>
      <c r="H17" s="178" t="str">
        <f>_xlfn.XLOOKUP($B17,COA!$B:$B,COA!$D:$D,0,0,1)</f>
        <v>Inventory</v>
      </c>
      <c r="I17" s="178" t="str">
        <f>_xlfn.XLOOKUP($B17,COA!$B:$B,COA!$E:$E,0,0,1)</f>
        <v>Inventory</v>
      </c>
      <c r="K17" s="85" t="str">
        <f>_xlfn.XLOOKUP(I17,FS.1!A:A,I:I,0,0,1)</f>
        <v>Inventory</v>
      </c>
      <c r="L17" s="85"/>
      <c r="M17" s="85"/>
      <c r="N17" s="85"/>
      <c r="O17" s="85"/>
      <c r="P17" s="85"/>
      <c r="Q17" s="85"/>
      <c r="R17" s="85"/>
      <c r="S17" s="85"/>
      <c r="T17" s="85"/>
      <c r="U17" s="85"/>
    </row>
    <row r="18" spans="1:21" hidden="1" outlineLevel="1" x14ac:dyDescent="0.25">
      <c r="A18" s="50"/>
      <c r="B18" s="155" t="str">
        <f>COA!B18</f>
        <v>1020 Prepaid expenses</v>
      </c>
      <c r="C18" s="127">
        <f>_xlfn.XLOOKUP(B18,'TB.3 - Dec 31, 2022'!A:A,'TB.3 - Dec 31, 2022'!D:D,0,0,1)</f>
        <v>0</v>
      </c>
      <c r="D18" s="127">
        <f>_xlfn.XLOOKUP(B18,'AJE.2B - F24'!A:A,'AJE.2B - F24'!M:M,0,0,1)</f>
        <v>0</v>
      </c>
      <c r="E18" s="127"/>
      <c r="F18" s="219">
        <f t="shared" si="1"/>
        <v>0</v>
      </c>
      <c r="G18" s="178" t="str">
        <f>_xlfn.XLOOKUP($B18,COA!$B:$B,COA!$C:$C,0,0,1)</f>
        <v>Prepaid expenses</v>
      </c>
      <c r="H18" s="178" t="str">
        <f>_xlfn.XLOOKUP($B18,COA!$B:$B,COA!$D:$D,0,0,1)</f>
        <v>Prepaid expenses</v>
      </c>
      <c r="I18" s="178" t="str">
        <f>_xlfn.XLOOKUP($B18,COA!$B:$B,COA!$E:$E,0,0,1)</f>
        <v>Prepaid expenses</v>
      </c>
      <c r="K18" s="85" t="str">
        <f>_xlfn.XLOOKUP(I18,FS.1!A:A,I:I,0,0,1)</f>
        <v>Receivables</v>
      </c>
      <c r="L18" s="85"/>
      <c r="M18" s="85"/>
      <c r="N18" s="85"/>
      <c r="O18" s="85"/>
      <c r="P18" s="85"/>
      <c r="Q18" s="85"/>
      <c r="R18" s="85"/>
      <c r="S18" s="85"/>
      <c r="T18" s="85"/>
      <c r="U18" s="85"/>
    </row>
    <row r="19" spans="1:21" hidden="1" outlineLevel="1" x14ac:dyDescent="0.25">
      <c r="A19" s="50"/>
      <c r="B19" s="155" t="str">
        <f>COA!B19</f>
        <v>1200 Prepaid expenses</v>
      </c>
      <c r="C19" s="127">
        <f>_xlfn.XLOOKUP(B19,'TB.3 - Dec 31, 2022'!A:A,'TB.3 - Dec 31, 2022'!D:D,0,0,1)</f>
        <v>0</v>
      </c>
      <c r="D19" s="127">
        <f>_xlfn.XLOOKUP(B19,'AJE.2B - F24'!A:A,'AJE.2B - F24'!M:M,0,0,1)</f>
        <v>0</v>
      </c>
      <c r="E19" s="127"/>
      <c r="F19" s="219">
        <f t="shared" si="1"/>
        <v>0</v>
      </c>
      <c r="G19" s="178" t="str">
        <f>_xlfn.XLOOKUP($B19,COA!$B:$B,COA!$C:$C,0,0,1)</f>
        <v>Prepaid expenses</v>
      </c>
      <c r="H19" s="178" t="str">
        <f>_xlfn.XLOOKUP($B19,COA!$B:$B,COA!$D:$D,0,0,1)</f>
        <v>Prepaid expenses</v>
      </c>
      <c r="I19" s="178" t="str">
        <f>_xlfn.XLOOKUP($B19,COA!$B:$B,COA!$E:$E,0,0,1)</f>
        <v>Prepaid expenses</v>
      </c>
      <c r="K19" s="85" t="str">
        <f>_xlfn.XLOOKUP(I19,FS.1!A:A,I:I,0,0,1)</f>
        <v>Receivables</v>
      </c>
      <c r="L19" s="85"/>
      <c r="M19" s="85"/>
      <c r="N19" s="85"/>
      <c r="O19" s="85"/>
      <c r="P19" s="85"/>
      <c r="Q19" s="85"/>
      <c r="R19" s="85"/>
      <c r="S19" s="85"/>
      <c r="T19" s="85"/>
      <c r="U19" s="85"/>
    </row>
    <row r="20" spans="1:21" hidden="1" outlineLevel="1" x14ac:dyDescent="0.25">
      <c r="A20" s="50"/>
      <c r="B20" s="155" t="str">
        <f>COA!B20</f>
        <v>1300 Current portion of loan receivable</v>
      </c>
      <c r="C20" s="127">
        <f>_xlfn.XLOOKUP(B20,'TB.3 - Dec 31, 2022'!A:A,'TB.3 - Dec 31, 2022'!D:D,0,0,1)</f>
        <v>525200</v>
      </c>
      <c r="D20" s="127">
        <f>_xlfn.XLOOKUP(B20,'AJE.2B - F24'!A:A,'AJE.2B - F24'!M:M,0,0,1)</f>
        <v>0</v>
      </c>
      <c r="E20" s="127"/>
      <c r="F20" s="219">
        <f t="shared" si="1"/>
        <v>525200</v>
      </c>
      <c r="G20" s="178" t="str">
        <f>_xlfn.XLOOKUP($B20,COA!$B:$B,COA!$C:$C,0,0,1)</f>
        <v>Current portion of loan receivable</v>
      </c>
      <c r="H20" s="178" t="str">
        <f>_xlfn.XLOOKUP($B20,COA!$B:$B,COA!$D:$D,0,0,1)</f>
        <v>Current portion of loan receivable</v>
      </c>
      <c r="I20" s="178" t="str">
        <f>_xlfn.XLOOKUP($B20,COA!$B:$B,COA!$E:$E,0,0,1)</f>
        <v>Current portion of loan receivable</v>
      </c>
      <c r="K20" s="85" t="str">
        <f>_xlfn.XLOOKUP(I20,FS.1!A:A,I:I,0,0,1)</f>
        <v>Prepaid expenses</v>
      </c>
      <c r="L20" s="85"/>
      <c r="M20" s="85"/>
      <c r="N20" s="85"/>
      <c r="O20" s="85"/>
      <c r="P20" s="85"/>
      <c r="Q20" s="85"/>
      <c r="R20" s="85"/>
      <c r="S20" s="85"/>
      <c r="T20" s="85"/>
      <c r="U20" s="85"/>
    </row>
    <row r="21" spans="1:21" hidden="1" outlineLevel="1" x14ac:dyDescent="0.25">
      <c r="A21" s="50"/>
      <c r="B21" s="155" t="str">
        <f>COA!B21</f>
        <v>1400 Other current assets</v>
      </c>
      <c r="C21" s="127">
        <f>_xlfn.XLOOKUP(B21,'TB.3 - Dec 31, 2022'!A:A,'TB.3 - Dec 31, 2022'!D:D,0,0,1)</f>
        <v>0</v>
      </c>
      <c r="D21" s="127">
        <f>_xlfn.XLOOKUP(B21,'AJE.2B - F24'!A:A,'AJE.2B - F24'!M:M,0,0,1)</f>
        <v>0</v>
      </c>
      <c r="E21" s="127"/>
      <c r="F21" s="219">
        <f t="shared" si="1"/>
        <v>0</v>
      </c>
      <c r="G21" s="178" t="str">
        <f>_xlfn.XLOOKUP($B21,COA!$B:$B,COA!$C:$C,0,0,1)</f>
        <v>Other current assets</v>
      </c>
      <c r="H21" s="178" t="str">
        <f>_xlfn.XLOOKUP($B21,COA!$B:$B,COA!$D:$D,0,0,1)</f>
        <v>Other current assets</v>
      </c>
      <c r="I21" s="178" t="str">
        <f>_xlfn.XLOOKUP($B21,COA!$B:$B,COA!$E:$E,0,0,1)</f>
        <v>Other current assets</v>
      </c>
      <c r="K21" s="85">
        <f>_xlfn.XLOOKUP(I21,FS.1!A:A,I:I,0,0,1)</f>
        <v>0</v>
      </c>
      <c r="L21" s="85"/>
      <c r="M21" s="85"/>
      <c r="N21" s="85"/>
      <c r="O21" s="85"/>
      <c r="P21" s="85"/>
      <c r="Q21" s="85"/>
      <c r="R21" s="85"/>
      <c r="S21" s="85"/>
      <c r="T21" s="85"/>
      <c r="U21" s="85"/>
    </row>
    <row r="22" spans="1:21" hidden="1" outlineLevel="1" x14ac:dyDescent="0.25">
      <c r="A22" s="50"/>
      <c r="B22" s="155" t="e">
        <f>COA!#REF!</f>
        <v>#REF!</v>
      </c>
      <c r="C22" s="127" t="e">
        <f>_xlfn.XLOOKUP(B22,'TB.3 - Dec 31, 2022'!A:A,'TB.3 - Dec 31, 2022'!D:D,0,0,1)</f>
        <v>#REF!</v>
      </c>
      <c r="D22" s="127" t="e">
        <f>_xlfn.XLOOKUP(B22,'AJE.2B - F24'!A:A,'AJE.2B - F24'!M:M,0,0,1)</f>
        <v>#REF!</v>
      </c>
      <c r="E22" s="127"/>
      <c r="F22" s="219" t="e">
        <f t="shared" si="1"/>
        <v>#REF!</v>
      </c>
      <c r="G22" s="178" t="e">
        <f>_xlfn.XLOOKUP($B22,COA!$B:$B,COA!$C:$C,0,0,1)</f>
        <v>#REF!</v>
      </c>
      <c r="H22" s="178" t="e">
        <f>_xlfn.XLOOKUP($B22,COA!$B:$B,COA!$D:$D,0,0,1)</f>
        <v>#REF!</v>
      </c>
      <c r="I22" s="178" t="e">
        <f>_xlfn.XLOOKUP($B22,COA!$B:$B,COA!$E:$E,0,0,1)</f>
        <v>#REF!</v>
      </c>
      <c r="K22" s="85" t="e">
        <f>_xlfn.XLOOKUP(I22,FS.1!A:A,I:I,0,0,1)</f>
        <v>#REF!</v>
      </c>
      <c r="L22" s="85"/>
      <c r="M22" s="85"/>
      <c r="N22" s="85"/>
      <c r="O22" s="85"/>
      <c r="P22" s="85"/>
      <c r="Q22" s="85"/>
      <c r="R22" s="85"/>
      <c r="S22" s="85"/>
      <c r="T22" s="85"/>
      <c r="U22" s="85"/>
    </row>
    <row r="23" spans="1:21" hidden="1" outlineLevel="1" x14ac:dyDescent="0.25">
      <c r="A23" s="50"/>
      <c r="B23" s="155" t="str">
        <f>COA!B22</f>
        <v>1420 Intangible assets</v>
      </c>
      <c r="C23" s="127">
        <f>_xlfn.XLOOKUP(B23,'TB.3 - Dec 31, 2022'!A:A,'TB.3 - Dec 31, 2022'!D:D,0,0,1)</f>
        <v>0</v>
      </c>
      <c r="D23" s="127">
        <f>_xlfn.XLOOKUP(B23,'AJE.2B - F24'!A:A,'AJE.2B - F24'!M:M,0,0,1)</f>
        <v>0</v>
      </c>
      <c r="E23" s="127"/>
      <c r="F23" s="219">
        <f t="shared" si="1"/>
        <v>0</v>
      </c>
      <c r="G23" s="178" t="str">
        <f>_xlfn.XLOOKUP($B23,COA!$B:$B,COA!$C:$C,0,0,1)</f>
        <v>Intangible assets</v>
      </c>
      <c r="H23" s="178" t="str">
        <f>_xlfn.XLOOKUP($B23,COA!$B:$B,COA!$D:$D,0,0,1)</f>
        <v>Intangible assets</v>
      </c>
      <c r="I23" s="178" t="str">
        <f>_xlfn.XLOOKUP($B23,COA!$B:$B,COA!$E:$E,0,0,1)</f>
        <v>Intangible assets</v>
      </c>
      <c r="K23" s="85" t="str">
        <f>_xlfn.XLOOKUP(I23,FS.1!A:A,I:I,0,0,1)</f>
        <v>Receivables</v>
      </c>
      <c r="L23" s="85"/>
      <c r="M23" s="85"/>
      <c r="N23" s="85"/>
      <c r="O23" s="85"/>
      <c r="P23" s="85"/>
      <c r="Q23" s="85"/>
      <c r="R23" s="85"/>
      <c r="S23" s="85"/>
      <c r="T23" s="85"/>
      <c r="U23" s="85"/>
    </row>
    <row r="24" spans="1:21" hidden="1" outlineLevel="1" x14ac:dyDescent="0.25">
      <c r="A24" s="50"/>
      <c r="B24" s="155" t="str">
        <f>COA!B24</f>
        <v>1500 Payroll Advances Receivable</v>
      </c>
      <c r="C24" s="127">
        <f>_xlfn.XLOOKUP(B24,'TB.3 - Dec 31, 2022'!A:A,'TB.3 - Dec 31, 2022'!D:D,0,0,1)</f>
        <v>0</v>
      </c>
      <c r="D24" s="127">
        <f>_xlfn.XLOOKUP(B24,'AJE.2B - F24'!A:A,'AJE.2B - F24'!M:M,0,0,1)</f>
        <v>0</v>
      </c>
      <c r="E24" s="127"/>
      <c r="F24" s="219">
        <f t="shared" si="1"/>
        <v>0</v>
      </c>
      <c r="G24" s="178" t="str">
        <f>_xlfn.XLOOKUP($B24,COA!$B:$B,COA!$C:$C,0,0,1)</f>
        <v>Receivables</v>
      </c>
      <c r="H24" s="178" t="str">
        <f>_xlfn.XLOOKUP($B24,COA!$B:$B,COA!$D:$D,0,0,1)</f>
        <v>Receivables</v>
      </c>
      <c r="I24" s="178" t="str">
        <f>_xlfn.XLOOKUP($B24,COA!$B:$B,COA!$E:$E,0,0,1)</f>
        <v>Receivables</v>
      </c>
      <c r="K24" s="85" t="str">
        <f>_xlfn.XLOOKUP(I24,FS.1!A:A,I:I,0,0,1)</f>
        <v>Cash</v>
      </c>
      <c r="L24" s="85"/>
      <c r="M24" s="85"/>
      <c r="N24" s="85"/>
      <c r="O24" s="85"/>
      <c r="P24" s="85"/>
      <c r="Q24" s="85"/>
      <c r="R24" s="85"/>
      <c r="S24" s="85"/>
      <c r="T24" s="85"/>
      <c r="U24" s="85"/>
    </row>
    <row r="25" spans="1:21" hidden="1" outlineLevel="1" x14ac:dyDescent="0.25">
      <c r="A25" s="50"/>
      <c r="B25" s="155" t="str">
        <f>COA!B25</f>
        <v>1500 Intercompany - Due from Hallor Industries Inc.</v>
      </c>
      <c r="C25" s="127">
        <f>_xlfn.XLOOKUP(B25,'TB.3 - Dec 31, 2022'!A:A,'TB.3 - Dec 31, 2022'!D:D,0,0,1)</f>
        <v>0</v>
      </c>
      <c r="D25" s="127">
        <f>_xlfn.XLOOKUP(B25,'AJE.2B - F24'!A:A,'AJE.2B - F24'!M:M,0,0,1)</f>
        <v>0</v>
      </c>
      <c r="E25" s="127"/>
      <c r="F25" s="219">
        <f t="shared" si="1"/>
        <v>0</v>
      </c>
      <c r="G25" s="178" t="str">
        <f>_xlfn.XLOOKUP($B25,COA!$B:$B,COA!$C:$C,0,0,1)</f>
        <v>Intercompany</v>
      </c>
      <c r="H25" s="178" t="str">
        <f>_xlfn.XLOOKUP($B25,COA!$B:$B,COA!$D:$D,0,0,1)</f>
        <v>Intercompany</v>
      </c>
      <c r="I25" s="178" t="str">
        <f>_xlfn.XLOOKUP($B25,COA!$B:$B,COA!$E:$E,0,0,1)</f>
        <v>Intercompany</v>
      </c>
      <c r="K25" s="85">
        <f>_xlfn.XLOOKUP(I25,FS.1!A:A,I:I,0,0,1)</f>
        <v>0</v>
      </c>
      <c r="L25" s="85"/>
      <c r="M25" s="85"/>
      <c r="N25" s="85"/>
      <c r="O25" s="85"/>
      <c r="P25" s="85"/>
      <c r="Q25" s="85"/>
      <c r="R25" s="85"/>
      <c r="S25" s="85"/>
      <c r="T25" s="85"/>
      <c r="U25" s="85"/>
    </row>
    <row r="26" spans="1:21" hidden="1" outlineLevel="1" x14ac:dyDescent="0.25">
      <c r="A26" s="50"/>
      <c r="B26" s="155" t="str">
        <f>COA!B26</f>
        <v>1600 Investment in Hallor Industries</v>
      </c>
      <c r="C26" s="127">
        <f>_xlfn.XLOOKUP(B26,'TB.3 - Dec 31, 2022'!A:A,'TB.3 - Dec 31, 2022'!D:D,0,0,1)</f>
        <v>0</v>
      </c>
      <c r="D26" s="127">
        <f>_xlfn.XLOOKUP(B26,'AJE.2B - F24'!A:A,'AJE.2B - F24'!M:M,0,0,1)</f>
        <v>0</v>
      </c>
      <c r="E26" s="127"/>
      <c r="F26" s="219">
        <f t="shared" si="1"/>
        <v>0</v>
      </c>
      <c r="G26" s="178" t="str">
        <f>_xlfn.XLOOKUP($B26,COA!$B:$B,COA!$C:$C,0,0,1)</f>
        <v>Investment in subsidiary</v>
      </c>
      <c r="H26" s="178" t="str">
        <f>_xlfn.XLOOKUP($B26,COA!$B:$B,COA!$D:$D,0,0,1)</f>
        <v>Investment in subsidiary</v>
      </c>
      <c r="I26" s="178" t="str">
        <f>_xlfn.XLOOKUP($B26,COA!$B:$B,COA!$E:$E,0,0,1)</f>
        <v>Investment in subsidiary</v>
      </c>
      <c r="K26" s="85">
        <f>_xlfn.XLOOKUP(I26,FS.1!A:A,I:I,0,0,1)</f>
        <v>0</v>
      </c>
      <c r="L26" s="85"/>
      <c r="M26" s="85"/>
      <c r="N26" s="85"/>
      <c r="O26" s="85"/>
      <c r="P26" s="85"/>
      <c r="Q26" s="85"/>
      <c r="R26" s="85"/>
      <c r="S26" s="85"/>
      <c r="T26" s="85"/>
      <c r="U26" s="85"/>
    </row>
    <row r="27" spans="1:21" hidden="1" outlineLevel="1" x14ac:dyDescent="0.25">
      <c r="A27" s="50"/>
      <c r="B27" s="155" t="str">
        <f>COA!B27</f>
        <v>1800 Computer Equipment</v>
      </c>
      <c r="C27" s="127">
        <f>_xlfn.XLOOKUP(B27,'TB.3 - Dec 31, 2022'!A:A,'TB.3 - Dec 31, 2022'!D:D,0,0,1)</f>
        <v>0</v>
      </c>
      <c r="D27" s="127">
        <f>_xlfn.XLOOKUP(B27,'AJE.2B - F24'!A:A,'AJE.2B - F24'!M:M,0,0,1)</f>
        <v>0</v>
      </c>
      <c r="E27" s="127"/>
      <c r="F27" s="219">
        <f t="shared" si="1"/>
        <v>0</v>
      </c>
      <c r="G27" s="178" t="str">
        <f>_xlfn.XLOOKUP($B27,COA!$B:$B,COA!$C:$C,0,0,1)</f>
        <v>Equipment</v>
      </c>
      <c r="H27" s="178" t="str">
        <f>_xlfn.XLOOKUP($B27,COA!$B:$B,COA!$D:$D,0,0,1)</f>
        <v>Equipment</v>
      </c>
      <c r="I27" s="178" t="str">
        <f>_xlfn.XLOOKUP($B27,COA!$B:$B,COA!$E:$E,0,0,1)</f>
        <v>Equipment</v>
      </c>
      <c r="K27" s="85" t="str">
        <f>_xlfn.XLOOKUP(I27,FS.1!A:A,I:I,0,0,1)</f>
        <v>Intangible assets</v>
      </c>
      <c r="L27" s="85"/>
      <c r="M27" s="85"/>
      <c r="N27" s="85"/>
      <c r="O27" s="85"/>
      <c r="P27" s="85"/>
      <c r="Q27" s="85"/>
      <c r="R27" s="85"/>
      <c r="S27" s="85"/>
      <c r="T27" s="85"/>
      <c r="U27" s="85"/>
    </row>
    <row r="28" spans="1:21" hidden="1" outlineLevel="1" x14ac:dyDescent="0.25">
      <c r="A28" s="50"/>
      <c r="B28" s="155" t="str">
        <f>COA!B28</f>
        <v>1801 Computer Equipment:Accumulated Depreciation</v>
      </c>
      <c r="C28" s="127">
        <f>_xlfn.XLOOKUP(B28,'TB.3 - Dec 31, 2022'!A:A,'TB.3 - Dec 31, 2022'!D:D,0,0,1)</f>
        <v>0</v>
      </c>
      <c r="D28" s="127">
        <f>_xlfn.XLOOKUP(B28,'AJE.2B - F24'!A:A,'AJE.2B - F24'!M:M,0,0,1)</f>
        <v>0</v>
      </c>
      <c r="E28" s="127"/>
      <c r="F28" s="219">
        <f t="shared" si="1"/>
        <v>0</v>
      </c>
      <c r="G28" s="178" t="str">
        <f>_xlfn.XLOOKUP($B28,COA!$B:$B,COA!$C:$C,0,0,1)</f>
        <v>Equipment</v>
      </c>
      <c r="H28" s="178" t="str">
        <f>_xlfn.XLOOKUP($B28,COA!$B:$B,COA!$D:$D,0,0,1)</f>
        <v>Equipment</v>
      </c>
      <c r="I28" s="178" t="str">
        <f>_xlfn.XLOOKUP($B28,COA!$B:$B,COA!$E:$E,0,0,1)</f>
        <v>Equipment</v>
      </c>
      <c r="K28" s="85" t="str">
        <f>_xlfn.XLOOKUP(I28,FS.1!A:A,I:I,0,0,1)</f>
        <v>Intangible assets</v>
      </c>
      <c r="L28" s="85"/>
      <c r="M28" s="85"/>
      <c r="N28" s="85"/>
      <c r="O28" s="85"/>
      <c r="P28" s="85"/>
      <c r="Q28" s="85"/>
      <c r="R28" s="85"/>
      <c r="S28" s="85"/>
      <c r="T28" s="85"/>
      <c r="U28" s="85"/>
    </row>
    <row r="29" spans="1:21" hidden="1" outlineLevel="1" x14ac:dyDescent="0.25">
      <c r="A29" s="50"/>
      <c r="B29" s="155" t="str">
        <f>COA!B29</f>
        <v>1810 Office Furniture</v>
      </c>
      <c r="C29" s="127">
        <f>_xlfn.XLOOKUP(B29,'TB.3 - Dec 31, 2022'!A:A,'TB.3 - Dec 31, 2022'!D:D,0,0,1)</f>
        <v>0</v>
      </c>
      <c r="D29" s="127">
        <f>_xlfn.XLOOKUP(B29,'AJE.2B - F24'!A:A,'AJE.2B - F24'!M:M,0,0,1)</f>
        <v>0</v>
      </c>
      <c r="E29" s="127"/>
      <c r="F29" s="219">
        <f t="shared" si="1"/>
        <v>0</v>
      </c>
      <c r="G29" s="178" t="str">
        <f>_xlfn.XLOOKUP($B29,COA!$B:$B,COA!$C:$C,0,0,1)</f>
        <v>Equipment</v>
      </c>
      <c r="H29" s="178" t="str">
        <f>_xlfn.XLOOKUP($B29,COA!$B:$B,COA!$D:$D,0,0,1)</f>
        <v>Equipment</v>
      </c>
      <c r="I29" s="178" t="str">
        <f>_xlfn.XLOOKUP($B29,COA!$B:$B,COA!$E:$E,0,0,1)</f>
        <v>Equipment</v>
      </c>
      <c r="K29" s="85" t="str">
        <f>_xlfn.XLOOKUP(I29,FS.1!A:A,I:I,0,0,1)</f>
        <v>Intangible assets</v>
      </c>
      <c r="L29" s="85"/>
      <c r="M29" s="85"/>
      <c r="N29" s="85"/>
      <c r="O29" s="85"/>
      <c r="P29" s="85"/>
      <c r="Q29" s="85"/>
      <c r="R29" s="85"/>
      <c r="S29" s="85"/>
      <c r="T29" s="85"/>
      <c r="U29" s="85"/>
    </row>
    <row r="30" spans="1:21" hidden="1" outlineLevel="1" x14ac:dyDescent="0.25">
      <c r="A30" s="50"/>
      <c r="B30" s="155" t="str">
        <f>COA!B30</f>
        <v>1811 Office Furniture:Accumulated Depreciation</v>
      </c>
      <c r="C30" s="127">
        <f>_xlfn.XLOOKUP(B30,'TB.3 - Dec 31, 2022'!A:A,'TB.3 - Dec 31, 2022'!D:D,0,0,1)</f>
        <v>0</v>
      </c>
      <c r="D30" s="127">
        <f>_xlfn.XLOOKUP(B30,'AJE.2B - F24'!A:A,'AJE.2B - F24'!M:M,0,0,1)</f>
        <v>0</v>
      </c>
      <c r="E30" s="127"/>
      <c r="F30" s="219">
        <f t="shared" si="1"/>
        <v>0</v>
      </c>
      <c r="G30" s="178" t="str">
        <f>_xlfn.XLOOKUP($B30,COA!$B:$B,COA!$C:$C,0,0,1)</f>
        <v>Equipment</v>
      </c>
      <c r="H30" s="178" t="str">
        <f>_xlfn.XLOOKUP($B30,COA!$B:$B,COA!$D:$D,0,0,1)</f>
        <v>Equipment</v>
      </c>
      <c r="I30" s="178" t="str">
        <f>_xlfn.XLOOKUP($B30,COA!$B:$B,COA!$E:$E,0,0,1)</f>
        <v>Equipment</v>
      </c>
      <c r="K30" s="85" t="str">
        <f>_xlfn.XLOOKUP(I30,FS.1!A:A,I:I,0,0,1)</f>
        <v>Intangible assets</v>
      </c>
      <c r="L30" s="85"/>
      <c r="M30" s="85"/>
      <c r="N30" s="85"/>
      <c r="O30" s="85"/>
      <c r="P30" s="85"/>
      <c r="Q30" s="85"/>
      <c r="R30" s="85"/>
      <c r="S30" s="85"/>
      <c r="T30" s="85"/>
      <c r="U30" s="85"/>
    </row>
    <row r="31" spans="1:21" hidden="1" outlineLevel="1" x14ac:dyDescent="0.25">
      <c r="A31" s="50"/>
      <c r="B31" s="155" t="str">
        <f>COA!B31</f>
        <v>1900 Shop Equipment</v>
      </c>
      <c r="C31" s="127">
        <f>_xlfn.XLOOKUP(B31,'TB.3 - Dec 31, 2022'!A:A,'TB.3 - Dec 31, 2022'!D:D,0,0,1)</f>
        <v>0</v>
      </c>
      <c r="D31" s="127">
        <f>_xlfn.XLOOKUP(B31,'AJE.2B - F24'!A:A,'AJE.2B - F24'!M:M,0,0,1)</f>
        <v>0</v>
      </c>
      <c r="E31" s="127"/>
      <c r="F31" s="219">
        <f t="shared" si="1"/>
        <v>0</v>
      </c>
      <c r="G31" s="178" t="str">
        <f>_xlfn.XLOOKUP($B31,COA!$B:$B,COA!$C:$C,0,0,1)</f>
        <v>Equipment</v>
      </c>
      <c r="H31" s="178" t="str">
        <f>_xlfn.XLOOKUP($B31,COA!$B:$B,COA!$D:$D,0,0,1)</f>
        <v>Equipment</v>
      </c>
      <c r="I31" s="178" t="str">
        <f>_xlfn.XLOOKUP($B31,COA!$B:$B,COA!$E:$E,0,0,1)</f>
        <v>Equipment</v>
      </c>
      <c r="K31" s="85" t="str">
        <f>_xlfn.XLOOKUP(I31,FS.1!A:A,I:I,0,0,1)</f>
        <v>Intangible assets</v>
      </c>
      <c r="L31" s="85"/>
      <c r="M31" s="85"/>
      <c r="N31" s="85"/>
      <c r="O31" s="85"/>
      <c r="P31" s="85"/>
      <c r="Q31" s="85"/>
      <c r="R31" s="85"/>
      <c r="S31" s="85"/>
      <c r="T31" s="85"/>
      <c r="U31" s="85"/>
    </row>
    <row r="32" spans="1:21" hidden="1" outlineLevel="1" x14ac:dyDescent="0.25">
      <c r="A32" s="50"/>
      <c r="B32" s="155" t="str">
        <f>COA!B32</f>
        <v>1901 Shop Equipment:Accum deprec - shop equipment</v>
      </c>
      <c r="C32" s="127">
        <f>_xlfn.XLOOKUP(B32,'TB.3 - Dec 31, 2022'!A:A,'TB.3 - Dec 31, 2022'!D:D,0,0,1)</f>
        <v>0</v>
      </c>
      <c r="D32" s="127">
        <f>_xlfn.XLOOKUP(B32,'AJE.2B - F24'!A:A,'AJE.2B - F24'!M:M,0,0,1)</f>
        <v>0</v>
      </c>
      <c r="E32" s="127"/>
      <c r="F32" s="219">
        <f t="shared" si="1"/>
        <v>0</v>
      </c>
      <c r="G32" s="178" t="str">
        <f>_xlfn.XLOOKUP($B32,COA!$B:$B,COA!$C:$C,0,0,1)</f>
        <v>Equipment</v>
      </c>
      <c r="H32" s="178" t="str">
        <f>_xlfn.XLOOKUP($B32,COA!$B:$B,COA!$D:$D,0,0,1)</f>
        <v>Equipment</v>
      </c>
      <c r="I32" s="178" t="str">
        <f>_xlfn.XLOOKUP($B32,COA!$B:$B,COA!$E:$E,0,0,1)</f>
        <v>Equipment</v>
      </c>
      <c r="K32" s="85" t="str">
        <f>_xlfn.XLOOKUP(I32,FS.1!A:A,I:I,0,0,1)</f>
        <v>Intangible assets</v>
      </c>
      <c r="L32" s="85"/>
      <c r="M32" s="85"/>
      <c r="N32" s="85"/>
      <c r="O32" s="85"/>
      <c r="P32" s="85"/>
      <c r="Q32" s="85"/>
      <c r="R32" s="85"/>
      <c r="S32" s="85"/>
      <c r="T32" s="85"/>
      <c r="U32" s="85"/>
    </row>
    <row r="33" spans="1:21" hidden="1" outlineLevel="1" x14ac:dyDescent="0.25">
      <c r="A33" s="50"/>
      <c r="B33" s="155" t="str">
        <f>COA!B33</f>
        <v>1999 Uncategorized Asset</v>
      </c>
      <c r="C33" s="127">
        <f>_xlfn.XLOOKUP(B33,'TB.3 - Dec 31, 2022'!A:A,'TB.3 - Dec 31, 2022'!D:D,0,0,1)</f>
        <v>0</v>
      </c>
      <c r="D33" s="127">
        <f>_xlfn.XLOOKUP(B33,'AJE.2B - F24'!A:A,'AJE.2B - F24'!M:M,0,0,1)</f>
        <v>0</v>
      </c>
      <c r="E33" s="127"/>
      <c r="F33" s="219">
        <f t="shared" si="1"/>
        <v>0</v>
      </c>
      <c r="G33" s="178" t="str">
        <f>_xlfn.XLOOKUP($B33,COA!$B:$B,COA!$C:$C,0,0,1)</f>
        <v>Other current assets</v>
      </c>
      <c r="H33" s="178" t="str">
        <f>_xlfn.XLOOKUP($B33,COA!$B:$B,COA!$D:$D,0,0,1)</f>
        <v>Other current assets</v>
      </c>
      <c r="I33" s="178" t="str">
        <f>_xlfn.XLOOKUP($B33,COA!$B:$B,COA!$E:$E,0,0,1)</f>
        <v>Other current assets</v>
      </c>
      <c r="K33" s="85">
        <f>_xlfn.XLOOKUP(I33,FS.1!A:A,I:I,0,0,1)</f>
        <v>0</v>
      </c>
      <c r="L33" s="85"/>
      <c r="M33" s="85"/>
      <c r="N33" s="85"/>
      <c r="O33" s="85"/>
      <c r="P33" s="85"/>
      <c r="Q33" s="85"/>
      <c r="R33" s="85"/>
      <c r="S33" s="85"/>
      <c r="T33" s="85"/>
      <c r="U33" s="85"/>
    </row>
    <row r="34" spans="1:21" hidden="1" outlineLevel="1" x14ac:dyDescent="0.25">
      <c r="A34" s="50"/>
      <c r="B34" s="155" t="str">
        <f>COA!B34</f>
        <v>2000 Accounts Payable (A/P)</v>
      </c>
      <c r="C34" s="127">
        <f>_xlfn.XLOOKUP(B34,'TB.3 - Dec 31, 2022'!A:A,'TB.3 - Dec 31, 2022'!D:D,0,0,1)</f>
        <v>-17639.68</v>
      </c>
      <c r="D34" s="127">
        <f>_xlfn.XLOOKUP(B34,'AJE.2B - F24'!A:A,'AJE.2B - F24'!M:M,0,0,1)</f>
        <v>0</v>
      </c>
      <c r="E34" s="127"/>
      <c r="F34" s="219">
        <f t="shared" si="1"/>
        <v>-17640</v>
      </c>
      <c r="G34" s="178" t="str">
        <f>_xlfn.XLOOKUP($B34,COA!$B:$B,COA!$C:$C,0,0,1)</f>
        <v>Accounts payables and accrued liabilities</v>
      </c>
      <c r="H34" s="178" t="str">
        <f>_xlfn.XLOOKUP($B34,COA!$B:$B,COA!$D:$D,0,0,1)</f>
        <v>Accounts payables and accrued liabilities</v>
      </c>
      <c r="I34" s="178" t="str">
        <f>_xlfn.XLOOKUP($B34,COA!$B:$B,COA!$E:$E,0,0,1)</f>
        <v>Accounts payables and accrued liabilities</v>
      </c>
      <c r="K34" s="85" t="str">
        <f>_xlfn.XLOOKUP(I34,FS.1!A:A,I:I,0,0,1)</f>
        <v>Equipment</v>
      </c>
      <c r="L34" s="85"/>
      <c r="M34" s="85"/>
      <c r="N34" s="85"/>
      <c r="O34" s="85"/>
      <c r="P34" s="85"/>
      <c r="Q34" s="85"/>
      <c r="R34" s="85"/>
      <c r="S34" s="85"/>
      <c r="T34" s="85"/>
      <c r="U34" s="85"/>
    </row>
    <row r="35" spans="1:21" hidden="1" outlineLevel="1" x14ac:dyDescent="0.25">
      <c r="A35" s="50"/>
      <c r="B35" s="155" t="str">
        <f>COA!B35</f>
        <v>2000 Accounts Payable</v>
      </c>
      <c r="C35" s="127">
        <f>_xlfn.XLOOKUP(B35,'TB.3 - Dec 31, 2022'!A:A,'TB.3 - Dec 31, 2022'!D:D,0,0,1)</f>
        <v>0</v>
      </c>
      <c r="D35" s="127">
        <f>_xlfn.XLOOKUP(B35,'AJE.2B - F24'!A:A,'AJE.2B - F24'!M:M,0,0,1)</f>
        <v>0</v>
      </c>
      <c r="E35" s="127"/>
      <c r="F35" s="219">
        <f t="shared" si="1"/>
        <v>0</v>
      </c>
      <c r="G35" s="178" t="str">
        <f>_xlfn.XLOOKUP($B35,COA!$B:$B,COA!$C:$C,0,0,1)</f>
        <v>Accounts payables and accrued liabilities</v>
      </c>
      <c r="H35" s="178" t="str">
        <f>_xlfn.XLOOKUP($B35,COA!$B:$B,COA!$D:$D,0,0,1)</f>
        <v>Accounts payables and accrued liabilities</v>
      </c>
      <c r="I35" s="178" t="str">
        <f>_xlfn.XLOOKUP($B35,COA!$B:$B,COA!$E:$E,0,0,1)</f>
        <v>Accounts payables and accrued liabilities</v>
      </c>
      <c r="K35" s="85" t="str">
        <f>_xlfn.XLOOKUP(I35,FS.1!A:A,I:I,0,0,1)</f>
        <v>Equipment</v>
      </c>
      <c r="L35" s="85"/>
      <c r="M35" s="85"/>
      <c r="N35" s="85"/>
      <c r="O35" s="85"/>
      <c r="P35" s="85"/>
      <c r="Q35" s="85"/>
      <c r="R35" s="85"/>
      <c r="S35" s="85"/>
      <c r="T35" s="85"/>
      <c r="U35" s="85"/>
    </row>
    <row r="36" spans="1:21" hidden="1" outlineLevel="1" x14ac:dyDescent="0.25">
      <c r="A36" s="50"/>
      <c r="B36" s="155" t="str">
        <f>COA!B36</f>
        <v>2001 Accounts Payable (A/P) - USD</v>
      </c>
      <c r="C36" s="127">
        <f>_xlfn.XLOOKUP(B36,'TB.3 - Dec 31, 2022'!A:A,'TB.3 - Dec 31, 2022'!D:D,0,0,1)</f>
        <v>0</v>
      </c>
      <c r="D36" s="127">
        <f>_xlfn.XLOOKUP(B36,'AJE.2B - F24'!A:A,'AJE.2B - F24'!M:M,0,0,1)</f>
        <v>0</v>
      </c>
      <c r="E36" s="127"/>
      <c r="F36" s="219">
        <f t="shared" si="1"/>
        <v>0</v>
      </c>
      <c r="G36" s="178" t="str">
        <f>_xlfn.XLOOKUP($B36,COA!$B:$B,COA!$C:$C,0,0,1)</f>
        <v>Accounts payables and accrued liabilities</v>
      </c>
      <c r="H36" s="178" t="str">
        <f>_xlfn.XLOOKUP($B36,COA!$B:$B,COA!$D:$D,0,0,1)</f>
        <v>Accounts payables and accrued liabilities</v>
      </c>
      <c r="I36" s="178" t="str">
        <f>_xlfn.XLOOKUP($B36,COA!$B:$B,COA!$E:$E,0,0,1)</f>
        <v>Accounts payables and accrued liabilities</v>
      </c>
      <c r="K36" s="85" t="str">
        <f>_xlfn.XLOOKUP(I36,FS.1!A:A,I:I,0,0,1)</f>
        <v>Equipment</v>
      </c>
      <c r="L36" s="85"/>
      <c r="M36" s="85"/>
      <c r="N36" s="85"/>
      <c r="O36" s="85"/>
      <c r="P36" s="85"/>
      <c r="Q36" s="85"/>
      <c r="R36" s="85"/>
      <c r="S36" s="85"/>
      <c r="T36" s="85"/>
      <c r="U36" s="85"/>
    </row>
    <row r="37" spans="1:21" hidden="1" outlineLevel="1" x14ac:dyDescent="0.25">
      <c r="A37" s="50"/>
      <c r="B37" s="155" t="str">
        <f>COA!B37</f>
        <v>2010 Accrued Liabilities</v>
      </c>
      <c r="C37" s="127">
        <f>_xlfn.XLOOKUP(B37,'TB.3 - Dec 31, 2022'!A:A,'TB.3 - Dec 31, 2022'!D:D,0,0,1)</f>
        <v>0</v>
      </c>
      <c r="D37" s="127">
        <f>_xlfn.XLOOKUP(B37,'AJE.2B - F24'!A:A,'AJE.2B - F24'!M:M,0,0,1)</f>
        <v>0</v>
      </c>
      <c r="E37" s="127"/>
      <c r="F37" s="219">
        <f t="shared" si="1"/>
        <v>0</v>
      </c>
      <c r="G37" s="178" t="str">
        <f>_xlfn.XLOOKUP($B37,COA!$B:$B,COA!$C:$C,0,0,1)</f>
        <v>Accounts payables and accrued liabilities</v>
      </c>
      <c r="H37" s="178" t="str">
        <f>_xlfn.XLOOKUP($B37,COA!$B:$B,COA!$D:$D,0,0,1)</f>
        <v>Accounts payables and accrued liabilities</v>
      </c>
      <c r="I37" s="178" t="str">
        <f>_xlfn.XLOOKUP($B37,COA!$B:$B,COA!$E:$E,0,0,1)</f>
        <v>Accounts payables and accrued liabilities</v>
      </c>
      <c r="K37" s="85" t="str">
        <f>_xlfn.XLOOKUP(I37,FS.1!A:A,I:I,0,0,1)</f>
        <v>Equipment</v>
      </c>
      <c r="L37" s="85"/>
      <c r="M37" s="85"/>
      <c r="N37" s="85"/>
      <c r="O37" s="85"/>
      <c r="P37" s="85"/>
      <c r="Q37" s="85"/>
      <c r="R37" s="85"/>
      <c r="S37" s="85"/>
      <c r="T37" s="85"/>
      <c r="U37" s="85"/>
    </row>
    <row r="38" spans="1:21" hidden="1" outlineLevel="1" x14ac:dyDescent="0.25">
      <c r="A38" s="50"/>
      <c r="B38" s="155" t="str">
        <f>COA!B38</f>
        <v>2030 Cutomer prepayments</v>
      </c>
      <c r="C38" s="127">
        <f>_xlfn.XLOOKUP(B38,'TB.3 - Dec 31, 2022'!A:A,'TB.3 - Dec 31, 2022'!D:D,0,0,1)</f>
        <v>0</v>
      </c>
      <c r="D38" s="127">
        <f>_xlfn.XLOOKUP(B38,'AJE.2B - F24'!A:A,'AJE.2B - F24'!M:M,0,0,1)</f>
        <v>0</v>
      </c>
      <c r="E38" s="127"/>
      <c r="F38" s="219">
        <f t="shared" si="1"/>
        <v>0</v>
      </c>
      <c r="G38" s="178" t="str">
        <f>_xlfn.XLOOKUP($B38,COA!$B:$B,COA!$C:$C,0,0,1)</f>
        <v>Deferred revenue</v>
      </c>
      <c r="H38" s="178" t="str">
        <f>_xlfn.XLOOKUP($B38,COA!$B:$B,COA!$D:$D,0,0,1)</f>
        <v>Deferred revenue</v>
      </c>
      <c r="I38" s="178" t="str">
        <f>_xlfn.XLOOKUP($B38,COA!$B:$B,COA!$E:$E,0,0,1)</f>
        <v>Deferred revenue</v>
      </c>
      <c r="K38" s="85">
        <f>_xlfn.XLOOKUP(I38,FS.1!A:A,I:I,0,0,1)</f>
        <v>0</v>
      </c>
      <c r="L38" s="85"/>
      <c r="M38" s="85"/>
      <c r="N38" s="85"/>
      <c r="O38" s="85"/>
      <c r="P38" s="85"/>
      <c r="Q38" s="85"/>
      <c r="R38" s="85"/>
      <c r="S38" s="85"/>
      <c r="T38" s="85"/>
      <c r="U38" s="85"/>
    </row>
    <row r="39" spans="1:21" hidden="1" outlineLevel="1" x14ac:dyDescent="0.25">
      <c r="A39" s="50"/>
      <c r="B39" s="155" t="str">
        <f>COA!B41</f>
        <v>2100 Accrued Liabilities</v>
      </c>
      <c r="C39" s="127">
        <f>_xlfn.XLOOKUP(B39,'TB.3 - Dec 31, 2022'!A:A,'TB.3 - Dec 31, 2022'!D:D,0,0,1)</f>
        <v>0</v>
      </c>
      <c r="D39" s="127">
        <f>_xlfn.XLOOKUP(B39,'AJE.2B - F24'!A:A,'AJE.2B - F24'!M:M,0,0,1)</f>
        <v>0</v>
      </c>
      <c r="E39" s="127"/>
      <c r="F39" s="219">
        <f t="shared" si="1"/>
        <v>0</v>
      </c>
      <c r="G39" s="178" t="str">
        <f>_xlfn.XLOOKUP($B39,COA!$B:$B,COA!$C:$C,0,0,1)</f>
        <v>Accounts payables and accrued liabilities</v>
      </c>
      <c r="H39" s="178" t="str">
        <f>_xlfn.XLOOKUP($B39,COA!$B:$B,COA!$D:$D,0,0,1)</f>
        <v>Accounts payables and accrued liabilities</v>
      </c>
      <c r="I39" s="178" t="str">
        <f>_xlfn.XLOOKUP($B39,COA!$B:$B,COA!$E:$E,0,0,1)</f>
        <v>Accounts payables and accrued liabilities</v>
      </c>
      <c r="K39" s="85" t="str">
        <f>_xlfn.XLOOKUP(I39,FS.1!A:A,I:I,0,0,1)</f>
        <v>Equipment</v>
      </c>
      <c r="L39" s="85"/>
      <c r="M39" s="85"/>
      <c r="N39" s="85"/>
      <c r="O39" s="85"/>
      <c r="P39" s="85"/>
      <c r="Q39" s="85"/>
      <c r="R39" s="85"/>
      <c r="S39" s="85"/>
      <c r="T39" s="85"/>
      <c r="U39" s="85"/>
    </row>
    <row r="40" spans="1:21" hidden="1" outlineLevel="1" x14ac:dyDescent="0.25">
      <c r="A40" s="50"/>
      <c r="B40" s="155" t="str">
        <f>COA!B42</f>
        <v>2100 Payroll Liabilities</v>
      </c>
      <c r="C40" s="127">
        <f>_xlfn.XLOOKUP(B40,'TB.3 - Dec 31, 2022'!A:A,'TB.3 - Dec 31, 2022'!D:D,0,0,1)</f>
        <v>0</v>
      </c>
      <c r="D40" s="127">
        <f>_xlfn.XLOOKUP(B40,'AJE.2B - F24'!A:A,'AJE.2B - F24'!M:M,0,0,1)</f>
        <v>0</v>
      </c>
      <c r="E40" s="127"/>
      <c r="F40" s="219">
        <f t="shared" si="1"/>
        <v>0</v>
      </c>
      <c r="G40" s="178" t="str">
        <f>_xlfn.XLOOKUP($B40,COA!$B:$B,COA!$C:$C,0,0,1)</f>
        <v>Payroll liabilities</v>
      </c>
      <c r="H40" s="178" t="str">
        <f>_xlfn.XLOOKUP($B40,COA!$B:$B,COA!$D:$D,0,0,1)</f>
        <v>Payroll liabilities</v>
      </c>
      <c r="I40" s="178" t="str">
        <f>_xlfn.XLOOKUP($B40,COA!$B:$B,COA!$E:$E,0,0,1)</f>
        <v>Payroll liabilities</v>
      </c>
      <c r="K40" s="85">
        <f>_xlfn.XLOOKUP(I40,FS.1!A:A,I:I,0,0,1)</f>
        <v>0</v>
      </c>
      <c r="L40" s="85"/>
      <c r="M40" s="85"/>
      <c r="N40" s="85"/>
      <c r="O40" s="85"/>
      <c r="P40" s="85"/>
      <c r="Q40" s="85"/>
      <c r="R40" s="85"/>
      <c r="S40" s="85"/>
      <c r="T40" s="85"/>
      <c r="U40" s="85"/>
    </row>
    <row r="41" spans="1:21" hidden="1" outlineLevel="1" x14ac:dyDescent="0.25">
      <c r="A41" s="50"/>
      <c r="B41" s="155" t="str">
        <f>COA!B43</f>
        <v>2110 Payroll Liabilities:Payroll Taxes</v>
      </c>
      <c r="C41" s="127">
        <f>_xlfn.XLOOKUP(B41,'TB.3 - Dec 31, 2022'!A:A,'TB.3 - Dec 31, 2022'!D:D,0,0,1)</f>
        <v>0</v>
      </c>
      <c r="D41" s="127">
        <f>_xlfn.XLOOKUP(B41,'AJE.2B - F24'!A:A,'AJE.2B - F24'!M:M,0,0,1)</f>
        <v>0</v>
      </c>
      <c r="E41" s="127"/>
      <c r="F41" s="219">
        <f t="shared" si="1"/>
        <v>0</v>
      </c>
      <c r="G41" s="178" t="str">
        <f>_xlfn.XLOOKUP($B41,COA!$B:$B,COA!$C:$C,0,0,1)</f>
        <v>Payroll liabilities</v>
      </c>
      <c r="H41" s="178" t="str">
        <f>_xlfn.XLOOKUP($B41,COA!$B:$B,COA!$D:$D,0,0,1)</f>
        <v>Payroll liabilities</v>
      </c>
      <c r="I41" s="178" t="str">
        <f>_xlfn.XLOOKUP($B41,COA!$B:$B,COA!$E:$E,0,0,1)</f>
        <v>Payroll liabilities</v>
      </c>
      <c r="K41" s="85">
        <f>_xlfn.XLOOKUP(I41,FS.1!A:A,I:I,0,0,1)</f>
        <v>0</v>
      </c>
      <c r="L41" s="85"/>
      <c r="M41" s="85"/>
      <c r="N41" s="85"/>
      <c r="O41" s="85"/>
      <c r="P41" s="85"/>
      <c r="Q41" s="85"/>
      <c r="R41" s="85"/>
      <c r="S41" s="85"/>
      <c r="T41" s="85"/>
      <c r="U41" s="85"/>
    </row>
    <row r="42" spans="1:21" hidden="1" outlineLevel="1" x14ac:dyDescent="0.25">
      <c r="A42" s="50"/>
      <c r="B42" s="155" t="str">
        <f>COA!B44</f>
        <v>2120 Payroll Liabilities:Vacation Pay Due</v>
      </c>
      <c r="C42" s="127">
        <f>_xlfn.XLOOKUP(B42,'TB.3 - Dec 31, 2022'!A:A,'TB.3 - Dec 31, 2022'!D:D,0,0,1)</f>
        <v>0</v>
      </c>
      <c r="D42" s="127">
        <f>_xlfn.XLOOKUP(B42,'AJE.2B - F24'!A:A,'AJE.2B - F24'!M:M,0,0,1)</f>
        <v>0</v>
      </c>
      <c r="E42" s="127"/>
      <c r="F42" s="219">
        <f t="shared" si="1"/>
        <v>0</v>
      </c>
      <c r="G42" s="178" t="str">
        <f>_xlfn.XLOOKUP($B42,COA!$B:$B,COA!$C:$C,0,0,1)</f>
        <v>Payroll liabilities</v>
      </c>
      <c r="H42" s="178" t="str">
        <f>_xlfn.XLOOKUP($B42,COA!$B:$B,COA!$D:$D,0,0,1)</f>
        <v>Payroll liabilities</v>
      </c>
      <c r="I42" s="178" t="str">
        <f>_xlfn.XLOOKUP($B42,COA!$B:$B,COA!$E:$E,0,0,1)</f>
        <v>Payroll liabilities</v>
      </c>
      <c r="K42" s="85">
        <f>_xlfn.XLOOKUP(I42,FS.1!A:A,I:I,0,0,1)</f>
        <v>0</v>
      </c>
      <c r="L42" s="85"/>
      <c r="M42" s="85"/>
      <c r="N42" s="85"/>
      <c r="O42" s="85"/>
      <c r="P42" s="85"/>
      <c r="Q42" s="85"/>
      <c r="R42" s="85"/>
      <c r="S42" s="85"/>
      <c r="T42" s="85"/>
      <c r="U42" s="85"/>
    </row>
    <row r="43" spans="1:21" hidden="1" outlineLevel="1" x14ac:dyDescent="0.25">
      <c r="A43" s="50"/>
      <c r="B43" s="155" t="str">
        <f>COA!B45</f>
        <v>2130 Payroll Liabilities:WCB to be paid/(refunded)</v>
      </c>
      <c r="C43" s="127">
        <f>_xlfn.XLOOKUP(B43,'TB.3 - Dec 31, 2022'!A:A,'TB.3 - Dec 31, 2022'!D:D,0,0,1)</f>
        <v>0</v>
      </c>
      <c r="D43" s="127">
        <f>_xlfn.XLOOKUP(B43,'AJE.2B - F24'!A:A,'AJE.2B - F24'!M:M,0,0,1)</f>
        <v>0</v>
      </c>
      <c r="E43" s="127"/>
      <c r="F43" s="219">
        <f t="shared" si="1"/>
        <v>0</v>
      </c>
      <c r="G43" s="178" t="str">
        <f>_xlfn.XLOOKUP($B43,COA!$B:$B,COA!$C:$C,0,0,1)</f>
        <v>Payroll liabilities</v>
      </c>
      <c r="H43" s="178" t="str">
        <f>_xlfn.XLOOKUP($B43,COA!$B:$B,COA!$D:$D,0,0,1)</f>
        <v>Sales tax receivable</v>
      </c>
      <c r="I43" s="178" t="str">
        <f>_xlfn.XLOOKUP($B43,COA!$B:$B,COA!$E:$E,0,0,1)</f>
        <v>Payroll liabilities</v>
      </c>
      <c r="K43" s="85">
        <f>_xlfn.XLOOKUP(I43,FS.1!A:A,I:I,0,0,1)</f>
        <v>0</v>
      </c>
      <c r="L43" s="85"/>
      <c r="M43" s="85"/>
      <c r="N43" s="85"/>
      <c r="O43" s="85"/>
      <c r="P43" s="85"/>
      <c r="Q43" s="85"/>
      <c r="R43" s="85"/>
      <c r="S43" s="85"/>
      <c r="T43" s="85"/>
      <c r="U43" s="85"/>
    </row>
    <row r="44" spans="1:21" hidden="1" outlineLevel="1" x14ac:dyDescent="0.25">
      <c r="A44" s="50"/>
      <c r="B44" s="155" t="str">
        <f>COA!B46</f>
        <v>2140 Payroll Liabilities:Vacation Pay Payable</v>
      </c>
      <c r="C44" s="127">
        <f>_xlfn.XLOOKUP(B44,'TB.3 - Dec 31, 2022'!A:A,'TB.3 - Dec 31, 2022'!D:D,0,0,1)</f>
        <v>0</v>
      </c>
      <c r="D44" s="127">
        <f>_xlfn.XLOOKUP(B44,'AJE.2B - F24'!A:A,'AJE.2B - F24'!M:M,0,0,1)</f>
        <v>0</v>
      </c>
      <c r="E44" s="127"/>
      <c r="F44" s="219">
        <f t="shared" si="1"/>
        <v>0</v>
      </c>
      <c r="G44" s="178" t="str">
        <f>_xlfn.XLOOKUP($B44,COA!$B:$B,COA!$C:$C,0,0,1)</f>
        <v>Payroll liabilities</v>
      </c>
      <c r="H44" s="178" t="str">
        <f>_xlfn.XLOOKUP($B44,COA!$B:$B,COA!$D:$D,0,0,1)</f>
        <v>Sales tax receivable</v>
      </c>
      <c r="I44" s="178" t="str">
        <f>_xlfn.XLOOKUP($B44,COA!$B:$B,COA!$E:$E,0,0,1)</f>
        <v>Payroll liabilities</v>
      </c>
      <c r="K44" s="85">
        <f>_xlfn.XLOOKUP(I44,FS.1!A:A,I:I,0,0,1)</f>
        <v>0</v>
      </c>
      <c r="L44" s="85"/>
      <c r="M44" s="85"/>
      <c r="N44" s="85"/>
      <c r="O44" s="85"/>
      <c r="P44" s="85"/>
      <c r="Q44" s="85"/>
      <c r="R44" s="85"/>
      <c r="S44" s="85"/>
      <c r="T44" s="85"/>
      <c r="U44" s="85"/>
    </row>
    <row r="45" spans="1:21" hidden="1" outlineLevel="1" x14ac:dyDescent="0.25">
      <c r="A45" s="50"/>
      <c r="B45" s="155" t="str">
        <f>COA!B47</f>
        <v>2200 PST Payable (BC)</v>
      </c>
      <c r="C45" s="127">
        <f>_xlfn.XLOOKUP(B45,'TB.3 - Dec 31, 2022'!A:A,'TB.3 - Dec 31, 2022'!D:D,0,0,1)</f>
        <v>0</v>
      </c>
      <c r="D45" s="127">
        <f>_xlfn.XLOOKUP(B45,'AJE.2B - F24'!A:A,'AJE.2B - F24'!M:M,0,0,1)</f>
        <v>0</v>
      </c>
      <c r="E45" s="127"/>
      <c r="F45" s="219">
        <f t="shared" si="1"/>
        <v>0</v>
      </c>
      <c r="G45" s="178" t="str">
        <f>_xlfn.XLOOKUP($B45,COA!$B:$B,COA!$C:$C,0,0,1)</f>
        <v>Sales tax payable</v>
      </c>
      <c r="H45" s="178" t="str">
        <f>_xlfn.XLOOKUP($B45,COA!$B:$B,COA!$D:$D,0,0,1)</f>
        <v>Sales tax payable</v>
      </c>
      <c r="I45" s="178" t="str">
        <f>_xlfn.XLOOKUP($B45,COA!$B:$B,COA!$E:$E,0,0,1)</f>
        <v>Sales tax payable</v>
      </c>
      <c r="K45" s="85">
        <f>_xlfn.XLOOKUP(I45,FS.1!A:A,I:I,0,0,1)</f>
        <v>0</v>
      </c>
      <c r="L45" s="85"/>
      <c r="M45" s="85"/>
      <c r="N45" s="85"/>
      <c r="O45" s="85"/>
      <c r="P45" s="85"/>
      <c r="Q45" s="85"/>
      <c r="R45" s="85"/>
      <c r="S45" s="85"/>
      <c r="T45" s="85"/>
      <c r="U45" s="85"/>
    </row>
    <row r="46" spans="1:21" hidden="1" outlineLevel="1" x14ac:dyDescent="0.25">
      <c r="A46" s="50"/>
      <c r="B46" s="155" t="str">
        <f>COA!B48</f>
        <v>2200 GST Payable/(Refund)</v>
      </c>
      <c r="C46" s="127">
        <f>_xlfn.XLOOKUP(B46,'TB.3 - Dec 31, 2022'!A:A,'TB.3 - Dec 31, 2022'!D:D,0,0,1)</f>
        <v>0</v>
      </c>
      <c r="D46" s="127">
        <f>_xlfn.XLOOKUP(B46,'AJE.2B - F24'!A:A,'AJE.2B - F24'!M:M,0,0,1)</f>
        <v>0</v>
      </c>
      <c r="E46" s="127"/>
      <c r="F46" s="219">
        <f t="shared" si="1"/>
        <v>0</v>
      </c>
      <c r="G46" s="178" t="str">
        <f>_xlfn.XLOOKUP($B46,COA!$B:$B,COA!$C:$C,0,0,1)</f>
        <v>Sales tax receivable</v>
      </c>
      <c r="H46" s="178" t="str">
        <f>_xlfn.XLOOKUP($B46,COA!$B:$B,COA!$D:$D,0,0,1)</f>
        <v>Sales tax receivable</v>
      </c>
      <c r="I46" s="178" t="str">
        <f>_xlfn.XLOOKUP($B46,COA!$B:$B,COA!$E:$E,0,0,1)</f>
        <v>Sales tax receivable</v>
      </c>
      <c r="K46" s="85" t="str">
        <f>_xlfn.XLOOKUP(I46,FS.1!A:A,I:I,0,0,1)</f>
        <v>Receivables</v>
      </c>
      <c r="L46" s="85"/>
      <c r="M46" s="85"/>
      <c r="N46" s="85"/>
      <c r="O46" s="85"/>
      <c r="P46" s="85"/>
      <c r="Q46" s="85"/>
      <c r="R46" s="85"/>
      <c r="S46" s="85"/>
      <c r="T46" s="85"/>
      <c r="U46" s="85"/>
    </row>
    <row r="47" spans="1:21" hidden="1" outlineLevel="1" x14ac:dyDescent="0.25">
      <c r="A47" s="50"/>
      <c r="B47" s="155" t="str">
        <f>COA!B49</f>
        <v>2201 PST Suspense (BC)</v>
      </c>
      <c r="C47" s="127">
        <f>_xlfn.XLOOKUP(B47,'TB.3 - Dec 31, 2022'!A:A,'TB.3 - Dec 31, 2022'!D:D,0,0,1)</f>
        <v>0</v>
      </c>
      <c r="D47" s="127">
        <f>_xlfn.XLOOKUP(B47,'AJE.2B - F24'!A:A,'AJE.2B - F24'!M:M,0,0,1)</f>
        <v>0</v>
      </c>
      <c r="E47" s="127"/>
      <c r="F47" s="219">
        <f t="shared" si="1"/>
        <v>0</v>
      </c>
      <c r="G47" s="178" t="str">
        <f>_xlfn.XLOOKUP($B47,COA!$B:$B,COA!$C:$C,0,0,1)</f>
        <v>Sales tax payable</v>
      </c>
      <c r="H47" s="178" t="str">
        <f>_xlfn.XLOOKUP($B47,COA!$B:$B,COA!$D:$D,0,0,1)</f>
        <v>Sales tax payable</v>
      </c>
      <c r="I47" s="178" t="str">
        <f>_xlfn.XLOOKUP($B47,COA!$B:$B,COA!$E:$E,0,0,1)</f>
        <v>Sales tax payable</v>
      </c>
      <c r="K47" s="85">
        <f>_xlfn.XLOOKUP(I47,FS.1!A:A,I:I,0,0,1)</f>
        <v>0</v>
      </c>
      <c r="L47" s="85"/>
      <c r="M47" s="85"/>
      <c r="N47" s="85"/>
      <c r="O47" s="85"/>
      <c r="P47" s="85"/>
      <c r="Q47" s="85"/>
      <c r="R47" s="85"/>
      <c r="S47" s="85"/>
      <c r="T47" s="85"/>
      <c r="U47" s="85"/>
    </row>
    <row r="48" spans="1:21" hidden="1" outlineLevel="1" x14ac:dyDescent="0.25">
      <c r="A48" s="50"/>
      <c r="B48" s="155" t="str">
        <f>COA!B50</f>
        <v>2210 GST Payable/(Refund):GST Paid on Purchases</v>
      </c>
      <c r="C48" s="127">
        <f>_xlfn.XLOOKUP(B48,'TB.3 - Dec 31, 2022'!A:A,'TB.3 - Dec 31, 2022'!D:D,0,0,1)</f>
        <v>0</v>
      </c>
      <c r="D48" s="127">
        <f>_xlfn.XLOOKUP(B48,'AJE.2B - F24'!A:A,'AJE.2B - F24'!M:M,0,0,1)</f>
        <v>0</v>
      </c>
      <c r="E48" s="127"/>
      <c r="F48" s="219">
        <f t="shared" si="1"/>
        <v>0</v>
      </c>
      <c r="G48" s="178" t="str">
        <f>_xlfn.XLOOKUP($B48,COA!$B:$B,COA!$C:$C,0,0,1)</f>
        <v>Sales tax receivable</v>
      </c>
      <c r="H48" s="178" t="str">
        <f>_xlfn.XLOOKUP($B48,COA!$B:$B,COA!$D:$D,0,0,1)</f>
        <v>Sales tax receivable</v>
      </c>
      <c r="I48" s="178" t="str">
        <f>_xlfn.XLOOKUP($B48,COA!$B:$B,COA!$E:$E,0,0,1)</f>
        <v>Sales tax receivable</v>
      </c>
      <c r="K48" s="85" t="str">
        <f>_xlfn.XLOOKUP(I48,FS.1!A:A,I:I,0,0,1)</f>
        <v>Receivables</v>
      </c>
      <c r="L48" s="85"/>
      <c r="M48" s="85"/>
      <c r="N48" s="85"/>
      <c r="O48" s="85"/>
      <c r="P48" s="85"/>
      <c r="Q48" s="85"/>
      <c r="R48" s="85"/>
      <c r="S48" s="85"/>
      <c r="T48" s="85"/>
      <c r="U48" s="85"/>
    </row>
    <row r="49" spans="1:21" hidden="1" outlineLevel="1" x14ac:dyDescent="0.25">
      <c r="A49" s="50"/>
      <c r="B49" s="155" t="str">
        <f>COA!B51</f>
        <v>2220 GST Payable/(Refund):GST Collected on Sales</v>
      </c>
      <c r="C49" s="127">
        <f>_xlfn.XLOOKUP(B49,'TB.3 - Dec 31, 2022'!A:A,'TB.3 - Dec 31, 2022'!D:D,0,0,1)</f>
        <v>0</v>
      </c>
      <c r="D49" s="127">
        <f>_xlfn.XLOOKUP(B49,'AJE.2B - F24'!A:A,'AJE.2B - F24'!M:M,0,0,1)</f>
        <v>0</v>
      </c>
      <c r="E49" s="127"/>
      <c r="F49" s="219">
        <f t="shared" si="1"/>
        <v>0</v>
      </c>
      <c r="G49" s="178" t="str">
        <f>_xlfn.XLOOKUP($B49,COA!$B:$B,COA!$C:$C,0,0,1)</f>
        <v>Sales tax receivable</v>
      </c>
      <c r="H49" s="178" t="str">
        <f>_xlfn.XLOOKUP($B49,COA!$B:$B,COA!$D:$D,0,0,1)</f>
        <v>Sales tax receivable</v>
      </c>
      <c r="I49" s="178" t="str">
        <f>_xlfn.XLOOKUP($B49,COA!$B:$B,COA!$E:$E,0,0,1)</f>
        <v>Sales tax receivable</v>
      </c>
      <c r="K49" s="85" t="str">
        <f>_xlfn.XLOOKUP(I49,FS.1!A:A,I:I,0,0,1)</f>
        <v>Receivables</v>
      </c>
      <c r="L49" s="85"/>
      <c r="M49" s="85"/>
      <c r="N49" s="85"/>
      <c r="O49" s="85"/>
      <c r="P49" s="85"/>
      <c r="Q49" s="85"/>
      <c r="R49" s="85"/>
      <c r="S49" s="85"/>
      <c r="T49" s="85"/>
      <c r="U49" s="85"/>
    </row>
    <row r="50" spans="1:21" hidden="1" outlineLevel="1" x14ac:dyDescent="0.25">
      <c r="A50" s="50"/>
      <c r="B50" s="155" t="str">
        <f>COA!B52</f>
        <v>2210 GST/HST Payable</v>
      </c>
      <c r="C50" s="127">
        <f>_xlfn.XLOOKUP(B50,'TB.3 - Dec 31, 2022'!A:A,'TB.3 - Dec 31, 2022'!D:D,0,0,1)</f>
        <v>8622.58</v>
      </c>
      <c r="D50" s="127">
        <f>_xlfn.XLOOKUP(B50,'AJE.2B - F24'!A:A,'AJE.2B - F24'!M:M,0,0,1)</f>
        <v>0</v>
      </c>
      <c r="E50" s="127"/>
      <c r="F50" s="219">
        <f t="shared" si="1"/>
        <v>8623</v>
      </c>
      <c r="G50" s="667" t="s">
        <v>22</v>
      </c>
      <c r="H50" s="667" t="str">
        <f>G50</f>
        <v>Receivables</v>
      </c>
      <c r="I50" s="667" t="str">
        <f>H50</f>
        <v>Receivables</v>
      </c>
      <c r="K50" s="85" t="str">
        <f>_xlfn.XLOOKUP(I50,FS.1!A:A,I:I,0,0,1)</f>
        <v>Cash</v>
      </c>
      <c r="L50" s="85"/>
      <c r="M50" s="85"/>
      <c r="N50" s="85"/>
      <c r="O50" s="85"/>
      <c r="P50" s="85"/>
      <c r="Q50" s="85"/>
      <c r="R50" s="85"/>
      <c r="S50" s="85"/>
      <c r="T50" s="85"/>
      <c r="U50" s="85"/>
    </row>
    <row r="51" spans="1:21" hidden="1" outlineLevel="1" x14ac:dyDescent="0.25">
      <c r="A51" s="50"/>
      <c r="B51" s="155" t="str">
        <f>COA!B53</f>
        <v>2230 GST Payable/(Refund):GST to Paid/(refunded)</v>
      </c>
      <c r="C51" s="127">
        <f>_xlfn.XLOOKUP(B51,'TB.3 - Dec 31, 2022'!A:A,'TB.3 - Dec 31, 2022'!D:D,0,0,1)</f>
        <v>0</v>
      </c>
      <c r="D51" s="127">
        <f>_xlfn.XLOOKUP(B51,'AJE.2B - F24'!A:A,'AJE.2B - F24'!M:M,0,0,1)</f>
        <v>0</v>
      </c>
      <c r="E51" s="127"/>
      <c r="F51" s="219">
        <f t="shared" si="1"/>
        <v>0</v>
      </c>
      <c r="G51" s="178" t="str">
        <f>_xlfn.XLOOKUP($B51,COA!$B:$B,COA!$C:$C,0,0,1)</f>
        <v>Sales tax receivable</v>
      </c>
      <c r="H51" s="178" t="str">
        <f>_xlfn.XLOOKUP($B51,COA!$B:$B,COA!$D:$D,0,0,1)</f>
        <v>Sales tax receivable</v>
      </c>
      <c r="I51" s="178" t="str">
        <f>_xlfn.XLOOKUP($B51,COA!$B:$B,COA!$E:$E,0,0,1)</f>
        <v>Sales tax receivable</v>
      </c>
      <c r="K51" s="85" t="str">
        <f>_xlfn.XLOOKUP(I51,FS.1!A:A,I:I,0,0,1)</f>
        <v>Receivables</v>
      </c>
      <c r="L51" s="85"/>
      <c r="M51" s="85"/>
      <c r="N51" s="85"/>
      <c r="O51" s="85"/>
      <c r="P51" s="85"/>
      <c r="Q51" s="85"/>
      <c r="R51" s="85"/>
      <c r="S51" s="85"/>
      <c r="T51" s="85"/>
      <c r="U51" s="85"/>
    </row>
    <row r="52" spans="1:21" hidden="1" outlineLevel="1" x14ac:dyDescent="0.25">
      <c r="A52" s="50"/>
      <c r="B52" s="155" t="str">
        <f>COA!B54</f>
        <v>2211 GST/HST Suspense</v>
      </c>
      <c r="C52" s="127">
        <f>_xlfn.XLOOKUP(B52,'TB.3 - Dec 31, 2022'!A:A,'TB.3 - Dec 31, 2022'!D:D,0,0,1)</f>
        <v>0</v>
      </c>
      <c r="D52" s="127">
        <f>_xlfn.XLOOKUP(B52,'AJE.2B - F24'!A:A,'AJE.2B - F24'!M:M,0,0,1)</f>
        <v>0</v>
      </c>
      <c r="E52" s="127"/>
      <c r="F52" s="219">
        <f t="shared" si="1"/>
        <v>0</v>
      </c>
      <c r="G52" s="178" t="str">
        <f>_xlfn.XLOOKUP($B52,COA!$B:$B,COA!$C:$C,0,0,1)</f>
        <v>Sales tax payable</v>
      </c>
      <c r="H52" s="178" t="str">
        <f>_xlfn.XLOOKUP($B52,COA!$B:$B,COA!$D:$D,0,0,1)</f>
        <v>Sales tax payable</v>
      </c>
      <c r="I52" s="178" t="str">
        <f>_xlfn.XLOOKUP($B52,COA!$B:$B,COA!$E:$E,0,0,1)</f>
        <v>Sales tax payable</v>
      </c>
      <c r="K52" s="85">
        <f>_xlfn.XLOOKUP(I52,FS.1!A:A,I:I,0,0,1)</f>
        <v>0</v>
      </c>
      <c r="L52" s="85"/>
      <c r="M52" s="85"/>
      <c r="N52" s="85"/>
      <c r="O52" s="85"/>
      <c r="P52" s="85"/>
      <c r="Q52" s="85"/>
      <c r="R52" s="85"/>
      <c r="S52" s="85"/>
      <c r="T52" s="85"/>
      <c r="U52" s="85"/>
    </row>
    <row r="53" spans="1:21" hidden="1" outlineLevel="1" x14ac:dyDescent="0.25">
      <c r="A53" s="50"/>
      <c r="B53" s="155" t="str">
        <f>COA!B55</f>
        <v>2201 GST and HST Suspense</v>
      </c>
      <c r="C53" s="127">
        <f>_xlfn.XLOOKUP(B53,'TB.3 - Dec 31, 2022'!A:A,'TB.3 - Dec 31, 2022'!D:D,0,0,1)</f>
        <v>0</v>
      </c>
      <c r="D53" s="127">
        <f>_xlfn.XLOOKUP(B53,'AJE.2B - F24'!A:A,'AJE.2B - F24'!M:M,0,0,1)</f>
        <v>0</v>
      </c>
      <c r="E53" s="127"/>
      <c r="F53" s="219">
        <f t="shared" si="1"/>
        <v>0</v>
      </c>
      <c r="G53" s="178" t="str">
        <f>_xlfn.XLOOKUP($B53,COA!$B:$B,COA!$C:$C,0,0,1)</f>
        <v>Sales tax receivable</v>
      </c>
      <c r="H53" s="178" t="str">
        <f>_xlfn.XLOOKUP($B53,COA!$B:$B,COA!$D:$D,0,0,1)</f>
        <v>Sales tax receivable</v>
      </c>
      <c r="I53" s="178" t="str">
        <f>_xlfn.XLOOKUP($B53,COA!$B:$B,COA!$E:$E,0,0,1)</f>
        <v>Sales tax receivable</v>
      </c>
      <c r="K53" s="85" t="str">
        <f>_xlfn.XLOOKUP(I53,FS.1!A:A,I:I,0,0,1)</f>
        <v>Receivables</v>
      </c>
      <c r="L53" s="85"/>
      <c r="M53" s="85"/>
      <c r="N53" s="85"/>
      <c r="O53" s="85"/>
      <c r="P53" s="85"/>
      <c r="Q53" s="85"/>
      <c r="R53" s="85"/>
      <c r="S53" s="85"/>
      <c r="T53" s="85"/>
      <c r="U53" s="85"/>
    </row>
    <row r="54" spans="1:21" hidden="1" outlineLevel="1" x14ac:dyDescent="0.25">
      <c r="A54" s="50"/>
      <c r="B54" s="155" t="str">
        <f>COA!B56</f>
        <v>2202 Receiver General Suspense</v>
      </c>
      <c r="C54" s="127">
        <f>_xlfn.XLOOKUP(B54,'TB.3 - Dec 31, 2022'!A:A,'TB.3 - Dec 31, 2022'!D:D,0,0,1)</f>
        <v>0</v>
      </c>
      <c r="D54" s="127">
        <f>_xlfn.XLOOKUP(B54,'AJE.2B - F24'!A:A,'AJE.2B - F24'!M:M,0,0,1)</f>
        <v>0</v>
      </c>
      <c r="E54" s="127"/>
      <c r="F54" s="219">
        <f t="shared" si="1"/>
        <v>0</v>
      </c>
      <c r="G54" s="178" t="str">
        <f>_xlfn.XLOOKUP($B54,COA!$B:$B,COA!$C:$C,0,0,1)</f>
        <v>Sales tax receivable</v>
      </c>
      <c r="H54" s="178" t="str">
        <f>_xlfn.XLOOKUP($B54,COA!$B:$B,COA!$D:$D,0,0,1)</f>
        <v>Sales tax receivable</v>
      </c>
      <c r="I54" s="178" t="str">
        <f>_xlfn.XLOOKUP($B54,COA!$B:$B,COA!$E:$E,0,0,1)</f>
        <v>Sales tax receivable</v>
      </c>
      <c r="K54" s="85" t="str">
        <f>_xlfn.XLOOKUP(I54,FS.1!A:A,I:I,0,0,1)</f>
        <v>Receivables</v>
      </c>
      <c r="L54" s="85"/>
      <c r="M54" s="85"/>
      <c r="N54" s="85"/>
      <c r="O54" s="85"/>
      <c r="P54" s="85"/>
      <c r="Q54" s="85"/>
      <c r="R54" s="85"/>
      <c r="S54" s="85"/>
      <c r="T54" s="85"/>
      <c r="U54" s="85"/>
    </row>
    <row r="55" spans="1:21" hidden="1" outlineLevel="1" x14ac:dyDescent="0.25">
      <c r="A55" s="50"/>
      <c r="B55" s="155" t="str">
        <f>COA!B57</f>
        <v>2280 PST Payable</v>
      </c>
      <c r="C55" s="127">
        <f>_xlfn.XLOOKUP(B55,'TB.3 - Dec 31, 2022'!A:A,'TB.3 - Dec 31, 2022'!D:D,0,0,1)</f>
        <v>0</v>
      </c>
      <c r="D55" s="127">
        <f>_xlfn.XLOOKUP(B55,'AJE.2B - F24'!A:A,'AJE.2B - F24'!M:M,0,0,1)</f>
        <v>0</v>
      </c>
      <c r="E55" s="127"/>
      <c r="F55" s="219">
        <f t="shared" si="1"/>
        <v>0</v>
      </c>
      <c r="G55" s="178" t="str">
        <f>_xlfn.XLOOKUP($B55,COA!$B:$B,COA!$C:$C,0,0,1)</f>
        <v>Sales tax payable</v>
      </c>
      <c r="H55" s="178" t="str">
        <f>_xlfn.XLOOKUP($B55,COA!$B:$B,COA!$D:$D,0,0,1)</f>
        <v>Sales tax payable</v>
      </c>
      <c r="I55" s="178" t="str">
        <f>_xlfn.XLOOKUP($B55,COA!$B:$B,COA!$E:$E,0,0,1)</f>
        <v>Sales tax payable</v>
      </c>
      <c r="K55" s="85">
        <f>_xlfn.XLOOKUP(I55,FS.1!A:A,I:I,0,0,1)</f>
        <v>0</v>
      </c>
      <c r="L55" s="85"/>
      <c r="M55" s="85"/>
      <c r="N55" s="85"/>
      <c r="O55" s="85"/>
      <c r="P55" s="85"/>
      <c r="Q55" s="85"/>
      <c r="R55" s="85"/>
      <c r="S55" s="85"/>
      <c r="T55" s="85"/>
      <c r="U55" s="85"/>
    </row>
    <row r="56" spans="1:21" hidden="1" outlineLevel="1" x14ac:dyDescent="0.25">
      <c r="A56" s="50"/>
      <c r="B56" s="155" t="str">
        <f>COA!B58</f>
        <v>2240 PST Payable:PST Collected on Sales</v>
      </c>
      <c r="C56" s="127">
        <f>_xlfn.XLOOKUP(B56,'TB.3 - Dec 31, 2022'!A:A,'TB.3 - Dec 31, 2022'!D:D,0,0,1)</f>
        <v>0</v>
      </c>
      <c r="D56" s="127">
        <f>_xlfn.XLOOKUP(B56,'AJE.2B - F24'!A:A,'AJE.2B - F24'!M:M,0,0,1)</f>
        <v>0</v>
      </c>
      <c r="E56" s="127"/>
      <c r="F56" s="219">
        <f t="shared" si="1"/>
        <v>0</v>
      </c>
      <c r="G56" s="178" t="str">
        <f>_xlfn.XLOOKUP($B56,COA!$B:$B,COA!$C:$C,0,0,1)</f>
        <v>Sales tax payable</v>
      </c>
      <c r="H56" s="178" t="str">
        <f>_xlfn.XLOOKUP($B56,COA!$B:$B,COA!$D:$D,0,0,1)</f>
        <v>Sales tax payable</v>
      </c>
      <c r="I56" s="178" t="str">
        <f>_xlfn.XLOOKUP($B56,COA!$B:$B,COA!$E:$E,0,0,1)</f>
        <v>Sales tax payable</v>
      </c>
      <c r="K56" s="85">
        <f>_xlfn.XLOOKUP(I56,FS.1!A:A,I:I,0,0,1)</f>
        <v>0</v>
      </c>
      <c r="L56" s="85"/>
      <c r="M56" s="85"/>
      <c r="N56" s="85"/>
      <c r="O56" s="85"/>
      <c r="P56" s="85"/>
      <c r="Q56" s="85"/>
      <c r="R56" s="85"/>
      <c r="S56" s="85"/>
      <c r="T56" s="85"/>
      <c r="U56" s="85"/>
    </row>
    <row r="57" spans="1:21" hidden="1" outlineLevel="1" x14ac:dyDescent="0.25">
      <c r="A57" s="50"/>
      <c r="B57" s="155" t="str">
        <f>COA!B59</f>
        <v>2245 PST Payable:PST Payable</v>
      </c>
      <c r="C57" s="127">
        <f>_xlfn.XLOOKUP(B57,'TB.3 - Dec 31, 2022'!A:A,'TB.3 - Dec 31, 2022'!D:D,0,0,1)</f>
        <v>0</v>
      </c>
      <c r="D57" s="127">
        <f>_xlfn.XLOOKUP(B57,'AJE.2B - F24'!A:A,'AJE.2B - F24'!M:M,0,0,1)</f>
        <v>0</v>
      </c>
      <c r="E57" s="127"/>
      <c r="F57" s="219">
        <f t="shared" si="1"/>
        <v>0</v>
      </c>
      <c r="G57" s="178" t="str">
        <f>_xlfn.XLOOKUP($B57,COA!$B:$B,COA!$C:$C,0,0,1)</f>
        <v>Sales tax payable</v>
      </c>
      <c r="H57" s="178" t="str">
        <f>_xlfn.XLOOKUP($B57,COA!$B:$B,COA!$D:$D,0,0,1)</f>
        <v>Sales tax payable</v>
      </c>
      <c r="I57" s="178" t="str">
        <f>_xlfn.XLOOKUP($B57,COA!$B:$B,COA!$E:$E,0,0,1)</f>
        <v>Sales tax payable</v>
      </c>
      <c r="K57" s="85">
        <f>_xlfn.XLOOKUP(I57,FS.1!A:A,I:I,0,0,1)</f>
        <v>0</v>
      </c>
      <c r="L57" s="87"/>
      <c r="M57" s="87"/>
      <c r="N57" s="85"/>
      <c r="O57" s="85"/>
      <c r="P57" s="85"/>
      <c r="Q57" s="85"/>
      <c r="R57" s="85"/>
      <c r="S57" s="85"/>
      <c r="T57" s="85"/>
      <c r="U57" s="85"/>
    </row>
    <row r="58" spans="1:21" hidden="1" outlineLevel="1" x14ac:dyDescent="0.25">
      <c r="A58" s="50"/>
      <c r="B58" s="155" t="str">
        <f>COA!B60</f>
        <v>2300 Corporate Tax Payable</v>
      </c>
      <c r="C58" s="127">
        <f>_xlfn.XLOOKUP(B58,'TB.3 - Dec 31, 2022'!A:A,'TB.3 - Dec 31, 2022'!D:D,0,0,1)</f>
        <v>0</v>
      </c>
      <c r="D58" s="127">
        <f>_xlfn.XLOOKUP(B58,'AJE.2B - F24'!A:A,'AJE.2B - F24'!M:M,0,0,1)</f>
        <v>0</v>
      </c>
      <c r="E58" s="127"/>
      <c r="F58" s="219">
        <f t="shared" si="1"/>
        <v>0</v>
      </c>
      <c r="G58" s="178" t="str">
        <f>_xlfn.XLOOKUP($B58,COA!$B:$B,COA!$C:$C,0,0,1)</f>
        <v>Income tax payable</v>
      </c>
      <c r="H58" s="178" t="str">
        <f>_xlfn.XLOOKUP($B58,COA!$B:$B,COA!$D:$D,0,0,1)</f>
        <v>Income tax payable</v>
      </c>
      <c r="I58" s="178" t="str">
        <f>_xlfn.XLOOKUP($B58,COA!$B:$B,COA!$E:$E,0,0,1)</f>
        <v>Income tax payable</v>
      </c>
      <c r="K58" s="85" t="str">
        <f>_xlfn.XLOOKUP(I58,FS.1!A:A,I:I,0,0,1)</f>
        <v>Accounts payables and accrued liabilities</v>
      </c>
      <c r="L58" s="87"/>
      <c r="M58" s="87"/>
      <c r="N58" s="85"/>
      <c r="O58" s="85"/>
      <c r="P58" s="85"/>
      <c r="Q58" s="85"/>
      <c r="R58" s="85"/>
      <c r="S58" s="85"/>
      <c r="T58" s="85"/>
      <c r="U58" s="85"/>
    </row>
    <row r="59" spans="1:21" hidden="1" outlineLevel="1" x14ac:dyDescent="0.25">
      <c r="A59" s="50"/>
      <c r="B59" s="155" t="str">
        <f>COA!B61</f>
        <v>2500 Due to/(from) related parties</v>
      </c>
      <c r="C59" s="127">
        <f>_xlfn.XLOOKUP(B59,'TB.3 - Dec 31, 2022'!A:A,'TB.3 - Dec 31, 2022'!D:D,0,0,1)</f>
        <v>0</v>
      </c>
      <c r="D59" s="127">
        <f>_xlfn.XLOOKUP(B59,'AJE.2B - F24'!A:A,'AJE.2B - F24'!M:M,0,0,1)</f>
        <v>0</v>
      </c>
      <c r="E59" s="127"/>
      <c r="F59" s="219">
        <f t="shared" si="1"/>
        <v>0</v>
      </c>
      <c r="G59" s="178" t="str">
        <f>_xlfn.XLOOKUP($B59,COA!$B:$B,COA!$C:$C,0,0,1)</f>
        <v>Due from related parties</v>
      </c>
      <c r="H59" s="178" t="str">
        <f>_xlfn.XLOOKUP($B59,COA!$B:$B,COA!$D:$D,0,0,1)</f>
        <v>Due from related parties</v>
      </c>
      <c r="I59" s="178" t="str">
        <f>_xlfn.XLOOKUP($B59,COA!$B:$B,COA!$E:$E,0,0,1)</f>
        <v>Due from related parties</v>
      </c>
      <c r="K59" s="85" t="str">
        <f>_xlfn.XLOOKUP(I59,FS.1!A:A,I:I,0,0,1)</f>
        <v>Prepaid expenses</v>
      </c>
      <c r="L59" s="87"/>
      <c r="M59" s="87"/>
      <c r="N59" s="85"/>
      <c r="O59" s="85"/>
      <c r="P59" s="85"/>
      <c r="Q59" s="85"/>
      <c r="R59" s="85"/>
      <c r="S59" s="85"/>
      <c r="T59" s="85"/>
      <c r="U59" s="85"/>
    </row>
    <row r="60" spans="1:21" hidden="1" outlineLevel="1" x14ac:dyDescent="0.25">
      <c r="A60" s="50"/>
      <c r="B60" s="155" t="str">
        <f>COA!B62</f>
        <v>2501 Due to/(from) related parties:Due To/From SAK2</v>
      </c>
      <c r="C60" s="127">
        <f>_xlfn.XLOOKUP(B60,'TB.3 - Dec 31, 2022'!A:A,'TB.3 - Dec 31, 2022'!D:D,0,0,1)</f>
        <v>0</v>
      </c>
      <c r="D60" s="127">
        <f>_xlfn.XLOOKUP(B60,'AJE.2B - F24'!A:A,'AJE.2B - F24'!M:M,0,0,1)</f>
        <v>0</v>
      </c>
      <c r="E60" s="127"/>
      <c r="F60" s="219">
        <f t="shared" si="1"/>
        <v>0</v>
      </c>
      <c r="G60" s="178" t="str">
        <f>_xlfn.XLOOKUP($B60,COA!$B:$B,COA!$C:$C,0,0,1)</f>
        <v>Due from related parties</v>
      </c>
      <c r="H60" s="178" t="str">
        <f>_xlfn.XLOOKUP($B60,COA!$B:$B,COA!$D:$D,0,0,1)</f>
        <v>Due from related parties</v>
      </c>
      <c r="I60" s="178" t="str">
        <f>_xlfn.XLOOKUP($B60,COA!$B:$B,COA!$E:$E,0,0,1)</f>
        <v>Due from related parties</v>
      </c>
      <c r="K60" s="85" t="str">
        <f>_xlfn.XLOOKUP(I60,FS.1!A:A,I:I,0,0,1)</f>
        <v>Prepaid expenses</v>
      </c>
      <c r="L60" s="87"/>
      <c r="M60" s="87"/>
      <c r="N60" s="85"/>
      <c r="O60" s="85"/>
      <c r="P60" s="85"/>
      <c r="Q60" s="85"/>
      <c r="R60" s="85"/>
      <c r="S60" s="85"/>
      <c r="T60" s="85"/>
      <c r="U60" s="85"/>
    </row>
    <row r="61" spans="1:21" hidden="1" outlineLevel="1" x14ac:dyDescent="0.25">
      <c r="A61" s="50"/>
      <c r="B61" s="155" t="str">
        <f>COA!B63</f>
        <v>2502 Due to/(from) related parties:Due To/From SAK6</v>
      </c>
      <c r="C61" s="127">
        <f>_xlfn.XLOOKUP(B61,'TB.3 - Dec 31, 2022'!A:A,'TB.3 - Dec 31, 2022'!D:D,0,0,1)</f>
        <v>-15750</v>
      </c>
      <c r="D61" s="127">
        <f>_xlfn.XLOOKUP(B61,'AJE.2B - F24'!A:A,'AJE.2B - F24'!M:M,0,0,1)</f>
        <v>0</v>
      </c>
      <c r="E61" s="127"/>
      <c r="F61" s="219">
        <f t="shared" si="1"/>
        <v>-15750</v>
      </c>
      <c r="G61" s="178" t="str">
        <f>_xlfn.XLOOKUP($B61,COA!$B:$B,COA!$C:$C,0,0,1)</f>
        <v>Due from related parties</v>
      </c>
      <c r="H61" s="178" t="str">
        <f>_xlfn.XLOOKUP($B61,COA!$B:$B,COA!$D:$D,0,0,1)</f>
        <v>Due from related parties</v>
      </c>
      <c r="I61" s="178" t="str">
        <f>_xlfn.XLOOKUP($B61,COA!$B:$B,COA!$E:$E,0,0,1)</f>
        <v>Due from related parties</v>
      </c>
      <c r="K61" s="85" t="str">
        <f>_xlfn.XLOOKUP(I61,FS.1!A:A,I:I,0,0,1)</f>
        <v>Prepaid expenses</v>
      </c>
      <c r="L61" s="87"/>
      <c r="M61" s="87"/>
      <c r="N61" s="85"/>
      <c r="O61" s="85"/>
      <c r="P61" s="85"/>
      <c r="Q61" s="85"/>
      <c r="R61" s="85"/>
      <c r="S61" s="85"/>
      <c r="T61" s="85"/>
      <c r="U61" s="85"/>
    </row>
    <row r="62" spans="1:21" hidden="1" outlineLevel="1" x14ac:dyDescent="0.25">
      <c r="A62" s="50"/>
      <c r="B62" s="155" t="str">
        <f>COA!B64</f>
        <v>2503 Due to/(from) related parties:Due To/From UpCapital</v>
      </c>
      <c r="C62" s="127">
        <f>_xlfn.XLOOKUP(B62,'TB.3 - Dec 31, 2022'!A:A,'TB.3 - Dec 31, 2022'!D:D,0,0,1)</f>
        <v>-2680.45</v>
      </c>
      <c r="D62" s="127">
        <f>_xlfn.XLOOKUP(B62,'AJE.2B - F24'!A:A,'AJE.2B - F24'!M:M,0,0,1)</f>
        <v>0</v>
      </c>
      <c r="E62" s="127"/>
      <c r="F62" s="219">
        <f t="shared" si="1"/>
        <v>-2680</v>
      </c>
      <c r="G62" s="178" t="str">
        <f>_xlfn.XLOOKUP($B62,COA!$B:$B,COA!$C:$C,0,0,1)</f>
        <v>Due from related parties</v>
      </c>
      <c r="H62" s="178" t="str">
        <f>_xlfn.XLOOKUP($B62,COA!$B:$B,COA!$D:$D,0,0,1)</f>
        <v>Due from related parties</v>
      </c>
      <c r="I62" s="178" t="str">
        <f>_xlfn.XLOOKUP($B62,COA!$B:$B,COA!$E:$E,0,0,1)</f>
        <v>Due from related parties</v>
      </c>
      <c r="K62" s="85" t="str">
        <f>_xlfn.XLOOKUP(I62,FS.1!A:A,I:I,0,0,1)</f>
        <v>Prepaid expenses</v>
      </c>
      <c r="L62" s="87"/>
      <c r="M62" s="87"/>
      <c r="N62" s="85"/>
      <c r="O62" s="85"/>
      <c r="P62" s="85"/>
      <c r="Q62" s="85"/>
      <c r="R62" s="85"/>
      <c r="S62" s="85"/>
      <c r="T62" s="85"/>
      <c r="U62" s="85"/>
    </row>
    <row r="63" spans="1:21" hidden="1" outlineLevel="1" x14ac:dyDescent="0.25">
      <c r="A63" s="50"/>
      <c r="B63" s="155" t="str">
        <f>COA!B65</f>
        <v>2504 Due to/(from) related parties:Shareholder's Loan</v>
      </c>
      <c r="C63" s="127">
        <f>_xlfn.XLOOKUP(B63,'TB.3 - Dec 31, 2022'!A:A,'TB.3 - Dec 31, 2022'!D:D,0,0,1)</f>
        <v>0</v>
      </c>
      <c r="D63" s="127">
        <f>_xlfn.XLOOKUP(B63,'AJE.2B - F24'!A:A,'AJE.2B - F24'!M:M,0,0,1)</f>
        <v>0</v>
      </c>
      <c r="E63" s="127"/>
      <c r="F63" s="219">
        <f t="shared" si="1"/>
        <v>0</v>
      </c>
      <c r="G63" s="178" t="str">
        <f>_xlfn.XLOOKUP($B63,COA!$B:$B,COA!$C:$C,0,0,1)</f>
        <v>Due from related parties</v>
      </c>
      <c r="H63" s="178" t="str">
        <f>_xlfn.XLOOKUP($B63,COA!$B:$B,COA!$D:$D,0,0,1)</f>
        <v>Due from related parties</v>
      </c>
      <c r="I63" s="178" t="str">
        <f>_xlfn.XLOOKUP($B63,COA!$B:$B,COA!$E:$E,0,0,1)</f>
        <v>Due from related parties</v>
      </c>
      <c r="K63" s="85" t="str">
        <f>_xlfn.XLOOKUP(I63,FS.1!A:A,I:I,0,0,1)</f>
        <v>Prepaid expenses</v>
      </c>
      <c r="L63" s="87"/>
      <c r="M63" s="87"/>
      <c r="N63" s="85"/>
      <c r="O63" s="85"/>
      <c r="P63" s="85"/>
      <c r="Q63" s="85"/>
      <c r="R63" s="85"/>
      <c r="S63" s="85"/>
      <c r="T63" s="85"/>
      <c r="U63" s="85"/>
    </row>
    <row r="64" spans="1:21" hidden="1" outlineLevel="1" x14ac:dyDescent="0.25">
      <c r="A64" s="50"/>
      <c r="B64" s="155" t="str">
        <f>COA!B66</f>
        <v>2600 Current portion of loans and borrowings</v>
      </c>
      <c r="C64" s="127">
        <f>_xlfn.XLOOKUP(B64,'TB.3 - Dec 31, 2022'!A:A,'TB.3 - Dec 31, 2022'!D:D,0,0,1)</f>
        <v>0</v>
      </c>
      <c r="D64" s="127">
        <f>_xlfn.XLOOKUP(B64,'AJE.2B - F24'!A:A,'AJE.2B - F24'!M:M,0,0,1)</f>
        <v>0</v>
      </c>
      <c r="E64" s="127"/>
      <c r="F64" s="219">
        <f t="shared" si="1"/>
        <v>0</v>
      </c>
      <c r="G64" s="178" t="str">
        <f>_xlfn.XLOOKUP($B64,COA!$B:$B,COA!$C:$C,0,0,1)</f>
        <v xml:space="preserve">Current portion of loans and borrowings </v>
      </c>
      <c r="H64" s="178" t="str">
        <f>_xlfn.XLOOKUP($B64,COA!$B:$B,COA!$D:$D,0,0,1)</f>
        <v xml:space="preserve">Current portion of loans and borrowings </v>
      </c>
      <c r="I64" s="178" t="str">
        <f>_xlfn.XLOOKUP($B64,COA!$B:$B,COA!$E:$E,0,0,1)</f>
        <v xml:space="preserve">Current portion of loans and borrowings </v>
      </c>
      <c r="K64" s="85">
        <f>_xlfn.XLOOKUP(I64,FS.1!A:A,I:I,0,0,1)</f>
        <v>0</v>
      </c>
      <c r="L64" s="87"/>
      <c r="M64" s="87"/>
      <c r="N64" s="85"/>
      <c r="O64" s="85"/>
      <c r="P64" s="85"/>
      <c r="Q64" s="85"/>
      <c r="R64" s="85"/>
      <c r="S64" s="85"/>
      <c r="T64" s="85"/>
      <c r="U64" s="85"/>
    </row>
    <row r="65" spans="1:21" hidden="1" outlineLevel="1" x14ac:dyDescent="0.25">
      <c r="A65" s="50"/>
      <c r="B65" s="155" t="str">
        <f>COA!B67</f>
        <v>2600 Due to RPT - Diane Halston</v>
      </c>
      <c r="C65" s="127">
        <f>_xlfn.XLOOKUP(B65,'TB.3 - Dec 31, 2022'!A:A,'TB.3 - Dec 31, 2022'!D:D,0,0,1)</f>
        <v>0</v>
      </c>
      <c r="D65" s="127">
        <f>_xlfn.XLOOKUP(B65,'AJE.2B - F24'!A:A,'AJE.2B - F24'!M:M,0,0,1)</f>
        <v>0</v>
      </c>
      <c r="E65" s="127"/>
      <c r="F65" s="219">
        <f t="shared" si="1"/>
        <v>0</v>
      </c>
      <c r="G65" s="178" t="str">
        <f>_xlfn.XLOOKUP($B65,COA!$B:$B,COA!$C:$C,0,0,1)</f>
        <v>Due to related parties</v>
      </c>
      <c r="H65" s="178" t="str">
        <f>_xlfn.XLOOKUP($B65,COA!$B:$B,COA!$D:$D,0,0,1)</f>
        <v>Due to related parties</v>
      </c>
      <c r="I65" s="178" t="str">
        <f>_xlfn.XLOOKUP($B65,COA!$B:$B,COA!$E:$E,0,0,1)</f>
        <v>Due to related parties</v>
      </c>
      <c r="K65" s="85" t="str">
        <f>_xlfn.XLOOKUP(I65,FS.1!A:A,I:I,0,0,1)</f>
        <v>Accounts payables and accrued liabilities</v>
      </c>
      <c r="L65" s="87"/>
      <c r="M65" s="87"/>
      <c r="N65" s="85"/>
      <c r="O65" s="85"/>
      <c r="P65" s="85"/>
      <c r="Q65" s="85"/>
      <c r="R65" s="85"/>
      <c r="S65" s="85"/>
      <c r="T65" s="85"/>
      <c r="U65" s="85"/>
    </row>
    <row r="66" spans="1:21" hidden="1" outlineLevel="1" x14ac:dyDescent="0.25">
      <c r="A66" s="50"/>
      <c r="B66" s="155" t="str">
        <f>COA!B68</f>
        <v>2601 Due to RPT - Brett Halston</v>
      </c>
      <c r="C66" s="127">
        <f>_xlfn.XLOOKUP(B66,'TB.3 - Dec 31, 2022'!A:A,'TB.3 - Dec 31, 2022'!D:D,0,0,1)</f>
        <v>0</v>
      </c>
      <c r="D66" s="127">
        <f>_xlfn.XLOOKUP(B66,'AJE.2B - F24'!A:A,'AJE.2B - F24'!M:M,0,0,1)</f>
        <v>0</v>
      </c>
      <c r="E66" s="127"/>
      <c r="F66" s="219">
        <f t="shared" si="1"/>
        <v>0</v>
      </c>
      <c r="G66" s="178" t="str">
        <f>_xlfn.XLOOKUP($B66,COA!$B:$B,COA!$C:$C,0,0,1)</f>
        <v>Due to related parties</v>
      </c>
      <c r="H66" s="178" t="str">
        <f>_xlfn.XLOOKUP($B66,COA!$B:$B,COA!$D:$D,0,0,1)</f>
        <v>Due to related parties</v>
      </c>
      <c r="I66" s="178" t="str">
        <f>_xlfn.XLOOKUP($B66,COA!$B:$B,COA!$E:$E,0,0,1)</f>
        <v>Due to related parties</v>
      </c>
      <c r="K66" s="85" t="str">
        <f>_xlfn.XLOOKUP(I66,FS.1!A:A,I:I,0,0,1)</f>
        <v>Accounts payables and accrued liabilities</v>
      </c>
      <c r="L66" s="87"/>
      <c r="M66" s="87"/>
      <c r="N66" s="85"/>
      <c r="O66" s="85"/>
      <c r="P66" s="85"/>
      <c r="Q66" s="85"/>
      <c r="R66" s="85"/>
      <c r="S66" s="85"/>
      <c r="T66" s="85"/>
      <c r="U66" s="85"/>
    </row>
    <row r="67" spans="1:21" hidden="1" outlineLevel="1" x14ac:dyDescent="0.25">
      <c r="A67" s="50"/>
      <c r="B67" s="155" t="str">
        <f>COA!B69</f>
        <v>2602 Due to RPT - Keith Halston</v>
      </c>
      <c r="C67" s="127">
        <f>_xlfn.XLOOKUP(B67,'TB.3 - Dec 31, 2022'!A:A,'TB.3 - Dec 31, 2022'!D:D,0,0,1)</f>
        <v>0</v>
      </c>
      <c r="D67" s="127">
        <f>_xlfn.XLOOKUP(B67,'AJE.2B - F24'!A:A,'AJE.2B - F24'!M:M,0,0,1)</f>
        <v>0</v>
      </c>
      <c r="E67" s="127"/>
      <c r="F67" s="219">
        <f t="shared" si="1"/>
        <v>0</v>
      </c>
      <c r="G67" s="178" t="str">
        <f>_xlfn.XLOOKUP($B67,COA!$B:$B,COA!$C:$C,0,0,1)</f>
        <v>Due to related parties</v>
      </c>
      <c r="H67" s="178" t="str">
        <f>_xlfn.XLOOKUP($B67,COA!$B:$B,COA!$D:$D,0,0,1)</f>
        <v>Due to related parties</v>
      </c>
      <c r="I67" s="178" t="str">
        <f>_xlfn.XLOOKUP($B67,COA!$B:$B,COA!$E:$E,0,0,1)</f>
        <v>Due to related parties</v>
      </c>
      <c r="K67" s="85" t="str">
        <f>_xlfn.XLOOKUP(I67,FS.1!A:A,I:I,0,0,1)</f>
        <v>Accounts payables and accrued liabilities</v>
      </c>
      <c r="L67" s="87"/>
      <c r="M67" s="87"/>
      <c r="N67" s="85"/>
      <c r="O67" s="85"/>
      <c r="P67" s="85"/>
      <c r="Q67" s="85"/>
      <c r="R67" s="85"/>
      <c r="S67" s="85"/>
      <c r="T67" s="85"/>
      <c r="U67" s="85"/>
    </row>
    <row r="68" spans="1:21" hidden="1" outlineLevel="1" x14ac:dyDescent="0.25">
      <c r="A68" s="50"/>
      <c r="B68" s="155" t="str">
        <f>COA!B70</f>
        <v>2650 Loans and borrowings</v>
      </c>
      <c r="C68" s="127">
        <f>_xlfn.XLOOKUP(B68,'TB.3 - Dec 31, 2022'!A:A,'TB.3 - Dec 31, 2022'!D:D,0,0,1)</f>
        <v>0</v>
      </c>
      <c r="D68" s="127">
        <f>_xlfn.XLOOKUP(B68,'AJE.2B - F24'!A:A,'AJE.2B - F24'!M:M,0,0,1)</f>
        <v>0</v>
      </c>
      <c r="E68" s="127"/>
      <c r="F68" s="219">
        <f t="shared" si="1"/>
        <v>0</v>
      </c>
      <c r="G68" s="178" t="str">
        <f>_xlfn.XLOOKUP($B68,COA!$B:$B,COA!$C:$C,0,0,1)</f>
        <v>Loans and borrowings</v>
      </c>
      <c r="H68" s="178" t="str">
        <f>_xlfn.XLOOKUP($B68,COA!$B:$B,COA!$D:$D,0,0,1)</f>
        <v>Loans and borrowings</v>
      </c>
      <c r="I68" s="178" t="str">
        <f>_xlfn.XLOOKUP($B68,COA!$B:$B,COA!$E:$E,0,0,1)</f>
        <v>Loans and borrowings</v>
      </c>
      <c r="K68" s="85" t="str">
        <f>_xlfn.XLOOKUP(I68,FS.1!A:A,I:I,0,0,1)</f>
        <v>Deferred revenue</v>
      </c>
      <c r="L68" s="87"/>
      <c r="M68" s="87"/>
      <c r="N68" s="85"/>
      <c r="O68" s="85"/>
      <c r="P68" s="85"/>
      <c r="Q68" s="85"/>
      <c r="R68" s="85"/>
      <c r="S68" s="85"/>
      <c r="T68" s="85"/>
      <c r="U68" s="85"/>
    </row>
    <row r="69" spans="1:21" hidden="1" outlineLevel="1" x14ac:dyDescent="0.25">
      <c r="A69" s="50"/>
      <c r="B69" s="155" t="str">
        <f>COA!B71</f>
        <v>2650 Loan Payable - current</v>
      </c>
      <c r="C69" s="127">
        <f>_xlfn.XLOOKUP(B69,'TB.3 - Dec 31, 2022'!A:A,'TB.3 - Dec 31, 2022'!D:D,0,0,1)</f>
        <v>0</v>
      </c>
      <c r="D69" s="127">
        <f>_xlfn.XLOOKUP(B69,'AJE.2B - F24'!A:A,'AJE.2B - F24'!M:M,0,0,1)</f>
        <v>0</v>
      </c>
      <c r="E69" s="127"/>
      <c r="F69" s="219">
        <f t="shared" si="1"/>
        <v>0</v>
      </c>
      <c r="G69" s="178" t="str">
        <f>_xlfn.XLOOKUP($B69,COA!$B:$B,COA!$C:$C,0,0,1)</f>
        <v>Loans and borrowings</v>
      </c>
      <c r="H69" s="178" t="str">
        <f>_xlfn.XLOOKUP($B69,COA!$B:$B,COA!$D:$D,0,0,1)</f>
        <v>Loans and borrowings</v>
      </c>
      <c r="I69" s="178" t="str">
        <f>_xlfn.XLOOKUP($B69,COA!$B:$B,COA!$E:$E,0,0,1)</f>
        <v>Loans and borrowings</v>
      </c>
      <c r="K69" s="85" t="str">
        <f>_xlfn.XLOOKUP(I69,FS.1!A:A,I:I,0,0,1)</f>
        <v>Deferred revenue</v>
      </c>
      <c r="L69" s="87"/>
      <c r="M69" s="87"/>
      <c r="N69" s="85"/>
      <c r="O69" s="85"/>
      <c r="P69" s="85"/>
      <c r="Q69" s="85"/>
      <c r="R69" s="85"/>
      <c r="S69" s="85"/>
      <c r="T69" s="85"/>
      <c r="U69" s="85"/>
    </row>
    <row r="70" spans="1:21" hidden="1" outlineLevel="1" x14ac:dyDescent="0.25">
      <c r="A70" s="50"/>
      <c r="B70" s="155" t="str">
        <f>COA!B72</f>
        <v>2651 Loan Payable - non-current</v>
      </c>
      <c r="C70" s="127">
        <f>_xlfn.XLOOKUP(B70,'TB.3 - Dec 31, 2022'!A:A,'TB.3 - Dec 31, 2022'!D:D,0,0,1)</f>
        <v>0</v>
      </c>
      <c r="D70" s="127">
        <f>_xlfn.XLOOKUP(B70,'AJE.2B - F24'!A:A,'AJE.2B - F24'!M:M,0,0,1)</f>
        <v>0</v>
      </c>
      <c r="E70" s="127"/>
      <c r="F70" s="219">
        <f t="shared" si="1"/>
        <v>0</v>
      </c>
      <c r="G70" s="178" t="str">
        <f>_xlfn.XLOOKUP($B70,COA!$B:$B,COA!$C:$C,0,0,1)</f>
        <v>Loans and borrowings</v>
      </c>
      <c r="H70" s="178" t="str">
        <f>_xlfn.XLOOKUP($B70,COA!$B:$B,COA!$D:$D,0,0,1)</f>
        <v>Loans and borrowings</v>
      </c>
      <c r="I70" s="178" t="str">
        <f>_xlfn.XLOOKUP($B70,COA!$B:$B,COA!$E:$E,0,0,1)</f>
        <v>Loans and borrowings</v>
      </c>
      <c r="K70" s="85" t="str">
        <f>_xlfn.XLOOKUP(I70,FS.1!A:A,I:I,0,0,1)</f>
        <v>Deferred revenue</v>
      </c>
      <c r="L70" s="87"/>
      <c r="M70" s="87"/>
      <c r="N70" s="85"/>
      <c r="O70" s="85"/>
      <c r="P70" s="85"/>
      <c r="Q70" s="85"/>
      <c r="R70" s="85"/>
      <c r="S70" s="85"/>
      <c r="T70" s="85"/>
      <c r="U70" s="85"/>
    </row>
    <row r="71" spans="1:21" hidden="1" outlineLevel="1" x14ac:dyDescent="0.25">
      <c r="A71" s="50"/>
      <c r="B71" s="155" t="str">
        <f>COA!B73</f>
        <v>2700 Share subscription payable</v>
      </c>
      <c r="C71" s="127">
        <f>_xlfn.XLOOKUP(B71,'TB.3 - Dec 31, 2022'!A:A,'TB.3 - Dec 31, 2022'!D:D,0,0,1)</f>
        <v>0</v>
      </c>
      <c r="D71" s="127">
        <f>_xlfn.XLOOKUP(B71,'AJE.2B - F24'!A:A,'AJE.2B - F24'!M:M,0,0,1)</f>
        <v>0</v>
      </c>
      <c r="E71" s="127"/>
      <c r="F71" s="219">
        <f t="shared" ref="F71:F134" si="2">ROUND(SUM(C71:E71),0)</f>
        <v>0</v>
      </c>
      <c r="G71" s="178" t="str">
        <f>_xlfn.XLOOKUP($B71,COA!$B:$B,COA!$C:$C,0,0,1)</f>
        <v>Share subscription payable</v>
      </c>
      <c r="H71" s="178" t="str">
        <f>_xlfn.XLOOKUP($B71,COA!$B:$B,COA!$D:$D,0,0,1)</f>
        <v>Share subscription payable</v>
      </c>
      <c r="I71" s="178" t="str">
        <f>_xlfn.XLOOKUP($B71,COA!$B:$B,COA!$E:$E,0,0,1)</f>
        <v>Share subscription payable</v>
      </c>
      <c r="K71" s="85">
        <f>_xlfn.XLOOKUP(I71,FS.1!A:A,I:I,0,0,1)</f>
        <v>0</v>
      </c>
      <c r="L71" s="87"/>
      <c r="M71" s="87"/>
      <c r="N71" s="85"/>
      <c r="O71" s="85"/>
      <c r="P71" s="85"/>
      <c r="Q71" s="85"/>
      <c r="R71" s="85"/>
      <c r="S71" s="85"/>
      <c r="T71" s="85"/>
      <c r="U71" s="85"/>
    </row>
    <row r="72" spans="1:21" hidden="1" outlineLevel="1" x14ac:dyDescent="0.25">
      <c r="A72" s="50"/>
      <c r="B72" s="155" t="str">
        <f>COA!B74</f>
        <v>2700 Due to Shareholders</v>
      </c>
      <c r="C72" s="127">
        <f>_xlfn.XLOOKUP(B72,'TB.3 - Dec 31, 2022'!A:A,'TB.3 - Dec 31, 2022'!D:D,0,0,1)</f>
        <v>0</v>
      </c>
      <c r="D72" s="127">
        <f>_xlfn.XLOOKUP(B72,'AJE.2B - F24'!A:A,'AJE.2B - F24'!M:M,0,0,1)</f>
        <v>0</v>
      </c>
      <c r="E72" s="127"/>
      <c r="F72" s="219">
        <f t="shared" si="2"/>
        <v>0</v>
      </c>
      <c r="G72" s="178" t="str">
        <f>_xlfn.XLOOKUP($B72,COA!$B:$B,COA!$C:$C,0,0,1)</f>
        <v>Due to related parties</v>
      </c>
      <c r="H72" s="178" t="str">
        <f>_xlfn.XLOOKUP($B72,COA!$B:$B,COA!$D:$D,0,0,1)</f>
        <v>Due to related parties</v>
      </c>
      <c r="I72" s="178" t="str">
        <f>_xlfn.XLOOKUP($B72,COA!$B:$B,COA!$E:$E,0,0,1)</f>
        <v>Due to related parties</v>
      </c>
      <c r="K72" s="85" t="str">
        <f>_xlfn.XLOOKUP(I72,FS.1!A:A,I:I,0,0,1)</f>
        <v>Accounts payables and accrued liabilities</v>
      </c>
      <c r="L72" s="87"/>
      <c r="M72" s="87"/>
      <c r="N72" s="85"/>
      <c r="O72" s="85"/>
      <c r="P72" s="85"/>
      <c r="Q72" s="85"/>
      <c r="R72" s="85"/>
      <c r="S72" s="85"/>
      <c r="T72" s="85"/>
      <c r="U72" s="85"/>
    </row>
    <row r="73" spans="1:21" hidden="1" outlineLevel="1" x14ac:dyDescent="0.25">
      <c r="A73" s="50"/>
      <c r="B73" s="155" t="str">
        <f>COA!B75</f>
        <v>2705 Due to Shareholders:Due to SH - James Taylor</v>
      </c>
      <c r="C73" s="127">
        <f>_xlfn.XLOOKUP(B73,'TB.3 - Dec 31, 2022'!A:A,'TB.3 - Dec 31, 2022'!D:D,0,0,1)</f>
        <v>0</v>
      </c>
      <c r="D73" s="127">
        <f>_xlfn.XLOOKUP(B73,'AJE.2B - F24'!A:A,'AJE.2B - F24'!M:M,0,0,1)</f>
        <v>0</v>
      </c>
      <c r="E73" s="127"/>
      <c r="F73" s="219">
        <f t="shared" si="2"/>
        <v>0</v>
      </c>
      <c r="G73" s="178" t="str">
        <f>_xlfn.XLOOKUP($B73,COA!$B:$B,COA!$C:$C,0,0,1)</f>
        <v>Due to related parties</v>
      </c>
      <c r="H73" s="178" t="str">
        <f>_xlfn.XLOOKUP($B73,COA!$B:$B,COA!$D:$D,0,0,1)</f>
        <v>Due to related parties</v>
      </c>
      <c r="I73" s="178" t="str">
        <f>_xlfn.XLOOKUP($B73,COA!$B:$B,COA!$E:$E,0,0,1)</f>
        <v>Due to related parties</v>
      </c>
      <c r="K73" s="85" t="str">
        <f>_xlfn.XLOOKUP(I73,FS.1!A:A,I:I,0,0,1)</f>
        <v>Accounts payables and accrued liabilities</v>
      </c>
      <c r="L73" s="87"/>
      <c r="M73" s="87"/>
      <c r="N73" s="85"/>
      <c r="O73" s="85"/>
      <c r="P73" s="85"/>
      <c r="Q73" s="85"/>
      <c r="R73" s="85"/>
      <c r="S73" s="85"/>
      <c r="T73" s="85"/>
      <c r="U73" s="85"/>
    </row>
    <row r="74" spans="1:21" hidden="1" outlineLevel="1" x14ac:dyDescent="0.25">
      <c r="A74" s="50"/>
      <c r="B74" s="155" t="str">
        <f>COA!B76</f>
        <v>2706 Due to Shareholders:Due to SH - Keith Halston</v>
      </c>
      <c r="C74" s="127">
        <f>_xlfn.XLOOKUP(B74,'TB.3 - Dec 31, 2022'!A:A,'TB.3 - Dec 31, 2022'!D:D,0,0,1)</f>
        <v>0</v>
      </c>
      <c r="D74" s="127">
        <f>_xlfn.XLOOKUP(B74,'AJE.2B - F24'!A:A,'AJE.2B - F24'!M:M,0,0,1)</f>
        <v>0</v>
      </c>
      <c r="E74" s="127"/>
      <c r="F74" s="219">
        <f t="shared" si="2"/>
        <v>0</v>
      </c>
      <c r="G74" s="178" t="str">
        <f>_xlfn.XLOOKUP($B74,COA!$B:$B,COA!$C:$C,0,0,1)</f>
        <v>Due to related parties</v>
      </c>
      <c r="H74" s="178" t="str">
        <f>_xlfn.XLOOKUP($B74,COA!$B:$B,COA!$D:$D,0,0,1)</f>
        <v>Due to related parties</v>
      </c>
      <c r="I74" s="178" t="str">
        <f>_xlfn.XLOOKUP($B74,COA!$B:$B,COA!$E:$E,0,0,1)</f>
        <v>Due to related parties</v>
      </c>
      <c r="K74" s="85" t="str">
        <f>_xlfn.XLOOKUP(I74,FS.1!A:A,I:I,0,0,1)</f>
        <v>Accounts payables and accrued liabilities</v>
      </c>
      <c r="L74" s="87"/>
      <c r="M74" s="87"/>
      <c r="N74" s="85"/>
      <c r="O74" s="85"/>
      <c r="P74" s="85"/>
      <c r="Q74" s="85"/>
      <c r="R74" s="85"/>
      <c r="S74" s="85"/>
      <c r="T74" s="85"/>
      <c r="U74" s="85"/>
    </row>
    <row r="75" spans="1:21" hidden="1" outlineLevel="1" x14ac:dyDescent="0.25">
      <c r="A75" s="50"/>
      <c r="B75" s="155" t="str">
        <f>COA!B77</f>
        <v>2800 Current portion - convertible debt</v>
      </c>
      <c r="C75" s="127">
        <f>_xlfn.XLOOKUP(B75,'TB.3 - Dec 31, 2022'!A:A,'TB.3 - Dec 31, 2022'!D:D,0,0,1)</f>
        <v>0</v>
      </c>
      <c r="D75" s="127">
        <f>_xlfn.XLOOKUP(B75,'AJE.2B - F24'!A:A,'AJE.2B - F24'!M:M,0,0,1)</f>
        <v>0</v>
      </c>
      <c r="E75" s="127"/>
      <c r="F75" s="219">
        <f t="shared" si="2"/>
        <v>0</v>
      </c>
      <c r="G75" s="178" t="str">
        <f>_xlfn.XLOOKUP($B75,COA!$B:$B,COA!$C:$C,0,0,1)</f>
        <v>Convertible debt</v>
      </c>
      <c r="H75" s="178" t="str">
        <f>_xlfn.XLOOKUP($B75,COA!$B:$B,COA!$D:$D,0,0,1)</f>
        <v>Convertible debt</v>
      </c>
      <c r="I75" s="178" t="str">
        <f>_xlfn.XLOOKUP($B75,COA!$B:$B,COA!$E:$E,0,0,1)</f>
        <v>Convertible debt</v>
      </c>
      <c r="K75" s="85" t="str">
        <f>_xlfn.XLOOKUP(I75,FS.1!A:A,I:I,0,0,1)</f>
        <v>Equipment</v>
      </c>
      <c r="L75" s="87"/>
      <c r="M75" s="87"/>
      <c r="N75" s="85"/>
      <c r="O75" s="85"/>
      <c r="P75" s="85"/>
      <c r="Q75" s="85"/>
      <c r="R75" s="85"/>
      <c r="S75" s="85"/>
      <c r="T75" s="85"/>
      <c r="U75" s="85"/>
    </row>
    <row r="76" spans="1:21" hidden="1" outlineLevel="1" x14ac:dyDescent="0.25">
      <c r="A76" s="50"/>
      <c r="B76" s="155" t="str">
        <f>COA!B78</f>
        <v>2801 long-term portion - convertible debt</v>
      </c>
      <c r="C76" s="127">
        <f>_xlfn.XLOOKUP(B76,'TB.3 - Dec 31, 2022'!A:A,'TB.3 - Dec 31, 2022'!D:D,0,0,1)</f>
        <v>0</v>
      </c>
      <c r="D76" s="127">
        <f>_xlfn.XLOOKUP(B76,'AJE.2B - F24'!A:A,'AJE.2B - F24'!M:M,0,0,1)</f>
        <v>0</v>
      </c>
      <c r="E76" s="127"/>
      <c r="F76" s="219">
        <f t="shared" si="2"/>
        <v>0</v>
      </c>
      <c r="G76" s="178" t="str">
        <f>_xlfn.XLOOKUP($B76,COA!$B:$B,COA!$C:$C,0,0,1)</f>
        <v>Convertible debt</v>
      </c>
      <c r="H76" s="178" t="str">
        <f>_xlfn.XLOOKUP($B76,COA!$B:$B,COA!$D:$D,0,0,1)</f>
        <v>Convertible debt</v>
      </c>
      <c r="I76" s="178" t="str">
        <f>_xlfn.XLOOKUP($B76,COA!$B:$B,COA!$E:$E,0,0,1)</f>
        <v>Convertible debt</v>
      </c>
      <c r="K76" s="85" t="str">
        <f>_xlfn.XLOOKUP(I76,FS.1!A:A,I:I,0,0,1)</f>
        <v>Equipment</v>
      </c>
      <c r="L76" s="87"/>
      <c r="M76" s="87"/>
      <c r="N76" s="85"/>
      <c r="O76" s="85"/>
      <c r="P76" s="85"/>
      <c r="Q76" s="85"/>
      <c r="R76" s="85"/>
      <c r="S76" s="85"/>
      <c r="T76" s="85"/>
      <c r="U76" s="85"/>
    </row>
    <row r="77" spans="1:21" hidden="1" outlineLevel="1" x14ac:dyDescent="0.25">
      <c r="A77" s="50"/>
      <c r="B77" s="155" t="str">
        <f>COA!B79</f>
        <v>2802 Derivative liability</v>
      </c>
      <c r="C77" s="127">
        <f>_xlfn.XLOOKUP(B77,'TB.3 - Dec 31, 2022'!A:A,'TB.3 - Dec 31, 2022'!D:D,0,0,1)</f>
        <v>0</v>
      </c>
      <c r="D77" s="127">
        <f>_xlfn.XLOOKUP(B77,'AJE.2B - F24'!A:A,'AJE.2B - F24'!M:M,0,0,1)</f>
        <v>0</v>
      </c>
      <c r="E77" s="127"/>
      <c r="F77" s="219">
        <f t="shared" si="2"/>
        <v>0</v>
      </c>
      <c r="G77" s="178" t="str">
        <f>_xlfn.XLOOKUP($B77,COA!$B:$B,COA!$C:$C,0,0,1)</f>
        <v>Derivative liability</v>
      </c>
      <c r="H77" s="178" t="str">
        <f>_xlfn.XLOOKUP($B77,COA!$B:$B,COA!$D:$D,0,0,1)</f>
        <v>Derivative liability</v>
      </c>
      <c r="I77" s="178" t="str">
        <f>_xlfn.XLOOKUP($B77,COA!$B:$B,COA!$E:$E,0,0,1)</f>
        <v>Derivative liability</v>
      </c>
      <c r="K77" s="85" t="str">
        <f>_xlfn.XLOOKUP(I77,FS.1!A:A,I:I,0,0,1)</f>
        <v>Other current assets</v>
      </c>
      <c r="L77" s="87"/>
      <c r="M77" s="87"/>
      <c r="N77" s="85"/>
      <c r="O77" s="85"/>
      <c r="P77" s="85"/>
      <c r="Q77" s="85"/>
      <c r="R77" s="85"/>
      <c r="S77" s="85"/>
      <c r="T77" s="85"/>
      <c r="U77" s="85"/>
    </row>
    <row r="78" spans="1:21" hidden="1" outlineLevel="1" x14ac:dyDescent="0.25">
      <c r="A78" s="50"/>
      <c r="B78" s="155" t="str">
        <f>COA!B81</f>
        <v>2900 Intercompany - due to Hallor Group Inc.</v>
      </c>
      <c r="C78" s="127">
        <f>_xlfn.XLOOKUP(B78,'TB.3 - Dec 31, 2022'!A:A,'TB.3 - Dec 31, 2022'!D:D,0,0,1)</f>
        <v>0</v>
      </c>
      <c r="D78" s="127">
        <f>_xlfn.XLOOKUP(B78,'AJE.2B - F24'!A:A,'AJE.2B - F24'!M:M,0,0,1)</f>
        <v>0</v>
      </c>
      <c r="E78" s="127"/>
      <c r="F78" s="219">
        <f t="shared" si="2"/>
        <v>0</v>
      </c>
      <c r="G78" s="178" t="str">
        <f>_xlfn.XLOOKUP($B78,COA!$B:$B,COA!$C:$C,0,0,1)</f>
        <v>Intercompany</v>
      </c>
      <c r="H78" s="178" t="str">
        <f>_xlfn.XLOOKUP($B78,COA!$B:$B,COA!$D:$D,0,0,1)</f>
        <v>Intercompany</v>
      </c>
      <c r="I78" s="178" t="str">
        <f>_xlfn.XLOOKUP($B78,COA!$B:$B,COA!$E:$E,0,0,1)</f>
        <v>Intercompany</v>
      </c>
      <c r="K78" s="85">
        <f>_xlfn.XLOOKUP(I78,FS.1!A:A,I:I,0,0,1)</f>
        <v>0</v>
      </c>
      <c r="L78" s="87"/>
      <c r="M78" s="87"/>
      <c r="N78" s="85"/>
      <c r="O78" s="85"/>
      <c r="P78" s="85"/>
      <c r="Q78" s="85"/>
      <c r="R78" s="85"/>
      <c r="S78" s="85"/>
      <c r="T78" s="85"/>
      <c r="U78" s="85"/>
    </row>
    <row r="79" spans="1:21" hidden="1" outlineLevel="1" x14ac:dyDescent="0.25">
      <c r="A79" s="50"/>
      <c r="B79" s="155" t="str">
        <f>COA!B82</f>
        <v>3000 Share capital</v>
      </c>
      <c r="C79" s="127">
        <f>_xlfn.XLOOKUP(B79,'TB.3 - Dec 31, 2022'!A:A,'TB.3 - Dec 31, 2022'!D:D,0,0,1)</f>
        <v>0</v>
      </c>
      <c r="D79" s="127">
        <f>_xlfn.XLOOKUP(B79,'AJE.2B - F24'!A:A,'AJE.2B - F24'!M:M,0,0,1)</f>
        <v>0</v>
      </c>
      <c r="E79" s="127"/>
      <c r="F79" s="219">
        <f t="shared" si="2"/>
        <v>0</v>
      </c>
      <c r="G79" s="178" t="str">
        <f>_xlfn.XLOOKUP($B79,COA!$B:$B,COA!$C:$C,0,0,1)</f>
        <v>Share capital</v>
      </c>
      <c r="H79" s="178" t="str">
        <f>_xlfn.XLOOKUP($B79,COA!$B:$B,COA!$D:$D,0,0,1)</f>
        <v>Share capital</v>
      </c>
      <c r="I79" s="178" t="str">
        <f>_xlfn.XLOOKUP($B79,COA!$B:$B,COA!$E:$E,0,0,1)</f>
        <v>Share capital</v>
      </c>
      <c r="K79" s="85" t="str">
        <f>_xlfn.XLOOKUP(I79,FS.1!A:A,I:I,0,0,1)</f>
        <v>Payroll liabilities</v>
      </c>
      <c r="L79" s="87"/>
      <c r="M79" s="87"/>
      <c r="N79" s="85"/>
      <c r="O79" s="85"/>
      <c r="P79" s="85"/>
      <c r="Q79" s="85"/>
      <c r="R79" s="85"/>
      <c r="S79" s="85"/>
      <c r="T79" s="85"/>
      <c r="U79" s="85"/>
    </row>
    <row r="80" spans="1:21" hidden="1" outlineLevel="1" x14ac:dyDescent="0.25">
      <c r="A80" s="50"/>
      <c r="B80" s="155" t="str">
        <f>COA!B83</f>
        <v>3000 Opening Bal Equity</v>
      </c>
      <c r="C80" s="127">
        <f>_xlfn.XLOOKUP(B80,'TB.3 - Dec 31, 2022'!A:A,'TB.3 - Dec 31, 2022'!D:D,0,0,1)</f>
        <v>0</v>
      </c>
      <c r="D80" s="127">
        <f>_xlfn.XLOOKUP(B80,'AJE.2B - F24'!A:A,'AJE.2B - F24'!M:M,0,0,1)</f>
        <v>0</v>
      </c>
      <c r="E80" s="127"/>
      <c r="F80" s="219">
        <f t="shared" si="2"/>
        <v>0</v>
      </c>
      <c r="G80" s="178" t="str">
        <f>_xlfn.XLOOKUP($B80,COA!$B:$B,COA!$C:$C,0,0,1)</f>
        <v>Accumulated deficit</v>
      </c>
      <c r="H80" s="178" t="str">
        <f>_xlfn.XLOOKUP($B80,COA!$B:$B,COA!$D:$D,0,0,1)</f>
        <v>Accumulated deficit</v>
      </c>
      <c r="I80" s="178" t="str">
        <f>_xlfn.XLOOKUP($B80,COA!$B:$B,COA!$E:$E,0,0,1)</f>
        <v>Accumulated deficit</v>
      </c>
      <c r="K80" s="85" t="str">
        <f>_xlfn.XLOOKUP(I80,FS.1!A:A,I:I,0,0,1)</f>
        <v>Payroll liabilities</v>
      </c>
      <c r="L80" s="87"/>
      <c r="M80" s="87"/>
      <c r="N80" s="85"/>
      <c r="O80" s="85"/>
      <c r="P80" s="85"/>
      <c r="Q80" s="85"/>
      <c r="R80" s="85"/>
      <c r="S80" s="85"/>
      <c r="T80" s="85"/>
      <c r="U80" s="85"/>
    </row>
    <row r="81" spans="1:21" hidden="1" outlineLevel="1" x14ac:dyDescent="0.25">
      <c r="A81" s="50"/>
      <c r="B81" s="155" t="str">
        <f>COA!B84</f>
        <v>3001 Share capital:Common Shares</v>
      </c>
      <c r="C81" s="127">
        <f>_xlfn.XLOOKUP(B81,'TB.3 - Dec 31, 2022'!A:A,'TB.3 - Dec 31, 2022'!D:D,0,0,1)</f>
        <v>-1801251</v>
      </c>
      <c r="D81" s="127">
        <f>_xlfn.XLOOKUP(B81,'AJE.2B - F24'!A:A,'AJE.2B - F24'!M:M,0,0,1)</f>
        <v>0</v>
      </c>
      <c r="E81" s="127"/>
      <c r="F81" s="219">
        <f t="shared" si="2"/>
        <v>-1801251</v>
      </c>
      <c r="G81" s="178" t="str">
        <f>_xlfn.XLOOKUP($B81,COA!$B:$B,COA!$C:$C,0,0,1)</f>
        <v>Share capital</v>
      </c>
      <c r="H81" s="178" t="str">
        <f>_xlfn.XLOOKUP($B81,COA!$B:$B,COA!$D:$D,0,0,1)</f>
        <v>Share capital</v>
      </c>
      <c r="I81" s="178" t="str">
        <f>_xlfn.XLOOKUP($B81,COA!$B:$B,COA!$E:$E,0,0,1)</f>
        <v>Share capital</v>
      </c>
      <c r="K81" s="85" t="str">
        <f>_xlfn.XLOOKUP(I81,FS.1!A:A,I:I,0,0,1)</f>
        <v>Payroll liabilities</v>
      </c>
      <c r="L81" s="87"/>
      <c r="M81" s="87"/>
      <c r="N81" s="85"/>
      <c r="O81" s="85"/>
      <c r="P81" s="85"/>
      <c r="Q81" s="85"/>
      <c r="R81" s="85"/>
      <c r="S81" s="85"/>
      <c r="T81" s="85"/>
      <c r="U81" s="85"/>
    </row>
    <row r="82" spans="1:21" hidden="1" outlineLevel="1" x14ac:dyDescent="0.25">
      <c r="A82" s="50"/>
      <c r="B82" s="155" t="str">
        <f>COA!B85</f>
        <v>3010 Share issuance cost</v>
      </c>
      <c r="C82" s="127">
        <f>_xlfn.XLOOKUP(B82,'TB.3 - Dec 31, 2022'!A:A,'TB.3 - Dec 31, 2022'!D:D,0,0,1)</f>
        <v>25626.43</v>
      </c>
      <c r="D82" s="127">
        <f>_xlfn.XLOOKUP(B82,'AJE.2B - F24'!A:A,'AJE.2B - F24'!M:M,0,0,1)</f>
        <v>0</v>
      </c>
      <c r="E82" s="127"/>
      <c r="F82" s="219">
        <f t="shared" si="2"/>
        <v>25626</v>
      </c>
      <c r="G82" s="178" t="str">
        <f>_xlfn.XLOOKUP($B82,COA!$B:$B,COA!$C:$C,0,0,1)</f>
        <v>Share capital</v>
      </c>
      <c r="H82" s="178" t="str">
        <f>_xlfn.XLOOKUP($B82,COA!$B:$B,COA!$D:$D,0,0,1)</f>
        <v>Share capital</v>
      </c>
      <c r="I82" s="178" t="str">
        <f>_xlfn.XLOOKUP($B82,COA!$B:$B,COA!$E:$E,0,0,1)</f>
        <v>Share capital</v>
      </c>
      <c r="K82" s="85" t="str">
        <f>_xlfn.XLOOKUP(I82,FS.1!A:A,I:I,0,0,1)</f>
        <v>Payroll liabilities</v>
      </c>
      <c r="L82" s="87"/>
      <c r="M82" s="87"/>
      <c r="N82" s="85"/>
      <c r="O82" s="85"/>
      <c r="P82" s="85"/>
      <c r="Q82" s="85"/>
      <c r="R82" s="85"/>
      <c r="S82" s="85"/>
      <c r="T82" s="85"/>
      <c r="U82" s="85"/>
    </row>
    <row r="83" spans="1:21" hidden="1" outlineLevel="1" x14ac:dyDescent="0.25">
      <c r="A83" s="50"/>
      <c r="B83" s="155" t="str">
        <f>COA!B86</f>
        <v>3100 Warrant reserve</v>
      </c>
      <c r="C83" s="127">
        <f>_xlfn.XLOOKUP(B83,'TB.3 - Dec 31, 2022'!A:A,'TB.3 - Dec 31, 2022'!D:D,0,0,1)</f>
        <v>-258750</v>
      </c>
      <c r="D83" s="127">
        <f>_xlfn.XLOOKUP(B83,'AJE.2B - F24'!A:A,'AJE.2B - F24'!M:M,0,0,1)</f>
        <v>0</v>
      </c>
      <c r="E83" s="127"/>
      <c r="F83" s="219">
        <f t="shared" si="2"/>
        <v>-258750</v>
      </c>
      <c r="G83" s="178" t="str">
        <f>_xlfn.XLOOKUP($B83,COA!$B:$B,COA!$C:$C,0,0,1)</f>
        <v>Contributed surplus</v>
      </c>
      <c r="H83" s="178" t="str">
        <f>_xlfn.XLOOKUP($B83,COA!$B:$B,COA!$D:$D,0,0,1)</f>
        <v>Contributed surplus</v>
      </c>
      <c r="I83" s="178" t="str">
        <f>_xlfn.XLOOKUP($B83,COA!$B:$B,COA!$E:$E,0,0,1)</f>
        <v>Contributed surplus</v>
      </c>
      <c r="K83" s="85" t="str">
        <f>_xlfn.XLOOKUP(I83,FS.1!A:A,I:I,0,0,1)</f>
        <v>Payroll liabilities</v>
      </c>
      <c r="L83" s="87"/>
      <c r="M83" s="87"/>
      <c r="N83" s="85"/>
      <c r="O83" s="85"/>
      <c r="P83" s="85"/>
      <c r="Q83" s="85"/>
      <c r="R83" s="85"/>
      <c r="S83" s="85"/>
      <c r="T83" s="85"/>
      <c r="U83" s="85"/>
    </row>
    <row r="84" spans="1:21" hidden="1" outlineLevel="1" x14ac:dyDescent="0.25">
      <c r="A84" s="50"/>
      <c r="B84" s="155" t="str">
        <f>COA!B87</f>
        <v>3100 Common Shares</v>
      </c>
      <c r="C84" s="127">
        <f>_xlfn.XLOOKUP(B84,'TB.3 - Dec 31, 2022'!A:A,'TB.3 - Dec 31, 2022'!D:D,0,0,1)</f>
        <v>0</v>
      </c>
      <c r="D84" s="127">
        <f>_xlfn.XLOOKUP(B84,'AJE.2B - F24'!A:A,'AJE.2B - F24'!M:M,0,0,1)</f>
        <v>0</v>
      </c>
      <c r="E84" s="127"/>
      <c r="F84" s="219">
        <f t="shared" si="2"/>
        <v>0</v>
      </c>
      <c r="G84" s="178" t="str">
        <f>_xlfn.XLOOKUP($B84,COA!$B:$B,COA!$C:$C,0,0,1)</f>
        <v>Share capital</v>
      </c>
      <c r="H84" s="178" t="str">
        <f>_xlfn.XLOOKUP($B84,COA!$B:$B,COA!$D:$D,0,0,1)</f>
        <v>Share capital</v>
      </c>
      <c r="I84" s="178" t="str">
        <f>_xlfn.XLOOKUP($B84,COA!$B:$B,COA!$E:$E,0,0,1)</f>
        <v>Share capital</v>
      </c>
      <c r="K84" s="85" t="str">
        <f>_xlfn.XLOOKUP(I84,FS.1!A:A,I:I,0,0,1)</f>
        <v>Payroll liabilities</v>
      </c>
      <c r="L84" s="87"/>
      <c r="M84" s="87"/>
      <c r="N84" s="85"/>
      <c r="O84" s="85"/>
      <c r="P84" s="85"/>
      <c r="Q84" s="85"/>
      <c r="R84" s="85"/>
      <c r="S84" s="85"/>
      <c r="T84" s="85"/>
      <c r="U84" s="85"/>
    </row>
    <row r="85" spans="1:21" hidden="1" outlineLevel="1" x14ac:dyDescent="0.25">
      <c r="A85" s="50"/>
      <c r="B85" s="155" t="str">
        <f>COA!B88</f>
        <v>3105 Common Shares:Class A Shares</v>
      </c>
      <c r="C85" s="127">
        <f>_xlfn.XLOOKUP(B85,'TB.3 - Dec 31, 2022'!A:A,'TB.3 - Dec 31, 2022'!D:D,0,0,1)</f>
        <v>0</v>
      </c>
      <c r="D85" s="127">
        <f>_xlfn.XLOOKUP(B85,'AJE.2B - F24'!A:A,'AJE.2B - F24'!M:M,0,0,1)</f>
        <v>0</v>
      </c>
      <c r="E85" s="127"/>
      <c r="F85" s="219">
        <f t="shared" si="2"/>
        <v>0</v>
      </c>
      <c r="G85" s="178" t="str">
        <f>_xlfn.XLOOKUP($B85,COA!$B:$B,COA!$C:$C,0,0,1)</f>
        <v>Share capital</v>
      </c>
      <c r="H85" s="178" t="str">
        <f>_xlfn.XLOOKUP($B85,COA!$B:$B,COA!$D:$D,0,0,1)</f>
        <v>Share capital</v>
      </c>
      <c r="I85" s="178" t="str">
        <f>_xlfn.XLOOKUP($B85,COA!$B:$B,COA!$E:$E,0,0,1)</f>
        <v>Share capital</v>
      </c>
      <c r="K85" s="85" t="str">
        <f>_xlfn.XLOOKUP(I85,FS.1!A:A,I:I,0,0,1)</f>
        <v>Payroll liabilities</v>
      </c>
      <c r="L85" s="87"/>
      <c r="M85" s="87"/>
      <c r="N85" s="85"/>
      <c r="O85" s="85"/>
      <c r="P85" s="85"/>
      <c r="Q85" s="85"/>
      <c r="R85" s="85"/>
      <c r="S85" s="85"/>
      <c r="T85" s="85"/>
      <c r="U85" s="85"/>
    </row>
    <row r="86" spans="1:21" hidden="1" outlineLevel="1" x14ac:dyDescent="0.25">
      <c r="A86" s="50"/>
      <c r="B86" s="155" t="str">
        <f>COA!B89</f>
        <v>3110 Common Shares:Class B Shares</v>
      </c>
      <c r="C86" s="127">
        <f>_xlfn.XLOOKUP(B86,'TB.3 - Dec 31, 2022'!A:A,'TB.3 - Dec 31, 2022'!D:D,0,0,1)</f>
        <v>0</v>
      </c>
      <c r="D86" s="127">
        <f>_xlfn.XLOOKUP(B86,'AJE.2B - F24'!A:A,'AJE.2B - F24'!M:M,0,0,1)</f>
        <v>0</v>
      </c>
      <c r="E86" s="127"/>
      <c r="F86" s="219">
        <f t="shared" si="2"/>
        <v>0</v>
      </c>
      <c r="G86" s="178" t="str">
        <f>_xlfn.XLOOKUP($B86,COA!$B:$B,COA!$C:$C,0,0,1)</f>
        <v>Share capital</v>
      </c>
      <c r="H86" s="178" t="str">
        <f>_xlfn.XLOOKUP($B86,COA!$B:$B,COA!$D:$D,0,0,1)</f>
        <v>Share capital</v>
      </c>
      <c r="I86" s="178" t="str">
        <f>_xlfn.XLOOKUP($B86,COA!$B:$B,COA!$E:$E,0,0,1)</f>
        <v>Share capital</v>
      </c>
      <c r="K86" s="85" t="str">
        <f>_xlfn.XLOOKUP(I86,FS.1!A:A,I:I,0,0,1)</f>
        <v>Payroll liabilities</v>
      </c>
      <c r="L86" s="87"/>
      <c r="M86" s="87"/>
      <c r="N86" s="85"/>
      <c r="O86" s="85"/>
      <c r="P86" s="85"/>
      <c r="Q86" s="85"/>
      <c r="R86" s="85"/>
      <c r="S86" s="85"/>
      <c r="T86" s="85"/>
      <c r="U86" s="85"/>
    </row>
    <row r="87" spans="1:21" hidden="1" outlineLevel="1" x14ac:dyDescent="0.25">
      <c r="A87" s="50"/>
      <c r="B87" s="155" t="str">
        <f>COA!B90</f>
        <v>3115 Common Shares:Class C Shares</v>
      </c>
      <c r="C87" s="127">
        <f>_xlfn.XLOOKUP(B87,'TB.3 - Dec 31, 2022'!A:A,'TB.3 - Dec 31, 2022'!D:D,0,0,1)</f>
        <v>0</v>
      </c>
      <c r="D87" s="127">
        <f>_xlfn.XLOOKUP(B87,'AJE.2B - F24'!A:A,'AJE.2B - F24'!M:M,0,0,1)</f>
        <v>0</v>
      </c>
      <c r="E87" s="127"/>
      <c r="F87" s="219">
        <f t="shared" si="2"/>
        <v>0</v>
      </c>
      <c r="G87" s="178" t="str">
        <f>_xlfn.XLOOKUP($B87,COA!$B:$B,COA!$C:$C,0,0,1)</f>
        <v>Share capital</v>
      </c>
      <c r="H87" s="178" t="str">
        <f>_xlfn.XLOOKUP($B87,COA!$B:$B,COA!$D:$D,0,0,1)</f>
        <v>Share capital</v>
      </c>
      <c r="I87" s="178" t="str">
        <f>_xlfn.XLOOKUP($B87,COA!$B:$B,COA!$E:$E,0,0,1)</f>
        <v>Share capital</v>
      </c>
      <c r="K87" s="85" t="str">
        <f>_xlfn.XLOOKUP(I87,FS.1!A:A,I:I,0,0,1)</f>
        <v>Payroll liabilities</v>
      </c>
      <c r="L87" s="87"/>
      <c r="M87" s="87"/>
      <c r="N87" s="85"/>
      <c r="O87" s="85"/>
      <c r="P87" s="85"/>
      <c r="Q87" s="85"/>
      <c r="R87" s="85"/>
      <c r="S87" s="85"/>
      <c r="T87" s="85"/>
      <c r="U87" s="85"/>
    </row>
    <row r="88" spans="1:21" hidden="1" outlineLevel="1" x14ac:dyDescent="0.25">
      <c r="A88" s="50"/>
      <c r="B88" s="155" t="str">
        <f>COA!B91</f>
        <v>3200 Capital contribution</v>
      </c>
      <c r="C88" s="127">
        <f>_xlfn.XLOOKUP(B88,'TB.3 - Dec 31, 2022'!A:A,'TB.3 - Dec 31, 2022'!D:D,0,0,1)</f>
        <v>0</v>
      </c>
      <c r="D88" s="127">
        <f>_xlfn.XLOOKUP(B88,'AJE.2B - F24'!A:A,'AJE.2B - F24'!M:M,0,0,1)</f>
        <v>0</v>
      </c>
      <c r="E88" s="127"/>
      <c r="F88" s="219">
        <f t="shared" si="2"/>
        <v>0</v>
      </c>
      <c r="G88" s="178" t="str">
        <f>_xlfn.XLOOKUP($B88,COA!$B:$B,COA!$C:$C,0,0,1)</f>
        <v>Contributed surplus</v>
      </c>
      <c r="H88" s="178" t="str">
        <f>_xlfn.XLOOKUP($B88,COA!$B:$B,COA!$D:$D,0,0,1)</f>
        <v>Contributed surplus</v>
      </c>
      <c r="I88" s="178" t="str">
        <f>_xlfn.XLOOKUP($B88,COA!$B:$B,COA!$E:$E,0,0,1)</f>
        <v>Contributed surplus</v>
      </c>
      <c r="K88" s="85" t="str">
        <f>_xlfn.XLOOKUP(I88,FS.1!A:A,I:I,0,0,1)</f>
        <v>Payroll liabilities</v>
      </c>
      <c r="L88" s="87"/>
      <c r="M88" s="87"/>
      <c r="N88" s="85"/>
      <c r="O88" s="85"/>
      <c r="P88" s="85"/>
      <c r="Q88" s="85"/>
      <c r="R88" s="85"/>
      <c r="S88" s="85"/>
      <c r="T88" s="85"/>
      <c r="U88" s="85"/>
    </row>
    <row r="89" spans="1:21" hidden="1" outlineLevel="1" x14ac:dyDescent="0.25">
      <c r="A89" s="50"/>
      <c r="B89" s="155" t="str">
        <f>COA!B92</f>
        <v>3500 Opening Balance Equity</v>
      </c>
      <c r="C89" s="127">
        <f>_xlfn.XLOOKUP(B89,'TB.3 - Dec 31, 2022'!A:A,'TB.3 - Dec 31, 2022'!D:D,0,0,1)</f>
        <v>0</v>
      </c>
      <c r="D89" s="127">
        <f>_xlfn.XLOOKUP(B89,'AJE.2B - F24'!A:A,'AJE.2B - F24'!M:M,0,0,1)</f>
        <v>0</v>
      </c>
      <c r="E89" s="127"/>
      <c r="F89" s="219">
        <f t="shared" si="2"/>
        <v>0</v>
      </c>
      <c r="G89" s="178" t="str">
        <f>_xlfn.XLOOKUP($B89,COA!$B:$B,COA!$C:$C,0,0,1)</f>
        <v>Accumulated deficit</v>
      </c>
      <c r="H89" s="178" t="str">
        <f>_xlfn.XLOOKUP($B89,COA!$B:$B,COA!$D:$D,0,0,1)</f>
        <v>Accumulated deficit</v>
      </c>
      <c r="I89" s="178" t="str">
        <f>_xlfn.XLOOKUP($B89,COA!$B:$B,COA!$E:$E,0,0,1)</f>
        <v>Accumulated deficit</v>
      </c>
      <c r="K89" s="85" t="str">
        <f>_xlfn.XLOOKUP(I89,FS.1!A:A,I:I,0,0,1)</f>
        <v>Payroll liabilities</v>
      </c>
      <c r="L89" s="87"/>
      <c r="M89" s="87"/>
      <c r="N89" s="85"/>
      <c r="O89" s="85"/>
      <c r="P89" s="85"/>
      <c r="Q89" s="85"/>
      <c r="R89" s="85"/>
      <c r="S89" s="85"/>
      <c r="T89" s="85"/>
      <c r="U89" s="85"/>
    </row>
    <row r="90" spans="1:21" hidden="1" outlineLevel="1" x14ac:dyDescent="0.25">
      <c r="A90" s="50"/>
      <c r="B90" s="155" t="str">
        <f>COA!B94</f>
        <v>3501 Retained Earnings</v>
      </c>
      <c r="C90" s="127">
        <f>_xlfn.XLOOKUP(B90,'TB.3 - Dec 31, 2022'!A:A,'TB.3 - Dec 31, 2022'!D:D,0,0,1)</f>
        <v>106588.45</v>
      </c>
      <c r="D90" s="127">
        <f>_xlfn.XLOOKUP(B90,'AJE.2B - F24'!A:A,'AJE.2B - F24'!M:M,0,0,1)</f>
        <v>0</v>
      </c>
      <c r="E90" s="127"/>
      <c r="F90" s="219">
        <f t="shared" si="2"/>
        <v>106588</v>
      </c>
      <c r="G90" s="178" t="str">
        <f>_xlfn.XLOOKUP($B90,COA!$B:$B,COA!$C:$C,0,0,1)</f>
        <v>Accumulated deficit</v>
      </c>
      <c r="H90" s="178" t="str">
        <f>_xlfn.XLOOKUP($B90,COA!$B:$B,COA!$D:$D,0,0,1)</f>
        <v>Accumulated deficit</v>
      </c>
      <c r="I90" s="178" t="str">
        <f>_xlfn.XLOOKUP($B90,COA!$B:$B,COA!$E:$E,0,0,1)</f>
        <v>Accumulated deficit</v>
      </c>
      <c r="K90" s="85" t="str">
        <f>_xlfn.XLOOKUP(I90,FS.1!A:A,I:I,0,0,1)</f>
        <v>Payroll liabilities</v>
      </c>
      <c r="L90" s="87"/>
      <c r="M90" s="87"/>
      <c r="N90" s="85"/>
      <c r="O90" s="85"/>
      <c r="P90" s="85"/>
      <c r="Q90" s="85"/>
      <c r="R90" s="85"/>
      <c r="S90" s="85"/>
      <c r="T90" s="85"/>
      <c r="U90" s="85"/>
    </row>
    <row r="91" spans="1:21" hidden="1" outlineLevel="1" x14ac:dyDescent="0.25">
      <c r="A91" s="260"/>
      <c r="B91" s="160" t="str">
        <f>COA!B95</f>
        <v>3900 Retained Earnings</v>
      </c>
      <c r="C91" s="58">
        <f>_xlfn.XLOOKUP(B91,'TB.3 - Dec 31, 2022'!A:A,'TB.3 - Dec 31, 2022'!D:D,0,0,1)</f>
        <v>0</v>
      </c>
      <c r="D91" s="58">
        <f>_xlfn.XLOOKUP(B91,'AJE.2B - F24'!A:A,'AJE.2B - F24'!M:M,0,0,1)</f>
        <v>0</v>
      </c>
      <c r="E91" s="58"/>
      <c r="F91" s="57">
        <f t="shared" si="2"/>
        <v>0</v>
      </c>
      <c r="G91" s="179" t="str">
        <f>_xlfn.XLOOKUP($B91,COA!$B:$B,COA!$C:$C,0,0,1)</f>
        <v>Accumulated deficit</v>
      </c>
      <c r="H91" s="179" t="str">
        <f>_xlfn.XLOOKUP($B91,COA!$B:$B,COA!$D:$D,0,0,1)</f>
        <v>Accumulated deficit</v>
      </c>
      <c r="I91" s="179" t="str">
        <f>_xlfn.XLOOKUP($B91,COA!$B:$B,COA!$E:$E,0,0,1)</f>
        <v>Accumulated deficit</v>
      </c>
      <c r="K91" s="85" t="str">
        <f>_xlfn.XLOOKUP(I91,FS.1!A:A,I:I,0,0,1)</f>
        <v>Payroll liabilities</v>
      </c>
      <c r="L91" s="87"/>
      <c r="M91" s="87"/>
      <c r="N91" s="85"/>
      <c r="O91" s="85"/>
      <c r="P91" s="85"/>
      <c r="Q91" s="85"/>
      <c r="R91" s="85"/>
      <c r="S91" s="85"/>
      <c r="T91" s="85"/>
      <c r="U91" s="85"/>
    </row>
    <row r="92" spans="1:21" hidden="1" outlineLevel="1" x14ac:dyDescent="0.25">
      <c r="A92" s="50"/>
      <c r="B92" s="155" t="str">
        <f>COA!B96</f>
        <v>5000 Revenue</v>
      </c>
      <c r="C92" s="127">
        <f>_xlfn.XLOOKUP(B92,'TB.3 - Dec 31, 2022'!A:A,'TB.3 - Dec 31, 2022'!D:D,0,0,1)</f>
        <v>0</v>
      </c>
      <c r="D92" s="127">
        <f>_xlfn.XLOOKUP(B92,'AJE.2B - F24'!A:A,'AJE.2B - F24'!M:M,0,0,1)</f>
        <v>0</v>
      </c>
      <c r="E92" s="127"/>
      <c r="F92" s="219">
        <f t="shared" si="2"/>
        <v>0</v>
      </c>
      <c r="G92" s="178" t="str">
        <f>_xlfn.XLOOKUP($B92,COA!$B:$B,COA!$C:$C,0,0,1)</f>
        <v>Revenues</v>
      </c>
      <c r="H92" s="178" t="str">
        <f>_xlfn.XLOOKUP($B92,COA!$B:$B,COA!$D:$D,0,0,1)</f>
        <v>Revenues</v>
      </c>
      <c r="I92" s="178" t="str">
        <f>_xlfn.XLOOKUP($B92,COA!$B:$B,COA!$E:$E,0,0,1)</f>
        <v>Accumulated deficit</v>
      </c>
      <c r="K92" s="85" t="str">
        <f>_xlfn.XLOOKUP(I92,FS.1!A:A,I:I,0,0,1)</f>
        <v>Payroll liabilities</v>
      </c>
      <c r="L92" s="87"/>
      <c r="M92" s="87"/>
      <c r="N92" s="85"/>
      <c r="O92" s="85"/>
      <c r="P92" s="85"/>
      <c r="Q92" s="85"/>
      <c r="R92" s="85"/>
      <c r="S92" s="85"/>
      <c r="T92" s="85"/>
      <c r="U92" s="85"/>
    </row>
    <row r="93" spans="1:21" hidden="1" outlineLevel="1" x14ac:dyDescent="0.25">
      <c r="A93" s="50"/>
      <c r="B93" s="155" t="str">
        <f>COA!B97</f>
        <v>5000 Utility Vehicle Sales</v>
      </c>
      <c r="C93" s="127">
        <f>_xlfn.XLOOKUP(B93,'TB.3 - Dec 31, 2022'!A:A,'TB.3 - Dec 31, 2022'!D:D,0,0,1)</f>
        <v>0</v>
      </c>
      <c r="D93" s="127">
        <f>_xlfn.XLOOKUP(B93,'AJE.2B - F24'!A:A,'AJE.2B - F24'!M:M,0,0,1)</f>
        <v>0</v>
      </c>
      <c r="E93" s="127"/>
      <c r="F93" s="219">
        <f t="shared" si="2"/>
        <v>0</v>
      </c>
      <c r="G93" s="178" t="str">
        <f>_xlfn.XLOOKUP($B93,COA!$B:$B,COA!$C:$C,0,0,1)</f>
        <v>Revenues</v>
      </c>
      <c r="H93" s="178" t="str">
        <f>_xlfn.XLOOKUP($B93,COA!$B:$B,COA!$D:$D,0,0,1)</f>
        <v xml:space="preserve">Sale of electric vehicle </v>
      </c>
      <c r="I93" s="178" t="str">
        <f>_xlfn.XLOOKUP($B93,COA!$B:$B,COA!$E:$E,0,0,1)</f>
        <v>Accumulated deficit</v>
      </c>
      <c r="K93" s="85" t="str">
        <f>_xlfn.XLOOKUP(I93,FS.1!A:A,I:I,0,0,1)</f>
        <v>Payroll liabilities</v>
      </c>
      <c r="L93" s="87"/>
      <c r="M93" s="87"/>
      <c r="N93" s="85"/>
      <c r="O93" s="85"/>
      <c r="P93" s="85"/>
      <c r="Q93" s="85"/>
      <c r="R93" s="85"/>
      <c r="S93" s="85"/>
      <c r="T93" s="85"/>
      <c r="U93" s="85"/>
    </row>
    <row r="94" spans="1:21" hidden="1" outlineLevel="1" x14ac:dyDescent="0.25">
      <c r="A94" s="50"/>
      <c r="B94" s="155" t="str">
        <f>COA!B98</f>
        <v>5001 Other General Sales</v>
      </c>
      <c r="C94" s="127">
        <f>_xlfn.XLOOKUP(B94,'TB.3 - Dec 31, 2022'!A:A,'TB.3 - Dec 31, 2022'!D:D,0,0,1)</f>
        <v>0</v>
      </c>
      <c r="D94" s="127">
        <f>_xlfn.XLOOKUP(B94,'AJE.2B - F24'!A:A,'AJE.2B - F24'!M:M,0,0,1)</f>
        <v>0</v>
      </c>
      <c r="E94" s="127"/>
      <c r="F94" s="219">
        <f t="shared" si="2"/>
        <v>0</v>
      </c>
      <c r="G94" s="178" t="str">
        <f>_xlfn.XLOOKUP($B94,COA!$B:$B,COA!$C:$C,0,0,1)</f>
        <v>Revenues</v>
      </c>
      <c r="H94" s="178" t="str">
        <f>_xlfn.XLOOKUP($B94,COA!$B:$B,COA!$D:$D,0,0,1)</f>
        <v>Mechanical services</v>
      </c>
      <c r="I94" s="178" t="str">
        <f>_xlfn.XLOOKUP($B94,COA!$B:$B,COA!$E:$E,0,0,1)</f>
        <v>Accumulated deficit</v>
      </c>
      <c r="K94" s="85" t="str">
        <f>_xlfn.XLOOKUP(I94,FS.1!A:A,I:I,0,0,1)</f>
        <v>Payroll liabilities</v>
      </c>
      <c r="L94" s="87"/>
      <c r="M94" s="87"/>
      <c r="N94" s="85"/>
      <c r="O94" s="85"/>
      <c r="P94" s="85"/>
      <c r="Q94" s="85"/>
      <c r="R94" s="85"/>
      <c r="S94" s="85"/>
      <c r="T94" s="85"/>
      <c r="U94" s="85"/>
    </row>
    <row r="95" spans="1:21" hidden="1" outlineLevel="1" x14ac:dyDescent="0.25">
      <c r="A95" s="50"/>
      <c r="B95" s="155" t="str">
        <f>COA!B99</f>
        <v>5002 Equipment parts sale</v>
      </c>
      <c r="C95" s="127">
        <f>_xlfn.XLOOKUP(B95,'TB.3 - Dec 31, 2022'!A:A,'TB.3 - Dec 31, 2022'!D:D,0,0,1)</f>
        <v>0</v>
      </c>
      <c r="D95" s="127">
        <f>_xlfn.XLOOKUP(B95,'AJE.2B - F24'!A:A,'AJE.2B - F24'!M:M,0,0,1)</f>
        <v>0</v>
      </c>
      <c r="E95" s="127"/>
      <c r="F95" s="219">
        <f t="shared" si="2"/>
        <v>0</v>
      </c>
      <c r="G95" s="178" t="str">
        <f>_xlfn.XLOOKUP($B95,COA!$B:$B,COA!$C:$C,0,0,1)</f>
        <v>Revenues</v>
      </c>
      <c r="H95" s="178" t="str">
        <f>_xlfn.XLOOKUP($B95,COA!$B:$B,COA!$D:$D,0,0,1)</f>
        <v>Surcharge on parts and components sold</v>
      </c>
      <c r="I95" s="178" t="str">
        <f>_xlfn.XLOOKUP($B95,COA!$B:$B,COA!$E:$E,0,0,1)</f>
        <v>Accumulated deficit</v>
      </c>
      <c r="K95" s="85" t="str">
        <f>_xlfn.XLOOKUP(I95,FS.1!A:A,I:I,0,0,1)</f>
        <v>Payroll liabilities</v>
      </c>
      <c r="L95" s="87"/>
      <c r="M95" s="87"/>
      <c r="N95" s="85"/>
      <c r="O95" s="85"/>
      <c r="P95" s="85"/>
      <c r="Q95" s="85"/>
      <c r="R95" s="85"/>
      <c r="S95" s="85"/>
      <c r="T95" s="85"/>
      <c r="U95" s="85"/>
    </row>
    <row r="96" spans="1:21" hidden="1" outlineLevel="1" x14ac:dyDescent="0.25">
      <c r="A96" s="50"/>
      <c r="B96" s="155" t="str">
        <f>COA!B100</f>
        <v>5003 Labour service</v>
      </c>
      <c r="C96" s="127">
        <f>_xlfn.XLOOKUP(B96,'TB.3 - Dec 31, 2022'!A:A,'TB.3 - Dec 31, 2022'!D:D,0,0,1)</f>
        <v>0</v>
      </c>
      <c r="D96" s="127">
        <f>_xlfn.XLOOKUP(B96,'AJE.2B - F24'!A:A,'AJE.2B - F24'!M:M,0,0,1)</f>
        <v>0</v>
      </c>
      <c r="E96" s="127"/>
      <c r="F96" s="219">
        <f t="shared" si="2"/>
        <v>0</v>
      </c>
      <c r="G96" s="178" t="str">
        <f>_xlfn.XLOOKUP($B96,COA!$B:$B,COA!$C:$C,0,0,1)</f>
        <v>Revenues</v>
      </c>
      <c r="H96" s="178" t="str">
        <f>_xlfn.XLOOKUP($B96,COA!$B:$B,COA!$D:$D,0,0,1)</f>
        <v>Mechanical services</v>
      </c>
      <c r="I96" s="178" t="str">
        <f>_xlfn.XLOOKUP($B96,COA!$B:$B,COA!$E:$E,0,0,1)</f>
        <v>Accumulated deficit</v>
      </c>
      <c r="K96" s="85" t="str">
        <f>_xlfn.XLOOKUP(I96,FS.1!A:A,I:I,0,0,1)</f>
        <v>Payroll liabilities</v>
      </c>
      <c r="L96" s="87"/>
      <c r="M96" s="87"/>
      <c r="N96" s="85"/>
      <c r="O96" s="85"/>
      <c r="P96" s="85"/>
      <c r="Q96" s="85"/>
      <c r="R96" s="85"/>
      <c r="S96" s="85"/>
      <c r="T96" s="85"/>
      <c r="U96" s="85"/>
    </row>
    <row r="97" spans="1:21" hidden="1" outlineLevel="1" x14ac:dyDescent="0.25">
      <c r="A97" s="50"/>
      <c r="B97" s="155" t="str">
        <f>COA!B101</f>
        <v>5004 Shop Supplies Sales</v>
      </c>
      <c r="C97" s="127">
        <f>_xlfn.XLOOKUP(B97,'TB.3 - Dec 31, 2022'!A:A,'TB.3 - Dec 31, 2022'!D:D,0,0,1)</f>
        <v>0</v>
      </c>
      <c r="D97" s="127">
        <f>_xlfn.XLOOKUP(B97,'AJE.2B - F24'!A:A,'AJE.2B - F24'!M:M,0,0,1)</f>
        <v>0</v>
      </c>
      <c r="E97" s="127"/>
      <c r="F97" s="219">
        <f t="shared" si="2"/>
        <v>0</v>
      </c>
      <c r="G97" s="178" t="str">
        <f>_xlfn.XLOOKUP($B97,COA!$B:$B,COA!$C:$C,0,0,1)</f>
        <v>Revenues</v>
      </c>
      <c r="H97" s="178" t="str">
        <f>_xlfn.XLOOKUP($B97,COA!$B:$B,COA!$D:$D,0,0,1)</f>
        <v>Surcharge on parts and components sold</v>
      </c>
      <c r="I97" s="178" t="str">
        <f>_xlfn.XLOOKUP($B97,COA!$B:$B,COA!$E:$E,0,0,1)</f>
        <v>Accumulated deficit</v>
      </c>
      <c r="K97" s="85" t="str">
        <f>_xlfn.XLOOKUP(I97,FS.1!A:A,I:I,0,0,1)</f>
        <v>Payroll liabilities</v>
      </c>
      <c r="L97" s="87"/>
      <c r="M97" s="87"/>
      <c r="N97" s="85"/>
      <c r="O97" s="85"/>
      <c r="P97" s="85"/>
      <c r="Q97" s="85"/>
      <c r="R97" s="85"/>
      <c r="S97" s="85"/>
      <c r="T97" s="85"/>
      <c r="U97" s="85"/>
    </row>
    <row r="98" spans="1:21" hidden="1" outlineLevel="1" x14ac:dyDescent="0.25">
      <c r="A98" s="50"/>
      <c r="B98" s="155" t="str">
        <f>COA!B102</f>
        <v>5006 Markup</v>
      </c>
      <c r="C98" s="127">
        <f>_xlfn.XLOOKUP(B98,'TB.3 - Dec 31, 2022'!A:A,'TB.3 - Dec 31, 2022'!D:D,0,0,1)</f>
        <v>0</v>
      </c>
      <c r="D98" s="127">
        <f>_xlfn.XLOOKUP(B98,'AJE.2B - F24'!A:A,'AJE.2B - F24'!M:M,0,0,1)</f>
        <v>0</v>
      </c>
      <c r="E98" s="127"/>
      <c r="F98" s="219">
        <f t="shared" si="2"/>
        <v>0</v>
      </c>
      <c r="G98" s="178" t="str">
        <f>_xlfn.XLOOKUP($B98,COA!$B:$B,COA!$C:$C,0,0,1)</f>
        <v>Revenues</v>
      </c>
      <c r="H98" s="178" t="str">
        <f>_xlfn.XLOOKUP($B98,COA!$B:$B,COA!$D:$D,0,0,1)</f>
        <v>Surcharge on parts and components sold</v>
      </c>
      <c r="I98" s="178" t="str">
        <f>_xlfn.XLOOKUP($B98,COA!$B:$B,COA!$E:$E,0,0,1)</f>
        <v>Accumulated deficit</v>
      </c>
      <c r="K98" s="85" t="str">
        <f>_xlfn.XLOOKUP(I98,FS.1!A:A,I:I,0,0,1)</f>
        <v>Payroll liabilities</v>
      </c>
      <c r="L98" s="87"/>
      <c r="M98" s="87"/>
      <c r="N98" s="85"/>
      <c r="O98" s="85"/>
      <c r="P98" s="85"/>
      <c r="Q98" s="85"/>
      <c r="R98" s="85"/>
      <c r="S98" s="85"/>
      <c r="T98" s="85"/>
      <c r="U98" s="85"/>
    </row>
    <row r="99" spans="1:21" hidden="1" outlineLevel="1" x14ac:dyDescent="0.25">
      <c r="A99" s="50"/>
      <c r="B99" s="155" t="str">
        <f>COA!B104</f>
        <v>5498 Interest income</v>
      </c>
      <c r="C99" s="127">
        <f>_xlfn.XLOOKUP(B99,'TB.3 - Dec 31, 2022'!A:A,'TB.3 - Dec 31, 2022'!D:D,0,0,1)</f>
        <v>-5200</v>
      </c>
      <c r="D99" s="127">
        <f>_xlfn.XLOOKUP(B99,'AJE.2B - F24'!A:A,'AJE.2B - F24'!M:M,0,0,1)</f>
        <v>0</v>
      </c>
      <c r="E99" s="127"/>
      <c r="F99" s="219">
        <f t="shared" si="2"/>
        <v>-5200</v>
      </c>
      <c r="G99" s="178" t="str">
        <f>_xlfn.XLOOKUP($B99,COA!$B:$B,COA!$C:$C,0,0,1)</f>
        <v>Interest income</v>
      </c>
      <c r="H99" s="178" t="str">
        <f>_xlfn.XLOOKUP($B99,COA!$B:$B,COA!$D:$D,0,0,1)</f>
        <v>Interest income</v>
      </c>
      <c r="I99" s="178" t="str">
        <f>_xlfn.XLOOKUP($B99,COA!$B:$B,COA!$E:$E,0,0,1)</f>
        <v>Accumulated deficit</v>
      </c>
      <c r="K99" s="85" t="str">
        <f>_xlfn.XLOOKUP(I99,FS.1!A:A,I:I,0,0,1)</f>
        <v>Payroll liabilities</v>
      </c>
      <c r="L99" s="87"/>
      <c r="M99" s="87"/>
      <c r="N99" s="85"/>
      <c r="O99" s="85"/>
      <c r="P99" s="85"/>
      <c r="Q99" s="85"/>
      <c r="R99" s="85"/>
      <c r="S99" s="85"/>
      <c r="T99" s="85"/>
      <c r="U99" s="85"/>
    </row>
    <row r="100" spans="1:21" hidden="1" outlineLevel="1" x14ac:dyDescent="0.25">
      <c r="A100" s="50"/>
      <c r="B100" s="155" t="str">
        <f>COA!B105</f>
        <v>5499 Other Income</v>
      </c>
      <c r="C100" s="127">
        <f>_xlfn.XLOOKUP(B100,'TB.3 - Dec 31, 2022'!A:A,'TB.3 - Dec 31, 2022'!D:D,0,0,1)</f>
        <v>0</v>
      </c>
      <c r="D100" s="127">
        <f>_xlfn.XLOOKUP(B100,'AJE.2B - F24'!A:A,'AJE.2B - F24'!M:M,0,0,1)</f>
        <v>0</v>
      </c>
      <c r="E100" s="127"/>
      <c r="F100" s="219">
        <f t="shared" si="2"/>
        <v>0</v>
      </c>
      <c r="G100" s="178" t="str">
        <f>_xlfn.XLOOKUP($B100,COA!$B:$B,COA!$C:$C,0,0,1)</f>
        <v xml:space="preserve">Other income </v>
      </c>
      <c r="H100" s="178" t="str">
        <f>_xlfn.XLOOKUP($B100,COA!$B:$B,COA!$D:$D,0,0,1)</f>
        <v xml:space="preserve">Other income </v>
      </c>
      <c r="I100" s="178" t="str">
        <f>_xlfn.XLOOKUP($B100,COA!$B:$B,COA!$E:$E,0,0,1)</f>
        <v>Accumulated deficit</v>
      </c>
      <c r="K100" s="85" t="str">
        <f>_xlfn.XLOOKUP(I100,FS.1!A:A,I:I,0,0,1)</f>
        <v>Payroll liabilities</v>
      </c>
      <c r="L100" s="87"/>
      <c r="M100" s="87"/>
      <c r="N100" s="85"/>
      <c r="O100" s="85"/>
      <c r="P100" s="85"/>
      <c r="Q100" s="85"/>
      <c r="R100" s="85"/>
      <c r="S100" s="85"/>
      <c r="T100" s="85"/>
      <c r="U100" s="85"/>
    </row>
    <row r="101" spans="1:21" hidden="1" outlineLevel="1" x14ac:dyDescent="0.25">
      <c r="A101" s="50"/>
      <c r="B101" s="155" t="str">
        <f>COA!B106</f>
        <v>5500 Cost of Goods Sold</v>
      </c>
      <c r="C101" s="127">
        <f>_xlfn.XLOOKUP(B101,'TB.3 - Dec 31, 2022'!A:A,'TB.3 - Dec 31, 2022'!D:D,0,0,1)</f>
        <v>0</v>
      </c>
      <c r="D101" s="127">
        <f>_xlfn.XLOOKUP(B101,'AJE.2B - F24'!A:A,'AJE.2B - F24'!M:M,0,0,1)</f>
        <v>0</v>
      </c>
      <c r="E101" s="127"/>
      <c r="F101" s="219">
        <f t="shared" si="2"/>
        <v>0</v>
      </c>
      <c r="G101" s="178" t="str">
        <f>_xlfn.XLOOKUP($B101,COA!$B:$B,COA!$C:$C,0,0,1)</f>
        <v>Cost of goods sold</v>
      </c>
      <c r="H101" s="178" t="str">
        <f>_xlfn.XLOOKUP($B101,COA!$B:$B,COA!$D:$D,0,0,1)</f>
        <v>Cost of goods sold</v>
      </c>
      <c r="I101" s="178" t="str">
        <f>_xlfn.XLOOKUP($B101,COA!$B:$B,COA!$E:$E,0,0,1)</f>
        <v>Accumulated deficit</v>
      </c>
      <c r="K101" s="85" t="str">
        <f>_xlfn.XLOOKUP(I101,FS.1!A:A,I:I,0,0,1)</f>
        <v>Payroll liabilities</v>
      </c>
      <c r="L101" s="87"/>
      <c r="M101" s="87"/>
      <c r="N101" s="85"/>
      <c r="O101" s="85"/>
      <c r="P101" s="85"/>
      <c r="Q101" s="85"/>
      <c r="R101" s="85"/>
      <c r="S101" s="85"/>
      <c r="T101" s="85"/>
      <c r="U101" s="85"/>
    </row>
    <row r="102" spans="1:21" hidden="1" outlineLevel="1" x14ac:dyDescent="0.25">
      <c r="A102" s="50"/>
      <c r="B102" s="155" t="str">
        <f>COA!B107</f>
        <v>5510 Cost of Goods Sold:Parts and components  - COS</v>
      </c>
      <c r="C102" s="127">
        <f>_xlfn.XLOOKUP(B102,'TB.3 - Dec 31, 2022'!A:A,'TB.3 - Dec 31, 2022'!D:D,0,0,1)</f>
        <v>0</v>
      </c>
      <c r="D102" s="127">
        <f>_xlfn.XLOOKUP(B102,'AJE.2B - F24'!A:A,'AJE.2B - F24'!M:M,0,0,1)</f>
        <v>0</v>
      </c>
      <c r="E102" s="127"/>
      <c r="F102" s="219">
        <f t="shared" si="2"/>
        <v>0</v>
      </c>
      <c r="G102" s="178" t="str">
        <f>_xlfn.XLOOKUP($B102,COA!$B:$B,COA!$C:$C,0,0,1)</f>
        <v>Cost of goods sold</v>
      </c>
      <c r="H102" s="178" t="str">
        <f>_xlfn.XLOOKUP($B102,COA!$B:$B,COA!$D:$D,0,0,1)</f>
        <v>Cost of goods sold</v>
      </c>
      <c r="I102" s="178" t="str">
        <f>_xlfn.XLOOKUP($B102,COA!$B:$B,COA!$E:$E,0,0,1)</f>
        <v>Accumulated deficit</v>
      </c>
      <c r="K102" s="85" t="str">
        <f>_xlfn.XLOOKUP(I102,FS.1!A:A,I:I,0,0,1)</f>
        <v>Payroll liabilities</v>
      </c>
      <c r="L102" s="87"/>
      <c r="M102" s="87"/>
      <c r="N102" s="85"/>
      <c r="O102" s="85"/>
      <c r="P102" s="85"/>
      <c r="Q102" s="85"/>
      <c r="R102" s="85"/>
      <c r="S102" s="85"/>
      <c r="T102" s="85"/>
      <c r="U102" s="85"/>
    </row>
    <row r="103" spans="1:21" hidden="1" outlineLevel="1" x14ac:dyDescent="0.25">
      <c r="A103" s="50"/>
      <c r="B103" s="155" t="str">
        <f>COA!B108</f>
        <v>5515 Cost of Goods Sold:Engineering  - COS</v>
      </c>
      <c r="C103" s="127">
        <f>_xlfn.XLOOKUP(B103,'TB.3 - Dec 31, 2022'!A:A,'TB.3 - Dec 31, 2022'!D:D,0,0,1)</f>
        <v>0</v>
      </c>
      <c r="D103" s="127">
        <f>_xlfn.XLOOKUP(B103,'AJE.2B - F24'!A:A,'AJE.2B - F24'!M:M,0,0,1)</f>
        <v>0</v>
      </c>
      <c r="E103" s="127"/>
      <c r="F103" s="219">
        <f t="shared" si="2"/>
        <v>0</v>
      </c>
      <c r="G103" s="178" t="str">
        <f>_xlfn.XLOOKUP($B103,COA!$B:$B,COA!$C:$C,0,0,1)</f>
        <v>Cost of goods sold</v>
      </c>
      <c r="H103" s="178" t="str">
        <f>_xlfn.XLOOKUP($B103,COA!$B:$B,COA!$D:$D,0,0,1)</f>
        <v>Cost of goods sold</v>
      </c>
      <c r="I103" s="178" t="str">
        <f>_xlfn.XLOOKUP($B103,COA!$B:$B,COA!$E:$E,0,0,1)</f>
        <v>Accumulated deficit</v>
      </c>
      <c r="K103" s="85" t="str">
        <f>_xlfn.XLOOKUP(I103,FS.1!A:A,I:I,0,0,1)</f>
        <v>Payroll liabilities</v>
      </c>
      <c r="L103" s="87"/>
      <c r="M103" s="87"/>
      <c r="N103" s="85"/>
      <c r="O103" s="85"/>
      <c r="P103" s="85"/>
      <c r="Q103" s="85"/>
      <c r="R103" s="85"/>
      <c r="S103" s="85"/>
      <c r="T103" s="85"/>
      <c r="U103" s="85"/>
    </row>
    <row r="104" spans="1:21" hidden="1" outlineLevel="1" x14ac:dyDescent="0.25">
      <c r="A104" s="50"/>
      <c r="B104" s="155" t="str">
        <f>COA!B109</f>
        <v>5520 Cost of Goods Sold:Subcontracting  - COS</v>
      </c>
      <c r="C104" s="127">
        <f>_xlfn.XLOOKUP(B104,'TB.3 - Dec 31, 2022'!A:A,'TB.3 - Dec 31, 2022'!D:D,0,0,1)</f>
        <v>0</v>
      </c>
      <c r="D104" s="127">
        <f>_xlfn.XLOOKUP(B104,'AJE.2B - F24'!A:A,'AJE.2B - F24'!M:M,0,0,1)</f>
        <v>0</v>
      </c>
      <c r="E104" s="127"/>
      <c r="F104" s="219">
        <f t="shared" si="2"/>
        <v>0</v>
      </c>
      <c r="G104" s="178" t="str">
        <f>_xlfn.XLOOKUP($B104,COA!$B:$B,COA!$C:$C,0,0,1)</f>
        <v>Cost of goods sold</v>
      </c>
      <c r="H104" s="178" t="str">
        <f>_xlfn.XLOOKUP($B104,COA!$B:$B,COA!$D:$D,0,0,1)</f>
        <v>Cost of goods sold</v>
      </c>
      <c r="I104" s="178" t="str">
        <f>_xlfn.XLOOKUP($B104,COA!$B:$B,COA!$E:$E,0,0,1)</f>
        <v>Accumulated deficit</v>
      </c>
      <c r="K104" s="85" t="str">
        <f>_xlfn.XLOOKUP(I104,FS.1!A:A,I:I,0,0,1)</f>
        <v>Payroll liabilities</v>
      </c>
      <c r="L104" s="87"/>
      <c r="M104" s="87"/>
      <c r="N104" s="85"/>
      <c r="O104" s="85"/>
      <c r="P104" s="85"/>
      <c r="Q104" s="85"/>
      <c r="R104" s="85"/>
      <c r="S104" s="85"/>
      <c r="T104" s="85"/>
      <c r="U104" s="85"/>
    </row>
    <row r="105" spans="1:21" hidden="1" outlineLevel="1" x14ac:dyDescent="0.25">
      <c r="A105" s="50"/>
      <c r="B105" s="155" t="str">
        <f>COA!B110</f>
        <v>5525 Cost of Goods Sold:Shipping  - COS</v>
      </c>
      <c r="C105" s="127">
        <f>_xlfn.XLOOKUP(B105,'TB.3 - Dec 31, 2022'!A:A,'TB.3 - Dec 31, 2022'!D:D,0,0,1)</f>
        <v>0</v>
      </c>
      <c r="D105" s="127">
        <f>_xlfn.XLOOKUP(B105,'AJE.2B - F24'!A:A,'AJE.2B - F24'!M:M,0,0,1)</f>
        <v>0</v>
      </c>
      <c r="E105" s="127"/>
      <c r="F105" s="219">
        <f t="shared" si="2"/>
        <v>0</v>
      </c>
      <c r="G105" s="178" t="str">
        <f>_xlfn.XLOOKUP($B105,COA!$B:$B,COA!$C:$C,0,0,1)</f>
        <v>Cost of goods sold</v>
      </c>
      <c r="H105" s="178" t="str">
        <f>_xlfn.XLOOKUP($B105,COA!$B:$B,COA!$D:$D,0,0,1)</f>
        <v>Cost of goods sold</v>
      </c>
      <c r="I105" s="178" t="str">
        <f>_xlfn.XLOOKUP($B105,COA!$B:$B,COA!$E:$E,0,0,1)</f>
        <v>Accumulated deficit</v>
      </c>
      <c r="K105" s="85" t="str">
        <f>_xlfn.XLOOKUP(I105,FS.1!A:A,I:I,0,0,1)</f>
        <v>Payroll liabilities</v>
      </c>
      <c r="L105" s="87"/>
      <c r="M105" s="87"/>
      <c r="N105" s="85"/>
      <c r="O105" s="85"/>
      <c r="P105" s="85"/>
      <c r="Q105" s="85"/>
      <c r="R105" s="85"/>
      <c r="S105" s="85"/>
      <c r="T105" s="85"/>
      <c r="U105" s="85"/>
    </row>
    <row r="106" spans="1:21" hidden="1" outlineLevel="1" x14ac:dyDescent="0.25">
      <c r="A106" s="50"/>
      <c r="B106" s="155" t="str">
        <f>COA!B111</f>
        <v>5530 Cost of Goods Sold:Disposal/Landfill  - COS</v>
      </c>
      <c r="C106" s="127">
        <f>_xlfn.XLOOKUP(B106,'TB.3 - Dec 31, 2022'!A:A,'TB.3 - Dec 31, 2022'!D:D,0,0,1)</f>
        <v>0</v>
      </c>
      <c r="D106" s="127">
        <f>_xlfn.XLOOKUP(B106,'AJE.2B - F24'!A:A,'AJE.2B - F24'!M:M,0,0,1)</f>
        <v>0</v>
      </c>
      <c r="E106" s="127"/>
      <c r="F106" s="219">
        <f t="shared" si="2"/>
        <v>0</v>
      </c>
      <c r="G106" s="178" t="str">
        <f>_xlfn.XLOOKUP($B106,COA!$B:$B,COA!$C:$C,0,0,1)</f>
        <v>Cost of goods sold</v>
      </c>
      <c r="H106" s="178" t="str">
        <f>_xlfn.XLOOKUP($B106,COA!$B:$B,COA!$D:$D,0,0,1)</f>
        <v>Cost of goods sold</v>
      </c>
      <c r="I106" s="178" t="str">
        <f>_xlfn.XLOOKUP($B106,COA!$B:$B,COA!$E:$E,0,0,1)</f>
        <v>Accumulated deficit</v>
      </c>
      <c r="K106" s="85" t="str">
        <f>_xlfn.XLOOKUP(I106,FS.1!A:A,I:I,0,0,1)</f>
        <v>Payroll liabilities</v>
      </c>
      <c r="L106" s="87"/>
      <c r="M106" s="87"/>
      <c r="N106" s="85"/>
      <c r="O106" s="85"/>
      <c r="P106" s="85"/>
      <c r="Q106" s="85"/>
      <c r="R106" s="85"/>
      <c r="S106" s="85"/>
      <c r="T106" s="85"/>
      <c r="U106" s="85"/>
    </row>
    <row r="107" spans="1:21" hidden="1" outlineLevel="1" x14ac:dyDescent="0.25">
      <c r="A107" s="50"/>
      <c r="B107" s="155" t="str">
        <f>COA!B112</f>
        <v>5535 Cost of Goods Sold:Inventory Write Off  - COS</v>
      </c>
      <c r="C107" s="127">
        <f>_xlfn.XLOOKUP(B107,'TB.3 - Dec 31, 2022'!A:A,'TB.3 - Dec 31, 2022'!D:D,0,0,1)</f>
        <v>0</v>
      </c>
      <c r="D107" s="127">
        <f>_xlfn.XLOOKUP(B107,'AJE.2B - F24'!A:A,'AJE.2B - F24'!M:M,0,0,1)</f>
        <v>0</v>
      </c>
      <c r="E107" s="127"/>
      <c r="F107" s="219">
        <f t="shared" si="2"/>
        <v>0</v>
      </c>
      <c r="G107" s="178" t="str">
        <f>_xlfn.XLOOKUP($B107,COA!$B:$B,COA!$C:$C,0,0,1)</f>
        <v>Cost of goods sold</v>
      </c>
      <c r="H107" s="178" t="str">
        <f>_xlfn.XLOOKUP($B107,COA!$B:$B,COA!$D:$D,0,0,1)</f>
        <v>Cost of goods sold</v>
      </c>
      <c r="I107" s="178" t="str">
        <f>_xlfn.XLOOKUP($B107,COA!$B:$B,COA!$E:$E,0,0,1)</f>
        <v>Accumulated deficit</v>
      </c>
      <c r="K107" s="85" t="str">
        <f>_xlfn.XLOOKUP(I107,FS.1!A:A,I:I,0,0,1)</f>
        <v>Payroll liabilities</v>
      </c>
      <c r="L107" s="87"/>
      <c r="M107" s="87"/>
      <c r="N107" s="85"/>
      <c r="O107" s="85"/>
      <c r="P107" s="85"/>
      <c r="Q107" s="85"/>
      <c r="R107" s="85"/>
      <c r="S107" s="85"/>
      <c r="T107" s="85"/>
      <c r="U107" s="85"/>
    </row>
    <row r="108" spans="1:21" hidden="1" outlineLevel="1" x14ac:dyDescent="0.25">
      <c r="A108" s="50"/>
      <c r="B108" s="155" t="str">
        <f>COA!B113</f>
        <v>5540 Cost of Goods Sold:Equipment Fuel  - COS</v>
      </c>
      <c r="C108" s="127">
        <f>_xlfn.XLOOKUP(B108,'TB.3 - Dec 31, 2022'!A:A,'TB.3 - Dec 31, 2022'!D:D,0,0,1)</f>
        <v>0</v>
      </c>
      <c r="D108" s="127">
        <f>_xlfn.XLOOKUP(B108,'AJE.2B - F24'!A:A,'AJE.2B - F24'!M:M,0,0,1)</f>
        <v>0</v>
      </c>
      <c r="E108" s="127"/>
      <c r="F108" s="219">
        <f t="shared" si="2"/>
        <v>0</v>
      </c>
      <c r="G108" s="178" t="str">
        <f>_xlfn.XLOOKUP($B108,COA!$B:$B,COA!$C:$C,0,0,1)</f>
        <v>Cost of goods sold</v>
      </c>
      <c r="H108" s="178" t="str">
        <f>_xlfn.XLOOKUP($B108,COA!$B:$B,COA!$D:$D,0,0,1)</f>
        <v>Cost of goods sold</v>
      </c>
      <c r="I108" s="178" t="str">
        <f>_xlfn.XLOOKUP($B108,COA!$B:$B,COA!$E:$E,0,0,1)</f>
        <v>Accumulated deficit</v>
      </c>
      <c r="K108" s="85" t="str">
        <f>_xlfn.XLOOKUP(I108,FS.1!A:A,I:I,0,0,1)</f>
        <v>Payroll liabilities</v>
      </c>
      <c r="L108" s="87"/>
      <c r="M108" s="87"/>
      <c r="N108" s="85"/>
      <c r="O108" s="85"/>
      <c r="P108" s="85"/>
      <c r="Q108" s="85"/>
      <c r="R108" s="85"/>
      <c r="S108" s="85"/>
      <c r="T108" s="85"/>
      <c r="U108" s="85"/>
    </row>
    <row r="109" spans="1:21" hidden="1" outlineLevel="1" x14ac:dyDescent="0.25">
      <c r="A109" s="50"/>
      <c r="B109" s="155" t="str">
        <f>COA!B114</f>
        <v>5545 Cost of Goods Sold:Equipment Leasing  - COS</v>
      </c>
      <c r="C109" s="127">
        <f>_xlfn.XLOOKUP(B109,'TB.3 - Dec 31, 2022'!A:A,'TB.3 - Dec 31, 2022'!D:D,0,0,1)</f>
        <v>0</v>
      </c>
      <c r="D109" s="127">
        <f>_xlfn.XLOOKUP(B109,'AJE.2B - F24'!A:A,'AJE.2B - F24'!M:M,0,0,1)</f>
        <v>0</v>
      </c>
      <c r="E109" s="127"/>
      <c r="F109" s="219">
        <f t="shared" si="2"/>
        <v>0</v>
      </c>
      <c r="G109" s="178" t="str">
        <f>_xlfn.XLOOKUP($B109,COA!$B:$B,COA!$C:$C,0,0,1)</f>
        <v>Cost of goods sold</v>
      </c>
      <c r="H109" s="178" t="str">
        <f>_xlfn.XLOOKUP($B109,COA!$B:$B,COA!$D:$D,0,0,1)</f>
        <v>Cost of goods sold</v>
      </c>
      <c r="I109" s="178" t="str">
        <f>_xlfn.XLOOKUP($B109,COA!$B:$B,COA!$E:$E,0,0,1)</f>
        <v>Accumulated deficit</v>
      </c>
      <c r="K109" s="85" t="str">
        <f>_xlfn.XLOOKUP(I109,FS.1!A:A,I:I,0,0,1)</f>
        <v>Payroll liabilities</v>
      </c>
      <c r="L109" s="87"/>
      <c r="M109" s="87"/>
      <c r="N109" s="85"/>
      <c r="O109" s="85"/>
      <c r="P109" s="85"/>
      <c r="Q109" s="85"/>
      <c r="R109" s="85"/>
      <c r="S109" s="85"/>
      <c r="T109" s="85"/>
      <c r="U109" s="85"/>
    </row>
    <row r="110" spans="1:21" hidden="1" outlineLevel="1" x14ac:dyDescent="0.25">
      <c r="A110" s="50"/>
      <c r="B110" s="155" t="str">
        <f>COA!B115</f>
        <v>5511 Supplies and materials - COS</v>
      </c>
      <c r="C110" s="127">
        <f>_xlfn.XLOOKUP(B110,'TB.3 - Dec 31, 2022'!A:A,'TB.3 - Dec 31, 2022'!D:D,0,0,1)</f>
        <v>0</v>
      </c>
      <c r="D110" s="127">
        <f>_xlfn.XLOOKUP(B110,'AJE.2B - F24'!A:A,'AJE.2B - F24'!M:M,0,0,1)</f>
        <v>0</v>
      </c>
      <c r="E110" s="127"/>
      <c r="F110" s="219">
        <f t="shared" si="2"/>
        <v>0</v>
      </c>
      <c r="G110" s="178" t="str">
        <f>_xlfn.XLOOKUP($B110,COA!$B:$B,COA!$C:$C,0,0,1)</f>
        <v>Cost of goods sold</v>
      </c>
      <c r="H110" s="178" t="str">
        <f>_xlfn.XLOOKUP($B110,COA!$B:$B,COA!$D:$D,0,0,1)</f>
        <v>Cost of goods sold</v>
      </c>
      <c r="I110" s="178" t="str">
        <f>_xlfn.XLOOKUP($B110,COA!$B:$B,COA!$E:$E,0,0,1)</f>
        <v>Accumulated deficit</v>
      </c>
      <c r="K110" s="85" t="str">
        <f>_xlfn.XLOOKUP(I110,FS.1!A:A,I:I,0,0,1)</f>
        <v>Payroll liabilities</v>
      </c>
      <c r="L110" s="87"/>
      <c r="M110" s="87"/>
      <c r="N110" s="85"/>
      <c r="O110" s="85"/>
      <c r="P110" s="85"/>
      <c r="Q110" s="85"/>
      <c r="R110" s="85"/>
      <c r="S110" s="85"/>
      <c r="T110" s="85"/>
      <c r="U110" s="85"/>
    </row>
    <row r="111" spans="1:21" hidden="1" outlineLevel="1" x14ac:dyDescent="0.25">
      <c r="A111" s="50"/>
      <c r="B111" s="155" t="str">
        <f>COA!B116</f>
        <v>5998 Uncategorized Income</v>
      </c>
      <c r="C111" s="127">
        <f>_xlfn.XLOOKUP(B111,'TB.3 - Dec 31, 2022'!A:A,'TB.3 - Dec 31, 2022'!D:D,0,0,1)</f>
        <v>0</v>
      </c>
      <c r="D111" s="127">
        <f>_xlfn.XLOOKUP(B111,'AJE.2B - F24'!A:A,'AJE.2B - F24'!M:M,0,0,1)</f>
        <v>0</v>
      </c>
      <c r="E111" s="127"/>
      <c r="F111" s="219">
        <f t="shared" si="2"/>
        <v>0</v>
      </c>
      <c r="G111" s="178" t="str">
        <f>_xlfn.XLOOKUP($B111,COA!$B:$B,COA!$C:$C,0,0,1)</f>
        <v xml:space="preserve">Other income </v>
      </c>
      <c r="H111" s="178" t="str">
        <f>_xlfn.XLOOKUP($B111,COA!$B:$B,COA!$D:$D,0,0,1)</f>
        <v xml:space="preserve">Other income </v>
      </c>
      <c r="I111" s="178" t="str">
        <f>_xlfn.XLOOKUP($B111,COA!$B:$B,COA!$E:$E,0,0,1)</f>
        <v>Accumulated deficit</v>
      </c>
      <c r="K111" s="85" t="str">
        <f>_xlfn.XLOOKUP(I111,FS.1!A:A,I:I,0,0,1)</f>
        <v>Payroll liabilities</v>
      </c>
      <c r="L111" s="87"/>
      <c r="M111" s="87"/>
      <c r="N111" s="85"/>
      <c r="O111" s="85"/>
      <c r="P111" s="85"/>
      <c r="Q111" s="85"/>
      <c r="R111" s="85"/>
      <c r="S111" s="85"/>
      <c r="T111" s="85"/>
      <c r="U111" s="85"/>
    </row>
    <row r="112" spans="1:21" hidden="1" outlineLevel="1" x14ac:dyDescent="0.25">
      <c r="A112" s="50"/>
      <c r="B112" s="155" t="str">
        <f>COA!B117</f>
        <v>5999 Uncategorized Income</v>
      </c>
      <c r="C112" s="127">
        <f>_xlfn.XLOOKUP(B112,'TB.3 - Dec 31, 2022'!A:A,'TB.3 - Dec 31, 2022'!D:D,0,0,1)</f>
        <v>0</v>
      </c>
      <c r="D112" s="127">
        <f>_xlfn.XLOOKUP(B112,'AJE.2B - F24'!A:A,'AJE.2B - F24'!M:M,0,0,1)</f>
        <v>0</v>
      </c>
      <c r="E112" s="127"/>
      <c r="F112" s="219">
        <f t="shared" si="2"/>
        <v>0</v>
      </c>
      <c r="G112" s="178" t="str">
        <f>_xlfn.XLOOKUP($B112,COA!$B:$B,COA!$C:$C,0,0,1)</f>
        <v>Revenues</v>
      </c>
      <c r="H112" s="178" t="str">
        <f>_xlfn.XLOOKUP($B112,COA!$B:$B,COA!$D:$D,0,0,1)</f>
        <v>Revenues</v>
      </c>
      <c r="I112" s="178" t="str">
        <f>_xlfn.XLOOKUP($B112,COA!$B:$B,COA!$E:$E,0,0,1)</f>
        <v>Accumulated deficit</v>
      </c>
      <c r="K112" s="85" t="str">
        <f>_xlfn.XLOOKUP(I112,FS.1!A:A,I:I,0,0,1)</f>
        <v>Payroll liabilities</v>
      </c>
      <c r="L112" s="87"/>
      <c r="M112" s="87"/>
      <c r="N112" s="85"/>
      <c r="O112" s="85"/>
      <c r="P112" s="85"/>
      <c r="Q112" s="85"/>
      <c r="R112" s="85"/>
      <c r="S112" s="85"/>
      <c r="T112" s="85"/>
      <c r="U112" s="85"/>
    </row>
    <row r="113" spans="1:21" hidden="1" outlineLevel="1" x14ac:dyDescent="0.25">
      <c r="A113" s="50"/>
      <c r="B113" s="155" t="str">
        <f>COA!B118</f>
        <v>5999 Unapplied Cash Payment Income</v>
      </c>
      <c r="C113" s="127">
        <f>_xlfn.XLOOKUP(B113,'TB.3 - Dec 31, 2022'!A:A,'TB.3 - Dec 31, 2022'!D:D,0,0,1)</f>
        <v>0</v>
      </c>
      <c r="D113" s="127">
        <f>_xlfn.XLOOKUP(B113,'AJE.2B - F24'!A:A,'AJE.2B - F24'!M:M,0,0,1)</f>
        <v>0</v>
      </c>
      <c r="E113" s="127"/>
      <c r="F113" s="219">
        <f t="shared" si="2"/>
        <v>0</v>
      </c>
      <c r="G113" s="178" t="str">
        <f>_xlfn.XLOOKUP($B113,COA!$B:$B,COA!$C:$C,0,0,1)</f>
        <v xml:space="preserve">Other income </v>
      </c>
      <c r="H113" s="178" t="str">
        <f>_xlfn.XLOOKUP($B113,COA!$B:$B,COA!$D:$D,0,0,1)</f>
        <v xml:space="preserve">Other income </v>
      </c>
      <c r="I113" s="178" t="str">
        <f>_xlfn.XLOOKUP($B113,COA!$B:$B,COA!$E:$E,0,0,1)</f>
        <v>Accumulated deficit</v>
      </c>
      <c r="K113" s="85" t="str">
        <f>_xlfn.XLOOKUP(I113,FS.1!A:A,I:I,0,0,1)</f>
        <v>Payroll liabilities</v>
      </c>
      <c r="L113" s="87"/>
      <c r="M113" s="87"/>
      <c r="N113" s="85"/>
      <c r="O113" s="85"/>
      <c r="P113" s="85"/>
      <c r="Q113" s="85"/>
      <c r="R113" s="85"/>
      <c r="S113" s="85"/>
      <c r="T113" s="85"/>
      <c r="U113" s="85"/>
    </row>
    <row r="114" spans="1:21" hidden="1" outlineLevel="1" x14ac:dyDescent="0.25">
      <c r="A114" s="50"/>
      <c r="B114" s="155" t="str">
        <f>COA!B119</f>
        <v>6000 Payroll Expenses</v>
      </c>
      <c r="C114" s="127">
        <f>_xlfn.XLOOKUP(B114,'TB.3 - Dec 31, 2022'!A:A,'TB.3 - Dec 31, 2022'!D:D,0,0,1)</f>
        <v>0</v>
      </c>
      <c r="D114" s="127">
        <f>_xlfn.XLOOKUP(B114,'AJE.2B - F24'!A:A,'AJE.2B - F24'!M:M,0,0,1)</f>
        <v>0</v>
      </c>
      <c r="E114" s="127"/>
      <c r="F114" s="219">
        <f t="shared" si="2"/>
        <v>0</v>
      </c>
      <c r="G114" s="178" t="str">
        <f>_xlfn.XLOOKUP($B114,COA!$B:$B,COA!$C:$C,0,0,1)</f>
        <v>General and administration</v>
      </c>
      <c r="H114" s="178" t="str">
        <f>_xlfn.XLOOKUP($B114,COA!$B:$B,COA!$D:$D,0,0,1)</f>
        <v xml:space="preserve">Salaries, wages, and benefits </v>
      </c>
      <c r="I114" s="178" t="str">
        <f>_xlfn.XLOOKUP($B114,COA!$B:$B,COA!$E:$E,0,0,1)</f>
        <v>Accumulated deficit</v>
      </c>
      <c r="K114" s="85" t="str">
        <f>_xlfn.XLOOKUP(I114,FS.1!A:A,I:I,0,0,1)</f>
        <v>Payroll liabilities</v>
      </c>
      <c r="L114" s="87"/>
      <c r="M114" s="87"/>
      <c r="N114" s="85"/>
      <c r="O114" s="85"/>
      <c r="P114" s="85"/>
      <c r="Q114" s="85"/>
      <c r="R114" s="85"/>
      <c r="S114" s="85"/>
      <c r="T114" s="85"/>
      <c r="U114" s="85"/>
    </row>
    <row r="115" spans="1:21" hidden="1" outlineLevel="1" x14ac:dyDescent="0.25">
      <c r="A115" s="50"/>
      <c r="B115" s="155" t="str">
        <f>COA!B120</f>
        <v>6001 Payroll Expenses:Management Salaries</v>
      </c>
      <c r="C115" s="127">
        <f>_xlfn.XLOOKUP(B115,'TB.3 - Dec 31, 2022'!A:A,'TB.3 - Dec 31, 2022'!D:D,0,0,1)</f>
        <v>0</v>
      </c>
      <c r="D115" s="127">
        <f>_xlfn.XLOOKUP(B115,'AJE.2B - F24'!A:A,'AJE.2B - F24'!M:M,0,0,1)</f>
        <v>0</v>
      </c>
      <c r="E115" s="127"/>
      <c r="F115" s="219">
        <f t="shared" si="2"/>
        <v>0</v>
      </c>
      <c r="G115" s="178" t="str">
        <f>_xlfn.XLOOKUP($B115,COA!$B:$B,COA!$C:$C,0,0,1)</f>
        <v>General and administration</v>
      </c>
      <c r="H115" s="178" t="str">
        <f>_xlfn.XLOOKUP($B115,COA!$B:$B,COA!$D:$D,0,0,1)</f>
        <v xml:space="preserve">Salaries, wages, and benefits </v>
      </c>
      <c r="I115" s="178" t="str">
        <f>_xlfn.XLOOKUP($B115,COA!$B:$B,COA!$E:$E,0,0,1)</f>
        <v>Accumulated deficit</v>
      </c>
      <c r="K115" s="85" t="str">
        <f>_xlfn.XLOOKUP(I115,FS.1!A:A,I:I,0,0,1)</f>
        <v>Payroll liabilities</v>
      </c>
      <c r="L115" s="87"/>
      <c r="M115" s="87"/>
      <c r="N115" s="85"/>
      <c r="O115" s="85"/>
      <c r="P115" s="85"/>
      <c r="Q115" s="85"/>
      <c r="R115" s="85"/>
      <c r="S115" s="85"/>
      <c r="T115" s="85"/>
      <c r="U115" s="85"/>
    </row>
    <row r="116" spans="1:21" hidden="1" outlineLevel="1" x14ac:dyDescent="0.25">
      <c r="A116" s="50"/>
      <c r="B116" s="155" t="str">
        <f>COA!B121</f>
        <v>6002 Payroll Expenses:Wages</v>
      </c>
      <c r="C116" s="127">
        <f>_xlfn.XLOOKUP(B116,'TB.3 - Dec 31, 2022'!A:A,'TB.3 - Dec 31, 2022'!D:D,0,0,1)</f>
        <v>0</v>
      </c>
      <c r="D116" s="127">
        <f>_xlfn.XLOOKUP(B116,'AJE.2B - F24'!A:A,'AJE.2B - F24'!M:M,0,0,1)</f>
        <v>0</v>
      </c>
      <c r="E116" s="127"/>
      <c r="F116" s="219">
        <f t="shared" si="2"/>
        <v>0</v>
      </c>
      <c r="G116" s="178" t="str">
        <f>_xlfn.XLOOKUP($B116,COA!$B:$B,COA!$C:$C,0,0,1)</f>
        <v>General and administration</v>
      </c>
      <c r="H116" s="178" t="str">
        <f>_xlfn.XLOOKUP($B116,COA!$B:$B,COA!$D:$D,0,0,1)</f>
        <v xml:space="preserve">Salaries, wages, and benefits </v>
      </c>
      <c r="I116" s="178" t="str">
        <f>_xlfn.XLOOKUP($B116,COA!$B:$B,COA!$E:$E,0,0,1)</f>
        <v>Accumulated deficit</v>
      </c>
      <c r="K116" s="85" t="str">
        <f>_xlfn.XLOOKUP(I116,FS.1!A:A,I:I,0,0,1)</f>
        <v>Payroll liabilities</v>
      </c>
      <c r="L116" s="87"/>
      <c r="M116" s="87"/>
      <c r="N116" s="85"/>
      <c r="O116" s="85"/>
      <c r="P116" s="85"/>
      <c r="Q116" s="85"/>
      <c r="R116" s="85"/>
      <c r="S116" s="85"/>
      <c r="T116" s="85"/>
      <c r="U116" s="85"/>
    </row>
    <row r="117" spans="1:21" hidden="1" outlineLevel="1" x14ac:dyDescent="0.25">
      <c r="A117" s="50"/>
      <c r="B117" s="155" t="str">
        <f>COA!B122</f>
        <v>6003 Payroll Expenses:Vacation Pay</v>
      </c>
      <c r="C117" s="127">
        <f>_xlfn.XLOOKUP(B117,'TB.3 - Dec 31, 2022'!A:A,'TB.3 - Dec 31, 2022'!D:D,0,0,1)</f>
        <v>0</v>
      </c>
      <c r="D117" s="127">
        <f>_xlfn.XLOOKUP(B117,'AJE.2B - F24'!A:A,'AJE.2B - F24'!M:M,0,0,1)</f>
        <v>0</v>
      </c>
      <c r="E117" s="127"/>
      <c r="F117" s="219">
        <f t="shared" si="2"/>
        <v>0</v>
      </c>
      <c r="G117" s="178" t="str">
        <f>_xlfn.XLOOKUP($B117,COA!$B:$B,COA!$C:$C,0,0,1)</f>
        <v>General and administration</v>
      </c>
      <c r="H117" s="178" t="str">
        <f>_xlfn.XLOOKUP($B117,COA!$B:$B,COA!$D:$D,0,0,1)</f>
        <v xml:space="preserve">Salaries, wages, and benefits </v>
      </c>
      <c r="I117" s="178" t="str">
        <f>_xlfn.XLOOKUP($B117,COA!$B:$B,COA!$E:$E,0,0,1)</f>
        <v>Accumulated deficit</v>
      </c>
      <c r="K117" s="85" t="str">
        <f>_xlfn.XLOOKUP(I117,FS.1!A:A,I:I,0,0,1)</f>
        <v>Payroll liabilities</v>
      </c>
      <c r="L117" s="87"/>
      <c r="M117" s="87"/>
      <c r="N117" s="85"/>
      <c r="O117" s="85"/>
      <c r="P117" s="85"/>
      <c r="Q117" s="85"/>
      <c r="R117" s="85"/>
      <c r="S117" s="85"/>
      <c r="T117" s="85"/>
      <c r="U117" s="85"/>
    </row>
    <row r="118" spans="1:21" hidden="1" outlineLevel="1" x14ac:dyDescent="0.25">
      <c r="A118" s="50"/>
      <c r="B118" s="155" t="str">
        <f>COA!B123</f>
        <v>6004 Payroll Expenses:Employer Taxes</v>
      </c>
      <c r="C118" s="127">
        <f>_xlfn.XLOOKUP(B118,'TB.3 - Dec 31, 2022'!A:A,'TB.3 - Dec 31, 2022'!D:D,0,0,1)</f>
        <v>0</v>
      </c>
      <c r="D118" s="127">
        <f>_xlfn.XLOOKUP(B118,'AJE.2B - F24'!A:A,'AJE.2B - F24'!M:M,0,0,1)</f>
        <v>0</v>
      </c>
      <c r="E118" s="127"/>
      <c r="F118" s="219">
        <f t="shared" si="2"/>
        <v>0</v>
      </c>
      <c r="G118" s="178" t="str">
        <f>_xlfn.XLOOKUP($B118,COA!$B:$B,COA!$C:$C,0,0,1)</f>
        <v>General and administration</v>
      </c>
      <c r="H118" s="178" t="str">
        <f>_xlfn.XLOOKUP($B118,COA!$B:$B,COA!$D:$D,0,0,1)</f>
        <v xml:space="preserve">Salaries, wages, and benefits </v>
      </c>
      <c r="I118" s="178" t="str">
        <f>_xlfn.XLOOKUP($B118,COA!$B:$B,COA!$E:$E,0,0,1)</f>
        <v>Accumulated deficit</v>
      </c>
      <c r="K118" s="85" t="str">
        <f>_xlfn.XLOOKUP(I118,FS.1!A:A,I:I,0,0,1)</f>
        <v>Payroll liabilities</v>
      </c>
      <c r="L118" s="87"/>
      <c r="M118" s="87"/>
      <c r="N118" s="85"/>
      <c r="O118" s="85"/>
      <c r="P118" s="85"/>
      <c r="Q118" s="85"/>
      <c r="R118" s="85"/>
      <c r="S118" s="85"/>
      <c r="T118" s="85"/>
      <c r="U118" s="85"/>
    </row>
    <row r="119" spans="1:21" hidden="1" outlineLevel="1" x14ac:dyDescent="0.25">
      <c r="A119" s="50"/>
      <c r="B119" s="155" t="str">
        <f>COA!B124</f>
        <v>6005 Payroll Expenses:WCB Expense</v>
      </c>
      <c r="C119" s="127">
        <f>_xlfn.XLOOKUP(B119,'TB.3 - Dec 31, 2022'!A:A,'TB.3 - Dec 31, 2022'!D:D,0,0,1)</f>
        <v>0</v>
      </c>
      <c r="D119" s="127">
        <f>_xlfn.XLOOKUP(B119,'AJE.2B - F24'!A:A,'AJE.2B - F24'!M:M,0,0,1)</f>
        <v>0</v>
      </c>
      <c r="E119" s="127"/>
      <c r="F119" s="219">
        <f t="shared" si="2"/>
        <v>0</v>
      </c>
      <c r="G119" s="178" t="str">
        <f>_xlfn.XLOOKUP($B119,COA!$B:$B,COA!$C:$C,0,0,1)</f>
        <v>General and administration</v>
      </c>
      <c r="H119" s="178" t="str">
        <f>_xlfn.XLOOKUP($B119,COA!$B:$B,COA!$D:$D,0,0,1)</f>
        <v xml:space="preserve">Salaries, wages, and benefits </v>
      </c>
      <c r="I119" s="178" t="str">
        <f>_xlfn.XLOOKUP($B119,COA!$B:$B,COA!$E:$E,0,0,1)</f>
        <v>Accumulated deficit</v>
      </c>
      <c r="K119" s="85" t="str">
        <f>_xlfn.XLOOKUP(I119,FS.1!A:A,I:I,0,0,1)</f>
        <v>Payroll liabilities</v>
      </c>
      <c r="L119" s="87"/>
      <c r="M119" s="87"/>
      <c r="N119" s="85"/>
      <c r="O119" s="85"/>
      <c r="P119" s="85"/>
      <c r="Q119" s="85"/>
      <c r="R119" s="85"/>
      <c r="S119" s="85"/>
      <c r="T119" s="85"/>
      <c r="U119" s="85"/>
    </row>
    <row r="120" spans="1:21" hidden="1" outlineLevel="1" x14ac:dyDescent="0.25">
      <c r="A120" s="50"/>
      <c r="B120" s="155" t="str">
        <f>COA!B125</f>
        <v>6010 Other G&amp;A</v>
      </c>
      <c r="C120" s="127">
        <f>_xlfn.XLOOKUP(B120,'TB.3 - Dec 31, 2022'!A:A,'TB.3 - Dec 31, 2022'!D:D,0,0,1)</f>
        <v>0</v>
      </c>
      <c r="D120" s="127">
        <f>_xlfn.XLOOKUP(B120,'AJE.2B - F24'!A:A,'AJE.2B - F24'!M:M,0,0,1)</f>
        <v>0</v>
      </c>
      <c r="E120" s="127"/>
      <c r="F120" s="219">
        <f t="shared" si="2"/>
        <v>0</v>
      </c>
      <c r="G120" s="178" t="str">
        <f>_xlfn.XLOOKUP($B120,COA!$B:$B,COA!$C:$C,0,0,1)</f>
        <v>General and administration</v>
      </c>
      <c r="H120" s="178" t="str">
        <f>_xlfn.XLOOKUP($B120,COA!$B:$B,COA!$D:$D,0,0,1)</f>
        <v>Office expenses</v>
      </c>
      <c r="I120" s="178" t="str">
        <f>_xlfn.XLOOKUP($B120,COA!$B:$B,COA!$E:$E,0,0,1)</f>
        <v>Accumulated deficit</v>
      </c>
      <c r="K120" s="85" t="str">
        <f>_xlfn.XLOOKUP(I120,FS.1!A:A,I:I,0,0,1)</f>
        <v>Payroll liabilities</v>
      </c>
      <c r="L120" s="87"/>
      <c r="M120" s="87"/>
      <c r="N120" s="85"/>
      <c r="O120" s="85"/>
      <c r="P120" s="85"/>
      <c r="Q120" s="85"/>
      <c r="R120" s="85"/>
      <c r="S120" s="85"/>
      <c r="T120" s="85"/>
      <c r="U120" s="85"/>
    </row>
    <row r="121" spans="1:21" hidden="1" outlineLevel="1" x14ac:dyDescent="0.25">
      <c r="A121" s="50"/>
      <c r="B121" s="155" t="str">
        <f>COA!B126</f>
        <v>6011 Bank charges</v>
      </c>
      <c r="C121" s="127">
        <f>_xlfn.XLOOKUP(B121,'TB.3 - Dec 31, 2022'!A:A,'TB.3 - Dec 31, 2022'!D:D,0,0,1)</f>
        <v>333.09</v>
      </c>
      <c r="D121" s="127">
        <f>_xlfn.XLOOKUP(B121,'AJE.2B - F24'!A:A,'AJE.2B - F24'!M:M,0,0,1)</f>
        <v>0</v>
      </c>
      <c r="E121" s="127">
        <v>1</v>
      </c>
      <c r="F121" s="219">
        <f t="shared" si="2"/>
        <v>334</v>
      </c>
      <c r="G121" s="178" t="str">
        <f>_xlfn.XLOOKUP($B121,COA!$B:$B,COA!$C:$C,0,0,1)</f>
        <v>General and administration</v>
      </c>
      <c r="H121" s="178" t="str">
        <f>_xlfn.XLOOKUP($B121,COA!$B:$B,COA!$D:$D,0,0,1)</f>
        <v>Bank fees</v>
      </c>
      <c r="I121" s="178" t="str">
        <f>_xlfn.XLOOKUP($B121,COA!$B:$B,COA!$E:$E,0,0,1)</f>
        <v>Accumulated deficit</v>
      </c>
      <c r="K121" s="85" t="str">
        <f>_xlfn.XLOOKUP(I121,FS.1!A:A,I:I,0,0,1)</f>
        <v>Payroll liabilities</v>
      </c>
      <c r="L121" s="87"/>
      <c r="M121" s="87"/>
      <c r="N121" s="85"/>
      <c r="O121" s="85"/>
      <c r="P121" s="85"/>
      <c r="Q121" s="85"/>
      <c r="R121" s="85"/>
      <c r="S121" s="85"/>
      <c r="T121" s="85"/>
      <c r="U121" s="85"/>
    </row>
    <row r="122" spans="1:21" hidden="1" outlineLevel="1" x14ac:dyDescent="0.25">
      <c r="A122" s="50"/>
      <c r="B122" s="155" t="str">
        <f>COA!B127</f>
        <v>6012 Bad debts</v>
      </c>
      <c r="C122" s="127">
        <f>_xlfn.XLOOKUP(B122,'TB.3 - Dec 31, 2022'!A:A,'TB.3 - Dec 31, 2022'!D:D,0,0,1)</f>
        <v>0</v>
      </c>
      <c r="D122" s="127">
        <f>_xlfn.XLOOKUP(B122,'AJE.2B - F24'!A:A,'AJE.2B - F24'!M:M,0,0,1)</f>
        <v>0</v>
      </c>
      <c r="E122" s="127"/>
      <c r="F122" s="219">
        <f t="shared" si="2"/>
        <v>0</v>
      </c>
      <c r="G122" s="178" t="str">
        <f>_xlfn.XLOOKUP($B122,COA!$B:$B,COA!$C:$C,0,0,1)</f>
        <v>General and administration</v>
      </c>
      <c r="H122" s="178" t="str">
        <f>_xlfn.XLOOKUP($B122,COA!$B:$B,COA!$D:$D,0,0,1)</f>
        <v>Bad debt expense</v>
      </c>
      <c r="I122" s="178" t="str">
        <f>_xlfn.XLOOKUP($B122,COA!$B:$B,COA!$E:$E,0,0,1)</f>
        <v>Accumulated deficit</v>
      </c>
      <c r="K122" s="85" t="str">
        <f>_xlfn.XLOOKUP(I122,FS.1!A:A,I:I,0,0,1)</f>
        <v>Payroll liabilities</v>
      </c>
      <c r="L122" s="87"/>
      <c r="M122" s="87"/>
      <c r="N122" s="85"/>
      <c r="O122" s="85"/>
      <c r="P122" s="85"/>
      <c r="Q122" s="85"/>
      <c r="R122" s="85"/>
      <c r="S122" s="85"/>
      <c r="T122" s="85"/>
      <c r="U122" s="85"/>
    </row>
    <row r="123" spans="1:21" hidden="1" outlineLevel="1" x14ac:dyDescent="0.25">
      <c r="A123" s="50"/>
      <c r="B123" s="155" t="str">
        <f>COA!B128</f>
        <v>6012 Bad Debt</v>
      </c>
      <c r="C123" s="127">
        <f>_xlfn.XLOOKUP(B123,'TB.3 - Dec 31, 2022'!A:A,'TB.3 - Dec 31, 2022'!D:D,0,0,1)</f>
        <v>0</v>
      </c>
      <c r="D123" s="127">
        <f>_xlfn.XLOOKUP(B123,'AJE.2B - F24'!A:A,'AJE.2B - F24'!M:M,0,0,1)</f>
        <v>0</v>
      </c>
      <c r="E123" s="127"/>
      <c r="F123" s="219">
        <f t="shared" si="2"/>
        <v>0</v>
      </c>
      <c r="G123" s="178" t="str">
        <f>_xlfn.XLOOKUP($B123,COA!$B:$B,COA!$C:$C,0,0,1)</f>
        <v>General and administration</v>
      </c>
      <c r="H123" s="178" t="str">
        <f>_xlfn.XLOOKUP($B123,COA!$B:$B,COA!$D:$D,0,0,1)</f>
        <v>Bad debt expense</v>
      </c>
      <c r="I123" s="178" t="str">
        <f>_xlfn.XLOOKUP($B123,COA!$B:$B,COA!$E:$E,0,0,1)</f>
        <v>Accumulated deficit</v>
      </c>
      <c r="K123" s="85" t="str">
        <f>_xlfn.XLOOKUP(I123,FS.1!A:A,I:I,0,0,1)</f>
        <v>Payroll liabilities</v>
      </c>
      <c r="L123" s="87"/>
      <c r="M123" s="87"/>
      <c r="N123" s="85"/>
      <c r="O123" s="85"/>
      <c r="P123" s="85"/>
      <c r="Q123" s="85"/>
      <c r="R123" s="85"/>
      <c r="S123" s="85"/>
      <c r="T123" s="85"/>
      <c r="U123" s="85"/>
    </row>
    <row r="124" spans="1:21" hidden="1" outlineLevel="1" x14ac:dyDescent="0.25">
      <c r="A124" s="50"/>
      <c r="B124" s="155" t="str">
        <f>COA!B129</f>
        <v>6013 Interest expense</v>
      </c>
      <c r="C124" s="127">
        <f>_xlfn.XLOOKUP(B124,'TB.3 - Dec 31, 2022'!A:A,'TB.3 - Dec 31, 2022'!D:D,0,0,1)</f>
        <v>0</v>
      </c>
      <c r="D124" s="127">
        <f>_xlfn.XLOOKUP(B124,'AJE.2B - F24'!A:A,'AJE.2B - F24'!M:M,0,0,1)</f>
        <v>0</v>
      </c>
      <c r="E124" s="127"/>
      <c r="F124" s="219">
        <f t="shared" si="2"/>
        <v>0</v>
      </c>
      <c r="G124" s="178" t="str">
        <f>_xlfn.XLOOKUP($B124,COA!$B:$B,COA!$C:$C,0,0,1)</f>
        <v>Interest expense</v>
      </c>
      <c r="H124" s="178" t="str">
        <f>_xlfn.XLOOKUP($B124,COA!$B:$B,COA!$D:$D,0,0,1)</f>
        <v>Interest expense</v>
      </c>
      <c r="I124" s="178" t="str">
        <f>_xlfn.XLOOKUP($B124,COA!$B:$B,COA!$E:$E,0,0,1)</f>
        <v>Accumulated deficit</v>
      </c>
      <c r="K124" s="85" t="str">
        <f>_xlfn.XLOOKUP(I124,FS.1!A:A,I:I,0,0,1)</f>
        <v>Payroll liabilities</v>
      </c>
      <c r="L124" s="87"/>
      <c r="M124" s="87"/>
      <c r="N124" s="85"/>
      <c r="O124" s="85"/>
      <c r="P124" s="85"/>
      <c r="Q124" s="85"/>
      <c r="R124" s="85"/>
      <c r="S124" s="85"/>
      <c r="T124" s="85"/>
      <c r="U124" s="85"/>
    </row>
    <row r="125" spans="1:21" hidden="1" outlineLevel="1" x14ac:dyDescent="0.25">
      <c r="A125" s="50"/>
      <c r="B125" s="155" t="str">
        <f>COA!B130</f>
        <v>6015 Accounting Fees</v>
      </c>
      <c r="C125" s="127">
        <f>_xlfn.XLOOKUP(B125,'TB.3 - Dec 31, 2022'!A:A,'TB.3 - Dec 31, 2022'!D:D,0,0,1)</f>
        <v>-4704.55</v>
      </c>
      <c r="D125" s="127">
        <f>_xlfn.XLOOKUP(B125,'AJE.2B - F24'!A:A,'AJE.2B - F24'!M:M,0,0,1)</f>
        <v>0</v>
      </c>
      <c r="E125" s="127"/>
      <c r="F125" s="219">
        <f t="shared" si="2"/>
        <v>-4705</v>
      </c>
      <c r="G125" s="178" t="str">
        <f>_xlfn.XLOOKUP($B125,COA!$B:$B,COA!$C:$C,0,0,1)</f>
        <v>General and administration</v>
      </c>
      <c r="H125" s="178" t="str">
        <f>_xlfn.XLOOKUP($B125,COA!$B:$B,COA!$D:$D,0,0,1)</f>
        <v>Professional fees</v>
      </c>
      <c r="I125" s="178" t="str">
        <f>_xlfn.XLOOKUP($B125,COA!$B:$B,COA!$E:$E,0,0,1)</f>
        <v>Accumulated deficit</v>
      </c>
      <c r="K125" s="85" t="str">
        <f>_xlfn.XLOOKUP(I125,FS.1!A:A,I:I,0,0,1)</f>
        <v>Payroll liabilities</v>
      </c>
      <c r="L125" s="87"/>
      <c r="M125" s="87"/>
      <c r="N125" s="85"/>
      <c r="O125" s="85"/>
      <c r="P125" s="85"/>
      <c r="Q125" s="85"/>
      <c r="R125" s="85"/>
      <c r="S125" s="85"/>
      <c r="T125" s="85"/>
      <c r="U125" s="85"/>
    </row>
    <row r="126" spans="1:21" hidden="1" outlineLevel="1" x14ac:dyDescent="0.25">
      <c r="A126" s="50"/>
      <c r="B126" s="155" t="str">
        <f>COA!B131</f>
        <v>6015 Accounting &amp; Legal</v>
      </c>
      <c r="C126" s="127">
        <f>_xlfn.XLOOKUP(B126,'TB.3 - Dec 31, 2022'!A:A,'TB.3 - Dec 31, 2022'!D:D,0,0,1)</f>
        <v>0</v>
      </c>
      <c r="D126" s="127">
        <f>_xlfn.XLOOKUP(B126,'AJE.2B - F24'!A:A,'AJE.2B - F24'!M:M,0,0,1)</f>
        <v>0</v>
      </c>
      <c r="E126" s="127"/>
      <c r="F126" s="219">
        <f t="shared" si="2"/>
        <v>0</v>
      </c>
      <c r="G126" s="178" t="str">
        <f>_xlfn.XLOOKUP($B126,COA!$B:$B,COA!$C:$C,0,0,1)</f>
        <v>General and administration</v>
      </c>
      <c r="H126" s="178" t="str">
        <f>_xlfn.XLOOKUP($B126,COA!$B:$B,COA!$D:$D,0,0,1)</f>
        <v>Professional fees</v>
      </c>
      <c r="I126" s="178" t="str">
        <f>_xlfn.XLOOKUP($B126,COA!$B:$B,COA!$E:$E,0,0,1)</f>
        <v>Accumulated deficit</v>
      </c>
      <c r="K126" s="85" t="str">
        <f>_xlfn.XLOOKUP(I126,FS.1!A:A,I:I,0,0,1)</f>
        <v>Payroll liabilities</v>
      </c>
      <c r="L126" s="87"/>
      <c r="M126" s="87"/>
      <c r="N126" s="85"/>
      <c r="O126" s="85"/>
      <c r="P126" s="85"/>
      <c r="Q126" s="85"/>
      <c r="R126" s="85"/>
      <c r="S126" s="85"/>
      <c r="T126" s="85"/>
      <c r="U126" s="85"/>
    </row>
    <row r="127" spans="1:21" hidden="1" outlineLevel="1" x14ac:dyDescent="0.25">
      <c r="A127" s="50"/>
      <c r="B127" s="155" t="str">
        <f>COA!B132</f>
        <v>6016 Legal and professional fees</v>
      </c>
      <c r="C127" s="127">
        <f>_xlfn.XLOOKUP(B127,'TB.3 - Dec 31, 2022'!A:A,'TB.3 - Dec 31, 2022'!D:D,0,0,1)</f>
        <v>16500.75</v>
      </c>
      <c r="D127" s="127">
        <f>_xlfn.XLOOKUP(B127,'AJE.2B - F24'!A:A,'AJE.2B - F24'!M:M,0,0,1)</f>
        <v>0</v>
      </c>
      <c r="E127" s="127"/>
      <c r="F127" s="219">
        <f t="shared" si="2"/>
        <v>16501</v>
      </c>
      <c r="G127" s="178" t="str">
        <f>_xlfn.XLOOKUP($B127,COA!$B:$B,COA!$C:$C,0,0,1)</f>
        <v>General and administration</v>
      </c>
      <c r="H127" s="178" t="str">
        <f>_xlfn.XLOOKUP($B127,COA!$B:$B,COA!$D:$D,0,0,1)</f>
        <v>Professional fees</v>
      </c>
      <c r="I127" s="178" t="str">
        <f>_xlfn.XLOOKUP($B127,COA!$B:$B,COA!$E:$E,0,0,1)</f>
        <v>Accumulated deficit</v>
      </c>
      <c r="K127" s="85" t="str">
        <f>_xlfn.XLOOKUP(I127,FS.1!A:A,I:I,0,0,1)</f>
        <v>Payroll liabilities</v>
      </c>
      <c r="L127" s="87"/>
      <c r="M127" s="87"/>
      <c r="N127" s="85"/>
      <c r="O127" s="85"/>
      <c r="P127" s="85"/>
      <c r="Q127" s="85"/>
      <c r="R127" s="85"/>
      <c r="S127" s="85"/>
      <c r="T127" s="85"/>
      <c r="U127" s="85"/>
    </row>
    <row r="128" spans="1:21" hidden="1" outlineLevel="1" x14ac:dyDescent="0.25">
      <c r="A128" s="50"/>
      <c r="B128" s="155" t="str">
        <f>COA!B133</f>
        <v>6016 Consulting Expense</v>
      </c>
      <c r="C128" s="127">
        <f>_xlfn.XLOOKUP(B128,'TB.3 - Dec 31, 2022'!A:A,'TB.3 - Dec 31, 2022'!D:D,0,0,1)</f>
        <v>0</v>
      </c>
      <c r="D128" s="127">
        <f>_xlfn.XLOOKUP(B128,'AJE.2B - F24'!A:A,'AJE.2B - F24'!M:M,0,0,1)</f>
        <v>0</v>
      </c>
      <c r="E128" s="127"/>
      <c r="F128" s="219">
        <f t="shared" si="2"/>
        <v>0</v>
      </c>
      <c r="G128" s="178" t="str">
        <f>_xlfn.XLOOKUP($B128,COA!$B:$B,COA!$C:$C,0,0,1)</f>
        <v>General and administration</v>
      </c>
      <c r="H128" s="178" t="str">
        <f>_xlfn.XLOOKUP($B128,COA!$B:$B,COA!$D:$D,0,0,1)</f>
        <v>Consulting expense</v>
      </c>
      <c r="I128" s="178" t="str">
        <f>_xlfn.XLOOKUP($B128,COA!$B:$B,COA!$E:$E,0,0,1)</f>
        <v>Accumulated deficit</v>
      </c>
      <c r="K128" s="85" t="str">
        <f>_xlfn.XLOOKUP(I128,FS.1!A:A,I:I,0,0,1)</f>
        <v>Payroll liabilities</v>
      </c>
      <c r="L128" s="87"/>
      <c r="M128" s="87"/>
      <c r="N128" s="85"/>
      <c r="O128" s="85"/>
      <c r="P128" s="85"/>
      <c r="Q128" s="85"/>
      <c r="R128" s="85"/>
      <c r="S128" s="85"/>
      <c r="T128" s="85"/>
      <c r="U128" s="85"/>
    </row>
    <row r="129" spans="1:21" hidden="1" outlineLevel="1" x14ac:dyDescent="0.25">
      <c r="A129" s="50"/>
      <c r="B129" s="155" t="str">
        <f>COA!B134</f>
        <v>6017 Consulting Fees</v>
      </c>
      <c r="C129" s="127">
        <f>_xlfn.XLOOKUP(B129,'TB.3 - Dec 31, 2022'!A:A,'TB.3 - Dec 31, 2022'!D:D,0,0,1)</f>
        <v>1288080</v>
      </c>
      <c r="D129" s="127">
        <f>_xlfn.XLOOKUP(B129,'AJE.2B - F24'!A:A,'AJE.2B - F24'!M:M,0,0,1)</f>
        <v>0</v>
      </c>
      <c r="E129" s="127"/>
      <c r="F129" s="219">
        <f t="shared" si="2"/>
        <v>1288080</v>
      </c>
      <c r="G129" s="178" t="str">
        <f>_xlfn.XLOOKUP($B129,COA!$B:$B,COA!$C:$C,0,0,1)</f>
        <v>General and administration</v>
      </c>
      <c r="H129" s="178" t="str">
        <f>_xlfn.XLOOKUP($B129,COA!$B:$B,COA!$D:$D,0,0,1)</f>
        <v>Consulting expense</v>
      </c>
      <c r="I129" s="178" t="str">
        <f>_xlfn.XLOOKUP($B129,COA!$B:$B,COA!$E:$E,0,0,1)</f>
        <v>Accumulated deficit</v>
      </c>
      <c r="K129" s="85" t="str">
        <f>_xlfn.XLOOKUP(I129,FS.1!A:A,I:I,0,0,1)</f>
        <v>Payroll liabilities</v>
      </c>
      <c r="L129" s="87"/>
      <c r="M129" s="87"/>
      <c r="N129" s="85"/>
      <c r="O129" s="85"/>
      <c r="P129" s="85"/>
      <c r="Q129" s="85"/>
      <c r="R129" s="85"/>
      <c r="S129" s="85"/>
      <c r="T129" s="85"/>
      <c r="U129" s="85"/>
    </row>
    <row r="130" spans="1:21" hidden="1" outlineLevel="1" x14ac:dyDescent="0.25">
      <c r="A130" s="50"/>
      <c r="B130" s="155" t="str">
        <f>COA!B136</f>
        <v>6020 Advertising &amp; Promotion</v>
      </c>
      <c r="C130" s="127">
        <f>_xlfn.XLOOKUP(B130,'TB.3 - Dec 31, 2022'!A:A,'TB.3 - Dec 31, 2022'!D:D,0,0,1)</f>
        <v>10000</v>
      </c>
      <c r="D130" s="127">
        <f>_xlfn.XLOOKUP(B130,'AJE.2B - F24'!A:A,'AJE.2B - F24'!M:M,0,0,1)</f>
        <v>0</v>
      </c>
      <c r="E130" s="127"/>
      <c r="F130" s="219">
        <f t="shared" si="2"/>
        <v>10000</v>
      </c>
      <c r="G130" s="178" t="str">
        <f>_xlfn.XLOOKUP($B130,COA!$B:$B,COA!$C:$C,0,0,1)</f>
        <v>Sales and marketing</v>
      </c>
      <c r="H130" s="178" t="str">
        <f>_xlfn.XLOOKUP($B130,COA!$B:$B,COA!$D:$D,0,0,1)</f>
        <v>Advertising and marketing</v>
      </c>
      <c r="I130" s="178" t="str">
        <f>_xlfn.XLOOKUP($B130,COA!$B:$B,COA!$E:$E,0,0,1)</f>
        <v>Accumulated deficit</v>
      </c>
      <c r="K130" s="85" t="str">
        <f>_xlfn.XLOOKUP(I130,FS.1!A:A,I:I,0,0,1)</f>
        <v>Payroll liabilities</v>
      </c>
      <c r="L130" s="87"/>
      <c r="M130" s="87"/>
      <c r="N130" s="85"/>
      <c r="O130" s="85"/>
      <c r="P130" s="85"/>
      <c r="Q130" s="85"/>
      <c r="R130" s="85"/>
      <c r="S130" s="85"/>
      <c r="T130" s="85"/>
      <c r="U130" s="85"/>
    </row>
    <row r="131" spans="1:21" hidden="1" outlineLevel="1" x14ac:dyDescent="0.25">
      <c r="A131" s="50"/>
      <c r="B131" s="155" t="str">
        <f>COA!B137</f>
        <v>6021 Tradeshows and conventions</v>
      </c>
      <c r="C131" s="127">
        <f>_xlfn.XLOOKUP(B131,'TB.3 - Dec 31, 2022'!A:A,'TB.3 - Dec 31, 2022'!D:D,0,0,1)</f>
        <v>0</v>
      </c>
      <c r="D131" s="127">
        <f>_xlfn.XLOOKUP(B131,'AJE.2B - F24'!A:A,'AJE.2B - F24'!M:M,0,0,1)</f>
        <v>0</v>
      </c>
      <c r="E131" s="127"/>
      <c r="F131" s="219">
        <f t="shared" si="2"/>
        <v>0</v>
      </c>
      <c r="G131" s="178" t="str">
        <f>_xlfn.XLOOKUP($B131,COA!$B:$B,COA!$C:$C,0,0,1)</f>
        <v>Sales and marketing</v>
      </c>
      <c r="H131" s="178" t="str">
        <f>_xlfn.XLOOKUP($B131,COA!$B:$B,COA!$D:$D,0,0,1)</f>
        <v>Advertising and marketing</v>
      </c>
      <c r="I131" s="178" t="str">
        <f>_xlfn.XLOOKUP($B131,COA!$B:$B,COA!$E:$E,0,0,1)</f>
        <v>Accumulated deficit</v>
      </c>
      <c r="K131" s="85" t="str">
        <f>_xlfn.XLOOKUP(I131,FS.1!A:A,I:I,0,0,1)</f>
        <v>Payroll liabilities</v>
      </c>
      <c r="L131" s="87"/>
      <c r="M131" s="87"/>
      <c r="N131" s="85"/>
      <c r="O131" s="85"/>
      <c r="P131" s="85"/>
      <c r="Q131" s="85"/>
      <c r="R131" s="85"/>
      <c r="S131" s="85"/>
      <c r="T131" s="85"/>
      <c r="U131" s="85"/>
    </row>
    <row r="132" spans="1:21" hidden="1" outlineLevel="1" x14ac:dyDescent="0.25">
      <c r="A132" s="50"/>
      <c r="B132" s="155" t="str">
        <f>COA!B138</f>
        <v>6025 Dues and Subscriptions</v>
      </c>
      <c r="C132" s="127">
        <f>_xlfn.XLOOKUP(B132,'TB.3 - Dec 31, 2022'!A:A,'TB.3 - Dec 31, 2022'!D:D,0,0,1)</f>
        <v>0</v>
      </c>
      <c r="D132" s="127">
        <f>_xlfn.XLOOKUP(B132,'AJE.2B - F24'!A:A,'AJE.2B - F24'!M:M,0,0,1)</f>
        <v>0</v>
      </c>
      <c r="E132" s="127"/>
      <c r="F132" s="219">
        <f t="shared" si="2"/>
        <v>0</v>
      </c>
      <c r="G132" s="178" t="str">
        <f>_xlfn.XLOOKUP($B132,COA!$B:$B,COA!$C:$C,0,0,1)</f>
        <v>General and administration</v>
      </c>
      <c r="H132" s="178" t="str">
        <f>_xlfn.XLOOKUP($B132,COA!$B:$B,COA!$D:$D,0,0,1)</f>
        <v>Dues, licenses, and permits</v>
      </c>
      <c r="I132" s="178" t="str">
        <f>_xlfn.XLOOKUP($B132,COA!$B:$B,COA!$E:$E,0,0,1)</f>
        <v>Accumulated deficit</v>
      </c>
      <c r="K132" s="85" t="str">
        <f>_xlfn.XLOOKUP(I132,FS.1!A:A,I:I,0,0,1)</f>
        <v>Payroll liabilities</v>
      </c>
      <c r="L132" s="87"/>
      <c r="M132" s="87"/>
      <c r="N132" s="85"/>
      <c r="O132" s="85"/>
      <c r="P132" s="85"/>
      <c r="Q132" s="85"/>
      <c r="R132" s="85"/>
      <c r="S132" s="85"/>
      <c r="T132" s="85"/>
      <c r="U132" s="85"/>
    </row>
    <row r="133" spans="1:21" hidden="1" outlineLevel="1" x14ac:dyDescent="0.25">
      <c r="A133" s="50"/>
      <c r="B133" s="155" t="str">
        <f>COA!B139</f>
        <v>6025 Automobile</v>
      </c>
      <c r="C133" s="127">
        <f>_xlfn.XLOOKUP(B133,'TB.3 - Dec 31, 2022'!A:A,'TB.3 - Dec 31, 2022'!D:D,0,0,1)</f>
        <v>0</v>
      </c>
      <c r="D133" s="127">
        <f>_xlfn.XLOOKUP(B133,'AJE.2B - F24'!A:A,'AJE.2B - F24'!M:M,0,0,1)</f>
        <v>0</v>
      </c>
      <c r="E133" s="127"/>
      <c r="F133" s="219">
        <f t="shared" si="2"/>
        <v>0</v>
      </c>
      <c r="G133" s="178" t="str">
        <f>_xlfn.XLOOKUP($B133,COA!$B:$B,COA!$C:$C,0,0,1)</f>
        <v>General and administration</v>
      </c>
      <c r="H133" s="178" t="str">
        <f>_xlfn.XLOOKUP($B133,COA!$B:$B,COA!$D:$D,0,0,1)</f>
        <v>Other miscellaneous</v>
      </c>
      <c r="I133" s="178" t="str">
        <f>_xlfn.XLOOKUP($B133,COA!$B:$B,COA!$E:$E,0,0,1)</f>
        <v>Accumulated deficit</v>
      </c>
      <c r="K133" s="85" t="str">
        <f>_xlfn.XLOOKUP(I133,FS.1!A:A,I:I,0,0,1)</f>
        <v>Payroll liabilities</v>
      </c>
      <c r="L133" s="87"/>
      <c r="M133" s="87"/>
      <c r="N133" s="85"/>
      <c r="O133" s="85"/>
      <c r="P133" s="85"/>
      <c r="Q133" s="85"/>
      <c r="R133" s="85"/>
      <c r="S133" s="85"/>
      <c r="T133" s="85"/>
      <c r="U133" s="85"/>
    </row>
    <row r="134" spans="1:21" hidden="1" outlineLevel="1" x14ac:dyDescent="0.25">
      <c r="A134" s="50"/>
      <c r="B134" s="155" t="str">
        <f>COA!B140</f>
        <v>6026 Fuel / Industrial Gas</v>
      </c>
      <c r="C134" s="127">
        <f>_xlfn.XLOOKUP(B134,'TB.3 - Dec 31, 2022'!A:A,'TB.3 - Dec 31, 2022'!D:D,0,0,1)</f>
        <v>0</v>
      </c>
      <c r="D134" s="127">
        <f>_xlfn.XLOOKUP(B134,'AJE.2B - F24'!A:A,'AJE.2B - F24'!M:M,0,0,1)</f>
        <v>0</v>
      </c>
      <c r="E134" s="127"/>
      <c r="F134" s="219">
        <f t="shared" si="2"/>
        <v>0</v>
      </c>
      <c r="G134" s="178" t="str">
        <f>_xlfn.XLOOKUP($B134,COA!$B:$B,COA!$C:$C,0,0,1)</f>
        <v>General and administration</v>
      </c>
      <c r="H134" s="178" t="str">
        <f>_xlfn.XLOOKUP($B134,COA!$B:$B,COA!$D:$D,0,0,1)</f>
        <v>Other miscellaneous</v>
      </c>
      <c r="I134" s="178" t="str">
        <f>_xlfn.XLOOKUP($B134,COA!$B:$B,COA!$E:$E,0,0,1)</f>
        <v>Accumulated deficit</v>
      </c>
      <c r="K134" s="85" t="str">
        <f>_xlfn.XLOOKUP(I134,FS.1!A:A,I:I,0,0,1)</f>
        <v>Payroll liabilities</v>
      </c>
      <c r="L134" s="87"/>
      <c r="M134" s="87"/>
      <c r="N134" s="85"/>
      <c r="O134" s="85"/>
      <c r="P134" s="85"/>
      <c r="Q134" s="85"/>
      <c r="R134" s="85"/>
      <c r="S134" s="85"/>
      <c r="T134" s="85"/>
      <c r="U134" s="85"/>
    </row>
    <row r="135" spans="1:21" hidden="1" outlineLevel="1" x14ac:dyDescent="0.25">
      <c r="A135" s="50"/>
      <c r="B135" s="155" t="str">
        <f>COA!B141</f>
        <v>6030 Communications</v>
      </c>
      <c r="C135" s="127">
        <f>_xlfn.XLOOKUP(B135,'TB.3 - Dec 31, 2022'!A:A,'TB.3 - Dec 31, 2022'!D:D,0,0,1)</f>
        <v>0</v>
      </c>
      <c r="D135" s="127">
        <f>_xlfn.XLOOKUP(B135,'AJE.2B - F24'!A:A,'AJE.2B - F24'!M:M,0,0,1)</f>
        <v>0</v>
      </c>
      <c r="E135" s="127"/>
      <c r="F135" s="219">
        <f t="shared" ref="F135:F171" si="3">ROUND(SUM(C135:E135),0)</f>
        <v>0</v>
      </c>
      <c r="G135" s="178" t="str">
        <f>_xlfn.XLOOKUP($B135,COA!$B:$B,COA!$C:$C,0,0,1)</f>
        <v>General and administration</v>
      </c>
      <c r="H135" s="178" t="str">
        <f>_xlfn.XLOOKUP($B135,COA!$B:$B,COA!$D:$D,0,0,1)</f>
        <v>Communications</v>
      </c>
      <c r="I135" s="178" t="str">
        <f>_xlfn.XLOOKUP($B135,COA!$B:$B,COA!$E:$E,0,0,1)</f>
        <v>Accumulated deficit</v>
      </c>
      <c r="K135" s="85" t="str">
        <f>_xlfn.XLOOKUP(I135,FS.1!A:A,I:I,0,0,1)</f>
        <v>Payroll liabilities</v>
      </c>
      <c r="L135" s="87"/>
      <c r="M135" s="87"/>
      <c r="N135" s="85"/>
      <c r="O135" s="85"/>
      <c r="P135" s="85"/>
      <c r="Q135" s="85"/>
      <c r="R135" s="85"/>
      <c r="S135" s="85"/>
      <c r="T135" s="85"/>
      <c r="U135" s="85"/>
    </row>
    <row r="136" spans="1:21" hidden="1" outlineLevel="1" x14ac:dyDescent="0.25">
      <c r="A136" s="50"/>
      <c r="B136" s="155" t="str">
        <f>COA!B142</f>
        <v>6031 IT Expense</v>
      </c>
      <c r="C136" s="127">
        <f>_xlfn.XLOOKUP(B136,'TB.3 - Dec 31, 2022'!A:A,'TB.3 - Dec 31, 2022'!D:D,0,0,1)</f>
        <v>0</v>
      </c>
      <c r="D136" s="127">
        <f>_xlfn.XLOOKUP(B136,'AJE.2B - F24'!A:A,'AJE.2B - F24'!M:M,0,0,1)</f>
        <v>0</v>
      </c>
      <c r="E136" s="127"/>
      <c r="F136" s="219">
        <f t="shared" si="3"/>
        <v>0</v>
      </c>
      <c r="G136" s="178" t="str">
        <f>_xlfn.XLOOKUP($B136,COA!$B:$B,COA!$C:$C,0,0,1)</f>
        <v>General and administration</v>
      </c>
      <c r="H136" s="178" t="str">
        <f>_xlfn.XLOOKUP($B136,COA!$B:$B,COA!$D:$D,0,0,1)</f>
        <v>Office expenses</v>
      </c>
      <c r="I136" s="178" t="str">
        <f>_xlfn.XLOOKUP($B136,COA!$B:$B,COA!$E:$E,0,0,1)</f>
        <v>Accumulated deficit</v>
      </c>
      <c r="K136" s="85" t="str">
        <f>_xlfn.XLOOKUP(I136,FS.1!A:A,I:I,0,0,1)</f>
        <v>Payroll liabilities</v>
      </c>
      <c r="L136" s="87"/>
      <c r="M136" s="87"/>
      <c r="N136" s="85"/>
      <c r="O136" s="85"/>
      <c r="P136" s="85"/>
      <c r="Q136" s="85"/>
      <c r="R136" s="85"/>
      <c r="S136" s="85"/>
      <c r="T136" s="85"/>
      <c r="U136" s="85"/>
    </row>
    <row r="137" spans="1:21" hidden="1" outlineLevel="1" x14ac:dyDescent="0.25">
      <c r="A137" s="50"/>
      <c r="B137" s="155" t="str">
        <f>COA!B143</f>
        <v>6040 Meals and entertainment</v>
      </c>
      <c r="C137" s="127">
        <f>_xlfn.XLOOKUP(B137,'TB.3 - Dec 31, 2022'!A:A,'TB.3 - Dec 31, 2022'!D:D,0,0,1)</f>
        <v>0</v>
      </c>
      <c r="D137" s="127">
        <f>_xlfn.XLOOKUP(B137,'AJE.2B - F24'!A:A,'AJE.2B - F24'!M:M,0,0,1)</f>
        <v>0</v>
      </c>
      <c r="E137" s="127"/>
      <c r="F137" s="219">
        <f t="shared" si="3"/>
        <v>0</v>
      </c>
      <c r="G137" s="178" t="str">
        <f>_xlfn.XLOOKUP($B137,COA!$B:$B,COA!$C:$C,0,0,1)</f>
        <v>General and administration</v>
      </c>
      <c r="H137" s="178" t="str">
        <f>_xlfn.XLOOKUP($B137,COA!$B:$B,COA!$D:$D,0,0,1)</f>
        <v>Meals and entertainment</v>
      </c>
      <c r="I137" s="178" t="str">
        <f>_xlfn.XLOOKUP($B137,COA!$B:$B,COA!$E:$E,0,0,1)</f>
        <v>Accumulated deficit</v>
      </c>
      <c r="K137" s="85" t="str">
        <f>_xlfn.XLOOKUP(I137,FS.1!A:A,I:I,0,0,1)</f>
        <v>Payroll liabilities</v>
      </c>
      <c r="L137" s="87"/>
      <c r="M137" s="87"/>
      <c r="N137" s="85"/>
      <c r="O137" s="85"/>
      <c r="P137" s="85"/>
      <c r="Q137" s="85"/>
      <c r="R137" s="85"/>
      <c r="S137" s="85"/>
      <c r="T137" s="85"/>
      <c r="U137" s="85"/>
    </row>
    <row r="138" spans="1:21" hidden="1" outlineLevel="1" x14ac:dyDescent="0.25">
      <c r="A138" s="50"/>
      <c r="B138" s="155" t="str">
        <f>COA!B144</f>
        <v>6041 Travel Meals</v>
      </c>
      <c r="C138" s="127">
        <f>_xlfn.XLOOKUP(B138,'TB.3 - Dec 31, 2022'!A:A,'TB.3 - Dec 31, 2022'!D:D,0,0,1)</f>
        <v>0</v>
      </c>
      <c r="D138" s="127">
        <f>_xlfn.XLOOKUP(B138,'AJE.2B - F24'!A:A,'AJE.2B - F24'!M:M,0,0,1)</f>
        <v>0</v>
      </c>
      <c r="E138" s="127"/>
      <c r="F138" s="219">
        <f t="shared" si="3"/>
        <v>0</v>
      </c>
      <c r="G138" s="178" t="str">
        <f>_xlfn.XLOOKUP($B138,COA!$B:$B,COA!$C:$C,0,0,1)</f>
        <v>General and administration</v>
      </c>
      <c r="H138" s="178" t="str">
        <f>_xlfn.XLOOKUP($B138,COA!$B:$B,COA!$D:$D,0,0,1)</f>
        <v>Travel expenses</v>
      </c>
      <c r="I138" s="178" t="str">
        <f>_xlfn.XLOOKUP($B138,COA!$B:$B,COA!$E:$E,0,0,1)</f>
        <v>Accumulated deficit</v>
      </c>
      <c r="K138" s="85" t="str">
        <f>_xlfn.XLOOKUP(I138,FS.1!A:A,I:I,0,0,1)</f>
        <v>Payroll liabilities</v>
      </c>
      <c r="L138" s="87"/>
      <c r="M138" s="87"/>
      <c r="N138" s="85"/>
      <c r="O138" s="85"/>
      <c r="P138" s="85"/>
      <c r="Q138" s="85"/>
      <c r="R138" s="85"/>
      <c r="S138" s="85"/>
      <c r="T138" s="85"/>
      <c r="U138" s="85"/>
    </row>
    <row r="139" spans="1:21" hidden="1" outlineLevel="1" x14ac:dyDescent="0.25">
      <c r="A139" s="50"/>
      <c r="B139" s="155" t="str">
        <f>COA!B145</f>
        <v>6042 Travel</v>
      </c>
      <c r="C139" s="127">
        <f>_xlfn.XLOOKUP(B139,'TB.3 - Dec 31, 2022'!A:A,'TB.3 - Dec 31, 2022'!D:D,0,0,1)</f>
        <v>0</v>
      </c>
      <c r="D139" s="127">
        <f>_xlfn.XLOOKUP(B139,'AJE.2B - F24'!A:A,'AJE.2B - F24'!M:M,0,0,1)</f>
        <v>0</v>
      </c>
      <c r="E139" s="127"/>
      <c r="F139" s="219">
        <f t="shared" si="3"/>
        <v>0</v>
      </c>
      <c r="G139" s="178" t="str">
        <f>_xlfn.XLOOKUP($B139,COA!$B:$B,COA!$C:$C,0,0,1)</f>
        <v>General and administration</v>
      </c>
      <c r="H139" s="178" t="str">
        <f>_xlfn.XLOOKUP($B139,COA!$B:$B,COA!$D:$D,0,0,1)</f>
        <v>Travel expenses</v>
      </c>
      <c r="I139" s="178" t="str">
        <f>_xlfn.XLOOKUP($B139,COA!$B:$B,COA!$E:$E,0,0,1)</f>
        <v>Accumulated deficit</v>
      </c>
      <c r="K139" s="85" t="str">
        <f>_xlfn.XLOOKUP(I139,FS.1!A:A,I:I,0,0,1)</f>
        <v>Payroll liabilities</v>
      </c>
      <c r="L139" s="87"/>
      <c r="M139" s="87"/>
      <c r="N139" s="85"/>
      <c r="O139" s="85"/>
      <c r="P139" s="85"/>
      <c r="Q139" s="85"/>
      <c r="R139" s="85"/>
      <c r="S139" s="85"/>
      <c r="T139" s="85"/>
      <c r="U139" s="85"/>
    </row>
    <row r="140" spans="1:21" hidden="1" outlineLevel="1" x14ac:dyDescent="0.25">
      <c r="A140" s="50"/>
      <c r="B140" s="155" t="str">
        <f>COA!B146</f>
        <v>6043 Transfer agent and regulatory expenses</v>
      </c>
      <c r="C140" s="127">
        <f>_xlfn.XLOOKUP(B140,'TB.3 - Dec 31, 2022'!A:A,'TB.3 - Dec 31, 2022'!D:D,0,0,1)</f>
        <v>0</v>
      </c>
      <c r="D140" s="127">
        <f>_xlfn.XLOOKUP(B140,'AJE.2B - F24'!A:A,'AJE.2B - F24'!M:M,0,0,1)</f>
        <v>0</v>
      </c>
      <c r="E140" s="127"/>
      <c r="F140" s="219">
        <f t="shared" si="3"/>
        <v>0</v>
      </c>
      <c r="G140" s="178" t="str">
        <f>_xlfn.XLOOKUP($B140,COA!$B:$B,COA!$C:$C,0,0,1)</f>
        <v>General and administration</v>
      </c>
      <c r="H140" s="178" t="str">
        <f>_xlfn.XLOOKUP($B140,COA!$B:$B,COA!$D:$D,0,0,1)</f>
        <v>Transfer agent and regulatory expenses</v>
      </c>
      <c r="I140" s="178" t="str">
        <f>_xlfn.XLOOKUP($B140,COA!$B:$B,COA!$E:$E,0,0,1)</f>
        <v>Accumulated deficit</v>
      </c>
      <c r="K140" s="85" t="str">
        <f>_xlfn.XLOOKUP(I140,FS.1!A:A,I:I,0,0,1)</f>
        <v>Payroll liabilities</v>
      </c>
      <c r="L140" s="87"/>
      <c r="M140" s="87"/>
      <c r="N140" s="85"/>
      <c r="O140" s="85"/>
      <c r="P140" s="85"/>
      <c r="Q140" s="85"/>
      <c r="R140" s="85"/>
      <c r="S140" s="85"/>
      <c r="T140" s="85"/>
      <c r="U140" s="85"/>
    </row>
    <row r="141" spans="1:21" hidden="1" outlineLevel="1" x14ac:dyDescent="0.25">
      <c r="A141" s="50"/>
      <c r="B141" s="155" t="str">
        <f>COA!B147</f>
        <v>6050 Insurance</v>
      </c>
      <c r="C141" s="127">
        <f>_xlfn.XLOOKUP(B141,'TB.3 - Dec 31, 2022'!A:A,'TB.3 - Dec 31, 2022'!D:D,0,0,1)</f>
        <v>0</v>
      </c>
      <c r="D141" s="127">
        <f>_xlfn.XLOOKUP(B141,'AJE.2B - F24'!A:A,'AJE.2B - F24'!M:M,0,0,1)</f>
        <v>0</v>
      </c>
      <c r="E141" s="127"/>
      <c r="F141" s="219">
        <f t="shared" si="3"/>
        <v>0</v>
      </c>
      <c r="G141" s="178" t="str">
        <f>_xlfn.XLOOKUP($B141,COA!$B:$B,COA!$C:$C,0,0,1)</f>
        <v>General and administration</v>
      </c>
      <c r="H141" s="178" t="str">
        <f>_xlfn.XLOOKUP($B141,COA!$B:$B,COA!$D:$D,0,0,1)</f>
        <v>Insurance</v>
      </c>
      <c r="I141" s="178" t="str">
        <f>_xlfn.XLOOKUP($B141,COA!$B:$B,COA!$E:$E,0,0,1)</f>
        <v>Accumulated deficit</v>
      </c>
      <c r="K141" s="85" t="str">
        <f>_xlfn.XLOOKUP(I141,FS.1!A:A,I:I,0,0,1)</f>
        <v>Payroll liabilities</v>
      </c>
      <c r="L141" s="87"/>
      <c r="M141" s="87"/>
      <c r="N141" s="85"/>
      <c r="O141" s="85"/>
      <c r="P141" s="85"/>
      <c r="Q141" s="85"/>
      <c r="R141" s="85"/>
      <c r="S141" s="85"/>
      <c r="T141" s="85"/>
      <c r="U141" s="85"/>
    </row>
    <row r="142" spans="1:21" hidden="1" outlineLevel="1" x14ac:dyDescent="0.25">
      <c r="A142" s="50"/>
      <c r="B142" s="155" t="str">
        <f>COA!B148</f>
        <v>6060 Office expenses</v>
      </c>
      <c r="C142" s="127">
        <f>_xlfn.XLOOKUP(B142,'TB.3 - Dec 31, 2022'!A:A,'TB.3 - Dec 31, 2022'!D:D,0,0,1)</f>
        <v>9297.11</v>
      </c>
      <c r="D142" s="127">
        <f>_xlfn.XLOOKUP(B142,'AJE.2B - F24'!A:A,'AJE.2B - F24'!M:M,0,0,1)</f>
        <v>0</v>
      </c>
      <c r="E142" s="127"/>
      <c r="F142" s="219">
        <f t="shared" si="3"/>
        <v>9297</v>
      </c>
      <c r="G142" s="178" t="str">
        <f>_xlfn.XLOOKUP($B142,COA!$B:$B,COA!$C:$C,0,0,1)</f>
        <v>General and administration</v>
      </c>
      <c r="H142" s="178" t="str">
        <f>_xlfn.XLOOKUP($B142,COA!$B:$B,COA!$D:$D,0,0,1)</f>
        <v>Office expenses</v>
      </c>
      <c r="I142" s="178" t="str">
        <f>_xlfn.XLOOKUP($B142,COA!$B:$B,COA!$E:$E,0,0,1)</f>
        <v>Accumulated deficit</v>
      </c>
      <c r="K142" s="85" t="str">
        <f>_xlfn.XLOOKUP(I142,FS.1!A:A,I:I,0,0,1)</f>
        <v>Payroll liabilities</v>
      </c>
      <c r="L142" s="87"/>
      <c r="M142" s="87"/>
      <c r="N142" s="85"/>
      <c r="O142" s="85"/>
      <c r="P142" s="85"/>
      <c r="Q142" s="85"/>
      <c r="R142" s="85"/>
      <c r="S142" s="85"/>
      <c r="T142" s="85"/>
      <c r="U142" s="85"/>
    </row>
    <row r="143" spans="1:21" hidden="1" outlineLevel="1" x14ac:dyDescent="0.25">
      <c r="A143" s="50"/>
      <c r="B143" s="155" t="str">
        <f>COA!B149</f>
        <v>6060 Repairs and Maintenance</v>
      </c>
      <c r="C143" s="127">
        <f>_xlfn.XLOOKUP(B143,'TB.3 - Dec 31, 2022'!A:A,'TB.3 - Dec 31, 2022'!D:D,0,0,1)</f>
        <v>0</v>
      </c>
      <c r="D143" s="127">
        <f>_xlfn.XLOOKUP(B143,'AJE.2B - F24'!A:A,'AJE.2B - F24'!M:M,0,0,1)</f>
        <v>0</v>
      </c>
      <c r="E143" s="127"/>
      <c r="F143" s="219">
        <f t="shared" si="3"/>
        <v>0</v>
      </c>
      <c r="G143" s="178" t="str">
        <f>_xlfn.XLOOKUP($B143,COA!$B:$B,COA!$C:$C,0,0,1)</f>
        <v>General and administration</v>
      </c>
      <c r="H143" s="178" t="str">
        <f>_xlfn.XLOOKUP($B143,COA!$B:$B,COA!$D:$D,0,0,1)</f>
        <v>Repairs and maintenance</v>
      </c>
      <c r="I143" s="178" t="str">
        <f>_xlfn.XLOOKUP($B143,COA!$B:$B,COA!$E:$E,0,0,1)</f>
        <v>Accumulated deficit</v>
      </c>
      <c r="K143" s="85" t="str">
        <f>_xlfn.XLOOKUP(I143,FS.1!A:A,I:I,0,0,1)</f>
        <v>Payroll liabilities</v>
      </c>
      <c r="L143" s="87"/>
      <c r="M143" s="87"/>
      <c r="N143" s="85"/>
      <c r="O143" s="85"/>
      <c r="P143" s="85"/>
      <c r="Q143" s="85"/>
      <c r="R143" s="85"/>
      <c r="S143" s="85"/>
      <c r="T143" s="85"/>
      <c r="U143" s="85"/>
    </row>
    <row r="144" spans="1:21" hidden="1" outlineLevel="1" x14ac:dyDescent="0.25">
      <c r="A144" s="50"/>
      <c r="B144" s="155" t="str">
        <f>COA!B150</f>
        <v>6061 Other general and administrative expenses</v>
      </c>
      <c r="C144" s="127">
        <f>_xlfn.XLOOKUP(B144,'TB.3 - Dec 31, 2022'!A:A,'TB.3 - Dec 31, 2022'!D:D,0,0,1)</f>
        <v>0</v>
      </c>
      <c r="D144" s="127">
        <f>_xlfn.XLOOKUP(B144,'AJE.2B - F24'!A:A,'AJE.2B - F24'!M:M,0,0,1)</f>
        <v>0</v>
      </c>
      <c r="E144" s="127"/>
      <c r="F144" s="219">
        <f t="shared" si="3"/>
        <v>0</v>
      </c>
      <c r="G144" s="178" t="str">
        <f>_xlfn.XLOOKUP($B144,COA!$B:$B,COA!$C:$C,0,0,1)</f>
        <v>General and administration</v>
      </c>
      <c r="H144" s="178" t="str">
        <f>_xlfn.XLOOKUP($B144,COA!$B:$B,COA!$D:$D,0,0,1)</f>
        <v>Other miscellaneous</v>
      </c>
      <c r="I144" s="178" t="str">
        <f>_xlfn.XLOOKUP($B144,COA!$B:$B,COA!$E:$E,0,0,1)</f>
        <v>Accumulated deficit</v>
      </c>
      <c r="K144" s="85" t="str">
        <f>_xlfn.XLOOKUP(I144,FS.1!A:A,I:I,0,0,1)</f>
        <v>Payroll liabilities</v>
      </c>
      <c r="L144" s="87"/>
      <c r="M144" s="87"/>
      <c r="N144" s="85"/>
      <c r="O144" s="85"/>
      <c r="P144" s="85"/>
      <c r="Q144" s="85"/>
      <c r="R144" s="85"/>
      <c r="S144" s="85"/>
      <c r="T144" s="85"/>
      <c r="U144" s="85"/>
    </row>
    <row r="145" spans="1:21" hidden="1" outlineLevel="1" x14ac:dyDescent="0.25">
      <c r="A145" s="50"/>
      <c r="B145" s="155" t="str">
        <f>COA!B151</f>
        <v>6065 Rent</v>
      </c>
      <c r="C145" s="127">
        <f>_xlfn.XLOOKUP(B145,'TB.3 - Dec 31, 2022'!A:A,'TB.3 - Dec 31, 2022'!D:D,0,0,1)</f>
        <v>0</v>
      </c>
      <c r="D145" s="127">
        <f>_xlfn.XLOOKUP(B145,'AJE.2B - F24'!A:A,'AJE.2B - F24'!M:M,0,0,1)</f>
        <v>0</v>
      </c>
      <c r="E145" s="127"/>
      <c r="F145" s="219">
        <f t="shared" si="3"/>
        <v>0</v>
      </c>
      <c r="G145" s="178" t="str">
        <f>_xlfn.XLOOKUP($B145,COA!$B:$B,COA!$C:$C,0,0,1)</f>
        <v>General and administration</v>
      </c>
      <c r="H145" s="178" t="str">
        <f>_xlfn.XLOOKUP($B145,COA!$B:$B,COA!$D:$D,0,0,1)</f>
        <v>Rent</v>
      </c>
      <c r="I145" s="178" t="str">
        <f>_xlfn.XLOOKUP($B145,COA!$B:$B,COA!$E:$E,0,0,1)</f>
        <v>Accumulated deficit</v>
      </c>
      <c r="K145" s="85" t="str">
        <f>_xlfn.XLOOKUP(I145,FS.1!A:A,I:I,0,0,1)</f>
        <v>Payroll liabilities</v>
      </c>
      <c r="L145" s="87"/>
      <c r="M145" s="87"/>
      <c r="N145" s="85"/>
      <c r="O145" s="85"/>
      <c r="P145" s="85"/>
      <c r="Q145" s="85"/>
      <c r="R145" s="85"/>
      <c r="S145" s="85"/>
      <c r="T145" s="85"/>
      <c r="U145" s="85"/>
    </row>
    <row r="146" spans="1:21" hidden="1" outlineLevel="1" x14ac:dyDescent="0.25">
      <c r="A146" s="50"/>
      <c r="B146" s="155" t="str">
        <f>COA!B152</f>
        <v>6066 Utilities</v>
      </c>
      <c r="C146" s="127">
        <f>_xlfn.XLOOKUP(B146,'TB.3 - Dec 31, 2022'!A:A,'TB.3 - Dec 31, 2022'!D:D,0,0,1)</f>
        <v>0</v>
      </c>
      <c r="D146" s="127">
        <f>_xlfn.XLOOKUP(B146,'AJE.2B - F24'!A:A,'AJE.2B - F24'!M:M,0,0,1)</f>
        <v>0</v>
      </c>
      <c r="E146" s="127"/>
      <c r="F146" s="219">
        <f t="shared" si="3"/>
        <v>0</v>
      </c>
      <c r="G146" s="178" t="str">
        <f>_xlfn.XLOOKUP($B146,COA!$B:$B,COA!$C:$C,0,0,1)</f>
        <v>General and administration</v>
      </c>
      <c r="H146" s="178" t="str">
        <f>_xlfn.XLOOKUP($B146,COA!$B:$B,COA!$D:$D,0,0,1)</f>
        <v>Utilities</v>
      </c>
      <c r="I146" s="178" t="str">
        <f>_xlfn.XLOOKUP($B146,COA!$B:$B,COA!$E:$E,0,0,1)</f>
        <v>Accumulated deficit</v>
      </c>
      <c r="K146" s="85" t="str">
        <f>_xlfn.XLOOKUP(I146,FS.1!A:A,I:I,0,0,1)</f>
        <v>Payroll liabilities</v>
      </c>
      <c r="L146" s="87"/>
      <c r="M146" s="87"/>
      <c r="N146" s="85"/>
      <c r="O146" s="85"/>
      <c r="P146" s="85"/>
      <c r="Q146" s="85"/>
      <c r="R146" s="85"/>
      <c r="S146" s="85"/>
      <c r="T146" s="85"/>
      <c r="U146" s="85"/>
    </row>
    <row r="147" spans="1:21" hidden="1" outlineLevel="1" x14ac:dyDescent="0.25">
      <c r="A147" s="50"/>
      <c r="B147" s="155" t="str">
        <f>COA!B153</f>
        <v>6068 Shipping, Freight, and Delivery</v>
      </c>
      <c r="C147" s="127">
        <f>_xlfn.XLOOKUP(B147,'TB.3 - Dec 31, 2022'!A:A,'TB.3 - Dec 31, 2022'!D:D,0,0,1)</f>
        <v>0</v>
      </c>
      <c r="D147" s="127">
        <f>_xlfn.XLOOKUP(B147,'AJE.2B - F24'!A:A,'AJE.2B - F24'!M:M,0,0,1)</f>
        <v>0</v>
      </c>
      <c r="E147" s="127"/>
      <c r="F147" s="219">
        <f t="shared" si="3"/>
        <v>0</v>
      </c>
      <c r="G147" s="178" t="str">
        <f>_xlfn.XLOOKUP($B147,COA!$B:$B,COA!$C:$C,0,0,1)</f>
        <v>General and administration</v>
      </c>
      <c r="H147" s="178" t="str">
        <f>_xlfn.XLOOKUP($B147,COA!$B:$B,COA!$D:$D,0,0,1)</f>
        <v>Shipping expense</v>
      </c>
      <c r="I147" s="178" t="str">
        <f>_xlfn.XLOOKUP($B147,COA!$B:$B,COA!$E:$E,0,0,1)</f>
        <v>Accumulated deficit</v>
      </c>
      <c r="K147" s="85" t="str">
        <f>_xlfn.XLOOKUP(I147,FS.1!A:A,I:I,0,0,1)</f>
        <v>Payroll liabilities</v>
      </c>
      <c r="L147" s="87"/>
      <c r="M147" s="87"/>
      <c r="N147" s="85"/>
      <c r="O147" s="85"/>
      <c r="P147" s="85"/>
      <c r="Q147" s="85"/>
      <c r="R147" s="85"/>
      <c r="S147" s="85"/>
      <c r="T147" s="85"/>
      <c r="U147" s="85"/>
    </row>
    <row r="148" spans="1:21" hidden="1" outlineLevel="1" x14ac:dyDescent="0.25">
      <c r="A148" s="50"/>
      <c r="B148" s="155" t="str">
        <f>COA!B154</f>
        <v>6070 Office Supplies</v>
      </c>
      <c r="C148" s="127">
        <f>_xlfn.XLOOKUP(B148,'TB.3 - Dec 31, 2022'!A:A,'TB.3 - Dec 31, 2022'!D:D,0,0,1)</f>
        <v>0</v>
      </c>
      <c r="D148" s="127">
        <f>_xlfn.XLOOKUP(B148,'AJE.2B - F24'!A:A,'AJE.2B - F24'!M:M,0,0,1)</f>
        <v>0</v>
      </c>
      <c r="E148" s="127"/>
      <c r="F148" s="219">
        <f t="shared" si="3"/>
        <v>0</v>
      </c>
      <c r="G148" s="178" t="str">
        <f>_xlfn.XLOOKUP($B148,COA!$B:$B,COA!$C:$C,0,0,1)</f>
        <v>General and administration</v>
      </c>
      <c r="H148" s="178" t="str">
        <f>_xlfn.XLOOKUP($B148,COA!$B:$B,COA!$D:$D,0,0,1)</f>
        <v>Office expenses</v>
      </c>
      <c r="I148" s="178" t="str">
        <f>_xlfn.XLOOKUP($B148,COA!$B:$B,COA!$E:$E,0,0,1)</f>
        <v>Accumulated deficit</v>
      </c>
      <c r="K148" s="85" t="str">
        <f>_xlfn.XLOOKUP(I148,FS.1!A:A,I:I,0,0,1)</f>
        <v>Payroll liabilities</v>
      </c>
      <c r="L148" s="87"/>
      <c r="M148" s="87"/>
      <c r="N148" s="85"/>
      <c r="O148" s="85"/>
      <c r="P148" s="85"/>
      <c r="Q148" s="85"/>
      <c r="R148" s="85"/>
      <c r="S148" s="85"/>
      <c r="T148" s="85"/>
      <c r="U148" s="85"/>
    </row>
    <row r="149" spans="1:21" hidden="1" outlineLevel="1" x14ac:dyDescent="0.25">
      <c r="A149" s="50"/>
      <c r="B149" s="155" t="str">
        <f>COA!B155</f>
        <v>6075 Minor shop tools</v>
      </c>
      <c r="C149" s="127">
        <f>_xlfn.XLOOKUP(B149,'TB.3 - Dec 31, 2022'!A:A,'TB.3 - Dec 31, 2022'!D:D,0,0,1)</f>
        <v>0</v>
      </c>
      <c r="D149" s="127">
        <f>_xlfn.XLOOKUP(B149,'AJE.2B - F24'!A:A,'AJE.2B - F24'!M:M,0,0,1)</f>
        <v>0</v>
      </c>
      <c r="E149" s="127"/>
      <c r="F149" s="219">
        <f t="shared" si="3"/>
        <v>0</v>
      </c>
      <c r="G149" s="178" t="str">
        <f>_xlfn.XLOOKUP($B149,COA!$B:$B,COA!$C:$C,0,0,1)</f>
        <v>General and administration</v>
      </c>
      <c r="H149" s="178" t="str">
        <f>_xlfn.XLOOKUP($B149,COA!$B:$B,COA!$D:$D,0,0,1)</f>
        <v>Shop supplies</v>
      </c>
      <c r="I149" s="178" t="str">
        <f>_xlfn.XLOOKUP($B149,COA!$B:$B,COA!$E:$E,0,0,1)</f>
        <v>Accumulated deficit</v>
      </c>
      <c r="K149" s="85" t="str">
        <f>_xlfn.XLOOKUP(I149,FS.1!A:A,I:I,0,0,1)</f>
        <v>Payroll liabilities</v>
      </c>
      <c r="L149" s="87"/>
      <c r="M149" s="87"/>
      <c r="N149" s="85"/>
      <c r="O149" s="85"/>
      <c r="P149" s="85"/>
      <c r="Q149" s="85"/>
      <c r="R149" s="85"/>
      <c r="S149" s="85"/>
      <c r="T149" s="85"/>
      <c r="U149" s="85"/>
    </row>
    <row r="150" spans="1:21" hidden="1" outlineLevel="1" x14ac:dyDescent="0.25">
      <c r="A150" s="50"/>
      <c r="B150" s="155" t="str">
        <f>COA!B156</f>
        <v>6076 Disposal/Landfill</v>
      </c>
      <c r="C150" s="127">
        <f>_xlfn.XLOOKUP(B150,'TB.3 - Dec 31, 2022'!A:A,'TB.3 - Dec 31, 2022'!D:D,0,0,1)</f>
        <v>0</v>
      </c>
      <c r="D150" s="127">
        <f>_xlfn.XLOOKUP(B150,'AJE.2B - F24'!A:A,'AJE.2B - F24'!M:M,0,0,1)</f>
        <v>0</v>
      </c>
      <c r="E150" s="127"/>
      <c r="F150" s="219">
        <f t="shared" si="3"/>
        <v>0</v>
      </c>
      <c r="G150" s="178" t="str">
        <f>_xlfn.XLOOKUP($B150,COA!$B:$B,COA!$C:$C,0,0,1)</f>
        <v>General and administration</v>
      </c>
      <c r="H150" s="178" t="str">
        <f>_xlfn.XLOOKUP($B150,COA!$B:$B,COA!$D:$D,0,0,1)</f>
        <v>Other miscellaneous</v>
      </c>
      <c r="I150" s="178" t="str">
        <f>_xlfn.XLOOKUP($B150,COA!$B:$B,COA!$E:$E,0,0,1)</f>
        <v>Accumulated deficit</v>
      </c>
      <c r="K150" s="85" t="str">
        <f>_xlfn.XLOOKUP(I150,FS.1!A:A,I:I,0,0,1)</f>
        <v>Payroll liabilities</v>
      </c>
      <c r="L150" s="87"/>
      <c r="M150" s="87"/>
      <c r="N150" s="85"/>
      <c r="O150" s="85"/>
      <c r="P150" s="85"/>
      <c r="Q150" s="85"/>
      <c r="R150" s="85"/>
      <c r="S150" s="85"/>
      <c r="T150" s="85"/>
      <c r="U150" s="85"/>
    </row>
    <row r="151" spans="1:21" hidden="1" outlineLevel="1" x14ac:dyDescent="0.25">
      <c r="A151" s="50"/>
      <c r="B151" s="155" t="str">
        <f>COA!B157</f>
        <v>6080 PST Expense (BC)</v>
      </c>
      <c r="C151" s="127">
        <f>_xlfn.XLOOKUP(B151,'TB.3 - Dec 31, 2022'!A:A,'TB.3 - Dec 31, 2022'!D:D,0,0,1)</f>
        <v>0</v>
      </c>
      <c r="D151" s="127">
        <f>_xlfn.XLOOKUP(B151,'AJE.2B - F24'!A:A,'AJE.2B - F24'!M:M,0,0,1)</f>
        <v>0</v>
      </c>
      <c r="E151" s="127"/>
      <c r="F151" s="219">
        <f t="shared" si="3"/>
        <v>0</v>
      </c>
      <c r="G151" s="178" t="str">
        <f>_xlfn.XLOOKUP($B151,COA!$B:$B,COA!$C:$C,0,0,1)</f>
        <v>General and administration</v>
      </c>
      <c r="H151" s="178" t="str">
        <f>_xlfn.XLOOKUP($B151,COA!$B:$B,COA!$D:$D,0,0,1)</f>
        <v>Taxes and licenses</v>
      </c>
      <c r="I151" s="178" t="str">
        <f>_xlfn.XLOOKUP($B151,COA!$B:$B,COA!$E:$E,0,0,1)</f>
        <v>Accumulated deficit</v>
      </c>
      <c r="K151" s="85" t="str">
        <f>_xlfn.XLOOKUP(I151,FS.1!A:A,I:I,0,0,1)</f>
        <v>Payroll liabilities</v>
      </c>
      <c r="L151" s="87"/>
      <c r="M151" s="87"/>
      <c r="N151" s="85"/>
      <c r="O151" s="85"/>
      <c r="P151" s="85"/>
      <c r="Q151" s="85"/>
      <c r="R151" s="85"/>
      <c r="S151" s="85"/>
      <c r="T151" s="85"/>
      <c r="U151" s="85"/>
    </row>
    <row r="152" spans="1:21" hidden="1" outlineLevel="1" x14ac:dyDescent="0.25">
      <c r="A152" s="50"/>
      <c r="B152" s="155" t="str">
        <f>COA!B158</f>
        <v>6080 Shop and other supplies</v>
      </c>
      <c r="C152" s="127">
        <f>_xlfn.XLOOKUP(B152,'TB.3 - Dec 31, 2022'!A:A,'TB.3 - Dec 31, 2022'!D:D,0,0,1)</f>
        <v>0</v>
      </c>
      <c r="D152" s="127">
        <f>_xlfn.XLOOKUP(B152,'AJE.2B - F24'!A:A,'AJE.2B - F24'!M:M,0,0,1)</f>
        <v>0</v>
      </c>
      <c r="E152" s="127"/>
      <c r="F152" s="219">
        <f t="shared" si="3"/>
        <v>0</v>
      </c>
      <c r="G152" s="178" t="str">
        <f>_xlfn.XLOOKUP($B152,COA!$B:$B,COA!$C:$C,0,0,1)</f>
        <v>General and administration</v>
      </c>
      <c r="H152" s="178" t="str">
        <f>_xlfn.XLOOKUP($B152,COA!$B:$B,COA!$D:$D,0,0,1)</f>
        <v>Shop supplies</v>
      </c>
      <c r="I152" s="178" t="str">
        <f>_xlfn.XLOOKUP($B152,COA!$B:$B,COA!$E:$E,0,0,1)</f>
        <v>Accumulated deficit</v>
      </c>
      <c r="K152" s="85" t="str">
        <f>_xlfn.XLOOKUP(I152,FS.1!A:A,I:I,0,0,1)</f>
        <v>Payroll liabilities</v>
      </c>
      <c r="L152" s="87"/>
      <c r="M152" s="87"/>
      <c r="N152" s="85"/>
      <c r="O152" s="85"/>
      <c r="P152" s="85"/>
      <c r="Q152" s="85"/>
      <c r="R152" s="85"/>
      <c r="S152" s="85"/>
      <c r="T152" s="85"/>
      <c r="U152" s="85"/>
    </row>
    <row r="153" spans="1:21" hidden="1" outlineLevel="1" x14ac:dyDescent="0.25">
      <c r="A153" s="50"/>
      <c r="B153" s="155" t="str">
        <f>COA!B159</f>
        <v>6085 Depreciation</v>
      </c>
      <c r="C153" s="127">
        <f>_xlfn.XLOOKUP(B153,'TB.3 - Dec 31, 2022'!A:A,'TB.3 - Dec 31, 2022'!D:D,0,0,1)</f>
        <v>0</v>
      </c>
      <c r="D153" s="127">
        <f>_xlfn.XLOOKUP(B153,'AJE.2B - F24'!A:A,'AJE.2B - F24'!M:M,0,0,1)</f>
        <v>1204016</v>
      </c>
      <c r="E153" s="127"/>
      <c r="F153" s="219">
        <f t="shared" si="3"/>
        <v>1204016</v>
      </c>
      <c r="G153" s="178" t="str">
        <f>_xlfn.XLOOKUP($B153,COA!$B:$B,COA!$C:$C,0,0,1)</f>
        <v>General and administration</v>
      </c>
      <c r="H153" s="178" t="str">
        <f>_xlfn.XLOOKUP($B153,COA!$B:$B,COA!$D:$D,0,0,1)</f>
        <v>Depreciation and amortization</v>
      </c>
      <c r="I153" s="178" t="str">
        <f>_xlfn.XLOOKUP($B153,COA!$B:$B,COA!$E:$E,0,0,1)</f>
        <v>Accumulated deficit</v>
      </c>
      <c r="K153" s="85" t="str">
        <f>_xlfn.XLOOKUP(I153,FS.1!A:A,I:I,0,0,1)</f>
        <v>Payroll liabilities</v>
      </c>
      <c r="L153" s="87"/>
      <c r="M153" s="87"/>
      <c r="N153" s="85"/>
      <c r="O153" s="85"/>
      <c r="P153" s="85"/>
      <c r="Q153" s="85"/>
      <c r="R153" s="85"/>
      <c r="S153" s="85"/>
      <c r="T153" s="85"/>
      <c r="U153" s="85"/>
    </row>
    <row r="154" spans="1:21" hidden="1" outlineLevel="1" x14ac:dyDescent="0.25">
      <c r="A154" s="50"/>
      <c r="B154" s="155" t="str">
        <f>COA!B160</f>
        <v>6090 Corporate Tax Expense</v>
      </c>
      <c r="C154" s="127">
        <f>_xlfn.XLOOKUP(B154,'TB.3 - Dec 31, 2022'!A:A,'TB.3 - Dec 31, 2022'!D:D,0,0,1)</f>
        <v>0</v>
      </c>
      <c r="D154" s="127">
        <f>_xlfn.XLOOKUP(B154,'AJE.2B - F24'!A:A,'AJE.2B - F24'!M:M,0,0,1)</f>
        <v>0</v>
      </c>
      <c r="E154" s="127"/>
      <c r="F154" s="219">
        <f t="shared" si="3"/>
        <v>0</v>
      </c>
      <c r="G154" s="178" t="str">
        <f>_xlfn.XLOOKUP($B154,COA!$B:$B,COA!$C:$C,0,0,1)</f>
        <v>General and administration</v>
      </c>
      <c r="H154" s="178" t="str">
        <f>_xlfn.XLOOKUP($B154,COA!$B:$B,COA!$D:$D,0,0,1)</f>
        <v>Current tax recovery (expense)</v>
      </c>
      <c r="I154" s="178" t="str">
        <f>_xlfn.XLOOKUP($B154,COA!$B:$B,COA!$E:$E,0,0,1)</f>
        <v>Accumulated deficit</v>
      </c>
      <c r="K154" s="85" t="str">
        <f>_xlfn.XLOOKUP(I154,FS.1!A:A,I:I,0,0,1)</f>
        <v>Payroll liabilities</v>
      </c>
      <c r="L154" s="87"/>
      <c r="M154" s="87"/>
      <c r="N154" s="85"/>
      <c r="O154" s="85"/>
      <c r="P154" s="85"/>
      <c r="Q154" s="85"/>
      <c r="R154" s="85"/>
      <c r="S154" s="85"/>
      <c r="T154" s="85"/>
      <c r="U154" s="85"/>
    </row>
    <row r="155" spans="1:21" hidden="1" outlineLevel="1" x14ac:dyDescent="0.25">
      <c r="A155" s="50"/>
      <c r="B155" s="155" t="str">
        <f>COA!B161</f>
        <v>6092 Penalties</v>
      </c>
      <c r="C155" s="127">
        <f>_xlfn.XLOOKUP(B155,'TB.3 - Dec 31, 2022'!A:A,'TB.3 - Dec 31, 2022'!D:D,0,0,1)</f>
        <v>0</v>
      </c>
      <c r="D155" s="127">
        <f>_xlfn.XLOOKUP(B155,'AJE.2B - F24'!A:A,'AJE.2B - F24'!M:M,0,0,1)</f>
        <v>0</v>
      </c>
      <c r="E155" s="127"/>
      <c r="F155" s="219">
        <f t="shared" si="3"/>
        <v>0</v>
      </c>
      <c r="G155" s="178" t="str">
        <f>_xlfn.XLOOKUP($B155,COA!$B:$B,COA!$C:$C,0,0,1)</f>
        <v>General and administration</v>
      </c>
      <c r="H155" s="178" t="str">
        <f>_xlfn.XLOOKUP($B155,COA!$B:$B,COA!$D:$D,0,0,1)</f>
        <v>Interest expense</v>
      </c>
      <c r="I155" s="178" t="str">
        <f>_xlfn.XLOOKUP($B155,COA!$B:$B,COA!$E:$E,0,0,1)</f>
        <v>Accumulated deficit</v>
      </c>
      <c r="K155" s="85" t="str">
        <f>_xlfn.XLOOKUP(I155,FS.1!A:A,I:I,0,0,1)</f>
        <v>Payroll liabilities</v>
      </c>
      <c r="L155" s="87"/>
      <c r="M155" s="87"/>
      <c r="N155" s="85"/>
      <c r="O155" s="85"/>
      <c r="P155" s="85"/>
      <c r="Q155" s="85"/>
      <c r="R155" s="85"/>
      <c r="S155" s="85"/>
      <c r="T155" s="85"/>
      <c r="U155" s="85"/>
    </row>
    <row r="156" spans="1:21" hidden="1" outlineLevel="1" x14ac:dyDescent="0.25">
      <c r="A156" s="50"/>
      <c r="B156" s="155" t="str">
        <f>COA!B162</f>
        <v>6092 Penalities</v>
      </c>
      <c r="C156" s="127">
        <f>_xlfn.XLOOKUP(B156,'TB.3 - Dec 31, 2022'!A:A,'TB.3 - Dec 31, 2022'!D:D,0,0,1)</f>
        <v>0</v>
      </c>
      <c r="D156" s="127">
        <f>_xlfn.XLOOKUP(B156,'AJE.2B - F24'!A:A,'AJE.2B - F24'!M:M,0,0,1)</f>
        <v>0</v>
      </c>
      <c r="E156" s="127"/>
      <c r="F156" s="219">
        <f t="shared" si="3"/>
        <v>0</v>
      </c>
      <c r="G156" s="178" t="str">
        <f>_xlfn.XLOOKUP($B156,COA!$B:$B,COA!$C:$C,0,0,1)</f>
        <v>General and administration</v>
      </c>
      <c r="H156" s="178" t="str">
        <f>_xlfn.XLOOKUP($B156,COA!$B:$B,COA!$D:$D,0,0,1)</f>
        <v xml:space="preserve">Interest and penalties </v>
      </c>
      <c r="I156" s="178" t="str">
        <f>_xlfn.XLOOKUP($B156,COA!$B:$B,COA!$E:$E,0,0,1)</f>
        <v>Accumulated deficit</v>
      </c>
      <c r="K156" s="85" t="str">
        <f>_xlfn.XLOOKUP(I156,FS.1!A:A,I:I,0,0,1)</f>
        <v>Payroll liabilities</v>
      </c>
      <c r="L156" s="87"/>
      <c r="M156" s="87"/>
      <c r="N156" s="85"/>
      <c r="O156" s="85"/>
      <c r="P156" s="85"/>
      <c r="Q156" s="85"/>
      <c r="R156" s="85"/>
      <c r="S156" s="85"/>
      <c r="T156" s="85"/>
      <c r="U156" s="85"/>
    </row>
    <row r="157" spans="1:21" hidden="1" outlineLevel="1" x14ac:dyDescent="0.25">
      <c r="A157" s="50"/>
      <c r="B157" s="155" t="str">
        <f>COA!B163</f>
        <v>6100 Listing expense</v>
      </c>
      <c r="C157" s="127">
        <f>_xlfn.XLOOKUP(B157,'TB.3 - Dec 31, 2022'!A:A,'TB.3 - Dec 31, 2022'!D:D,0,0,1)</f>
        <v>0</v>
      </c>
      <c r="D157" s="127">
        <f>_xlfn.XLOOKUP(B157,'AJE.2B - F24'!A:A,'AJE.2B - F24'!M:M,0,0,1)</f>
        <v>0</v>
      </c>
      <c r="E157" s="127"/>
      <c r="F157" s="219">
        <f t="shared" si="3"/>
        <v>0</v>
      </c>
      <c r="G157" s="178" t="str">
        <f>_xlfn.XLOOKUP($B157,COA!$B:$B,COA!$C:$C,0,0,1)</f>
        <v>General and administration</v>
      </c>
      <c r="H157" s="178" t="str">
        <f>_xlfn.XLOOKUP($B157,COA!$B:$B,COA!$D:$D,0,0,1)</f>
        <v>Listing expense</v>
      </c>
      <c r="I157" s="178" t="str">
        <f>_xlfn.XLOOKUP($B157,COA!$B:$B,COA!$E:$E,0,0,1)</f>
        <v>Accumulated deficit</v>
      </c>
      <c r="K157" s="85" t="str">
        <f>_xlfn.XLOOKUP(I157,FS.1!A:A,I:I,0,0,1)</f>
        <v>Payroll liabilities</v>
      </c>
      <c r="L157" s="87"/>
      <c r="M157" s="87"/>
      <c r="N157" s="85"/>
      <c r="O157" s="85"/>
      <c r="P157" s="85"/>
      <c r="Q157" s="85"/>
      <c r="R157" s="85"/>
      <c r="S157" s="85"/>
      <c r="T157" s="85"/>
      <c r="U157" s="85"/>
    </row>
    <row r="158" spans="1:21" hidden="1" outlineLevel="1" x14ac:dyDescent="0.25">
      <c r="A158" s="50"/>
      <c r="B158" s="155" t="str">
        <f>COA!B164</f>
        <v>6300 Unapplied Cash Bill Payment Expense</v>
      </c>
      <c r="C158" s="127">
        <f>_xlfn.XLOOKUP(B158,'TB.3 - Dec 31, 2022'!A:A,'TB.3 - Dec 31, 2022'!D:D,0,0,1)</f>
        <v>0</v>
      </c>
      <c r="D158" s="127">
        <f>_xlfn.XLOOKUP(B158,'AJE.2B - F24'!A:A,'AJE.2B - F24'!M:M,0,0,1)</f>
        <v>0</v>
      </c>
      <c r="E158" s="127"/>
      <c r="F158" s="219">
        <f t="shared" si="3"/>
        <v>0</v>
      </c>
      <c r="G158" s="178" t="str">
        <f>_xlfn.XLOOKUP($B158,COA!$B:$B,COA!$C:$C,0,0,1)</f>
        <v>General and administration</v>
      </c>
      <c r="H158" s="178" t="str">
        <f>_xlfn.XLOOKUP($B158,COA!$B:$B,COA!$D:$D,0,0,1)</f>
        <v>Other miscellaneous</v>
      </c>
      <c r="I158" s="178" t="str">
        <f>_xlfn.XLOOKUP($B158,COA!$B:$B,COA!$E:$E,0,0,1)</f>
        <v>Accumulated deficit</v>
      </c>
      <c r="K158" s="85" t="str">
        <f>_xlfn.XLOOKUP(I158,FS.1!A:A,I:I,0,0,1)</f>
        <v>Payroll liabilities</v>
      </c>
      <c r="L158" s="87"/>
      <c r="M158" s="87"/>
      <c r="N158" s="85"/>
      <c r="O158" s="85"/>
      <c r="P158" s="85"/>
      <c r="Q158" s="85"/>
      <c r="R158" s="85"/>
      <c r="S158" s="85"/>
      <c r="T158" s="85"/>
      <c r="U158" s="85"/>
    </row>
    <row r="159" spans="1:21" hidden="1" outlineLevel="1" x14ac:dyDescent="0.25">
      <c r="A159" s="50"/>
      <c r="B159" s="155" t="str">
        <f>COA!B167</f>
        <v>6997 Unapplied Cash Bill Payment Expense</v>
      </c>
      <c r="C159" s="127">
        <f>_xlfn.XLOOKUP(B159,'TB.3 - Dec 31, 2022'!A:A,'TB.3 - Dec 31, 2022'!D:D,0,0,1)</f>
        <v>0</v>
      </c>
      <c r="D159" s="127">
        <f>_xlfn.XLOOKUP(B159,'AJE.2B - F24'!A:A,'AJE.2B - F24'!M:M,0,0,1)</f>
        <v>0</v>
      </c>
      <c r="E159" s="127"/>
      <c r="F159" s="219">
        <f t="shared" si="3"/>
        <v>0</v>
      </c>
      <c r="G159" s="178" t="str">
        <f>_xlfn.XLOOKUP($B159,COA!$B:$B,COA!$C:$C,0,0,1)</f>
        <v>Other expenses</v>
      </c>
      <c r="H159" s="178" t="str">
        <f>_xlfn.XLOOKUP($B159,COA!$B:$B,COA!$D:$D,0,0,1)</f>
        <v>Other miscellaneous</v>
      </c>
      <c r="I159" s="178" t="str">
        <f>_xlfn.XLOOKUP($B159,COA!$B:$B,COA!$E:$E,0,0,1)</f>
        <v>Accumulated deficit</v>
      </c>
      <c r="K159" s="85" t="str">
        <f>_xlfn.XLOOKUP(I159,FS.1!A:A,I:I,0,0,1)</f>
        <v>Payroll liabilities</v>
      </c>
      <c r="L159" s="87"/>
      <c r="M159" s="87"/>
      <c r="N159" s="85"/>
      <c r="O159" s="85"/>
      <c r="P159" s="85"/>
      <c r="Q159" s="85"/>
      <c r="R159" s="85"/>
      <c r="S159" s="85"/>
      <c r="T159" s="85"/>
      <c r="U159" s="85"/>
    </row>
    <row r="160" spans="1:21" hidden="1" outlineLevel="1" x14ac:dyDescent="0.25">
      <c r="A160" s="50"/>
      <c r="B160" s="155" t="str">
        <f>COA!B168</f>
        <v>6998 Uncategorized Expense</v>
      </c>
      <c r="C160" s="127">
        <f>_xlfn.XLOOKUP(B160,'TB.3 - Dec 31, 2022'!A:A,'TB.3 - Dec 31, 2022'!D:D,0,0,1)</f>
        <v>0</v>
      </c>
      <c r="D160" s="127">
        <f>_xlfn.XLOOKUP(B160,'AJE.2B - F24'!A:A,'AJE.2B - F24'!M:M,0,0,1)</f>
        <v>0</v>
      </c>
      <c r="E160" s="127"/>
      <c r="F160" s="219">
        <f t="shared" si="3"/>
        <v>0</v>
      </c>
      <c r="G160" s="178" t="str">
        <f>_xlfn.XLOOKUP($B160,COA!$B:$B,COA!$C:$C,0,0,1)</f>
        <v>General and administration</v>
      </c>
      <c r="H160" s="178" t="str">
        <f>_xlfn.XLOOKUP($B160,COA!$B:$B,COA!$D:$D,0,0,1)</f>
        <v>Other miscellaneous</v>
      </c>
      <c r="I160" s="178" t="str">
        <f>_xlfn.XLOOKUP($B160,COA!$B:$B,COA!$E:$E,0,0,1)</f>
        <v>Accumulated deficit</v>
      </c>
      <c r="K160" s="85" t="str">
        <f>_xlfn.XLOOKUP(I160,FS.1!A:A,I:I,0,0,1)</f>
        <v>Payroll liabilities</v>
      </c>
      <c r="L160" s="87"/>
      <c r="M160" s="87"/>
      <c r="N160" s="85"/>
      <c r="O160" s="85"/>
      <c r="P160" s="85"/>
      <c r="Q160" s="85"/>
      <c r="R160" s="85"/>
      <c r="S160" s="85"/>
      <c r="T160" s="85"/>
      <c r="U160" s="85"/>
    </row>
    <row r="161" spans="1:23" hidden="1" outlineLevel="1" x14ac:dyDescent="0.25">
      <c r="A161" s="50"/>
      <c r="B161" s="155" t="str">
        <f>COA!B169</f>
        <v>6999 Miscellaneous</v>
      </c>
      <c r="C161" s="127">
        <f>_xlfn.XLOOKUP(B161,'TB.3 - Dec 31, 2022'!A:A,'TB.3 - Dec 31, 2022'!D:D,0,0,1)</f>
        <v>0</v>
      </c>
      <c r="D161" s="127">
        <f>_xlfn.XLOOKUP(B161,'AJE.2B - F24'!A:A,'AJE.2B - F24'!M:M,0,0,1)</f>
        <v>0</v>
      </c>
      <c r="E161" s="127"/>
      <c r="F161" s="219">
        <f t="shared" si="3"/>
        <v>0</v>
      </c>
      <c r="G161" s="178" t="str">
        <f>_xlfn.XLOOKUP($B161,COA!$B:$B,COA!$C:$C,0,0,1)</f>
        <v>General and administration</v>
      </c>
      <c r="H161" s="178" t="str">
        <f>_xlfn.XLOOKUP($B161,COA!$B:$B,COA!$D:$D,0,0,1)</f>
        <v>Other miscellaneous</v>
      </c>
      <c r="I161" s="178" t="str">
        <f>_xlfn.XLOOKUP($B161,COA!$B:$B,COA!$E:$E,0,0,1)</f>
        <v>Accumulated deficit</v>
      </c>
      <c r="K161" s="85" t="str">
        <f>_xlfn.XLOOKUP(I161,FS.1!A:A,I:I,0,0,1)</f>
        <v>Payroll liabilities</v>
      </c>
      <c r="L161" s="87"/>
      <c r="M161" s="87"/>
      <c r="N161" s="85"/>
      <c r="O161" s="85"/>
      <c r="P161" s="85"/>
      <c r="Q161" s="85"/>
      <c r="R161" s="85"/>
      <c r="S161" s="85"/>
      <c r="T161" s="85"/>
      <c r="U161" s="85"/>
    </row>
    <row r="162" spans="1:23" hidden="1" outlineLevel="1" x14ac:dyDescent="0.25">
      <c r="A162" s="50"/>
      <c r="B162" s="155" t="str">
        <f>COA!B170</f>
        <v>7000 Reconciliation Discrepancies</v>
      </c>
      <c r="C162" s="127">
        <f>_xlfn.XLOOKUP(B162,'TB.3 - Dec 31, 2022'!A:A,'TB.3 - Dec 31, 2022'!D:D,0,0,1)</f>
        <v>0</v>
      </c>
      <c r="D162" s="127">
        <f>_xlfn.XLOOKUP(B162,'AJE.2B - F24'!A:A,'AJE.2B - F24'!M:M,0,0,1)</f>
        <v>0</v>
      </c>
      <c r="E162" s="127"/>
      <c r="F162" s="219">
        <f t="shared" si="3"/>
        <v>0</v>
      </c>
      <c r="G162" s="178" t="str">
        <f>_xlfn.XLOOKUP($B162,COA!$B:$B,COA!$C:$C,0,0,1)</f>
        <v>General and administration</v>
      </c>
      <c r="H162" s="178" t="str">
        <f>_xlfn.XLOOKUP($B162,COA!$B:$B,COA!$D:$D,0,0,1)</f>
        <v>Other miscellaneous</v>
      </c>
      <c r="I162" s="178" t="str">
        <f>_xlfn.XLOOKUP($B162,COA!$B:$B,COA!$E:$E,0,0,1)</f>
        <v>Accumulated deficit</v>
      </c>
      <c r="K162" s="85" t="str">
        <f>_xlfn.XLOOKUP(I162,FS.1!A:A,I:I,0,0,1)</f>
        <v>Payroll liabilities</v>
      </c>
      <c r="L162" s="87"/>
      <c r="M162" s="87"/>
      <c r="N162" s="85"/>
      <c r="O162" s="85"/>
      <c r="P162" s="85"/>
      <c r="Q162" s="85"/>
      <c r="R162" s="85"/>
      <c r="S162" s="85"/>
      <c r="T162" s="85"/>
      <c r="U162" s="85"/>
    </row>
    <row r="163" spans="1:23" hidden="1" outlineLevel="1" x14ac:dyDescent="0.25">
      <c r="A163" s="50"/>
      <c r="B163" s="155" t="str">
        <f>COA!B171</f>
        <v>8000 Exchange Gain or Loss</v>
      </c>
      <c r="C163" s="127">
        <f>_xlfn.XLOOKUP(B163,'TB.3 - Dec 31, 2022'!A:A,'TB.3 - Dec 31, 2022'!D:D,0,0,1)</f>
        <v>0</v>
      </c>
      <c r="D163" s="127">
        <f>_xlfn.XLOOKUP(B163,'AJE.2B - F24'!A:A,'AJE.2B - F24'!M:M,0,0,1)</f>
        <v>0</v>
      </c>
      <c r="E163" s="127"/>
      <c r="F163" s="219">
        <f t="shared" si="3"/>
        <v>0</v>
      </c>
      <c r="G163" s="178" t="str">
        <f>_xlfn.XLOOKUP($B163,COA!$B:$B,COA!$C:$C,0,0,1)</f>
        <v>General and administration</v>
      </c>
      <c r="H163" s="178" t="str">
        <f>_xlfn.XLOOKUP($B163,COA!$B:$B,COA!$D:$D,0,0,1)</f>
        <v>Foreign exchange</v>
      </c>
      <c r="I163" s="178" t="str">
        <f>_xlfn.XLOOKUP($B163,COA!$B:$B,COA!$E:$E,0,0,1)</f>
        <v>Accumulated deficit</v>
      </c>
      <c r="K163" s="85" t="str">
        <f>_xlfn.XLOOKUP(I163,FS.1!A:A,I:I,0,0,1)</f>
        <v>Payroll liabilities</v>
      </c>
      <c r="L163" s="87"/>
      <c r="M163" s="87"/>
      <c r="N163" s="85"/>
      <c r="O163" s="85"/>
      <c r="P163" s="85"/>
      <c r="Q163" s="85"/>
      <c r="R163" s="85"/>
      <c r="S163" s="85"/>
      <c r="T163" s="85"/>
      <c r="U163" s="85"/>
    </row>
    <row r="164" spans="1:23" hidden="1" outlineLevel="1" x14ac:dyDescent="0.25">
      <c r="A164" s="50"/>
      <c r="B164" s="155" t="str">
        <f>COA!B172</f>
        <v>IMP1 - Warranty expense</v>
      </c>
      <c r="C164" s="127">
        <f>_xlfn.XLOOKUP(B164,'TB.3 - Dec 31, 2022'!A:A,'TB.3 - Dec 31, 2022'!D:D,0,0,1)</f>
        <v>0</v>
      </c>
      <c r="D164" s="127">
        <f>_xlfn.XLOOKUP(B164,'AJE.2B - F24'!A:A,'AJE.2B - F24'!M:M,0,0,1)</f>
        <v>0</v>
      </c>
      <c r="E164" s="127"/>
      <c r="F164" s="219">
        <f t="shared" si="3"/>
        <v>0</v>
      </c>
      <c r="G164" s="178" t="str">
        <f>_xlfn.XLOOKUP($B164,COA!$B:$B,COA!$C:$C,0,0,1)</f>
        <v>General and administration</v>
      </c>
      <c r="H164" s="178" t="str">
        <f>_xlfn.XLOOKUP($B164,COA!$B:$B,COA!$D:$D,0,0,1)</f>
        <v>Warranty expense</v>
      </c>
      <c r="I164" s="178" t="str">
        <f>_xlfn.XLOOKUP($B164,COA!$B:$B,COA!$E:$E,0,0,1)</f>
        <v>Accumulated deficit</v>
      </c>
      <c r="K164" s="85" t="str">
        <f>_xlfn.XLOOKUP(I164,FS.1!A:A,I:I,0,0,1)</f>
        <v>Payroll liabilities</v>
      </c>
      <c r="L164" s="87"/>
      <c r="M164" s="87"/>
      <c r="N164" s="85"/>
      <c r="O164" s="85"/>
      <c r="P164" s="85"/>
      <c r="Q164" s="85"/>
      <c r="R164" s="85"/>
      <c r="S164" s="85"/>
      <c r="T164" s="85"/>
      <c r="U164" s="85"/>
    </row>
    <row r="165" spans="1:23" hidden="1" outlineLevel="1" x14ac:dyDescent="0.25">
      <c r="A165" s="50"/>
      <c r="B165" s="155" t="str">
        <f>COA!B173</f>
        <v>IMP2 - Engineering expense</v>
      </c>
      <c r="C165" s="127">
        <f>_xlfn.XLOOKUP(B165,'TB.3 - Dec 31, 2022'!A:A,'TB.3 - Dec 31, 2022'!D:D,0,0,1)</f>
        <v>0</v>
      </c>
      <c r="D165" s="127">
        <f>_xlfn.XLOOKUP(B165,'AJE.2B - F24'!A:A,'AJE.2B - F24'!M:M,0,0,1)</f>
        <v>0</v>
      </c>
      <c r="E165" s="127"/>
      <c r="F165" s="219">
        <f t="shared" si="3"/>
        <v>0</v>
      </c>
      <c r="G165" s="178" t="str">
        <f>_xlfn.XLOOKUP($B165,COA!$B:$B,COA!$C:$C,0,0,1)</f>
        <v>General and administration</v>
      </c>
      <c r="H165" s="178" t="str">
        <f>_xlfn.XLOOKUP($B165,COA!$B:$B,COA!$D:$D,0,0,1)</f>
        <v>Engineering expense</v>
      </c>
      <c r="I165" s="178" t="str">
        <f>_xlfn.XLOOKUP($B165,COA!$B:$B,COA!$E:$E,0,0,1)</f>
        <v>Accumulated deficit</v>
      </c>
      <c r="K165" s="85" t="str">
        <f>_xlfn.XLOOKUP(I165,FS.1!A:A,I:I,0,0,1)</f>
        <v>Payroll liabilities</v>
      </c>
      <c r="L165" s="87"/>
      <c r="M165" s="87"/>
      <c r="N165" s="85"/>
      <c r="O165" s="85"/>
      <c r="P165" s="85"/>
      <c r="Q165" s="85"/>
      <c r="R165" s="85"/>
      <c r="S165" s="85"/>
      <c r="T165" s="85"/>
      <c r="U165" s="85"/>
    </row>
    <row r="166" spans="1:23" hidden="1" outlineLevel="1" x14ac:dyDescent="0.25">
      <c r="A166" s="50"/>
      <c r="B166" s="155" t="str">
        <f>COA!B174</f>
        <v>IMP3 - Commission expense</v>
      </c>
      <c r="C166" s="127">
        <f>_xlfn.XLOOKUP(B166,'TB.3 - Dec 31, 2022'!A:A,'TB.3 - Dec 31, 2022'!D:D,0,0,1)</f>
        <v>0</v>
      </c>
      <c r="D166" s="127">
        <f>_xlfn.XLOOKUP(B166,'AJE.2B - F24'!A:A,'AJE.2B - F24'!M:M,0,0,1)</f>
        <v>0</v>
      </c>
      <c r="E166" s="127"/>
      <c r="F166" s="219">
        <f t="shared" si="3"/>
        <v>0</v>
      </c>
      <c r="G166" s="178" t="str">
        <f>_xlfn.XLOOKUP($B166,COA!$B:$B,COA!$C:$C,0,0,1)</f>
        <v>Cost of goods sold</v>
      </c>
      <c r="H166" s="178" t="str">
        <f>_xlfn.XLOOKUP($B166,COA!$B:$B,COA!$D:$D,0,0,1)</f>
        <v>Cost of goods sold</v>
      </c>
      <c r="I166" s="178" t="str">
        <f>_xlfn.XLOOKUP($B166,COA!$B:$B,COA!$E:$E,0,0,1)</f>
        <v>Accumulated deficit</v>
      </c>
      <c r="K166" s="85" t="str">
        <f>_xlfn.XLOOKUP(I166,FS.1!A:A,I:I,0,0,1)</f>
        <v>Payroll liabilities</v>
      </c>
      <c r="L166" s="87"/>
      <c r="M166" s="87"/>
      <c r="N166" s="85"/>
      <c r="O166" s="85"/>
      <c r="P166" s="85"/>
      <c r="Q166" s="85"/>
      <c r="R166" s="85"/>
      <c r="S166" s="85"/>
      <c r="T166" s="85"/>
      <c r="U166" s="85"/>
    </row>
    <row r="167" spans="1:23" hidden="1" outlineLevel="1" x14ac:dyDescent="0.25">
      <c r="A167" s="50"/>
      <c r="B167" s="155" t="str">
        <f>COA!B175</f>
        <v>IMP4 - Warranty Liability</v>
      </c>
      <c r="C167" s="127">
        <f>_xlfn.XLOOKUP(B167,'TB.3 - Dec 31, 2022'!A:A,'TB.3 - Dec 31, 2022'!D:D,0,0,1)</f>
        <v>0</v>
      </c>
      <c r="D167" s="127">
        <f>_xlfn.XLOOKUP(B167,'AJE.2B - F24'!A:A,'AJE.2B - F24'!M:M,0,0,1)</f>
        <v>0</v>
      </c>
      <c r="E167" s="127"/>
      <c r="F167" s="219">
        <f t="shared" si="3"/>
        <v>0</v>
      </c>
      <c r="G167" s="178" t="str">
        <f>_xlfn.XLOOKUP($B167,COA!$B:$B,COA!$C:$C,0,0,1)</f>
        <v>Warranty liability</v>
      </c>
      <c r="H167" s="178" t="str">
        <f>_xlfn.XLOOKUP($B167,COA!$B:$B,COA!$D:$D,0,0,1)</f>
        <v>Warranty liability</v>
      </c>
      <c r="I167" s="178" t="str">
        <f>_xlfn.XLOOKUP($B167,COA!$B:$B,COA!$E:$E,0,0,1)</f>
        <v>Warranty liability</v>
      </c>
      <c r="K167" s="85" t="str">
        <f>_xlfn.XLOOKUP(I167,FS.1!A:A,I:I,0,0,1)</f>
        <v>Equipment</v>
      </c>
      <c r="L167" s="87"/>
      <c r="M167" s="87"/>
      <c r="N167" s="85"/>
      <c r="O167" s="85"/>
      <c r="P167" s="85"/>
      <c r="Q167" s="85"/>
      <c r="R167" s="85"/>
      <c r="S167" s="85"/>
      <c r="T167" s="85"/>
      <c r="U167" s="85"/>
    </row>
    <row r="168" spans="1:23" hidden="1" outlineLevel="1" x14ac:dyDescent="0.25">
      <c r="A168" s="50"/>
      <c r="B168" s="155" t="str">
        <f>COA!B176</f>
        <v>IMP5 - R&amp;D</v>
      </c>
      <c r="C168" s="127">
        <f>_xlfn.XLOOKUP(B168,'TB.3 - Dec 31, 2022'!A:A,'TB.3 - Dec 31, 2022'!D:D,0,0,1)</f>
        <v>0</v>
      </c>
      <c r="D168" s="127">
        <f>_xlfn.XLOOKUP(B168,'AJE.2B - F24'!A:A,'AJE.2B - F24'!M:M,0,0,1)</f>
        <v>0</v>
      </c>
      <c r="E168" s="127"/>
      <c r="F168" s="219">
        <f t="shared" si="3"/>
        <v>0</v>
      </c>
      <c r="G168" s="178" t="str">
        <f>_xlfn.XLOOKUP($B168,COA!$B:$B,COA!$C:$C,0,0,1)</f>
        <v>General and administration</v>
      </c>
      <c r="H168" s="178" t="str">
        <f>_xlfn.XLOOKUP($B168,COA!$B:$B,COA!$D:$D,0,0,1)</f>
        <v>Other expenses</v>
      </c>
      <c r="I168" s="178" t="str">
        <f>_xlfn.XLOOKUP($B168,COA!$B:$B,COA!$E:$E,0,0,1)</f>
        <v>Accumulated deficit</v>
      </c>
      <c r="K168" s="85" t="str">
        <f>_xlfn.XLOOKUP(I168,FS.1!A:A,I:I,0,0,1)</f>
        <v>Payroll liabilities</v>
      </c>
      <c r="L168" s="87"/>
      <c r="M168" s="87"/>
      <c r="N168" s="85"/>
      <c r="O168" s="85"/>
      <c r="P168" s="85"/>
      <c r="Q168" s="85"/>
      <c r="R168" s="85"/>
      <c r="S168" s="85"/>
      <c r="T168" s="85"/>
      <c r="U168" s="85"/>
    </row>
    <row r="169" spans="1:23" hidden="1" outlineLevel="1" x14ac:dyDescent="0.25">
      <c r="A169" s="50"/>
      <c r="B169" s="155" t="str">
        <f>COA!B177</f>
        <v>IMP6 - Acquisition costs</v>
      </c>
      <c r="C169" s="127">
        <f>_xlfn.XLOOKUP(B169,'TB.3 - Dec 31, 2022'!A:A,'TB.3 - Dec 31, 2022'!D:D,0,0,1)</f>
        <v>0</v>
      </c>
      <c r="D169" s="127">
        <f>_xlfn.XLOOKUP(B169,'AJE.2B - F24'!A:A,'AJE.2B - F24'!M:M,0,0,1)</f>
        <v>0</v>
      </c>
      <c r="E169" s="127"/>
      <c r="F169" s="219">
        <f t="shared" si="3"/>
        <v>0</v>
      </c>
      <c r="G169" s="178" t="str">
        <f>_xlfn.XLOOKUP($B169,COA!$B:$B,COA!$C:$C,0,0,1)</f>
        <v>General and administration</v>
      </c>
      <c r="H169" s="178" t="str">
        <f>_xlfn.XLOOKUP($B169,COA!$B:$B,COA!$D:$D,0,0,1)</f>
        <v>Acquisition expense</v>
      </c>
      <c r="I169" s="178" t="str">
        <f>_xlfn.XLOOKUP($B169,COA!$B:$B,COA!$E:$E,0,0,1)</f>
        <v>Accumulated deficit</v>
      </c>
      <c r="K169" s="85" t="str">
        <f>_xlfn.XLOOKUP(I169,FS.1!A:A,I:I,0,0,1)</f>
        <v>Payroll liabilities</v>
      </c>
      <c r="L169" s="87"/>
      <c r="M169" s="87"/>
      <c r="N169" s="85"/>
      <c r="O169" s="85"/>
      <c r="P169" s="85"/>
      <c r="Q169" s="85"/>
      <c r="R169" s="85"/>
      <c r="S169" s="85"/>
      <c r="T169" s="85"/>
      <c r="U169" s="85"/>
    </row>
    <row r="170" spans="1:23" hidden="1" outlineLevel="1" x14ac:dyDescent="0.25">
      <c r="A170" s="50"/>
      <c r="B170" s="155" t="str">
        <f>COA!B178</f>
        <v>IMP9 - Share-based compensation</v>
      </c>
      <c r="C170" s="127">
        <f>_xlfn.XLOOKUP(B170,'TB.3 - Dec 31, 2022'!A:A,'TB.3 - Dec 31, 2022'!D:D,0,0,1)</f>
        <v>0</v>
      </c>
      <c r="D170" s="127">
        <f>_xlfn.XLOOKUP(B170,'AJE.2B - F24'!A:A,'AJE.2B - F24'!M:M,0,0,1)</f>
        <v>0</v>
      </c>
      <c r="E170" s="127"/>
      <c r="F170" s="219">
        <f t="shared" si="3"/>
        <v>0</v>
      </c>
      <c r="G170" s="178" t="str">
        <f>_xlfn.XLOOKUP($B170,COA!$B:$B,COA!$C:$C,0,0,1)</f>
        <v>General and administration</v>
      </c>
      <c r="H170" s="178" t="str">
        <f>_xlfn.XLOOKUP($B170,COA!$B:$B,COA!$D:$D,0,0,1)</f>
        <v>Share based compensation</v>
      </c>
      <c r="I170" s="178" t="str">
        <f>_xlfn.XLOOKUP($B170,COA!$B:$B,COA!$E:$E,0,0,1)</f>
        <v>Accumulated deficit</v>
      </c>
      <c r="K170" s="85" t="str">
        <f>_xlfn.XLOOKUP(I170,FS.1!A:A,I:I,0,0,1)</f>
        <v>Payroll liabilities</v>
      </c>
      <c r="L170" s="87"/>
      <c r="M170" s="87"/>
      <c r="N170" s="85"/>
      <c r="O170" s="85"/>
      <c r="P170" s="85"/>
      <c r="Q170" s="85"/>
      <c r="R170" s="85"/>
      <c r="S170" s="85"/>
      <c r="T170" s="85"/>
      <c r="U170" s="85"/>
    </row>
    <row r="171" spans="1:23" hidden="1" outlineLevel="1" x14ac:dyDescent="0.25">
      <c r="A171" s="50"/>
      <c r="B171" s="155" t="e">
        <f>COA!#REF!</f>
        <v>#REF!</v>
      </c>
      <c r="C171" s="127" t="e">
        <f>_xlfn.XLOOKUP(B171,'TB.3 - Dec 31, 2022'!A:A,'TB.3 - Dec 31, 2022'!D:D,0,0,1)</f>
        <v>#REF!</v>
      </c>
      <c r="D171" s="127" t="e">
        <f>_xlfn.XLOOKUP(B171,'AJE.2B - F24'!A:A,'AJE.2B - F24'!M:M,0,0,1)</f>
        <v>#REF!</v>
      </c>
      <c r="E171" s="127"/>
      <c r="F171" s="219" t="e">
        <f t="shared" si="3"/>
        <v>#REF!</v>
      </c>
      <c r="G171" s="178" t="e">
        <f>_xlfn.XLOOKUP($B171,COA!$B:$B,COA!$C:$C,0,0,1)</f>
        <v>#REF!</v>
      </c>
      <c r="H171" s="178" t="e">
        <f>_xlfn.XLOOKUP($B171,COA!$B:$B,COA!$D:$D,0,0,1)</f>
        <v>#REF!</v>
      </c>
      <c r="I171" s="178" t="e">
        <f>_xlfn.XLOOKUP($B171,COA!$B:$B,COA!$E:$E,0,0,1)</f>
        <v>#REF!</v>
      </c>
      <c r="K171" s="85" t="e">
        <f>_xlfn.XLOOKUP(I171,FS.1!A:A,I:I,0,0,1)</f>
        <v>#REF!</v>
      </c>
      <c r="L171" s="87"/>
      <c r="M171" s="87"/>
      <c r="N171" s="85"/>
      <c r="O171" s="85"/>
      <c r="P171" s="85"/>
      <c r="Q171" s="85"/>
      <c r="R171" s="85"/>
      <c r="S171" s="85"/>
      <c r="T171" s="85"/>
      <c r="U171" s="85"/>
    </row>
    <row r="172" spans="1:23" collapsed="1" x14ac:dyDescent="0.25">
      <c r="A172" s="50"/>
      <c r="B172" s="155"/>
      <c r="C172" s="58"/>
      <c r="D172" s="127"/>
      <c r="E172" s="58"/>
      <c r="F172" s="57">
        <f t="shared" ref="F172" si="4">ROUND(SUM(C172:E172),0)</f>
        <v>0</v>
      </c>
      <c r="G172" s="179"/>
      <c r="H172" s="178"/>
      <c r="I172" s="178"/>
      <c r="J172" s="19"/>
      <c r="K172" s="85"/>
      <c r="L172" s="87"/>
      <c r="M172" s="87"/>
      <c r="N172" s="85"/>
      <c r="O172" s="85"/>
      <c r="P172" s="85"/>
      <c r="Q172" s="85"/>
      <c r="R172" s="85"/>
      <c r="S172" s="85"/>
      <c r="T172" s="85"/>
      <c r="U172" s="85"/>
    </row>
    <row r="173" spans="1:23" ht="12.6" thickBot="1" x14ac:dyDescent="0.35">
      <c r="A173" s="48" t="s">
        <v>0</v>
      </c>
      <c r="B173" s="48"/>
      <c r="C173" s="49" t="e">
        <f>SUM(C5:C172)</f>
        <v>#REF!</v>
      </c>
      <c r="D173" s="49" t="e">
        <f>SUM(D5:D172)</f>
        <v>#REF!</v>
      </c>
      <c r="E173" s="49">
        <f>SUM(E5:E172)</f>
        <v>1</v>
      </c>
      <c r="F173" s="49" t="e">
        <f>SUM(F5:F172)</f>
        <v>#REF!</v>
      </c>
      <c r="G173" s="180"/>
      <c r="H173" s="48"/>
      <c r="I173" s="48"/>
      <c r="J173" s="19"/>
      <c r="K173" s="87"/>
      <c r="L173" s="87"/>
      <c r="M173" s="87"/>
      <c r="N173" s="85"/>
      <c r="O173" s="85"/>
      <c r="P173" s="85"/>
      <c r="Q173" s="85"/>
      <c r="R173" s="85"/>
      <c r="S173" s="85"/>
      <c r="T173" s="85"/>
      <c r="U173" s="85"/>
    </row>
    <row r="174" spans="1:23" ht="12.6" thickTop="1" x14ac:dyDescent="0.3">
      <c r="C174" s="19"/>
      <c r="D174" s="19"/>
      <c r="E174" s="19"/>
      <c r="F174" s="19"/>
      <c r="G174" s="181"/>
      <c r="H174" s="19"/>
      <c r="I174" s="19"/>
      <c r="J174" s="19"/>
      <c r="K174" s="87"/>
      <c r="L174" s="87"/>
      <c r="M174" s="87"/>
      <c r="N174" s="85"/>
      <c r="O174" s="85"/>
      <c r="P174" s="85"/>
      <c r="Q174" s="85"/>
      <c r="R174" s="85"/>
      <c r="S174" s="85"/>
      <c r="T174" s="85"/>
      <c r="U174" s="85"/>
    </row>
    <row r="175" spans="1:23" x14ac:dyDescent="0.25">
      <c r="A175" s="75"/>
      <c r="B175" s="75"/>
      <c r="F175" s="76" t="e">
        <f>SUM(F92:F172)</f>
        <v>#REF!</v>
      </c>
      <c r="G175" s="186" t="s">
        <v>266</v>
      </c>
      <c r="K175" s="85"/>
      <c r="L175" s="85"/>
      <c r="M175" s="85"/>
      <c r="N175" s="85"/>
      <c r="O175" s="85"/>
      <c r="P175" s="85"/>
      <c r="Q175" s="85"/>
      <c r="R175" s="85"/>
      <c r="S175" s="85"/>
      <c r="T175" s="85"/>
      <c r="U175" s="85"/>
      <c r="W175" s="89" t="s">
        <v>19</v>
      </c>
    </row>
    <row r="176" spans="1:23" x14ac:dyDescent="0.3">
      <c r="C176" s="19"/>
      <c r="D176" s="19"/>
      <c r="E176" s="19"/>
      <c r="F176" s="76"/>
      <c r="G176" s="182"/>
      <c r="K176" s="64">
        <v>44742</v>
      </c>
      <c r="L176" s="45">
        <v>470439</v>
      </c>
      <c r="M176" s="45">
        <v>3876</v>
      </c>
      <c r="N176" s="45">
        <v>0</v>
      </c>
      <c r="O176" s="45">
        <v>0</v>
      </c>
      <c r="P176" s="45">
        <v>-29877</v>
      </c>
      <c r="Q176" s="45">
        <v>-26853</v>
      </c>
      <c r="R176" s="45">
        <f>-524174</f>
        <v>-524174</v>
      </c>
      <c r="S176" s="45">
        <v>0</v>
      </c>
      <c r="T176" s="45">
        <f>106589</f>
        <v>106589</v>
      </c>
      <c r="U176" s="45"/>
      <c r="W176" s="88">
        <f>SUM(L176:U176)</f>
        <v>0</v>
      </c>
    </row>
    <row r="177" spans="1:23" x14ac:dyDescent="0.3">
      <c r="K177" s="64">
        <f>B2</f>
        <v>44926</v>
      </c>
      <c r="L177" s="45">
        <f>SUMIF($I:$I,L4,$F:$F)</f>
        <v>115727</v>
      </c>
      <c r="M177" s="45">
        <f>SUMIF($I:$I,M4,$F:$F)</f>
        <v>8623</v>
      </c>
      <c r="N177" s="45">
        <f>SUMIF($I:$I,N4,$F:$F)*0</f>
        <v>0</v>
      </c>
      <c r="O177" s="45">
        <f>SUMIF($I:$I,O4,$F:$F)</f>
        <v>525200</v>
      </c>
      <c r="P177" s="45">
        <f>SUMIF($I:$I,P4,$F:$F)</f>
        <v>-17640</v>
      </c>
      <c r="Q177" s="45">
        <f>SUMIF($I:$I,N4,$F:$F)</f>
        <v>-18430</v>
      </c>
      <c r="R177" s="45">
        <f>SUMIF($I:$I,R4,$F:$F)</f>
        <v>-1775625</v>
      </c>
      <c r="S177" s="45">
        <f>SUMIF($I:$I,S4,$F:$F)</f>
        <v>-258750</v>
      </c>
      <c r="T177" s="45">
        <f>SUMIF($I:$I,T4,$F:$F)</f>
        <v>2624911</v>
      </c>
      <c r="U177" s="45">
        <f t="shared" ref="U177" si="5">SUMIF($I$5:$I$57,U4,$F$5:$F$57)</f>
        <v>0</v>
      </c>
      <c r="W177" s="88">
        <f>SUM(L177:U177)</f>
        <v>1204016</v>
      </c>
    </row>
    <row r="178" spans="1:23" ht="12.6" thickBot="1" x14ac:dyDescent="0.35">
      <c r="K178" s="56" t="s">
        <v>18</v>
      </c>
      <c r="L178" s="59">
        <f t="shared" ref="L178:U178" si="6">L177-L176</f>
        <v>-354712</v>
      </c>
      <c r="M178" s="59">
        <f t="shared" si="6"/>
        <v>4747</v>
      </c>
      <c r="N178" s="59">
        <f t="shared" si="6"/>
        <v>0</v>
      </c>
      <c r="O178" s="59">
        <f t="shared" si="6"/>
        <v>525200</v>
      </c>
      <c r="P178" s="59">
        <f t="shared" si="6"/>
        <v>12237</v>
      </c>
      <c r="Q178" s="59">
        <f t="shared" si="6"/>
        <v>8423</v>
      </c>
      <c r="R178" s="59">
        <f t="shared" si="6"/>
        <v>-1251451</v>
      </c>
      <c r="S178" s="59">
        <f t="shared" si="6"/>
        <v>-258750</v>
      </c>
      <c r="T178" s="59">
        <f t="shared" si="6"/>
        <v>2518322</v>
      </c>
      <c r="U178" s="59">
        <f t="shared" si="6"/>
        <v>0</v>
      </c>
    </row>
    <row r="179" spans="1:23" x14ac:dyDescent="0.3">
      <c r="A179" s="77"/>
      <c r="K179" s="50"/>
      <c r="L179" s="57"/>
      <c r="M179" s="58"/>
      <c r="N179" s="58"/>
      <c r="O179" s="58"/>
      <c r="P179" s="58"/>
      <c r="Q179" s="58"/>
      <c r="R179" s="58"/>
      <c r="S179" s="58"/>
      <c r="T179" s="58"/>
      <c r="U179" s="58"/>
    </row>
    <row r="180" spans="1:23" x14ac:dyDescent="0.3">
      <c r="A180" s="77"/>
      <c r="K180" s="69" t="s">
        <v>9</v>
      </c>
      <c r="L180" s="55"/>
      <c r="M180" s="51"/>
      <c r="N180" s="51"/>
      <c r="O180" s="51"/>
      <c r="P180" s="51"/>
      <c r="Q180" s="51"/>
      <c r="R180" s="51"/>
      <c r="S180" s="51"/>
      <c r="T180" s="51"/>
      <c r="U180" s="51"/>
    </row>
    <row r="181" spans="1:23" x14ac:dyDescent="0.3">
      <c r="A181" s="77"/>
      <c r="F181" s="78"/>
      <c r="K181" s="53" t="s">
        <v>274</v>
      </c>
      <c r="L181" s="55">
        <f>ROUND(SUM(M181:U181),0)</f>
        <v>-2518322</v>
      </c>
      <c r="M181" s="51"/>
      <c r="N181" s="51"/>
      <c r="O181" s="51"/>
      <c r="P181" s="51"/>
      <c r="Q181" s="51"/>
      <c r="R181" s="51"/>
      <c r="S181" s="51"/>
      <c r="T181" s="51">
        <f>-T178</f>
        <v>-2518322</v>
      </c>
      <c r="U181" s="51"/>
    </row>
    <row r="182" spans="1:23" x14ac:dyDescent="0.3">
      <c r="A182" s="77"/>
      <c r="F182" s="78"/>
      <c r="K182" s="53"/>
      <c r="L182" s="55"/>
      <c r="M182" s="51"/>
      <c r="N182" s="51"/>
      <c r="O182" s="51"/>
      <c r="P182" s="51"/>
      <c r="Q182" s="51"/>
      <c r="R182" s="51"/>
      <c r="S182" s="51"/>
      <c r="T182" s="51"/>
      <c r="U182" s="51"/>
    </row>
    <row r="183" spans="1:23" x14ac:dyDescent="0.3">
      <c r="F183" s="78"/>
      <c r="K183" s="69" t="s">
        <v>46</v>
      </c>
      <c r="L183" s="55"/>
      <c r="M183" s="51"/>
      <c r="N183" s="51"/>
      <c r="O183" s="51"/>
      <c r="P183" s="51"/>
      <c r="Q183" s="51"/>
      <c r="R183" s="51"/>
      <c r="S183" s="51"/>
      <c r="T183" s="51"/>
      <c r="U183" s="51"/>
    </row>
    <row r="184" spans="1:23" x14ac:dyDescent="0.3">
      <c r="F184" s="78"/>
      <c r="K184" s="53" t="s">
        <v>43</v>
      </c>
      <c r="L184" s="55">
        <f t="shared" ref="L184:L189" si="7">ROUND(SUM(M184:U184),0)</f>
        <v>0</v>
      </c>
      <c r="M184" s="51"/>
      <c r="N184" s="51"/>
      <c r="O184" s="51"/>
      <c r="P184" s="51"/>
      <c r="Q184" s="51"/>
      <c r="R184" s="51"/>
      <c r="S184" s="51"/>
      <c r="T184" s="51"/>
      <c r="U184" s="51"/>
    </row>
    <row r="185" spans="1:23" x14ac:dyDescent="0.3">
      <c r="F185" s="78"/>
      <c r="K185" s="53" t="s">
        <v>2</v>
      </c>
      <c r="L185" s="55">
        <f t="shared" si="7"/>
        <v>0</v>
      </c>
      <c r="M185" s="51"/>
      <c r="N185" s="51"/>
      <c r="O185" s="51"/>
      <c r="P185" s="51"/>
      <c r="Q185" s="51"/>
      <c r="R185" s="51"/>
      <c r="S185" s="51"/>
      <c r="T185" s="51"/>
      <c r="U185" s="51"/>
    </row>
    <row r="186" spans="1:23" x14ac:dyDescent="0.3">
      <c r="F186" s="78"/>
      <c r="K186" s="53" t="s">
        <v>24</v>
      </c>
      <c r="L186" s="55">
        <f t="shared" si="7"/>
        <v>0</v>
      </c>
      <c r="M186" s="51"/>
      <c r="N186" s="51"/>
      <c r="O186" s="51"/>
      <c r="P186" s="51"/>
      <c r="Q186" s="51"/>
      <c r="R186" s="51"/>
      <c r="S186" s="51"/>
      <c r="T186" s="51"/>
      <c r="U186" s="51"/>
    </row>
    <row r="187" spans="1:23" x14ac:dyDescent="0.3">
      <c r="F187" s="78"/>
      <c r="K187" s="53" t="s">
        <v>21</v>
      </c>
      <c r="L187" s="55">
        <f t="shared" si="7"/>
        <v>0</v>
      </c>
      <c r="M187" s="51"/>
      <c r="N187" s="51"/>
      <c r="O187" s="51"/>
      <c r="P187" s="51"/>
      <c r="Q187" s="51"/>
      <c r="R187" s="51"/>
      <c r="S187" s="51"/>
      <c r="T187" s="51"/>
      <c r="U187" s="51"/>
    </row>
    <row r="188" spans="1:23" x14ac:dyDescent="0.3">
      <c r="F188" s="78"/>
      <c r="K188" s="53" t="s">
        <v>7</v>
      </c>
      <c r="L188" s="55">
        <f t="shared" si="7"/>
        <v>0</v>
      </c>
      <c r="M188" s="51"/>
      <c r="N188" s="51"/>
      <c r="O188" s="51"/>
      <c r="P188" s="51"/>
      <c r="Q188" s="51"/>
      <c r="R188" s="51"/>
      <c r="S188" s="51"/>
      <c r="T188" s="51"/>
      <c r="U188" s="51"/>
    </row>
    <row r="189" spans="1:23" x14ac:dyDescent="0.3">
      <c r="F189" s="78"/>
      <c r="K189" s="53" t="s">
        <v>47</v>
      </c>
      <c r="L189" s="55">
        <f t="shared" si="7"/>
        <v>0</v>
      </c>
      <c r="M189" s="51"/>
      <c r="N189" s="51"/>
      <c r="O189" s="51"/>
      <c r="P189" s="51"/>
      <c r="Q189" s="51"/>
      <c r="R189" s="51"/>
      <c r="S189" s="51"/>
      <c r="T189" s="51"/>
      <c r="U189" s="51"/>
    </row>
    <row r="190" spans="1:23" x14ac:dyDescent="0.3">
      <c r="F190" s="78"/>
      <c r="K190" s="53"/>
      <c r="L190" s="55"/>
      <c r="M190" s="51"/>
      <c r="N190" s="51"/>
      <c r="O190" s="51"/>
      <c r="P190" s="51"/>
      <c r="Q190" s="51"/>
      <c r="R190" s="51"/>
      <c r="S190" s="51"/>
      <c r="T190" s="51"/>
      <c r="U190" s="51"/>
    </row>
    <row r="191" spans="1:23" x14ac:dyDescent="0.3">
      <c r="F191" s="78"/>
      <c r="K191" s="53"/>
      <c r="L191" s="55"/>
      <c r="M191" s="51"/>
      <c r="N191" s="51"/>
      <c r="O191" s="51"/>
      <c r="P191" s="51"/>
      <c r="Q191" s="51"/>
      <c r="R191" s="51"/>
      <c r="S191" s="51"/>
      <c r="T191" s="51"/>
      <c r="U191" s="51"/>
    </row>
    <row r="192" spans="1:23" x14ac:dyDescent="0.3">
      <c r="F192" s="78"/>
      <c r="K192" s="70" t="s">
        <v>52</v>
      </c>
      <c r="L192" s="55"/>
      <c r="M192" s="51"/>
      <c r="N192" s="51"/>
      <c r="O192" s="51"/>
      <c r="P192" s="51"/>
      <c r="Q192" s="51"/>
      <c r="R192" s="51"/>
      <c r="S192" s="51"/>
      <c r="T192" s="51"/>
      <c r="U192" s="51"/>
    </row>
    <row r="193" spans="6:21" x14ac:dyDescent="0.3">
      <c r="F193" s="78"/>
      <c r="K193" s="53" t="str">
        <f>M4</f>
        <v>Receivables</v>
      </c>
      <c r="L193" s="55">
        <f t="shared" ref="L193:L199" si="8">ROUND(SUM(M193:U193),0)</f>
        <v>0</v>
      </c>
      <c r="M193" s="51"/>
      <c r="N193" s="51"/>
      <c r="O193" s="51"/>
      <c r="P193" s="51"/>
      <c r="Q193" s="51"/>
      <c r="R193" s="51"/>
      <c r="S193" s="51"/>
      <c r="T193" s="51"/>
      <c r="U193" s="51"/>
    </row>
    <row r="194" spans="6:21" x14ac:dyDescent="0.3">
      <c r="F194" s="78"/>
      <c r="K194" s="53" t="str">
        <f>N4</f>
        <v>Due from related parties</v>
      </c>
      <c r="L194" s="55">
        <f t="shared" si="8"/>
        <v>-4747</v>
      </c>
      <c r="M194" s="51">
        <f>-M178</f>
        <v>-4747</v>
      </c>
      <c r="N194" s="51"/>
      <c r="O194" s="51"/>
      <c r="P194" s="51"/>
      <c r="Q194" s="51"/>
      <c r="R194" s="51"/>
      <c r="S194" s="51"/>
      <c r="T194" s="51"/>
      <c r="U194" s="51"/>
    </row>
    <row r="195" spans="6:21" x14ac:dyDescent="0.3">
      <c r="K195" s="53" t="str">
        <f>O4</f>
        <v>Current portion of loan receivable</v>
      </c>
      <c r="L195" s="55">
        <f t="shared" si="8"/>
        <v>0</v>
      </c>
      <c r="M195" s="51"/>
      <c r="N195" s="51"/>
      <c r="O195" s="51"/>
      <c r="P195" s="51"/>
      <c r="Q195" s="51"/>
      <c r="R195" s="51"/>
      <c r="S195" s="51"/>
      <c r="T195" s="51"/>
      <c r="U195" s="51"/>
    </row>
    <row r="196" spans="6:21" x14ac:dyDescent="0.3">
      <c r="K196" s="53" t="s">
        <v>1804</v>
      </c>
      <c r="L196" s="55">
        <f t="shared" si="8"/>
        <v>0</v>
      </c>
      <c r="M196" s="51"/>
      <c r="N196" s="51"/>
      <c r="O196" s="51"/>
      <c r="P196" s="51"/>
      <c r="Q196" s="51"/>
      <c r="R196" s="51"/>
      <c r="S196" s="51"/>
      <c r="T196" s="51"/>
      <c r="U196" s="51"/>
    </row>
    <row r="197" spans="6:21" x14ac:dyDescent="0.3">
      <c r="K197" s="53" t="s">
        <v>308</v>
      </c>
      <c r="L197" s="55">
        <f t="shared" si="8"/>
        <v>1239214</v>
      </c>
      <c r="M197" s="51"/>
      <c r="N197" s="51"/>
      <c r="O197" s="51"/>
      <c r="P197" s="51">
        <f>-P178-P225-P218</f>
        <v>1239214</v>
      </c>
      <c r="Q197" s="51"/>
      <c r="R197" s="51"/>
      <c r="S197" s="51"/>
      <c r="T197" s="51"/>
      <c r="U197" s="51"/>
    </row>
    <row r="198" spans="6:21" x14ac:dyDescent="0.3">
      <c r="K198" s="53" t="str">
        <f>Q4</f>
        <v>Due to related parties</v>
      </c>
      <c r="L198" s="55">
        <f t="shared" si="8"/>
        <v>-8423</v>
      </c>
      <c r="M198" s="51"/>
      <c r="N198" s="51"/>
      <c r="O198" s="51"/>
      <c r="P198" s="51"/>
      <c r="Q198" s="51">
        <f>-Q178</f>
        <v>-8423</v>
      </c>
      <c r="R198" s="51"/>
      <c r="S198" s="51"/>
      <c r="T198" s="51"/>
      <c r="U198" s="51"/>
    </row>
    <row r="199" spans="6:21" x14ac:dyDescent="0.3">
      <c r="K199" s="53" t="s">
        <v>50</v>
      </c>
      <c r="L199" s="55">
        <f t="shared" si="8"/>
        <v>0</v>
      </c>
      <c r="M199" s="51"/>
      <c r="N199" s="51"/>
      <c r="O199" s="51"/>
      <c r="P199" s="51"/>
      <c r="Q199" s="51"/>
      <c r="R199" s="51"/>
      <c r="S199" s="51"/>
      <c r="T199" s="51"/>
      <c r="U199" s="51"/>
    </row>
    <row r="200" spans="6:21" ht="12.6" thickBot="1" x14ac:dyDescent="0.35">
      <c r="K200" s="67" t="s">
        <v>51</v>
      </c>
      <c r="L200" s="281">
        <f>SUM(L181:L199)</f>
        <v>-1292278</v>
      </c>
      <c r="M200" s="51"/>
      <c r="N200" s="51"/>
      <c r="O200" s="51"/>
      <c r="P200" s="51"/>
      <c r="Q200" s="51"/>
      <c r="R200" s="51"/>
      <c r="S200" s="51"/>
      <c r="T200" s="51"/>
      <c r="U200" s="51"/>
    </row>
    <row r="201" spans="6:21" x14ac:dyDescent="0.3">
      <c r="K201" s="60"/>
      <c r="L201" s="61"/>
      <c r="M201" s="51"/>
      <c r="N201" s="51"/>
      <c r="O201" s="51"/>
      <c r="P201" s="51"/>
      <c r="Q201" s="51"/>
      <c r="R201" s="51"/>
      <c r="S201" s="51"/>
      <c r="T201" s="51"/>
      <c r="U201" s="51"/>
    </row>
    <row r="202" spans="6:21" x14ac:dyDescent="0.3">
      <c r="K202" s="69" t="s">
        <v>12</v>
      </c>
      <c r="L202" s="55"/>
      <c r="M202" s="51"/>
      <c r="N202" s="51"/>
      <c r="O202" s="51"/>
      <c r="P202" s="51"/>
      <c r="Q202" s="51"/>
      <c r="R202" s="51"/>
      <c r="S202" s="51"/>
      <c r="T202" s="51"/>
      <c r="U202" s="51"/>
    </row>
    <row r="203" spans="6:21" x14ac:dyDescent="0.3">
      <c r="K203" s="53" t="s">
        <v>57</v>
      </c>
      <c r="L203" s="55">
        <f>ROUND(SUM(M203:U203),0)</f>
        <v>0</v>
      </c>
      <c r="M203" s="51"/>
      <c r="N203" s="51"/>
      <c r="O203" s="51"/>
      <c r="P203" s="51"/>
      <c r="Q203" s="51"/>
      <c r="R203" s="51"/>
      <c r="S203" s="51"/>
      <c r="T203" s="51"/>
      <c r="U203" s="51"/>
    </row>
    <row r="204" spans="6:21" x14ac:dyDescent="0.3">
      <c r="K204" s="53" t="s">
        <v>58</v>
      </c>
      <c r="L204" s="55">
        <f>ROUND(SUM(M204:U204),0)</f>
        <v>0</v>
      </c>
      <c r="M204" s="51"/>
      <c r="N204" s="51"/>
      <c r="O204" s="51"/>
      <c r="P204" s="51"/>
      <c r="Q204" s="51"/>
      <c r="R204" s="51"/>
      <c r="S204" s="51"/>
      <c r="T204" s="51"/>
      <c r="U204" s="51"/>
    </row>
    <row r="205" spans="6:21" x14ac:dyDescent="0.3">
      <c r="K205" s="53" t="s">
        <v>509</v>
      </c>
      <c r="L205" s="55">
        <f>ROUND(SUM(M205:U205),0)</f>
        <v>-525200</v>
      </c>
      <c r="M205" s="51"/>
      <c r="N205" s="51"/>
      <c r="O205" s="51">
        <f>-O178</f>
        <v>-525200</v>
      </c>
      <c r="P205" s="51"/>
      <c r="Q205" s="51"/>
      <c r="R205" s="51"/>
      <c r="S205" s="51"/>
      <c r="T205" s="51"/>
      <c r="U205" s="51"/>
    </row>
    <row r="206" spans="6:21" x14ac:dyDescent="0.3">
      <c r="K206" s="53"/>
      <c r="L206" s="55"/>
      <c r="M206" s="51"/>
      <c r="N206" s="51"/>
      <c r="O206" s="51"/>
      <c r="P206" s="51"/>
      <c r="Q206" s="51"/>
      <c r="R206" s="51"/>
      <c r="S206" s="51"/>
      <c r="T206" s="51"/>
      <c r="U206" s="51"/>
    </row>
    <row r="207" spans="6:21" ht="12.6" thickBot="1" x14ac:dyDescent="0.35">
      <c r="K207" s="67" t="s">
        <v>122</v>
      </c>
      <c r="L207" s="68">
        <f>SUM(L203:L206)</f>
        <v>-525200</v>
      </c>
      <c r="M207" s="51"/>
      <c r="N207" s="51"/>
      <c r="O207" s="51"/>
      <c r="P207" s="51"/>
      <c r="Q207" s="51"/>
      <c r="R207" s="51"/>
      <c r="S207" s="51"/>
      <c r="T207" s="51"/>
      <c r="U207" s="51"/>
    </row>
    <row r="208" spans="6:21" x14ac:dyDescent="0.3">
      <c r="K208" s="60"/>
      <c r="L208" s="61"/>
      <c r="M208" s="51"/>
      <c r="N208" s="51"/>
      <c r="O208" s="51"/>
      <c r="P208" s="51"/>
      <c r="Q208" s="51"/>
      <c r="R208" s="51"/>
      <c r="S208" s="51"/>
      <c r="T208" s="51"/>
      <c r="U208" s="51"/>
    </row>
    <row r="209" spans="11:23" x14ac:dyDescent="0.3">
      <c r="K209" s="69" t="s">
        <v>14</v>
      </c>
      <c r="L209" s="55"/>
      <c r="M209" s="51"/>
      <c r="N209" s="51"/>
      <c r="O209" s="51"/>
      <c r="P209" s="51"/>
      <c r="Q209" s="51"/>
      <c r="R209" s="51"/>
      <c r="S209" s="51"/>
      <c r="T209" s="51"/>
      <c r="U209" s="51"/>
    </row>
    <row r="210" spans="11:23" x14ac:dyDescent="0.3">
      <c r="K210" s="53" t="s">
        <v>329</v>
      </c>
      <c r="L210" s="55">
        <f t="shared" ref="L210:L221" si="9">ROUND(SUM(M210:U210),0)</f>
        <v>0</v>
      </c>
      <c r="M210" s="51"/>
      <c r="N210" s="51"/>
      <c r="O210" s="51"/>
      <c r="P210" s="51"/>
      <c r="Q210" s="51"/>
      <c r="R210" s="51"/>
      <c r="S210" s="51"/>
      <c r="T210" s="51"/>
      <c r="U210" s="51"/>
    </row>
    <row r="211" spans="11:23" x14ac:dyDescent="0.3">
      <c r="K211" s="53" t="s">
        <v>53</v>
      </c>
      <c r="L211" s="55">
        <f t="shared" si="9"/>
        <v>0</v>
      </c>
      <c r="M211" s="51"/>
      <c r="N211" s="51"/>
      <c r="O211" s="51"/>
      <c r="P211" s="51"/>
      <c r="Q211" s="51"/>
      <c r="R211" s="51"/>
      <c r="S211" s="51"/>
      <c r="T211" s="51"/>
      <c r="U211" s="51"/>
    </row>
    <row r="212" spans="11:23" x14ac:dyDescent="0.3">
      <c r="K212" s="53" t="s">
        <v>1805</v>
      </c>
      <c r="L212" s="55">
        <f t="shared" si="9"/>
        <v>0</v>
      </c>
      <c r="M212" s="51"/>
      <c r="N212" s="51"/>
      <c r="O212" s="51"/>
      <c r="P212" s="51"/>
      <c r="Q212" s="51"/>
      <c r="R212" s="51"/>
      <c r="S212" s="51"/>
      <c r="T212" s="51"/>
      <c r="U212" s="51"/>
    </row>
    <row r="213" spans="11:23" x14ac:dyDescent="0.3">
      <c r="K213" s="53" t="s">
        <v>49</v>
      </c>
      <c r="L213" s="55">
        <f t="shared" si="9"/>
        <v>0</v>
      </c>
      <c r="M213" s="51"/>
      <c r="N213" s="51"/>
      <c r="O213" s="51"/>
      <c r="P213" s="51"/>
      <c r="Q213" s="51"/>
      <c r="R213" s="51"/>
      <c r="S213" s="51"/>
      <c r="T213" s="51"/>
      <c r="U213" s="51"/>
    </row>
    <row r="214" spans="11:23" x14ac:dyDescent="0.3">
      <c r="K214" s="53" t="s">
        <v>55</v>
      </c>
      <c r="L214" s="55">
        <f t="shared" si="9"/>
        <v>0</v>
      </c>
      <c r="M214" s="51"/>
      <c r="N214" s="51"/>
      <c r="O214" s="51"/>
      <c r="P214" s="51"/>
      <c r="Q214" s="51"/>
      <c r="R214" s="51"/>
      <c r="S214" s="51"/>
      <c r="T214" s="51"/>
      <c r="U214" s="51"/>
      <c r="W214" s="73"/>
    </row>
    <row r="215" spans="11:23" x14ac:dyDescent="0.3">
      <c r="K215" s="53" t="s">
        <v>84</v>
      </c>
      <c r="L215" s="55">
        <f t="shared" si="9"/>
        <v>0</v>
      </c>
      <c r="M215" s="51"/>
      <c r="N215" s="51"/>
      <c r="O215" s="51"/>
      <c r="P215" s="51"/>
      <c r="Q215" s="51"/>
      <c r="R215" s="51"/>
      <c r="S215" s="51"/>
      <c r="T215" s="51"/>
      <c r="U215" s="51"/>
      <c r="W215" s="73"/>
    </row>
    <row r="216" spans="11:23" x14ac:dyDescent="0.3">
      <c r="K216" s="53" t="s">
        <v>56</v>
      </c>
      <c r="L216" s="55">
        <f t="shared" si="9"/>
        <v>0</v>
      </c>
      <c r="M216" s="51"/>
      <c r="N216" s="51"/>
      <c r="O216" s="51"/>
      <c r="P216" s="51"/>
      <c r="Q216" s="51"/>
      <c r="R216" s="51"/>
      <c r="S216" s="51"/>
      <c r="T216" s="51"/>
      <c r="U216" s="51"/>
    </row>
    <row r="217" spans="11:23" x14ac:dyDescent="0.3">
      <c r="K217" s="53" t="s">
        <v>1954</v>
      </c>
      <c r="L217" s="55">
        <f t="shared" si="9"/>
        <v>258750</v>
      </c>
      <c r="M217" s="51"/>
      <c r="N217" s="51"/>
      <c r="O217" s="51"/>
      <c r="P217" s="51"/>
      <c r="Q217" s="51"/>
      <c r="R217" s="51"/>
      <c r="S217" s="51">
        <f>-S178</f>
        <v>258750</v>
      </c>
      <c r="T217" s="51"/>
      <c r="U217" s="51"/>
    </row>
    <row r="218" spans="11:23" x14ac:dyDescent="0.3">
      <c r="K218" s="53" t="s">
        <v>1955</v>
      </c>
      <c r="L218" s="55">
        <f t="shared" si="9"/>
        <v>0</v>
      </c>
      <c r="M218" s="51"/>
      <c r="N218" s="51"/>
      <c r="O218" s="51"/>
      <c r="P218" s="51">
        <f>-R218</f>
        <v>6629</v>
      </c>
      <c r="Q218" s="51"/>
      <c r="R218" s="51">
        <f>-6630+1</f>
        <v>-6629</v>
      </c>
      <c r="S218" s="51"/>
      <c r="T218" s="51"/>
      <c r="U218" s="51"/>
    </row>
    <row r="219" spans="11:23" x14ac:dyDescent="0.3">
      <c r="K219" s="53" t="s">
        <v>48</v>
      </c>
      <c r="L219" s="55">
        <f t="shared" si="9"/>
        <v>0</v>
      </c>
      <c r="M219" s="51"/>
      <c r="N219" s="51"/>
      <c r="O219" s="51"/>
      <c r="P219" s="51"/>
      <c r="Q219" s="51"/>
      <c r="R219" s="51"/>
      <c r="S219" s="51"/>
      <c r="T219" s="51"/>
      <c r="U219" s="51"/>
    </row>
    <row r="220" spans="11:23" x14ac:dyDescent="0.3">
      <c r="K220" s="53" t="s">
        <v>61</v>
      </c>
      <c r="L220" s="55">
        <f t="shared" si="9"/>
        <v>0</v>
      </c>
      <c r="M220" s="51"/>
      <c r="N220" s="51"/>
      <c r="O220" s="51"/>
      <c r="P220" s="51"/>
      <c r="Q220" s="51"/>
      <c r="R220" s="51"/>
      <c r="S220" s="51"/>
      <c r="T220" s="51"/>
      <c r="U220" s="51"/>
    </row>
    <row r="221" spans="11:23" x14ac:dyDescent="0.3">
      <c r="K221" s="213" t="s">
        <v>271</v>
      </c>
      <c r="L221" s="55">
        <f t="shared" si="9"/>
        <v>0</v>
      </c>
      <c r="M221" s="51"/>
      <c r="N221" s="51"/>
      <c r="O221" s="51"/>
      <c r="P221" s="51"/>
      <c r="Q221" s="51"/>
      <c r="R221" s="51"/>
      <c r="S221" s="51"/>
      <c r="T221" s="51"/>
      <c r="U221" s="51"/>
    </row>
    <row r="222" spans="11:23" ht="12.6" thickBot="1" x14ac:dyDescent="0.35">
      <c r="K222" s="67" t="s">
        <v>121</v>
      </c>
      <c r="L222" s="281">
        <f>SUM(L210:L220)</f>
        <v>258750</v>
      </c>
      <c r="M222" s="51"/>
      <c r="N222" s="51"/>
      <c r="O222" s="51"/>
      <c r="P222" s="51"/>
      <c r="Q222" s="51"/>
      <c r="R222" s="51"/>
      <c r="S222" s="51"/>
      <c r="T222" s="51"/>
      <c r="U222" s="51"/>
    </row>
    <row r="223" spans="11:23" x14ac:dyDescent="0.3">
      <c r="K223" s="60"/>
      <c r="L223" s="57"/>
      <c r="M223" s="51"/>
      <c r="N223" s="51"/>
      <c r="O223" s="51"/>
      <c r="P223" s="51"/>
      <c r="Q223" s="51"/>
      <c r="R223" s="51"/>
      <c r="S223" s="51"/>
      <c r="T223" s="51"/>
      <c r="U223" s="51"/>
    </row>
    <row r="224" spans="11:23" x14ac:dyDescent="0.3">
      <c r="K224" s="69" t="s">
        <v>63</v>
      </c>
      <c r="L224" s="55"/>
      <c r="M224" s="51"/>
      <c r="N224" s="51"/>
      <c r="O224" s="51"/>
      <c r="P224" s="51"/>
      <c r="Q224" s="51"/>
      <c r="R224" s="51"/>
      <c r="S224" s="51"/>
      <c r="T224" s="51"/>
      <c r="U224" s="51"/>
    </row>
    <row r="225" spans="11:24" x14ac:dyDescent="0.3">
      <c r="K225" s="53" t="s">
        <v>1952</v>
      </c>
      <c r="L225" s="55">
        <f>ROUND(SUM(M225:U225),0)</f>
        <v>0</v>
      </c>
      <c r="M225" s="51"/>
      <c r="N225" s="51"/>
      <c r="O225" s="51"/>
      <c r="P225" s="51">
        <f>-R225</f>
        <v>-1258080</v>
      </c>
      <c r="Q225" s="51"/>
      <c r="R225" s="51">
        <v>1258080</v>
      </c>
      <c r="S225" s="51"/>
      <c r="T225" s="51"/>
      <c r="U225" s="51"/>
    </row>
    <row r="226" spans="11:24" x14ac:dyDescent="0.3">
      <c r="K226" s="54"/>
      <c r="L226" s="55"/>
      <c r="M226" s="51"/>
      <c r="N226" s="51"/>
      <c r="O226" s="51"/>
      <c r="P226" s="51"/>
      <c r="Q226" s="51"/>
      <c r="R226" s="51"/>
      <c r="S226" s="51"/>
      <c r="T226" s="51"/>
      <c r="U226" s="51"/>
    </row>
    <row r="227" spans="11:24" x14ac:dyDescent="0.3">
      <c r="K227" s="54"/>
      <c r="L227" s="55"/>
      <c r="M227" s="51"/>
      <c r="N227" s="51"/>
      <c r="O227" s="51"/>
      <c r="P227" s="51"/>
      <c r="Q227" s="51"/>
      <c r="R227" s="51"/>
      <c r="S227" s="51"/>
      <c r="T227" s="51"/>
      <c r="U227" s="51"/>
    </row>
    <row r="228" spans="11:24" x14ac:dyDescent="0.3">
      <c r="K228" s="53"/>
      <c r="L228" s="55"/>
      <c r="M228" s="51"/>
      <c r="N228" s="51"/>
      <c r="O228" s="51"/>
      <c r="P228" s="51"/>
      <c r="Q228" s="51"/>
      <c r="R228" s="51"/>
      <c r="S228" s="51"/>
      <c r="T228" s="51"/>
      <c r="U228" s="51"/>
    </row>
    <row r="229" spans="11:24" ht="12.6" thickBot="1" x14ac:dyDescent="0.35">
      <c r="K229" s="62" t="s">
        <v>20</v>
      </c>
      <c r="L229" s="281">
        <f>SUM(L200,L207,L222)</f>
        <v>-1558728</v>
      </c>
      <c r="M229" s="51"/>
      <c r="N229" s="51"/>
      <c r="O229" s="51"/>
      <c r="P229" s="51"/>
      <c r="Q229" s="51"/>
      <c r="R229" s="51"/>
      <c r="S229" s="51"/>
      <c r="T229" s="51"/>
      <c r="U229" s="51"/>
    </row>
    <row r="230" spans="11:24" x14ac:dyDescent="0.3">
      <c r="K230" s="60" t="s">
        <v>118</v>
      </c>
      <c r="L230" s="55">
        <f>ROUND(SUM(M230:U230),0)</f>
        <v>0</v>
      </c>
      <c r="M230" s="51"/>
      <c r="N230" s="51"/>
      <c r="O230" s="51"/>
      <c r="P230" s="51"/>
      <c r="Q230" s="51"/>
      <c r="R230" s="51"/>
      <c r="S230" s="51"/>
      <c r="T230" s="51"/>
      <c r="U230" s="51"/>
      <c r="X230" s="18" t="s">
        <v>125</v>
      </c>
    </row>
    <row r="231" spans="11:24" x14ac:dyDescent="0.3">
      <c r="K231" s="52" t="s">
        <v>67</v>
      </c>
      <c r="L231" s="55">
        <f>L176</f>
        <v>470439</v>
      </c>
      <c r="M231" s="51"/>
      <c r="N231" s="51"/>
      <c r="O231" s="51"/>
      <c r="P231" s="51"/>
      <c r="Q231" s="51"/>
      <c r="R231" s="51"/>
      <c r="S231" s="51"/>
      <c r="T231" s="51"/>
      <c r="U231" s="51"/>
    </row>
    <row r="232" spans="11:24" ht="12.6" thickBot="1" x14ac:dyDescent="0.35">
      <c r="K232" s="48" t="s">
        <v>66</v>
      </c>
      <c r="L232" s="49">
        <f>L231+L229+L230</f>
        <v>-1088289</v>
      </c>
      <c r="M232" s="49">
        <f t="shared" ref="M232:U232" si="10">ROUND(SUM(M178:M231),0)</f>
        <v>0</v>
      </c>
      <c r="N232" s="49">
        <f t="shared" si="10"/>
        <v>0</v>
      </c>
      <c r="O232" s="49">
        <f t="shared" si="10"/>
        <v>0</v>
      </c>
      <c r="P232" s="49">
        <f t="shared" si="10"/>
        <v>0</v>
      </c>
      <c r="Q232" s="49">
        <f t="shared" si="10"/>
        <v>0</v>
      </c>
      <c r="R232" s="49">
        <f t="shared" si="10"/>
        <v>0</v>
      </c>
      <c r="S232" s="49">
        <f t="shared" si="10"/>
        <v>0</v>
      </c>
      <c r="T232" s="49">
        <f t="shared" si="10"/>
        <v>0</v>
      </c>
      <c r="U232" s="49">
        <f t="shared" si="10"/>
        <v>0</v>
      </c>
    </row>
    <row r="233" spans="11:24" ht="12.6" thickTop="1" x14ac:dyDescent="0.3"/>
    <row r="234" spans="11:24" ht="12.6" thickBot="1" x14ac:dyDescent="0.35">
      <c r="K234" s="65" t="s">
        <v>19</v>
      </c>
      <c r="L234" s="66">
        <f>L232-L177</f>
        <v>-1204016</v>
      </c>
    </row>
    <row r="235" spans="11:24" ht="12.6" thickTop="1" x14ac:dyDescent="0.3"/>
  </sheetData>
  <autoFilter ref="B4:I173" xr:uid="{E36C7820-E59A-4BD9-86E1-F270CE5B60F5}"/>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FB44-A387-42AB-BEED-E11176E7DD69}">
  <sheetPr>
    <tabColor rgb="FF00B0F0"/>
  </sheetPr>
  <dimension ref="A1:D25"/>
  <sheetViews>
    <sheetView workbookViewId="0"/>
  </sheetViews>
  <sheetFormatPr defaultRowHeight="14.4" x14ac:dyDescent="0.3"/>
  <cols>
    <col min="1" max="1" width="52.88671875" bestFit="1" customWidth="1"/>
    <col min="2" max="4" width="11.6640625" style="792" bestFit="1" customWidth="1"/>
  </cols>
  <sheetData>
    <row r="1" spans="1:4" ht="17.399999999999999" x14ac:dyDescent="0.3">
      <c r="A1" s="412" t="s">
        <v>496</v>
      </c>
    </row>
    <row r="2" spans="1:4" ht="17.399999999999999" x14ac:dyDescent="0.3">
      <c r="A2" s="412" t="s">
        <v>374</v>
      </c>
    </row>
    <row r="3" spans="1:4" x14ac:dyDescent="0.3">
      <c r="A3" s="413" t="s">
        <v>1293</v>
      </c>
    </row>
    <row r="4" spans="1:4" x14ac:dyDescent="0.3">
      <c r="B4" s="1342" t="s">
        <v>251</v>
      </c>
      <c r="C4" s="1342" t="s">
        <v>252</v>
      </c>
      <c r="D4" s="1342" t="s">
        <v>253</v>
      </c>
    </row>
    <row r="5" spans="1:4" x14ac:dyDescent="0.3">
      <c r="A5" s="256" t="s">
        <v>453</v>
      </c>
      <c r="B5" s="716">
        <f>115727.27</f>
        <v>115727.27</v>
      </c>
      <c r="C5" s="280"/>
      <c r="D5" s="280">
        <f t="shared" ref="D5:D24" si="0">B5-C5</f>
        <v>115727.27</v>
      </c>
    </row>
    <row r="6" spans="1:4" x14ac:dyDescent="0.3">
      <c r="A6" s="256" t="s">
        <v>730</v>
      </c>
      <c r="B6" s="716">
        <f>525200</f>
        <v>525200</v>
      </c>
      <c r="C6" s="280"/>
      <c r="D6" s="280">
        <f t="shared" si="0"/>
        <v>525200</v>
      </c>
    </row>
    <row r="7" spans="1:4" x14ac:dyDescent="0.3">
      <c r="A7" s="256" t="s">
        <v>320</v>
      </c>
      <c r="B7" s="280"/>
      <c r="C7" s="716">
        <f>17639.68</f>
        <v>17639.68</v>
      </c>
      <c r="D7" s="280">
        <f t="shared" si="0"/>
        <v>-17639.68</v>
      </c>
    </row>
    <row r="8" spans="1:4" x14ac:dyDescent="0.3">
      <c r="A8" s="256" t="s">
        <v>321</v>
      </c>
      <c r="B8" s="280"/>
      <c r="C8" s="716">
        <f>0</f>
        <v>0</v>
      </c>
      <c r="D8" s="280">
        <f t="shared" si="0"/>
        <v>0</v>
      </c>
    </row>
    <row r="9" spans="1:4" x14ac:dyDescent="0.3">
      <c r="A9" s="256" t="s">
        <v>457</v>
      </c>
      <c r="B9" s="716">
        <f>8622.58</f>
        <v>8622.58</v>
      </c>
      <c r="C9" s="280"/>
      <c r="D9" s="280">
        <f t="shared" si="0"/>
        <v>8622.58</v>
      </c>
    </row>
    <row r="10" spans="1:4" x14ac:dyDescent="0.3">
      <c r="A10" s="256" t="s">
        <v>461</v>
      </c>
      <c r="B10" s="280"/>
      <c r="C10" s="716">
        <f>15750</f>
        <v>15750</v>
      </c>
      <c r="D10" s="280">
        <f t="shared" si="0"/>
        <v>-15750</v>
      </c>
    </row>
    <row r="11" spans="1:4" x14ac:dyDescent="0.3">
      <c r="A11" s="256" t="s">
        <v>462</v>
      </c>
      <c r="B11" s="280"/>
      <c r="C11" s="716">
        <f>2680.45</f>
        <v>2680.45</v>
      </c>
      <c r="D11" s="280">
        <f t="shared" si="0"/>
        <v>-2680.45</v>
      </c>
    </row>
    <row r="12" spans="1:4" x14ac:dyDescent="0.3">
      <c r="A12" s="256" t="s">
        <v>463</v>
      </c>
      <c r="B12" s="280"/>
      <c r="C12" s="716">
        <f>0</f>
        <v>0</v>
      </c>
      <c r="D12" s="280">
        <f t="shared" si="0"/>
        <v>0</v>
      </c>
    </row>
    <row r="13" spans="1:4" x14ac:dyDescent="0.3">
      <c r="A13" s="256" t="s">
        <v>466</v>
      </c>
      <c r="B13" s="280"/>
      <c r="C13" s="716">
        <f>1801251</f>
        <v>1801251</v>
      </c>
      <c r="D13" s="280">
        <f t="shared" si="0"/>
        <v>-1801251</v>
      </c>
    </row>
    <row r="14" spans="1:4" x14ac:dyDescent="0.3">
      <c r="A14" s="256" t="s">
        <v>467</v>
      </c>
      <c r="B14" s="716">
        <f>25626.43</f>
        <v>25626.43</v>
      </c>
      <c r="C14" s="280"/>
      <c r="D14" s="280">
        <f t="shared" si="0"/>
        <v>25626.43</v>
      </c>
    </row>
    <row r="15" spans="1:4" x14ac:dyDescent="0.3">
      <c r="A15" s="256" t="s">
        <v>468</v>
      </c>
      <c r="B15" s="280"/>
      <c r="C15" s="716">
        <f>258750</f>
        <v>258750</v>
      </c>
      <c r="D15" s="280">
        <f t="shared" si="0"/>
        <v>-258750</v>
      </c>
    </row>
    <row r="16" spans="1:4" x14ac:dyDescent="0.3">
      <c r="A16" s="256" t="s">
        <v>469</v>
      </c>
      <c r="B16" s="716">
        <f>106588.45</f>
        <v>106588.45</v>
      </c>
      <c r="C16" s="280"/>
      <c r="D16" s="280">
        <f t="shared" si="0"/>
        <v>106588.45</v>
      </c>
    </row>
    <row r="17" spans="1:4" x14ac:dyDescent="0.3">
      <c r="A17" s="256" t="s">
        <v>472</v>
      </c>
      <c r="B17" s="716">
        <f>333.09</f>
        <v>333.09</v>
      </c>
      <c r="C17" s="280"/>
      <c r="D17" s="280">
        <f t="shared" si="0"/>
        <v>333.09</v>
      </c>
    </row>
    <row r="18" spans="1:4" x14ac:dyDescent="0.3">
      <c r="A18" s="256" t="s">
        <v>475</v>
      </c>
      <c r="B18" s="280"/>
      <c r="C18" s="716">
        <f>4704.55</f>
        <v>4704.55</v>
      </c>
      <c r="D18" s="280">
        <f t="shared" si="0"/>
        <v>-4704.55</v>
      </c>
    </row>
    <row r="19" spans="1:4" x14ac:dyDescent="0.3">
      <c r="A19" s="256" t="s">
        <v>476</v>
      </c>
      <c r="B19" s="716">
        <f>16500.75</f>
        <v>16500.75</v>
      </c>
      <c r="C19" s="280"/>
      <c r="D19" s="280">
        <f t="shared" si="0"/>
        <v>16500.75</v>
      </c>
    </row>
    <row r="20" spans="1:4" x14ac:dyDescent="0.3">
      <c r="A20" s="256" t="s">
        <v>477</v>
      </c>
      <c r="B20" s="716">
        <f>1288080</f>
        <v>1288080</v>
      </c>
      <c r="C20" s="280"/>
      <c r="D20" s="280">
        <f t="shared" si="0"/>
        <v>1288080</v>
      </c>
    </row>
    <row r="21" spans="1:4" x14ac:dyDescent="0.3">
      <c r="A21" s="256" t="s">
        <v>478</v>
      </c>
      <c r="B21" s="716">
        <f>10000</f>
        <v>10000</v>
      </c>
      <c r="C21" s="280"/>
      <c r="D21" s="280">
        <f t="shared" si="0"/>
        <v>10000</v>
      </c>
    </row>
    <row r="22" spans="1:4" x14ac:dyDescent="0.3">
      <c r="A22" s="256" t="s">
        <v>483</v>
      </c>
      <c r="B22" s="716">
        <f>9297.11</f>
        <v>9297.11</v>
      </c>
      <c r="C22" s="280"/>
      <c r="D22" s="280">
        <f t="shared" si="0"/>
        <v>9297.11</v>
      </c>
    </row>
    <row r="23" spans="1:4" x14ac:dyDescent="0.3">
      <c r="A23" s="256" t="s">
        <v>486</v>
      </c>
      <c r="B23" s="716">
        <f>0</f>
        <v>0</v>
      </c>
      <c r="C23" s="280"/>
      <c r="D23" s="280">
        <f t="shared" si="0"/>
        <v>0</v>
      </c>
    </row>
    <row r="24" spans="1:4" x14ac:dyDescent="0.3">
      <c r="A24" s="256" t="s">
        <v>490</v>
      </c>
      <c r="B24" s="979"/>
      <c r="C24" s="923">
        <f>5200</f>
        <v>5200</v>
      </c>
      <c r="D24" s="979">
        <f t="shared" si="0"/>
        <v>-5200</v>
      </c>
    </row>
    <row r="25" spans="1:4" x14ac:dyDescent="0.3">
      <c r="A25" s="256" t="s">
        <v>0</v>
      </c>
      <c r="B25" s="1363">
        <f>SUM(B5:B24)</f>
        <v>2105975.6799999997</v>
      </c>
      <c r="C25" s="1363">
        <f t="shared" ref="C25:D25" si="1">SUM(C5:C24)</f>
        <v>2105975.6799999997</v>
      </c>
      <c r="D25" s="1363">
        <f t="shared" si="1"/>
        <v>-1.0186340659856796E-10</v>
      </c>
    </row>
  </sheetData>
  <phoneticPr fontId="4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C989-3740-40E7-A434-2833BDC1CEB1}">
  <dimension ref="A1:AA491"/>
  <sheetViews>
    <sheetView workbookViewId="0"/>
  </sheetViews>
  <sheetFormatPr defaultColWidth="9.109375" defaultRowHeight="14.4" outlineLevelRow="2" outlineLevelCol="1" x14ac:dyDescent="0.3"/>
  <cols>
    <col min="1" max="1" width="3" style="474" customWidth="1"/>
    <col min="2" max="2" width="23.6640625" style="474" bestFit="1" customWidth="1"/>
    <col min="3" max="3" width="3" style="474" customWidth="1"/>
    <col min="4" max="4" width="21.5546875" style="474" customWidth="1"/>
    <col min="5" max="6" width="2.33203125" style="474" hidden="1" customWidth="1" outlineLevel="1"/>
    <col min="7" max="7" width="12" style="474" bestFit="1" customWidth="1" collapsed="1"/>
    <col min="8" max="8" width="2.33203125" style="474" hidden="1" customWidth="1" outlineLevel="1"/>
    <col min="9" max="9" width="10.44140625" style="1167" customWidth="1" collapsed="1"/>
    <col min="10" max="10" width="2.33203125" style="474" hidden="1" customWidth="1" outlineLevel="1"/>
    <col min="11" max="11" width="12.6640625" style="474" bestFit="1" customWidth="1" collapsed="1"/>
    <col min="12" max="12" width="2.33203125" style="474" hidden="1" customWidth="1" outlineLevel="1"/>
    <col min="13" max="13" width="3.5546875" style="474" hidden="1" customWidth="1" outlineLevel="1"/>
    <col min="14" max="14" width="2.33203125" style="474" customWidth="1" collapsed="1"/>
    <col min="15" max="15" width="28.109375" style="474" bestFit="1" customWidth="1"/>
    <col min="16" max="16" width="2.33203125" style="474" hidden="1" customWidth="1" outlineLevel="1"/>
    <col min="17" max="17" width="42.6640625" style="474" customWidth="1" collapsed="1"/>
    <col min="18" max="18" width="2.33203125" style="474" hidden="1" customWidth="1" outlineLevel="1"/>
    <col min="19" max="19" width="3.33203125" style="474" hidden="1" customWidth="1" outlineLevel="1"/>
    <col min="20" max="20" width="2.33203125" style="474" hidden="1" customWidth="1" outlineLevel="1"/>
    <col min="21" max="21" width="20" style="474" hidden="1" customWidth="1" outlineLevel="1"/>
    <col min="22" max="22" width="2.33203125" style="474" hidden="1" customWidth="1" outlineLevel="1"/>
    <col min="23" max="23" width="12.44140625" style="474" bestFit="1" customWidth="1" collapsed="1"/>
    <col min="24" max="24" width="2.33203125" style="474" customWidth="1"/>
    <col min="25" max="25" width="12.44140625" style="474" bestFit="1" customWidth="1"/>
    <col min="26" max="26" width="2.33203125" style="474" customWidth="1"/>
    <col min="27" max="27" width="9.88671875" style="474" bestFit="1" customWidth="1"/>
    <col min="28" max="16384" width="9.109375" style="474"/>
  </cols>
  <sheetData>
    <row r="1" spans="1:27" s="1167" customFormat="1" ht="15" thickBot="1" x14ac:dyDescent="0.35">
      <c r="A1" s="1165"/>
      <c r="B1" s="1232" t="s">
        <v>215</v>
      </c>
      <c r="C1" s="1165"/>
      <c r="D1" s="1165"/>
      <c r="E1" s="1165"/>
      <c r="F1" s="1165"/>
      <c r="G1" s="1166" t="s">
        <v>1389</v>
      </c>
      <c r="H1" s="1165"/>
      <c r="I1" s="1166" t="s">
        <v>865</v>
      </c>
      <c r="J1" s="1165"/>
      <c r="K1" s="1166" t="s">
        <v>1390</v>
      </c>
      <c r="L1" s="1165"/>
      <c r="M1" s="1166" t="s">
        <v>861</v>
      </c>
      <c r="N1" s="1165"/>
      <c r="O1" s="1166" t="s">
        <v>867</v>
      </c>
      <c r="P1" s="1165"/>
      <c r="Q1" s="1166" t="s">
        <v>1391</v>
      </c>
      <c r="R1" s="1165"/>
      <c r="S1" s="1166" t="s">
        <v>1392</v>
      </c>
      <c r="T1" s="1165"/>
      <c r="U1" s="1166" t="s">
        <v>895</v>
      </c>
      <c r="V1" s="1165"/>
      <c r="W1" s="1166" t="s">
        <v>251</v>
      </c>
      <c r="X1" s="1165"/>
      <c r="Y1" s="1166" t="s">
        <v>252</v>
      </c>
      <c r="Z1" s="1165"/>
      <c r="AA1" s="1166" t="s">
        <v>869</v>
      </c>
    </row>
    <row r="2" spans="1:27" ht="15" thickTop="1" x14ac:dyDescent="0.3">
      <c r="A2" s="1168"/>
      <c r="B2" s="1168" t="s">
        <v>1393</v>
      </c>
      <c r="C2" s="1168"/>
      <c r="D2" s="1168"/>
      <c r="E2" s="1168"/>
      <c r="F2" s="1168"/>
      <c r="G2" s="1168"/>
      <c r="H2" s="1168"/>
      <c r="I2" s="1169"/>
      <c r="J2" s="1168"/>
      <c r="K2" s="1168"/>
      <c r="L2" s="1168"/>
      <c r="M2" s="1170"/>
      <c r="N2" s="1168"/>
      <c r="O2" s="1168"/>
      <c r="P2" s="1168"/>
      <c r="Q2" s="1168"/>
      <c r="R2" s="1168"/>
      <c r="S2" s="1168"/>
      <c r="T2" s="1168"/>
      <c r="U2" s="1168"/>
      <c r="V2" s="1168"/>
      <c r="W2" s="1171"/>
      <c r="X2" s="1168"/>
      <c r="Y2" s="1171"/>
      <c r="Z2" s="1168"/>
      <c r="AA2" s="1171"/>
    </row>
    <row r="3" spans="1:27" ht="15" thickBot="1" x14ac:dyDescent="0.35">
      <c r="A3" s="1168"/>
      <c r="B3" s="1168"/>
      <c r="C3" s="1168" t="s">
        <v>1394</v>
      </c>
      <c r="D3" s="1168"/>
      <c r="E3" s="1168"/>
      <c r="F3" s="1168"/>
      <c r="G3" s="1168"/>
      <c r="H3" s="1168"/>
      <c r="I3" s="1169"/>
      <c r="J3" s="1168"/>
      <c r="K3" s="1168"/>
      <c r="L3" s="1168"/>
      <c r="M3" s="1170"/>
      <c r="N3" s="1168"/>
      <c r="O3" s="1168"/>
      <c r="P3" s="1168"/>
      <c r="Q3" s="1168"/>
      <c r="R3" s="1168"/>
      <c r="S3" s="1168"/>
      <c r="T3" s="1168"/>
      <c r="U3" s="1168"/>
      <c r="V3" s="1168"/>
      <c r="W3" s="1171"/>
      <c r="X3" s="1168"/>
      <c r="Y3" s="1171"/>
      <c r="Z3" s="1168"/>
      <c r="AA3" s="1171"/>
    </row>
    <row r="4" spans="1:27" ht="15" hidden="1" outlineLevel="1" thickBot="1" x14ac:dyDescent="0.35">
      <c r="A4" s="1172"/>
      <c r="B4" s="1172"/>
      <c r="C4" s="1172"/>
      <c r="D4" s="1172"/>
      <c r="E4" s="1172"/>
      <c r="F4" s="1172"/>
      <c r="G4" s="1172" t="s">
        <v>1395</v>
      </c>
      <c r="H4" s="1172"/>
      <c r="I4" s="1173">
        <v>44314</v>
      </c>
      <c r="J4" s="1172"/>
      <c r="K4" s="1172" t="s">
        <v>1396</v>
      </c>
      <c r="L4" s="1172"/>
      <c r="M4" s="1174" t="s">
        <v>1397</v>
      </c>
      <c r="N4" s="1172"/>
      <c r="O4" s="1172"/>
      <c r="P4" s="1172"/>
      <c r="Q4" s="1172" t="s">
        <v>1398</v>
      </c>
      <c r="R4" s="1172"/>
      <c r="S4" s="1175" t="s">
        <v>1397</v>
      </c>
      <c r="T4" s="1172"/>
      <c r="U4" s="1172" t="s">
        <v>1399</v>
      </c>
      <c r="V4" s="1172"/>
      <c r="W4" s="1176">
        <v>20000</v>
      </c>
      <c r="X4" s="1172"/>
      <c r="Y4" s="1176"/>
      <c r="Z4" s="1172"/>
      <c r="AA4" s="1176">
        <v>20000</v>
      </c>
    </row>
    <row r="5" spans="1:27" ht="15" hidden="1" outlineLevel="1" thickBot="1" x14ac:dyDescent="0.35">
      <c r="A5" s="1172"/>
      <c r="B5" s="1172"/>
      <c r="C5" s="1172"/>
      <c r="D5" s="1172"/>
      <c r="E5" s="1172"/>
      <c r="F5" s="1172"/>
      <c r="G5" s="1172" t="s">
        <v>1395</v>
      </c>
      <c r="H5" s="1172"/>
      <c r="I5" s="1173">
        <v>44314</v>
      </c>
      <c r="J5" s="1172"/>
      <c r="K5" s="1172" t="s">
        <v>1400</v>
      </c>
      <c r="L5" s="1172"/>
      <c r="M5" s="1174" t="s">
        <v>1397</v>
      </c>
      <c r="N5" s="1172"/>
      <c r="O5" s="1172"/>
      <c r="P5" s="1172"/>
      <c r="Q5" s="1172" t="s">
        <v>1401</v>
      </c>
      <c r="R5" s="1172"/>
      <c r="S5" s="1175" t="s">
        <v>1397</v>
      </c>
      <c r="T5" s="1172"/>
      <c r="U5" s="1172" t="s">
        <v>1402</v>
      </c>
      <c r="V5" s="1172"/>
      <c r="W5" s="1176">
        <v>10000</v>
      </c>
      <c r="X5" s="1172"/>
      <c r="Y5" s="1176"/>
      <c r="Z5" s="1172"/>
      <c r="AA5" s="1176">
        <v>30000</v>
      </c>
    </row>
    <row r="6" spans="1:27" ht="15" hidden="1" outlineLevel="1" thickBot="1" x14ac:dyDescent="0.35">
      <c r="A6" s="1172"/>
      <c r="B6" s="1172"/>
      <c r="C6" s="1172"/>
      <c r="D6" s="1172"/>
      <c r="E6" s="1172"/>
      <c r="F6" s="1172"/>
      <c r="G6" s="1172" t="s">
        <v>1395</v>
      </c>
      <c r="H6" s="1172"/>
      <c r="I6" s="1173">
        <v>44316</v>
      </c>
      <c r="J6" s="1172"/>
      <c r="K6" s="1172" t="s">
        <v>1403</v>
      </c>
      <c r="L6" s="1172"/>
      <c r="M6" s="1174" t="s">
        <v>1397</v>
      </c>
      <c r="N6" s="1172"/>
      <c r="O6" s="1172"/>
      <c r="P6" s="1172"/>
      <c r="Q6" s="1172" t="s">
        <v>1404</v>
      </c>
      <c r="R6" s="1172"/>
      <c r="S6" s="1175" t="s">
        <v>1397</v>
      </c>
      <c r="T6" s="1172"/>
      <c r="U6" s="1172" t="s">
        <v>1405</v>
      </c>
      <c r="V6" s="1172"/>
      <c r="W6" s="1176">
        <v>70000</v>
      </c>
      <c r="X6" s="1172"/>
      <c r="Y6" s="1176"/>
      <c r="Z6" s="1172"/>
      <c r="AA6" s="1176">
        <v>100000</v>
      </c>
    </row>
    <row r="7" spans="1:27" ht="15" hidden="1" outlineLevel="1" thickBot="1" x14ac:dyDescent="0.35">
      <c r="A7" s="1172"/>
      <c r="B7" s="1172"/>
      <c r="C7" s="1172"/>
      <c r="D7" s="1172"/>
      <c r="E7" s="1172"/>
      <c r="F7" s="1172"/>
      <c r="G7" s="1172" t="s">
        <v>1395</v>
      </c>
      <c r="H7" s="1172"/>
      <c r="I7" s="1173">
        <v>44316</v>
      </c>
      <c r="J7" s="1172"/>
      <c r="K7" s="1172" t="s">
        <v>1406</v>
      </c>
      <c r="L7" s="1172"/>
      <c r="M7" s="1174" t="s">
        <v>1397</v>
      </c>
      <c r="N7" s="1172"/>
      <c r="O7" s="1172"/>
      <c r="P7" s="1172"/>
      <c r="Q7" s="1172" t="s">
        <v>1407</v>
      </c>
      <c r="R7" s="1172"/>
      <c r="S7" s="1175" t="s">
        <v>1397</v>
      </c>
      <c r="T7" s="1172"/>
      <c r="U7" s="1172" t="s">
        <v>1408</v>
      </c>
      <c r="V7" s="1172"/>
      <c r="W7" s="1176"/>
      <c r="X7" s="1172"/>
      <c r="Y7" s="1176">
        <v>20.83</v>
      </c>
      <c r="Z7" s="1172"/>
      <c r="AA7" s="1176">
        <v>99979.17</v>
      </c>
    </row>
    <row r="8" spans="1:27" ht="15" hidden="1" outlineLevel="1" thickBot="1" x14ac:dyDescent="0.35">
      <c r="A8" s="1172"/>
      <c r="B8" s="1172"/>
      <c r="C8" s="1172"/>
      <c r="D8" s="1172"/>
      <c r="E8" s="1172"/>
      <c r="F8" s="1172"/>
      <c r="G8" s="1172" t="s">
        <v>1409</v>
      </c>
      <c r="H8" s="1172"/>
      <c r="I8" s="1173">
        <v>44337</v>
      </c>
      <c r="J8" s="1172"/>
      <c r="K8" s="1172" t="s">
        <v>251</v>
      </c>
      <c r="L8" s="1172"/>
      <c r="M8" s="1177"/>
      <c r="N8" s="1172"/>
      <c r="O8" s="1172" t="s">
        <v>1410</v>
      </c>
      <c r="P8" s="1172"/>
      <c r="Q8" s="1172"/>
      <c r="R8" s="1172"/>
      <c r="S8" s="1175" t="s">
        <v>1397</v>
      </c>
      <c r="T8" s="1172"/>
      <c r="U8" s="1172" t="s">
        <v>500</v>
      </c>
      <c r="V8" s="1172"/>
      <c r="W8" s="1176"/>
      <c r="X8" s="1172"/>
      <c r="Y8" s="1176">
        <v>110.1</v>
      </c>
      <c r="Z8" s="1172"/>
      <c r="AA8" s="1176">
        <v>99869.07</v>
      </c>
    </row>
    <row r="9" spans="1:27" ht="15" hidden="1" outlineLevel="1" thickBot="1" x14ac:dyDescent="0.35">
      <c r="A9" s="1172"/>
      <c r="B9" s="1172"/>
      <c r="C9" s="1172"/>
      <c r="D9" s="1172"/>
      <c r="E9" s="1172"/>
      <c r="F9" s="1172"/>
      <c r="G9" s="1172" t="s">
        <v>1409</v>
      </c>
      <c r="H9" s="1172"/>
      <c r="I9" s="1173">
        <v>44337</v>
      </c>
      <c r="J9" s="1172"/>
      <c r="K9" s="1172" t="s">
        <v>251</v>
      </c>
      <c r="L9" s="1172"/>
      <c r="M9" s="1177"/>
      <c r="N9" s="1172"/>
      <c r="O9" s="1172" t="s">
        <v>1410</v>
      </c>
      <c r="P9" s="1172"/>
      <c r="Q9" s="1172"/>
      <c r="R9" s="1172"/>
      <c r="S9" s="1175" t="s">
        <v>1397</v>
      </c>
      <c r="T9" s="1172"/>
      <c r="U9" s="1172" t="s">
        <v>500</v>
      </c>
      <c r="V9" s="1172"/>
      <c r="W9" s="1176"/>
      <c r="X9" s="1172"/>
      <c r="Y9" s="1176">
        <v>3000</v>
      </c>
      <c r="Z9" s="1172"/>
      <c r="AA9" s="1176">
        <v>96869.07</v>
      </c>
    </row>
    <row r="10" spans="1:27" ht="15" hidden="1" outlineLevel="1" thickBot="1" x14ac:dyDescent="0.35">
      <c r="A10" s="1172"/>
      <c r="B10" s="1172"/>
      <c r="C10" s="1172"/>
      <c r="D10" s="1172"/>
      <c r="E10" s="1172"/>
      <c r="F10" s="1172"/>
      <c r="G10" s="1172" t="s">
        <v>1409</v>
      </c>
      <c r="H10" s="1172"/>
      <c r="I10" s="1173">
        <v>44345</v>
      </c>
      <c r="J10" s="1172"/>
      <c r="K10" s="1172" t="s">
        <v>251</v>
      </c>
      <c r="L10" s="1172"/>
      <c r="M10" s="1177"/>
      <c r="N10" s="1172"/>
      <c r="O10" s="1172" t="s">
        <v>1411</v>
      </c>
      <c r="P10" s="1172"/>
      <c r="Q10" s="1172"/>
      <c r="R10" s="1172"/>
      <c r="S10" s="1175" t="s">
        <v>1397</v>
      </c>
      <c r="T10" s="1172"/>
      <c r="U10" s="1172" t="s">
        <v>500</v>
      </c>
      <c r="V10" s="1172"/>
      <c r="W10" s="1176"/>
      <c r="X10" s="1172"/>
      <c r="Y10" s="1176">
        <v>105</v>
      </c>
      <c r="Z10" s="1172"/>
      <c r="AA10" s="1176">
        <v>96764.07</v>
      </c>
    </row>
    <row r="11" spans="1:27" ht="15" hidden="1" outlineLevel="1" thickBot="1" x14ac:dyDescent="0.35">
      <c r="A11" s="1172"/>
      <c r="B11" s="1172"/>
      <c r="C11" s="1172"/>
      <c r="D11" s="1172"/>
      <c r="E11" s="1172"/>
      <c r="F11" s="1172"/>
      <c r="G11" s="1172" t="s">
        <v>1409</v>
      </c>
      <c r="H11" s="1172"/>
      <c r="I11" s="1173">
        <v>44345</v>
      </c>
      <c r="J11" s="1172"/>
      <c r="K11" s="1172" t="s">
        <v>251</v>
      </c>
      <c r="L11" s="1172"/>
      <c r="M11" s="1177"/>
      <c r="N11" s="1172"/>
      <c r="O11" s="1172" t="s">
        <v>1411</v>
      </c>
      <c r="P11" s="1172"/>
      <c r="Q11" s="1172"/>
      <c r="R11" s="1172"/>
      <c r="S11" s="1175" t="s">
        <v>1397</v>
      </c>
      <c r="T11" s="1172"/>
      <c r="U11" s="1172" t="s">
        <v>500</v>
      </c>
      <c r="V11" s="1172"/>
      <c r="W11" s="1176"/>
      <c r="X11" s="1172"/>
      <c r="Y11" s="1176">
        <v>131.25</v>
      </c>
      <c r="Z11" s="1172"/>
      <c r="AA11" s="1176">
        <v>96632.82</v>
      </c>
    </row>
    <row r="12" spans="1:27" ht="15" hidden="1" outlineLevel="1" thickBot="1" x14ac:dyDescent="0.35">
      <c r="A12" s="1172"/>
      <c r="B12" s="1172"/>
      <c r="C12" s="1172"/>
      <c r="D12" s="1172"/>
      <c r="E12" s="1172"/>
      <c r="F12" s="1172"/>
      <c r="G12" s="1172" t="s">
        <v>1409</v>
      </c>
      <c r="H12" s="1172"/>
      <c r="I12" s="1173">
        <v>44361</v>
      </c>
      <c r="J12" s="1172"/>
      <c r="K12" s="1172" t="s">
        <v>251</v>
      </c>
      <c r="L12" s="1172"/>
      <c r="M12" s="1177"/>
      <c r="N12" s="1172"/>
      <c r="O12" s="1172" t="s">
        <v>1411</v>
      </c>
      <c r="P12" s="1172"/>
      <c r="Q12" s="1172"/>
      <c r="R12" s="1172"/>
      <c r="S12" s="1175" t="s">
        <v>1397</v>
      </c>
      <c r="T12" s="1172"/>
      <c r="U12" s="1172" t="s">
        <v>500</v>
      </c>
      <c r="V12" s="1172"/>
      <c r="W12" s="1176"/>
      <c r="X12" s="1172"/>
      <c r="Y12" s="1176">
        <v>131.25</v>
      </c>
      <c r="Z12" s="1172"/>
      <c r="AA12" s="1176">
        <v>96501.57</v>
      </c>
    </row>
    <row r="13" spans="1:27" ht="15" hidden="1" outlineLevel="1" thickBot="1" x14ac:dyDescent="0.35">
      <c r="A13" s="1172"/>
      <c r="B13" s="1172"/>
      <c r="C13" s="1172"/>
      <c r="D13" s="1172"/>
      <c r="E13" s="1172"/>
      <c r="F13" s="1172"/>
      <c r="G13" s="1172" t="s">
        <v>1409</v>
      </c>
      <c r="H13" s="1172"/>
      <c r="I13" s="1173">
        <v>44375</v>
      </c>
      <c r="J13" s="1172"/>
      <c r="K13" s="1172" t="s">
        <v>251</v>
      </c>
      <c r="L13" s="1172"/>
      <c r="M13" s="1177"/>
      <c r="N13" s="1172"/>
      <c r="O13" s="1172" t="s">
        <v>1412</v>
      </c>
      <c r="P13" s="1172"/>
      <c r="Q13" s="1172"/>
      <c r="R13" s="1172"/>
      <c r="S13" s="1175" t="s">
        <v>1397</v>
      </c>
      <c r="T13" s="1172"/>
      <c r="U13" s="1172" t="s">
        <v>500</v>
      </c>
      <c r="V13" s="1172"/>
      <c r="W13" s="1176"/>
      <c r="X13" s="1172"/>
      <c r="Y13" s="1176">
        <v>15750</v>
      </c>
      <c r="Z13" s="1172"/>
      <c r="AA13" s="1176">
        <v>80751.570000000007</v>
      </c>
    </row>
    <row r="14" spans="1:27" ht="15" hidden="1" outlineLevel="1" thickBot="1" x14ac:dyDescent="0.35">
      <c r="A14" s="1172"/>
      <c r="B14" s="1172"/>
      <c r="C14" s="1172"/>
      <c r="D14" s="1172"/>
      <c r="E14" s="1172"/>
      <c r="F14" s="1172"/>
      <c r="G14" s="1172" t="s">
        <v>1409</v>
      </c>
      <c r="H14" s="1172"/>
      <c r="I14" s="1173">
        <v>44375</v>
      </c>
      <c r="J14" s="1172"/>
      <c r="K14" s="1172" t="s">
        <v>251</v>
      </c>
      <c r="L14" s="1172"/>
      <c r="M14" s="1177"/>
      <c r="N14" s="1172"/>
      <c r="O14" s="1172" t="s">
        <v>1413</v>
      </c>
      <c r="P14" s="1172"/>
      <c r="Q14" s="1172"/>
      <c r="R14" s="1172"/>
      <c r="S14" s="1175" t="s">
        <v>1397</v>
      </c>
      <c r="T14" s="1172"/>
      <c r="U14" s="1172" t="s">
        <v>500</v>
      </c>
      <c r="V14" s="1172"/>
      <c r="W14" s="1176"/>
      <c r="X14" s="1172"/>
      <c r="Y14" s="1176">
        <v>5250</v>
      </c>
      <c r="Z14" s="1172"/>
      <c r="AA14" s="1176">
        <v>75501.570000000007</v>
      </c>
    </row>
    <row r="15" spans="1:27" ht="15" hidden="1" outlineLevel="1" thickBot="1" x14ac:dyDescent="0.35">
      <c r="A15" s="1172"/>
      <c r="B15" s="1172"/>
      <c r="C15" s="1172"/>
      <c r="D15" s="1172"/>
      <c r="E15" s="1172"/>
      <c r="F15" s="1172"/>
      <c r="G15" s="1172" t="s">
        <v>1409</v>
      </c>
      <c r="H15" s="1172"/>
      <c r="I15" s="1173">
        <v>44375</v>
      </c>
      <c r="J15" s="1172"/>
      <c r="K15" s="1172" t="s">
        <v>251</v>
      </c>
      <c r="L15" s="1172"/>
      <c r="M15" s="1177"/>
      <c r="N15" s="1172"/>
      <c r="O15" s="1172" t="s">
        <v>1412</v>
      </c>
      <c r="P15" s="1172"/>
      <c r="Q15" s="1172"/>
      <c r="R15" s="1172"/>
      <c r="S15" s="1175" t="s">
        <v>1397</v>
      </c>
      <c r="T15" s="1172"/>
      <c r="U15" s="1172" t="s">
        <v>500</v>
      </c>
      <c r="V15" s="1172"/>
      <c r="W15" s="1176"/>
      <c r="X15" s="1172"/>
      <c r="Y15" s="1176">
        <v>5250</v>
      </c>
      <c r="Z15" s="1172"/>
      <c r="AA15" s="1176">
        <v>70251.570000000007</v>
      </c>
    </row>
    <row r="16" spans="1:27" ht="15" hidden="1" outlineLevel="1" thickBot="1" x14ac:dyDescent="0.35">
      <c r="A16" s="1172"/>
      <c r="B16" s="1172"/>
      <c r="C16" s="1172"/>
      <c r="D16" s="1172"/>
      <c r="E16" s="1172"/>
      <c r="F16" s="1172"/>
      <c r="G16" s="1172" t="s">
        <v>1409</v>
      </c>
      <c r="H16" s="1172"/>
      <c r="I16" s="1173">
        <v>44375</v>
      </c>
      <c r="J16" s="1172"/>
      <c r="K16" s="1172" t="s">
        <v>251</v>
      </c>
      <c r="L16" s="1172"/>
      <c r="M16" s="1177"/>
      <c r="N16" s="1172"/>
      <c r="O16" s="1172" t="s">
        <v>1413</v>
      </c>
      <c r="P16" s="1172"/>
      <c r="Q16" s="1172"/>
      <c r="R16" s="1172"/>
      <c r="S16" s="1175" t="s">
        <v>1397</v>
      </c>
      <c r="T16" s="1172"/>
      <c r="U16" s="1172" t="s">
        <v>500</v>
      </c>
      <c r="V16" s="1172"/>
      <c r="W16" s="1176"/>
      <c r="X16" s="1172"/>
      <c r="Y16" s="1176">
        <v>5250</v>
      </c>
      <c r="Z16" s="1172"/>
      <c r="AA16" s="1176">
        <v>65001.57</v>
      </c>
    </row>
    <row r="17" spans="1:27" ht="15" hidden="1" outlineLevel="1" thickBot="1" x14ac:dyDescent="0.35">
      <c r="A17" s="1172"/>
      <c r="B17" s="1172"/>
      <c r="C17" s="1172"/>
      <c r="D17" s="1172"/>
      <c r="E17" s="1172"/>
      <c r="F17" s="1172"/>
      <c r="G17" s="1172" t="s">
        <v>1409</v>
      </c>
      <c r="H17" s="1172"/>
      <c r="I17" s="1173">
        <v>44375</v>
      </c>
      <c r="J17" s="1172"/>
      <c r="K17" s="1172" t="s">
        <v>251</v>
      </c>
      <c r="L17" s="1172"/>
      <c r="M17" s="1177"/>
      <c r="N17" s="1172"/>
      <c r="O17" s="1172" t="s">
        <v>1411</v>
      </c>
      <c r="P17" s="1172"/>
      <c r="Q17" s="1172"/>
      <c r="R17" s="1172"/>
      <c r="S17" s="1175" t="s">
        <v>1397</v>
      </c>
      <c r="T17" s="1172"/>
      <c r="U17" s="1172" t="s">
        <v>500</v>
      </c>
      <c r="V17" s="1172"/>
      <c r="W17" s="1176"/>
      <c r="X17" s="1172"/>
      <c r="Y17" s="1176">
        <v>105</v>
      </c>
      <c r="Z17" s="1172"/>
      <c r="AA17" s="1176">
        <v>64896.57</v>
      </c>
    </row>
    <row r="18" spans="1:27" ht="15" hidden="1" outlineLevel="1" thickBot="1" x14ac:dyDescent="0.35">
      <c r="A18" s="1172"/>
      <c r="B18" s="1178"/>
      <c r="C18" s="1178"/>
      <c r="D18" s="1178"/>
      <c r="E18" s="1178"/>
      <c r="F18" s="1178"/>
      <c r="G18" s="1178" t="s">
        <v>1409</v>
      </c>
      <c r="H18" s="1178"/>
      <c r="I18" s="1179">
        <v>44375</v>
      </c>
      <c r="J18" s="1178"/>
      <c r="K18" s="1178" t="s">
        <v>251</v>
      </c>
      <c r="L18" s="1178"/>
      <c r="M18" s="1180"/>
      <c r="N18" s="1178"/>
      <c r="O18" s="1178" t="s">
        <v>1413</v>
      </c>
      <c r="P18" s="1178"/>
      <c r="Q18" s="1178"/>
      <c r="R18" s="1178"/>
      <c r="S18" s="1181" t="s">
        <v>1397</v>
      </c>
      <c r="T18" s="1178"/>
      <c r="U18" s="1178" t="s">
        <v>500</v>
      </c>
      <c r="V18" s="1178"/>
      <c r="W18" s="1182"/>
      <c r="X18" s="1178"/>
      <c r="Y18" s="1182">
        <v>5250</v>
      </c>
      <c r="Z18" s="1178"/>
      <c r="AA18" s="1182">
        <v>59646.57</v>
      </c>
    </row>
    <row r="19" spans="1:27" ht="15" hidden="1" outlineLevel="1" thickBot="1" x14ac:dyDescent="0.35">
      <c r="A19" s="1172"/>
      <c r="B19" s="1172"/>
      <c r="C19" s="1172"/>
      <c r="D19" s="1172"/>
      <c r="E19" s="1172"/>
      <c r="F19" s="1172"/>
      <c r="G19" s="1172" t="s">
        <v>1395</v>
      </c>
      <c r="H19" s="1172"/>
      <c r="I19" s="1173">
        <v>44396</v>
      </c>
      <c r="J19" s="1172"/>
      <c r="K19" s="1172" t="s">
        <v>1414</v>
      </c>
      <c r="L19" s="1172"/>
      <c r="M19" s="1174" t="s">
        <v>1397</v>
      </c>
      <c r="N19" s="1172"/>
      <c r="O19" s="1172"/>
      <c r="P19" s="1172"/>
      <c r="Q19" s="1172" t="s">
        <v>1415</v>
      </c>
      <c r="R19" s="1172"/>
      <c r="S19" s="1175" t="s">
        <v>1397</v>
      </c>
      <c r="T19" s="1172"/>
      <c r="U19" s="1172" t="s">
        <v>1394</v>
      </c>
      <c r="V19" s="1172"/>
      <c r="W19" s="1176">
        <v>27200</v>
      </c>
      <c r="X19" s="1172"/>
      <c r="Y19" s="1176"/>
      <c r="Z19" s="1172"/>
      <c r="AA19" s="1176">
        <v>86846.57</v>
      </c>
    </row>
    <row r="20" spans="1:27" ht="15" hidden="1" outlineLevel="1" thickBot="1" x14ac:dyDescent="0.35">
      <c r="A20" s="1172"/>
      <c r="B20" s="1172"/>
      <c r="C20" s="1172"/>
      <c r="D20" s="1172"/>
      <c r="E20" s="1172"/>
      <c r="F20" s="1172"/>
      <c r="G20" s="1172" t="s">
        <v>1409</v>
      </c>
      <c r="H20" s="1172"/>
      <c r="I20" s="1173">
        <v>44403</v>
      </c>
      <c r="J20" s="1172"/>
      <c r="K20" s="1172" t="s">
        <v>251</v>
      </c>
      <c r="L20" s="1172"/>
      <c r="M20" s="1177"/>
      <c r="N20" s="1172"/>
      <c r="O20" s="1172" t="s">
        <v>1416</v>
      </c>
      <c r="P20" s="1172"/>
      <c r="Q20" s="1172"/>
      <c r="R20" s="1172"/>
      <c r="S20" s="1175" t="s">
        <v>1397</v>
      </c>
      <c r="T20" s="1172"/>
      <c r="U20" s="1172" t="s">
        <v>500</v>
      </c>
      <c r="V20" s="1172"/>
      <c r="W20" s="1176"/>
      <c r="X20" s="1172"/>
      <c r="Y20" s="1176">
        <v>1291.5</v>
      </c>
      <c r="Z20" s="1172"/>
      <c r="AA20" s="1176">
        <v>85555.07</v>
      </c>
    </row>
    <row r="21" spans="1:27" ht="15" hidden="1" outlineLevel="1" thickBot="1" x14ac:dyDescent="0.35">
      <c r="A21" s="1172"/>
      <c r="B21" s="1172"/>
      <c r="C21" s="1172"/>
      <c r="D21" s="1172"/>
      <c r="E21" s="1172"/>
      <c r="F21" s="1172"/>
      <c r="G21" s="1172" t="s">
        <v>1409</v>
      </c>
      <c r="H21" s="1172"/>
      <c r="I21" s="1173">
        <v>44411</v>
      </c>
      <c r="J21" s="1172"/>
      <c r="K21" s="1172" t="s">
        <v>251</v>
      </c>
      <c r="L21" s="1172"/>
      <c r="M21" s="1177"/>
      <c r="N21" s="1172"/>
      <c r="O21" s="1172" t="s">
        <v>1411</v>
      </c>
      <c r="P21" s="1172"/>
      <c r="Q21" s="1172"/>
      <c r="R21" s="1172"/>
      <c r="S21" s="1175" t="s">
        <v>1397</v>
      </c>
      <c r="T21" s="1172"/>
      <c r="U21" s="1172" t="s">
        <v>500</v>
      </c>
      <c r="V21" s="1172"/>
      <c r="W21" s="1176"/>
      <c r="X21" s="1172"/>
      <c r="Y21" s="1176">
        <v>105</v>
      </c>
      <c r="Z21" s="1172"/>
      <c r="AA21" s="1176">
        <v>85450.07</v>
      </c>
    </row>
    <row r="22" spans="1:27" ht="15" hidden="1" outlineLevel="1" thickBot="1" x14ac:dyDescent="0.35">
      <c r="A22" s="1172"/>
      <c r="B22" s="1172"/>
      <c r="C22" s="1172"/>
      <c r="D22" s="1172"/>
      <c r="E22" s="1172"/>
      <c r="F22" s="1172"/>
      <c r="G22" s="1172" t="s">
        <v>1409</v>
      </c>
      <c r="H22" s="1172"/>
      <c r="I22" s="1173">
        <v>44434</v>
      </c>
      <c r="J22" s="1172"/>
      <c r="K22" s="1172" t="s">
        <v>251</v>
      </c>
      <c r="L22" s="1172"/>
      <c r="M22" s="1177"/>
      <c r="N22" s="1172"/>
      <c r="O22" s="1172" t="s">
        <v>1412</v>
      </c>
      <c r="P22" s="1172"/>
      <c r="Q22" s="1172"/>
      <c r="R22" s="1172"/>
      <c r="S22" s="1175" t="s">
        <v>1397</v>
      </c>
      <c r="T22" s="1172"/>
      <c r="U22" s="1172" t="s">
        <v>500</v>
      </c>
      <c r="V22" s="1172"/>
      <c r="W22" s="1176"/>
      <c r="X22" s="1172"/>
      <c r="Y22" s="1176">
        <v>8448.2099999999991</v>
      </c>
      <c r="Z22" s="1172"/>
      <c r="AA22" s="1176">
        <v>77001.86</v>
      </c>
    </row>
    <row r="23" spans="1:27" ht="15" hidden="1" outlineLevel="1" thickBot="1" x14ac:dyDescent="0.35">
      <c r="A23" s="1172"/>
      <c r="B23" s="1172"/>
      <c r="C23" s="1172"/>
      <c r="D23" s="1172"/>
      <c r="E23" s="1172"/>
      <c r="F23" s="1172"/>
      <c r="G23" s="1172" t="s">
        <v>1409</v>
      </c>
      <c r="H23" s="1172"/>
      <c r="I23" s="1173">
        <v>44434</v>
      </c>
      <c r="J23" s="1172"/>
      <c r="K23" s="1172" t="s">
        <v>251</v>
      </c>
      <c r="L23" s="1172"/>
      <c r="M23" s="1177"/>
      <c r="N23" s="1172"/>
      <c r="O23" s="1172" t="s">
        <v>1411</v>
      </c>
      <c r="P23" s="1172"/>
      <c r="Q23" s="1172"/>
      <c r="R23" s="1172"/>
      <c r="S23" s="1175" t="s">
        <v>1397</v>
      </c>
      <c r="T23" s="1172"/>
      <c r="U23" s="1172" t="s">
        <v>500</v>
      </c>
      <c r="V23" s="1172"/>
      <c r="W23" s="1176"/>
      <c r="X23" s="1172"/>
      <c r="Y23" s="1176">
        <v>105</v>
      </c>
      <c r="Z23" s="1172"/>
      <c r="AA23" s="1176">
        <v>76896.86</v>
      </c>
    </row>
    <row r="24" spans="1:27" ht="15" hidden="1" outlineLevel="1" thickBot="1" x14ac:dyDescent="0.35">
      <c r="A24" s="1172"/>
      <c r="B24" s="1172"/>
      <c r="C24" s="1172"/>
      <c r="D24" s="1172"/>
      <c r="E24" s="1172"/>
      <c r="F24" s="1172"/>
      <c r="G24" s="1172" t="s">
        <v>1395</v>
      </c>
      <c r="H24" s="1172"/>
      <c r="I24" s="1173">
        <v>44434</v>
      </c>
      <c r="J24" s="1172"/>
      <c r="K24" s="1172" t="s">
        <v>1417</v>
      </c>
      <c r="L24" s="1172"/>
      <c r="M24" s="1174" t="s">
        <v>1397</v>
      </c>
      <c r="N24" s="1172"/>
      <c r="O24" s="1172"/>
      <c r="P24" s="1172"/>
      <c r="Q24" s="1172" t="s">
        <v>1418</v>
      </c>
      <c r="R24" s="1172"/>
      <c r="S24" s="1175" t="s">
        <v>1397</v>
      </c>
      <c r="T24" s="1172"/>
      <c r="U24" s="1172" t="s">
        <v>1419</v>
      </c>
      <c r="V24" s="1172"/>
      <c r="W24" s="1176"/>
      <c r="X24" s="1172"/>
      <c r="Y24" s="1176">
        <v>100</v>
      </c>
      <c r="Z24" s="1172"/>
      <c r="AA24" s="1176">
        <v>76796.86</v>
      </c>
    </row>
    <row r="25" spans="1:27" ht="15" hidden="1" outlineLevel="1" thickBot="1" x14ac:dyDescent="0.35">
      <c r="A25" s="1172"/>
      <c r="B25" s="1172"/>
      <c r="C25" s="1172"/>
      <c r="D25" s="1172"/>
      <c r="E25" s="1172"/>
      <c r="F25" s="1172"/>
      <c r="G25" s="1172" t="s">
        <v>1395</v>
      </c>
      <c r="H25" s="1172"/>
      <c r="I25" s="1173">
        <v>44439</v>
      </c>
      <c r="J25" s="1172"/>
      <c r="K25" s="1172" t="s">
        <v>1420</v>
      </c>
      <c r="L25" s="1172"/>
      <c r="M25" s="1174" t="s">
        <v>1397</v>
      </c>
      <c r="N25" s="1172"/>
      <c r="O25" s="1172"/>
      <c r="P25" s="1172"/>
      <c r="Q25" s="1172" t="s">
        <v>1421</v>
      </c>
      <c r="R25" s="1172"/>
      <c r="S25" s="1175" t="s">
        <v>1397</v>
      </c>
      <c r="T25" s="1172"/>
      <c r="U25" s="1172" t="s">
        <v>1422</v>
      </c>
      <c r="V25" s="1172"/>
      <c r="W25" s="1176">
        <v>11000</v>
      </c>
      <c r="X25" s="1172"/>
      <c r="Y25" s="1176"/>
      <c r="Z25" s="1172"/>
      <c r="AA25" s="1176">
        <v>87796.86</v>
      </c>
    </row>
    <row r="26" spans="1:27" ht="15" hidden="1" outlineLevel="1" thickBot="1" x14ac:dyDescent="0.35">
      <c r="A26" s="1172"/>
      <c r="B26" s="1172"/>
      <c r="C26" s="1172"/>
      <c r="D26" s="1172"/>
      <c r="E26" s="1172"/>
      <c r="F26" s="1172"/>
      <c r="G26" s="1172" t="s">
        <v>187</v>
      </c>
      <c r="H26" s="1172"/>
      <c r="I26" s="1173">
        <v>44439</v>
      </c>
      <c r="J26" s="1172"/>
      <c r="K26" s="1172"/>
      <c r="L26" s="1172"/>
      <c r="M26" s="1177"/>
      <c r="N26" s="1172"/>
      <c r="O26" s="1172"/>
      <c r="P26" s="1172"/>
      <c r="Q26" s="1172"/>
      <c r="R26" s="1172"/>
      <c r="S26" s="1175" t="s">
        <v>1397</v>
      </c>
      <c r="T26" s="1172"/>
      <c r="U26" s="1172" t="s">
        <v>1423</v>
      </c>
      <c r="V26" s="1172"/>
      <c r="W26" s="1176">
        <v>13665</v>
      </c>
      <c r="X26" s="1172"/>
      <c r="Y26" s="1176"/>
      <c r="Z26" s="1172"/>
      <c r="AA26" s="1176">
        <v>101461.86</v>
      </c>
    </row>
    <row r="27" spans="1:27" ht="15" hidden="1" outlineLevel="1" thickBot="1" x14ac:dyDescent="0.35">
      <c r="A27" s="1172"/>
      <c r="B27" s="1172"/>
      <c r="C27" s="1172"/>
      <c r="D27" s="1172"/>
      <c r="E27" s="1172"/>
      <c r="F27" s="1172"/>
      <c r="G27" s="1172" t="s">
        <v>1409</v>
      </c>
      <c r="H27" s="1172"/>
      <c r="I27" s="1173">
        <v>44446</v>
      </c>
      <c r="J27" s="1172"/>
      <c r="K27" s="1172" t="s">
        <v>251</v>
      </c>
      <c r="L27" s="1172"/>
      <c r="M27" s="1177"/>
      <c r="N27" s="1172"/>
      <c r="O27" s="1172" t="s">
        <v>1411</v>
      </c>
      <c r="P27" s="1172"/>
      <c r="Q27" s="1172"/>
      <c r="R27" s="1172"/>
      <c r="S27" s="1175" t="s">
        <v>1397</v>
      </c>
      <c r="T27" s="1172"/>
      <c r="U27" s="1172" t="s">
        <v>500</v>
      </c>
      <c r="V27" s="1172"/>
      <c r="W27" s="1176"/>
      <c r="X27" s="1172"/>
      <c r="Y27" s="1176">
        <v>105</v>
      </c>
      <c r="Z27" s="1172"/>
      <c r="AA27" s="1176">
        <v>101356.86</v>
      </c>
    </row>
    <row r="28" spans="1:27" ht="15" hidden="1" outlineLevel="1" thickBot="1" x14ac:dyDescent="0.35">
      <c r="A28" s="1172"/>
      <c r="B28" s="1172"/>
      <c r="C28" s="1172"/>
      <c r="D28" s="1172"/>
      <c r="E28" s="1172"/>
      <c r="F28" s="1172"/>
      <c r="G28" s="1172" t="s">
        <v>1395</v>
      </c>
      <c r="H28" s="1172"/>
      <c r="I28" s="1173">
        <v>44468</v>
      </c>
      <c r="J28" s="1172"/>
      <c r="K28" s="1172" t="s">
        <v>1424</v>
      </c>
      <c r="L28" s="1172"/>
      <c r="M28" s="1174" t="s">
        <v>1397</v>
      </c>
      <c r="N28" s="1172"/>
      <c r="O28" s="1172"/>
      <c r="P28" s="1172"/>
      <c r="Q28" s="1172" t="s">
        <v>1425</v>
      </c>
      <c r="R28" s="1172"/>
      <c r="S28" s="1175" t="s">
        <v>1397</v>
      </c>
      <c r="T28" s="1172"/>
      <c r="U28" s="1172" t="s">
        <v>1422</v>
      </c>
      <c r="V28" s="1172"/>
      <c r="W28" s="1176">
        <v>20200</v>
      </c>
      <c r="X28" s="1172"/>
      <c r="Y28" s="1176"/>
      <c r="Z28" s="1172"/>
      <c r="AA28" s="1176">
        <v>121556.86</v>
      </c>
    </row>
    <row r="29" spans="1:27" ht="15" hidden="1" outlineLevel="1" thickBot="1" x14ac:dyDescent="0.35">
      <c r="A29" s="1172"/>
      <c r="B29" s="1172"/>
      <c r="C29" s="1172"/>
      <c r="D29" s="1172"/>
      <c r="E29" s="1172"/>
      <c r="F29" s="1172"/>
      <c r="G29" s="1172" t="s">
        <v>1395</v>
      </c>
      <c r="H29" s="1172"/>
      <c r="I29" s="1173">
        <v>44469</v>
      </c>
      <c r="J29" s="1172"/>
      <c r="K29" s="1172" t="s">
        <v>1426</v>
      </c>
      <c r="L29" s="1172"/>
      <c r="M29" s="1174" t="s">
        <v>1397</v>
      </c>
      <c r="N29" s="1172"/>
      <c r="O29" s="1172"/>
      <c r="P29" s="1172"/>
      <c r="Q29" s="1172" t="s">
        <v>1427</v>
      </c>
      <c r="R29" s="1172"/>
      <c r="S29" s="1175" t="s">
        <v>1397</v>
      </c>
      <c r="T29" s="1172"/>
      <c r="U29" s="1172" t="s">
        <v>1422</v>
      </c>
      <c r="V29" s="1172"/>
      <c r="W29" s="1176">
        <v>27700</v>
      </c>
      <c r="X29" s="1172"/>
      <c r="Y29" s="1176"/>
      <c r="Z29" s="1172"/>
      <c r="AA29" s="1176">
        <v>149256.85999999999</v>
      </c>
    </row>
    <row r="30" spans="1:27" ht="15" hidden="1" outlineLevel="1" thickBot="1" x14ac:dyDescent="0.35">
      <c r="A30" s="1172"/>
      <c r="B30" s="1172"/>
      <c r="C30" s="1172"/>
      <c r="D30" s="1172"/>
      <c r="E30" s="1172"/>
      <c r="F30" s="1172"/>
      <c r="G30" s="1172" t="s">
        <v>1395</v>
      </c>
      <c r="H30" s="1172"/>
      <c r="I30" s="1173">
        <v>44470</v>
      </c>
      <c r="J30" s="1172"/>
      <c r="K30" s="1172" t="s">
        <v>1428</v>
      </c>
      <c r="L30" s="1172"/>
      <c r="M30" s="1174" t="s">
        <v>1397</v>
      </c>
      <c r="N30" s="1172"/>
      <c r="O30" s="1172"/>
      <c r="P30" s="1172"/>
      <c r="Q30" s="1172" t="s">
        <v>1427</v>
      </c>
      <c r="R30" s="1172"/>
      <c r="S30" s="1175" t="s">
        <v>1397</v>
      </c>
      <c r="T30" s="1172"/>
      <c r="U30" s="1172" t="s">
        <v>1422</v>
      </c>
      <c r="V30" s="1172"/>
      <c r="W30" s="1176">
        <v>3700</v>
      </c>
      <c r="X30" s="1172"/>
      <c r="Y30" s="1176"/>
      <c r="Z30" s="1172"/>
      <c r="AA30" s="1176">
        <v>152956.85999999999</v>
      </c>
    </row>
    <row r="31" spans="1:27" ht="15" hidden="1" outlineLevel="1" thickBot="1" x14ac:dyDescent="0.35">
      <c r="A31" s="1172"/>
      <c r="B31" s="1172"/>
      <c r="C31" s="1172"/>
      <c r="D31" s="1172"/>
      <c r="E31" s="1172"/>
      <c r="F31" s="1172"/>
      <c r="G31" s="1172" t="s">
        <v>1395</v>
      </c>
      <c r="H31" s="1172"/>
      <c r="I31" s="1173">
        <v>44473</v>
      </c>
      <c r="J31" s="1172"/>
      <c r="K31" s="1172" t="s">
        <v>1429</v>
      </c>
      <c r="L31" s="1172"/>
      <c r="M31" s="1174" t="s">
        <v>1397</v>
      </c>
      <c r="N31" s="1172"/>
      <c r="O31" s="1172"/>
      <c r="P31" s="1172"/>
      <c r="Q31" s="1172" t="s">
        <v>1427</v>
      </c>
      <c r="R31" s="1172"/>
      <c r="S31" s="1175" t="s">
        <v>1397</v>
      </c>
      <c r="T31" s="1172"/>
      <c r="U31" s="1172" t="s">
        <v>1422</v>
      </c>
      <c r="V31" s="1172"/>
      <c r="W31" s="1176">
        <v>2500</v>
      </c>
      <c r="X31" s="1172"/>
      <c r="Y31" s="1176"/>
      <c r="Z31" s="1172"/>
      <c r="AA31" s="1176">
        <v>155456.85999999999</v>
      </c>
    </row>
    <row r="32" spans="1:27" ht="15" hidden="1" outlineLevel="1" thickBot="1" x14ac:dyDescent="0.35">
      <c r="A32" s="1172"/>
      <c r="B32" s="1172"/>
      <c r="C32" s="1172"/>
      <c r="D32" s="1172"/>
      <c r="E32" s="1172"/>
      <c r="F32" s="1172"/>
      <c r="G32" s="1172" t="s">
        <v>1395</v>
      </c>
      <c r="H32" s="1172"/>
      <c r="I32" s="1173">
        <v>44474</v>
      </c>
      <c r="J32" s="1172"/>
      <c r="K32" s="1172" t="s">
        <v>1430</v>
      </c>
      <c r="L32" s="1172"/>
      <c r="M32" s="1174" t="s">
        <v>1397</v>
      </c>
      <c r="N32" s="1172"/>
      <c r="O32" s="1172"/>
      <c r="P32" s="1172"/>
      <c r="Q32" s="1172" t="s">
        <v>1427</v>
      </c>
      <c r="R32" s="1172"/>
      <c r="S32" s="1175" t="s">
        <v>1397</v>
      </c>
      <c r="T32" s="1172"/>
      <c r="U32" s="1172" t="s">
        <v>1422</v>
      </c>
      <c r="V32" s="1172"/>
      <c r="W32" s="1176">
        <v>5500</v>
      </c>
      <c r="X32" s="1172"/>
      <c r="Y32" s="1176"/>
      <c r="Z32" s="1172"/>
      <c r="AA32" s="1176">
        <v>160956.85999999999</v>
      </c>
    </row>
    <row r="33" spans="1:27" ht="15" hidden="1" outlineLevel="1" thickBot="1" x14ac:dyDescent="0.35">
      <c r="A33" s="1172"/>
      <c r="B33" s="1172"/>
      <c r="C33" s="1172"/>
      <c r="D33" s="1172"/>
      <c r="E33" s="1172"/>
      <c r="F33" s="1172"/>
      <c r="G33" s="1172" t="s">
        <v>1395</v>
      </c>
      <c r="H33" s="1172"/>
      <c r="I33" s="1173">
        <v>44475</v>
      </c>
      <c r="J33" s="1172"/>
      <c r="K33" s="1172" t="s">
        <v>1431</v>
      </c>
      <c r="L33" s="1172"/>
      <c r="M33" s="1174" t="s">
        <v>1397</v>
      </c>
      <c r="N33" s="1172"/>
      <c r="O33" s="1172"/>
      <c r="P33" s="1172"/>
      <c r="Q33" s="1172"/>
      <c r="R33" s="1172"/>
      <c r="S33" s="1175" t="s">
        <v>1397</v>
      </c>
      <c r="T33" s="1172"/>
      <c r="U33" s="1172" t="s">
        <v>1422</v>
      </c>
      <c r="V33" s="1172"/>
      <c r="W33" s="1176">
        <v>34982.5</v>
      </c>
      <c r="X33" s="1172"/>
      <c r="Y33" s="1176"/>
      <c r="Z33" s="1172"/>
      <c r="AA33" s="1176">
        <v>195939.36</v>
      </c>
    </row>
    <row r="34" spans="1:27" ht="15" hidden="1" outlineLevel="1" thickBot="1" x14ac:dyDescent="0.35">
      <c r="A34" s="1172"/>
      <c r="B34" s="1172"/>
      <c r="C34" s="1172"/>
      <c r="D34" s="1172"/>
      <c r="E34" s="1172"/>
      <c r="F34" s="1172"/>
      <c r="G34" s="1172" t="s">
        <v>1395</v>
      </c>
      <c r="H34" s="1172"/>
      <c r="I34" s="1173">
        <v>44475</v>
      </c>
      <c r="J34" s="1172"/>
      <c r="K34" s="1172" t="s">
        <v>1432</v>
      </c>
      <c r="L34" s="1172"/>
      <c r="M34" s="1174" t="s">
        <v>1397</v>
      </c>
      <c r="N34" s="1172"/>
      <c r="O34" s="1172"/>
      <c r="P34" s="1172"/>
      <c r="Q34" s="1172" t="s">
        <v>1427</v>
      </c>
      <c r="R34" s="1172"/>
      <c r="S34" s="1175" t="s">
        <v>1397</v>
      </c>
      <c r="T34" s="1172"/>
      <c r="U34" s="1172" t="s">
        <v>1422</v>
      </c>
      <c r="V34" s="1172"/>
      <c r="W34" s="1176">
        <v>6700</v>
      </c>
      <c r="X34" s="1172"/>
      <c r="Y34" s="1176"/>
      <c r="Z34" s="1172"/>
      <c r="AA34" s="1176">
        <v>202639.35999999999</v>
      </c>
    </row>
    <row r="35" spans="1:27" ht="15" hidden="1" outlineLevel="1" thickBot="1" x14ac:dyDescent="0.35">
      <c r="A35" s="1172"/>
      <c r="B35" s="1172"/>
      <c r="C35" s="1172"/>
      <c r="D35" s="1172"/>
      <c r="E35" s="1172"/>
      <c r="F35" s="1172"/>
      <c r="G35" s="1172" t="s">
        <v>1395</v>
      </c>
      <c r="H35" s="1172"/>
      <c r="I35" s="1173">
        <v>44476</v>
      </c>
      <c r="J35" s="1172"/>
      <c r="K35" s="1172" t="s">
        <v>1433</v>
      </c>
      <c r="L35" s="1172"/>
      <c r="M35" s="1174" t="s">
        <v>1397</v>
      </c>
      <c r="N35" s="1172"/>
      <c r="O35" s="1172"/>
      <c r="P35" s="1172"/>
      <c r="Q35" s="1172" t="s">
        <v>1427</v>
      </c>
      <c r="R35" s="1172"/>
      <c r="S35" s="1175" t="s">
        <v>1397</v>
      </c>
      <c r="T35" s="1172"/>
      <c r="U35" s="1172" t="s">
        <v>1422</v>
      </c>
      <c r="V35" s="1172"/>
      <c r="W35" s="1176">
        <v>10000</v>
      </c>
      <c r="X35" s="1172"/>
      <c r="Y35" s="1176"/>
      <c r="Z35" s="1172"/>
      <c r="AA35" s="1176">
        <v>212639.35999999999</v>
      </c>
    </row>
    <row r="36" spans="1:27" ht="15" hidden="1" outlineLevel="1" thickBot="1" x14ac:dyDescent="0.35">
      <c r="A36" s="1172"/>
      <c r="B36" s="1172"/>
      <c r="C36" s="1172"/>
      <c r="D36" s="1172"/>
      <c r="E36" s="1172"/>
      <c r="F36" s="1172"/>
      <c r="G36" s="1172" t="s">
        <v>1395</v>
      </c>
      <c r="H36" s="1172"/>
      <c r="I36" s="1173">
        <v>44477</v>
      </c>
      <c r="J36" s="1172"/>
      <c r="K36" s="1172" t="s">
        <v>1428</v>
      </c>
      <c r="L36" s="1172"/>
      <c r="M36" s="1174" t="s">
        <v>1397</v>
      </c>
      <c r="N36" s="1172"/>
      <c r="O36" s="1172"/>
      <c r="P36" s="1172"/>
      <c r="Q36" s="1172" t="s">
        <v>1434</v>
      </c>
      <c r="R36" s="1172"/>
      <c r="S36" s="1175" t="s">
        <v>1397</v>
      </c>
      <c r="T36" s="1172"/>
      <c r="U36" s="1172" t="s">
        <v>1422</v>
      </c>
      <c r="V36" s="1172"/>
      <c r="W36" s="1176">
        <v>53400</v>
      </c>
      <c r="X36" s="1172"/>
      <c r="Y36" s="1176"/>
      <c r="Z36" s="1172"/>
      <c r="AA36" s="1176">
        <v>266039.36</v>
      </c>
    </row>
    <row r="37" spans="1:27" ht="15" hidden="1" outlineLevel="1" thickBot="1" x14ac:dyDescent="0.35">
      <c r="A37" s="1172"/>
      <c r="B37" s="1172"/>
      <c r="C37" s="1172"/>
      <c r="D37" s="1172"/>
      <c r="E37" s="1172"/>
      <c r="F37" s="1172"/>
      <c r="G37" s="1172" t="s">
        <v>1395</v>
      </c>
      <c r="H37" s="1172"/>
      <c r="I37" s="1173">
        <v>44477</v>
      </c>
      <c r="J37" s="1172"/>
      <c r="K37" s="1172" t="s">
        <v>1435</v>
      </c>
      <c r="L37" s="1172"/>
      <c r="M37" s="1174" t="s">
        <v>1397</v>
      </c>
      <c r="N37" s="1172"/>
      <c r="O37" s="1172"/>
      <c r="P37" s="1172"/>
      <c r="Q37" s="1172" t="s">
        <v>1427</v>
      </c>
      <c r="R37" s="1172"/>
      <c r="S37" s="1175" t="s">
        <v>1397</v>
      </c>
      <c r="T37" s="1172"/>
      <c r="U37" s="1172" t="s">
        <v>1394</v>
      </c>
      <c r="V37" s="1172"/>
      <c r="W37" s="1176">
        <v>25000</v>
      </c>
      <c r="X37" s="1172"/>
      <c r="Y37" s="1176"/>
      <c r="Z37" s="1172"/>
      <c r="AA37" s="1176">
        <v>291039.35999999999</v>
      </c>
    </row>
    <row r="38" spans="1:27" ht="15" hidden="1" outlineLevel="1" thickBot="1" x14ac:dyDescent="0.35">
      <c r="A38" s="1172"/>
      <c r="B38" s="1172"/>
      <c r="C38" s="1172"/>
      <c r="D38" s="1172"/>
      <c r="E38" s="1172"/>
      <c r="F38" s="1172"/>
      <c r="G38" s="1172" t="s">
        <v>1395</v>
      </c>
      <c r="H38" s="1172"/>
      <c r="I38" s="1173">
        <v>44481</v>
      </c>
      <c r="J38" s="1172"/>
      <c r="K38" s="1172" t="s">
        <v>1436</v>
      </c>
      <c r="L38" s="1172"/>
      <c r="M38" s="1174" t="s">
        <v>1397</v>
      </c>
      <c r="N38" s="1172"/>
      <c r="O38" s="1172"/>
      <c r="P38" s="1172"/>
      <c r="Q38" s="1172" t="s">
        <v>1427</v>
      </c>
      <c r="R38" s="1172"/>
      <c r="S38" s="1175" t="s">
        <v>1397</v>
      </c>
      <c r="T38" s="1172"/>
      <c r="U38" s="1172" t="s">
        <v>1422</v>
      </c>
      <c r="V38" s="1172"/>
      <c r="W38" s="1176">
        <v>15500</v>
      </c>
      <c r="X38" s="1172"/>
      <c r="Y38" s="1176"/>
      <c r="Z38" s="1172"/>
      <c r="AA38" s="1176">
        <v>306539.36</v>
      </c>
    </row>
    <row r="39" spans="1:27" ht="15" hidden="1" outlineLevel="1" thickBot="1" x14ac:dyDescent="0.35">
      <c r="A39" s="1172"/>
      <c r="B39" s="1172"/>
      <c r="C39" s="1172"/>
      <c r="D39" s="1172"/>
      <c r="E39" s="1172"/>
      <c r="F39" s="1172"/>
      <c r="G39" s="1172" t="s">
        <v>1409</v>
      </c>
      <c r="H39" s="1172"/>
      <c r="I39" s="1173">
        <v>44482</v>
      </c>
      <c r="J39" s="1172"/>
      <c r="K39" s="1172"/>
      <c r="L39" s="1172"/>
      <c r="M39" s="1177"/>
      <c r="N39" s="1172"/>
      <c r="O39" s="1172" t="s">
        <v>1437</v>
      </c>
      <c r="P39" s="1172"/>
      <c r="Q39" s="1172"/>
      <c r="R39" s="1172"/>
      <c r="S39" s="1175" t="s">
        <v>1397</v>
      </c>
      <c r="T39" s="1172"/>
      <c r="U39" s="1172" t="s">
        <v>500</v>
      </c>
      <c r="V39" s="1172"/>
      <c r="W39" s="1176"/>
      <c r="X39" s="1172"/>
      <c r="Y39" s="1176">
        <v>1575</v>
      </c>
      <c r="Z39" s="1172"/>
      <c r="AA39" s="1176">
        <v>304964.36</v>
      </c>
    </row>
    <row r="40" spans="1:27" ht="15" hidden="1" outlineLevel="1" thickBot="1" x14ac:dyDescent="0.35">
      <c r="A40" s="1172"/>
      <c r="B40" s="1172"/>
      <c r="C40" s="1172"/>
      <c r="D40" s="1172"/>
      <c r="E40" s="1172"/>
      <c r="F40" s="1172"/>
      <c r="G40" s="1172" t="s">
        <v>1409</v>
      </c>
      <c r="H40" s="1172"/>
      <c r="I40" s="1173">
        <v>44482</v>
      </c>
      <c r="J40" s="1172"/>
      <c r="K40" s="1172" t="s">
        <v>251</v>
      </c>
      <c r="L40" s="1172"/>
      <c r="M40" s="1177"/>
      <c r="N40" s="1172"/>
      <c r="O40" s="1172" t="s">
        <v>1411</v>
      </c>
      <c r="P40" s="1172"/>
      <c r="Q40" s="1172"/>
      <c r="R40" s="1172"/>
      <c r="S40" s="1175" t="s">
        <v>1397</v>
      </c>
      <c r="T40" s="1172"/>
      <c r="U40" s="1172" t="s">
        <v>500</v>
      </c>
      <c r="V40" s="1172"/>
      <c r="W40" s="1176"/>
      <c r="X40" s="1172"/>
      <c r="Y40" s="1176">
        <v>105</v>
      </c>
      <c r="Z40" s="1172"/>
      <c r="AA40" s="1176">
        <v>304859.36</v>
      </c>
    </row>
    <row r="41" spans="1:27" ht="15" hidden="1" outlineLevel="1" thickBot="1" x14ac:dyDescent="0.35">
      <c r="A41" s="1172"/>
      <c r="B41" s="1172"/>
      <c r="C41" s="1172"/>
      <c r="D41" s="1172"/>
      <c r="E41" s="1172"/>
      <c r="F41" s="1172"/>
      <c r="G41" s="1172" t="s">
        <v>1395</v>
      </c>
      <c r="H41" s="1172"/>
      <c r="I41" s="1173">
        <v>44482</v>
      </c>
      <c r="J41" s="1172"/>
      <c r="K41" s="1172" t="s">
        <v>1438</v>
      </c>
      <c r="L41" s="1172"/>
      <c r="M41" s="1174" t="s">
        <v>1397</v>
      </c>
      <c r="N41" s="1172"/>
      <c r="O41" s="1172"/>
      <c r="P41" s="1172"/>
      <c r="Q41" s="1172" t="s">
        <v>1427</v>
      </c>
      <c r="R41" s="1172"/>
      <c r="S41" s="1175" t="s">
        <v>1397</v>
      </c>
      <c r="T41" s="1172"/>
      <c r="U41" s="1172" t="s">
        <v>1422</v>
      </c>
      <c r="V41" s="1172"/>
      <c r="W41" s="1176">
        <v>2200</v>
      </c>
      <c r="X41" s="1172"/>
      <c r="Y41" s="1176"/>
      <c r="Z41" s="1172"/>
      <c r="AA41" s="1176">
        <v>307059.36</v>
      </c>
    </row>
    <row r="42" spans="1:27" ht="15" hidden="1" outlineLevel="1" thickBot="1" x14ac:dyDescent="0.35">
      <c r="A42" s="1172"/>
      <c r="B42" s="1172"/>
      <c r="C42" s="1172"/>
      <c r="D42" s="1172"/>
      <c r="E42" s="1172"/>
      <c r="F42" s="1172"/>
      <c r="G42" s="1172" t="s">
        <v>1395</v>
      </c>
      <c r="H42" s="1172"/>
      <c r="I42" s="1173">
        <v>44484</v>
      </c>
      <c r="J42" s="1172"/>
      <c r="K42" s="1172" t="s">
        <v>1439</v>
      </c>
      <c r="L42" s="1172"/>
      <c r="M42" s="1174" t="s">
        <v>1397</v>
      </c>
      <c r="N42" s="1172"/>
      <c r="O42" s="1172"/>
      <c r="P42" s="1172"/>
      <c r="Q42" s="1172" t="s">
        <v>1427</v>
      </c>
      <c r="R42" s="1172"/>
      <c r="S42" s="1175" t="s">
        <v>1397</v>
      </c>
      <c r="T42" s="1172"/>
      <c r="U42" s="1172" t="s">
        <v>1423</v>
      </c>
      <c r="V42" s="1172"/>
      <c r="W42" s="1176">
        <v>2000</v>
      </c>
      <c r="X42" s="1172"/>
      <c r="Y42" s="1176"/>
      <c r="Z42" s="1172"/>
      <c r="AA42" s="1176">
        <v>309059.36</v>
      </c>
    </row>
    <row r="43" spans="1:27" ht="15" hidden="1" outlineLevel="1" thickBot="1" x14ac:dyDescent="0.35">
      <c r="A43" s="1172"/>
      <c r="B43" s="1172"/>
      <c r="C43" s="1172"/>
      <c r="D43" s="1172"/>
      <c r="E43" s="1172"/>
      <c r="F43" s="1172"/>
      <c r="G43" s="1172" t="s">
        <v>1395</v>
      </c>
      <c r="H43" s="1172"/>
      <c r="I43" s="1173">
        <v>44487</v>
      </c>
      <c r="J43" s="1172"/>
      <c r="K43" s="1172" t="s">
        <v>1440</v>
      </c>
      <c r="L43" s="1172"/>
      <c r="M43" s="1174" t="s">
        <v>1397</v>
      </c>
      <c r="N43" s="1172"/>
      <c r="O43" s="1172"/>
      <c r="P43" s="1172"/>
      <c r="Q43" s="1172" t="s">
        <v>1427</v>
      </c>
      <c r="R43" s="1172"/>
      <c r="S43" s="1175" t="s">
        <v>1397</v>
      </c>
      <c r="T43" s="1172"/>
      <c r="U43" s="1172" t="s">
        <v>1422</v>
      </c>
      <c r="V43" s="1172"/>
      <c r="W43" s="1176">
        <v>1000</v>
      </c>
      <c r="X43" s="1172"/>
      <c r="Y43" s="1176"/>
      <c r="Z43" s="1172"/>
      <c r="AA43" s="1176">
        <v>310059.36</v>
      </c>
    </row>
    <row r="44" spans="1:27" ht="15" hidden="1" outlineLevel="1" thickBot="1" x14ac:dyDescent="0.35">
      <c r="A44" s="1172"/>
      <c r="B44" s="1172"/>
      <c r="C44" s="1172"/>
      <c r="D44" s="1172"/>
      <c r="E44" s="1172"/>
      <c r="F44" s="1172"/>
      <c r="G44" s="1172" t="s">
        <v>1395</v>
      </c>
      <c r="H44" s="1172"/>
      <c r="I44" s="1173">
        <v>44488</v>
      </c>
      <c r="J44" s="1172"/>
      <c r="K44" s="1172" t="s">
        <v>1441</v>
      </c>
      <c r="L44" s="1172"/>
      <c r="M44" s="1174" t="s">
        <v>1397</v>
      </c>
      <c r="N44" s="1172"/>
      <c r="O44" s="1172"/>
      <c r="P44" s="1172"/>
      <c r="Q44" s="1172" t="s">
        <v>1427</v>
      </c>
      <c r="R44" s="1172"/>
      <c r="S44" s="1175" t="s">
        <v>1397</v>
      </c>
      <c r="T44" s="1172"/>
      <c r="U44" s="1172" t="s">
        <v>1422</v>
      </c>
      <c r="V44" s="1172"/>
      <c r="W44" s="1176">
        <v>7000</v>
      </c>
      <c r="X44" s="1172"/>
      <c r="Y44" s="1176"/>
      <c r="Z44" s="1172"/>
      <c r="AA44" s="1176">
        <v>317059.36</v>
      </c>
    </row>
    <row r="45" spans="1:27" ht="15" hidden="1" outlineLevel="1" thickBot="1" x14ac:dyDescent="0.35">
      <c r="A45" s="1172"/>
      <c r="B45" s="1172"/>
      <c r="C45" s="1172"/>
      <c r="D45" s="1172"/>
      <c r="E45" s="1172"/>
      <c r="F45" s="1172"/>
      <c r="G45" s="1172" t="s">
        <v>1395</v>
      </c>
      <c r="H45" s="1172"/>
      <c r="I45" s="1173">
        <v>44489</v>
      </c>
      <c r="J45" s="1172"/>
      <c r="K45" s="1172" t="s">
        <v>1442</v>
      </c>
      <c r="L45" s="1172"/>
      <c r="M45" s="1174" t="s">
        <v>1397</v>
      </c>
      <c r="N45" s="1172"/>
      <c r="O45" s="1172"/>
      <c r="P45" s="1172"/>
      <c r="Q45" s="1172" t="s">
        <v>1427</v>
      </c>
      <c r="R45" s="1172"/>
      <c r="S45" s="1175" t="s">
        <v>1397</v>
      </c>
      <c r="T45" s="1172"/>
      <c r="U45" s="1172" t="s">
        <v>1422</v>
      </c>
      <c r="V45" s="1172"/>
      <c r="W45" s="1176">
        <v>14500</v>
      </c>
      <c r="X45" s="1172"/>
      <c r="Y45" s="1176"/>
      <c r="Z45" s="1172"/>
      <c r="AA45" s="1176">
        <v>331559.36</v>
      </c>
    </row>
    <row r="46" spans="1:27" ht="15" hidden="1" outlineLevel="1" thickBot="1" x14ac:dyDescent="0.35">
      <c r="A46" s="1172"/>
      <c r="B46" s="1172"/>
      <c r="C46" s="1172"/>
      <c r="D46" s="1172"/>
      <c r="E46" s="1172"/>
      <c r="F46" s="1172"/>
      <c r="G46" s="1172" t="s">
        <v>1395</v>
      </c>
      <c r="H46" s="1172"/>
      <c r="I46" s="1173">
        <v>44490</v>
      </c>
      <c r="J46" s="1172"/>
      <c r="K46" s="1172" t="s">
        <v>1443</v>
      </c>
      <c r="L46" s="1172"/>
      <c r="M46" s="1174" t="s">
        <v>1397</v>
      </c>
      <c r="N46" s="1172"/>
      <c r="O46" s="1172"/>
      <c r="P46" s="1172"/>
      <c r="Q46" s="1172" t="s">
        <v>1427</v>
      </c>
      <c r="R46" s="1172"/>
      <c r="S46" s="1175" t="s">
        <v>1397</v>
      </c>
      <c r="T46" s="1172"/>
      <c r="U46" s="1172" t="s">
        <v>1423</v>
      </c>
      <c r="V46" s="1172"/>
      <c r="W46" s="1176">
        <v>2500</v>
      </c>
      <c r="X46" s="1172"/>
      <c r="Y46" s="1176"/>
      <c r="Z46" s="1172"/>
      <c r="AA46" s="1176">
        <v>334059.36</v>
      </c>
    </row>
    <row r="47" spans="1:27" ht="15" hidden="1" outlineLevel="1" thickBot="1" x14ac:dyDescent="0.35">
      <c r="A47" s="1172"/>
      <c r="B47" s="1172"/>
      <c r="C47" s="1172"/>
      <c r="D47" s="1172"/>
      <c r="E47" s="1172"/>
      <c r="F47" s="1172"/>
      <c r="G47" s="1172" t="s">
        <v>1395</v>
      </c>
      <c r="H47" s="1172"/>
      <c r="I47" s="1173">
        <v>44491</v>
      </c>
      <c r="J47" s="1172"/>
      <c r="K47" s="1172" t="s">
        <v>1444</v>
      </c>
      <c r="L47" s="1172"/>
      <c r="M47" s="1174" t="s">
        <v>1397</v>
      </c>
      <c r="N47" s="1172"/>
      <c r="O47" s="1172"/>
      <c r="P47" s="1172"/>
      <c r="Q47" s="1172" t="s">
        <v>1427</v>
      </c>
      <c r="R47" s="1172"/>
      <c r="S47" s="1175" t="s">
        <v>1397</v>
      </c>
      <c r="T47" s="1172"/>
      <c r="U47" s="1172" t="s">
        <v>1423</v>
      </c>
      <c r="V47" s="1172"/>
      <c r="W47" s="1176">
        <v>2000</v>
      </c>
      <c r="X47" s="1172"/>
      <c r="Y47" s="1176"/>
      <c r="Z47" s="1172"/>
      <c r="AA47" s="1176">
        <v>336059.36</v>
      </c>
    </row>
    <row r="48" spans="1:27" ht="15" hidden="1" outlineLevel="1" thickBot="1" x14ac:dyDescent="0.35">
      <c r="A48" s="1172"/>
      <c r="B48" s="1172"/>
      <c r="C48" s="1172"/>
      <c r="D48" s="1172"/>
      <c r="E48" s="1172"/>
      <c r="F48" s="1172"/>
      <c r="G48" s="1172" t="s">
        <v>1395</v>
      </c>
      <c r="H48" s="1172"/>
      <c r="I48" s="1173">
        <v>44495</v>
      </c>
      <c r="J48" s="1172"/>
      <c r="K48" s="1172" t="s">
        <v>1445</v>
      </c>
      <c r="L48" s="1172"/>
      <c r="M48" s="1174" t="s">
        <v>1397</v>
      </c>
      <c r="N48" s="1172"/>
      <c r="O48" s="1172"/>
      <c r="P48" s="1172"/>
      <c r="Q48" s="1172" t="s">
        <v>1427</v>
      </c>
      <c r="R48" s="1172"/>
      <c r="S48" s="1175" t="s">
        <v>1397</v>
      </c>
      <c r="T48" s="1172"/>
      <c r="U48" s="1172" t="s">
        <v>1423</v>
      </c>
      <c r="V48" s="1172"/>
      <c r="W48" s="1176">
        <v>3000</v>
      </c>
      <c r="X48" s="1172"/>
      <c r="Y48" s="1176"/>
      <c r="Z48" s="1172"/>
      <c r="AA48" s="1176">
        <v>339059.36</v>
      </c>
    </row>
    <row r="49" spans="1:27" ht="15" hidden="1" outlineLevel="1" thickBot="1" x14ac:dyDescent="0.35">
      <c r="A49" s="1172"/>
      <c r="B49" s="1172"/>
      <c r="C49" s="1172"/>
      <c r="D49" s="1172"/>
      <c r="E49" s="1172"/>
      <c r="F49" s="1172"/>
      <c r="G49" s="1172" t="s">
        <v>1395</v>
      </c>
      <c r="H49" s="1172"/>
      <c r="I49" s="1173">
        <v>44496</v>
      </c>
      <c r="J49" s="1172"/>
      <c r="K49" s="1172" t="s">
        <v>1446</v>
      </c>
      <c r="L49" s="1172"/>
      <c r="M49" s="1174" t="s">
        <v>1397</v>
      </c>
      <c r="N49" s="1172"/>
      <c r="O49" s="1172"/>
      <c r="P49" s="1172"/>
      <c r="Q49" s="1172" t="s">
        <v>1427</v>
      </c>
      <c r="R49" s="1172"/>
      <c r="S49" s="1175" t="s">
        <v>1397</v>
      </c>
      <c r="T49" s="1172"/>
      <c r="U49" s="1172" t="s">
        <v>1422</v>
      </c>
      <c r="V49" s="1172"/>
      <c r="W49" s="1176">
        <v>5100</v>
      </c>
      <c r="X49" s="1172"/>
      <c r="Y49" s="1176"/>
      <c r="Z49" s="1172"/>
      <c r="AA49" s="1176">
        <v>344159.36</v>
      </c>
    </row>
    <row r="50" spans="1:27" ht="15" hidden="1" outlineLevel="1" thickBot="1" x14ac:dyDescent="0.35">
      <c r="A50" s="1172"/>
      <c r="B50" s="1172"/>
      <c r="C50" s="1172"/>
      <c r="D50" s="1172"/>
      <c r="E50" s="1172"/>
      <c r="F50" s="1172"/>
      <c r="G50" s="1172" t="s">
        <v>1395</v>
      </c>
      <c r="H50" s="1172"/>
      <c r="I50" s="1173">
        <v>44497</v>
      </c>
      <c r="J50" s="1172"/>
      <c r="K50" s="1172" t="s">
        <v>1447</v>
      </c>
      <c r="L50" s="1172"/>
      <c r="M50" s="1174" t="s">
        <v>1397</v>
      </c>
      <c r="N50" s="1172"/>
      <c r="O50" s="1172"/>
      <c r="P50" s="1172"/>
      <c r="Q50" s="1172" t="s">
        <v>1427</v>
      </c>
      <c r="R50" s="1172"/>
      <c r="S50" s="1175" t="s">
        <v>1397</v>
      </c>
      <c r="T50" s="1172"/>
      <c r="U50" s="1172" t="s">
        <v>1422</v>
      </c>
      <c r="V50" s="1172"/>
      <c r="W50" s="1176">
        <v>5700</v>
      </c>
      <c r="X50" s="1172"/>
      <c r="Y50" s="1176"/>
      <c r="Z50" s="1172"/>
      <c r="AA50" s="1176">
        <v>349859.36</v>
      </c>
    </row>
    <row r="51" spans="1:27" ht="15" hidden="1" outlineLevel="1" thickBot="1" x14ac:dyDescent="0.35">
      <c r="A51" s="1172"/>
      <c r="B51" s="1172"/>
      <c r="C51" s="1172"/>
      <c r="D51" s="1172"/>
      <c r="E51" s="1172"/>
      <c r="F51" s="1172"/>
      <c r="G51" s="1172" t="s">
        <v>1395</v>
      </c>
      <c r="H51" s="1172"/>
      <c r="I51" s="1173">
        <v>44498</v>
      </c>
      <c r="J51" s="1172"/>
      <c r="K51" s="1172" t="s">
        <v>1448</v>
      </c>
      <c r="L51" s="1172"/>
      <c r="M51" s="1174" t="s">
        <v>1397</v>
      </c>
      <c r="N51" s="1172"/>
      <c r="O51" s="1172"/>
      <c r="P51" s="1172"/>
      <c r="Q51" s="1172" t="s">
        <v>1427</v>
      </c>
      <c r="R51" s="1172"/>
      <c r="S51" s="1175" t="s">
        <v>1397</v>
      </c>
      <c r="T51" s="1172"/>
      <c r="U51" s="1172" t="s">
        <v>1422</v>
      </c>
      <c r="V51" s="1172"/>
      <c r="W51" s="1176">
        <v>2250</v>
      </c>
      <c r="X51" s="1172"/>
      <c r="Y51" s="1176"/>
      <c r="Z51" s="1172"/>
      <c r="AA51" s="1176">
        <v>352109.36</v>
      </c>
    </row>
    <row r="52" spans="1:27" ht="15" hidden="1" outlineLevel="1" thickBot="1" x14ac:dyDescent="0.35">
      <c r="A52" s="1172"/>
      <c r="B52" s="1172"/>
      <c r="C52" s="1172"/>
      <c r="D52" s="1172"/>
      <c r="E52" s="1172"/>
      <c r="F52" s="1172"/>
      <c r="G52" s="1172" t="s">
        <v>1395</v>
      </c>
      <c r="H52" s="1172"/>
      <c r="I52" s="1173">
        <v>44501</v>
      </c>
      <c r="J52" s="1172"/>
      <c r="K52" s="1172" t="s">
        <v>1449</v>
      </c>
      <c r="L52" s="1172"/>
      <c r="M52" s="1174" t="s">
        <v>1397</v>
      </c>
      <c r="N52" s="1172"/>
      <c r="O52" s="1172"/>
      <c r="P52" s="1172"/>
      <c r="Q52" s="1172" t="s">
        <v>1427</v>
      </c>
      <c r="R52" s="1172"/>
      <c r="S52" s="1175" t="s">
        <v>1397</v>
      </c>
      <c r="T52" s="1172"/>
      <c r="U52" s="1172" t="s">
        <v>1423</v>
      </c>
      <c r="V52" s="1172"/>
      <c r="W52" s="1176">
        <v>250</v>
      </c>
      <c r="X52" s="1172"/>
      <c r="Y52" s="1176"/>
      <c r="Z52" s="1172"/>
      <c r="AA52" s="1176">
        <v>352359.36</v>
      </c>
    </row>
    <row r="53" spans="1:27" ht="15" hidden="1" outlineLevel="1" thickBot="1" x14ac:dyDescent="0.35">
      <c r="A53" s="1172"/>
      <c r="B53" s="1172"/>
      <c r="C53" s="1172"/>
      <c r="D53" s="1172"/>
      <c r="E53" s="1172"/>
      <c r="F53" s="1172"/>
      <c r="G53" s="1172" t="s">
        <v>1395</v>
      </c>
      <c r="H53" s="1172"/>
      <c r="I53" s="1173">
        <v>44502</v>
      </c>
      <c r="J53" s="1172"/>
      <c r="K53" s="1172" t="s">
        <v>1450</v>
      </c>
      <c r="L53" s="1172"/>
      <c r="M53" s="1174" t="s">
        <v>1397</v>
      </c>
      <c r="N53" s="1172"/>
      <c r="O53" s="1172"/>
      <c r="P53" s="1172"/>
      <c r="Q53" s="1172" t="s">
        <v>1427</v>
      </c>
      <c r="R53" s="1172"/>
      <c r="S53" s="1175" t="s">
        <v>1397</v>
      </c>
      <c r="T53" s="1172"/>
      <c r="U53" s="1172" t="s">
        <v>1423</v>
      </c>
      <c r="V53" s="1172"/>
      <c r="W53" s="1176">
        <v>400</v>
      </c>
      <c r="X53" s="1172"/>
      <c r="Y53" s="1176"/>
      <c r="Z53" s="1172"/>
      <c r="AA53" s="1176">
        <v>352759.36</v>
      </c>
    </row>
    <row r="54" spans="1:27" ht="15" hidden="1" outlineLevel="1" thickBot="1" x14ac:dyDescent="0.35">
      <c r="A54" s="1172"/>
      <c r="B54" s="1172"/>
      <c r="C54" s="1172"/>
      <c r="D54" s="1172"/>
      <c r="E54" s="1172"/>
      <c r="F54" s="1172"/>
      <c r="G54" s="1172" t="s">
        <v>1395</v>
      </c>
      <c r="H54" s="1172"/>
      <c r="I54" s="1173">
        <v>44503</v>
      </c>
      <c r="J54" s="1172"/>
      <c r="K54" s="1172" t="s">
        <v>1451</v>
      </c>
      <c r="L54" s="1172"/>
      <c r="M54" s="1174" t="s">
        <v>1397</v>
      </c>
      <c r="N54" s="1172"/>
      <c r="O54" s="1172"/>
      <c r="P54" s="1172"/>
      <c r="Q54" s="1172" t="s">
        <v>1427</v>
      </c>
      <c r="R54" s="1172"/>
      <c r="S54" s="1175" t="s">
        <v>1397</v>
      </c>
      <c r="T54" s="1172"/>
      <c r="U54" s="1172" t="s">
        <v>1423</v>
      </c>
      <c r="V54" s="1172"/>
      <c r="W54" s="1176">
        <v>1000</v>
      </c>
      <c r="X54" s="1172"/>
      <c r="Y54" s="1176"/>
      <c r="Z54" s="1172"/>
      <c r="AA54" s="1176">
        <v>353759.36</v>
      </c>
    </row>
    <row r="55" spans="1:27" ht="15" hidden="1" outlineLevel="1" thickBot="1" x14ac:dyDescent="0.35">
      <c r="A55" s="1172"/>
      <c r="B55" s="1172"/>
      <c r="C55" s="1172"/>
      <c r="D55" s="1172"/>
      <c r="E55" s="1172"/>
      <c r="F55" s="1172"/>
      <c r="G55" s="1172" t="s">
        <v>1395</v>
      </c>
      <c r="H55" s="1172"/>
      <c r="I55" s="1173">
        <v>44504</v>
      </c>
      <c r="J55" s="1172"/>
      <c r="K55" s="1172" t="s">
        <v>1452</v>
      </c>
      <c r="L55" s="1172"/>
      <c r="M55" s="1174" t="s">
        <v>1397</v>
      </c>
      <c r="N55" s="1172"/>
      <c r="O55" s="1172"/>
      <c r="P55" s="1172"/>
      <c r="Q55" s="1172" t="s">
        <v>1427</v>
      </c>
      <c r="R55" s="1172"/>
      <c r="S55" s="1175" t="s">
        <v>1397</v>
      </c>
      <c r="T55" s="1172"/>
      <c r="U55" s="1172" t="s">
        <v>1422</v>
      </c>
      <c r="V55" s="1172"/>
      <c r="W55" s="1176">
        <v>2500</v>
      </c>
      <c r="X55" s="1172"/>
      <c r="Y55" s="1176"/>
      <c r="Z55" s="1172"/>
      <c r="AA55" s="1176">
        <v>356259.36</v>
      </c>
    </row>
    <row r="56" spans="1:27" ht="15" hidden="1" outlineLevel="1" thickBot="1" x14ac:dyDescent="0.35">
      <c r="A56" s="1172"/>
      <c r="B56" s="1172"/>
      <c r="C56" s="1172"/>
      <c r="D56" s="1172"/>
      <c r="E56" s="1172"/>
      <c r="F56" s="1172"/>
      <c r="G56" s="1172" t="s">
        <v>1395</v>
      </c>
      <c r="H56" s="1172"/>
      <c r="I56" s="1173">
        <v>44505</v>
      </c>
      <c r="J56" s="1172"/>
      <c r="K56" s="1172" t="s">
        <v>1453</v>
      </c>
      <c r="L56" s="1172"/>
      <c r="M56" s="1174" t="s">
        <v>1397</v>
      </c>
      <c r="N56" s="1172"/>
      <c r="O56" s="1172"/>
      <c r="P56" s="1172"/>
      <c r="Q56" s="1172" t="s">
        <v>1427</v>
      </c>
      <c r="R56" s="1172"/>
      <c r="S56" s="1175" t="s">
        <v>1397</v>
      </c>
      <c r="T56" s="1172"/>
      <c r="U56" s="1172" t="s">
        <v>1422</v>
      </c>
      <c r="V56" s="1172"/>
      <c r="W56" s="1176">
        <v>4000</v>
      </c>
      <c r="X56" s="1172"/>
      <c r="Y56" s="1176"/>
      <c r="Z56" s="1172"/>
      <c r="AA56" s="1176">
        <v>360259.36</v>
      </c>
    </row>
    <row r="57" spans="1:27" ht="15" hidden="1" outlineLevel="1" thickBot="1" x14ac:dyDescent="0.35">
      <c r="A57" s="1172"/>
      <c r="B57" s="1172"/>
      <c r="C57" s="1172"/>
      <c r="D57" s="1172"/>
      <c r="E57" s="1172"/>
      <c r="F57" s="1172"/>
      <c r="G57" s="1172" t="s">
        <v>1395</v>
      </c>
      <c r="H57" s="1172"/>
      <c r="I57" s="1173">
        <v>44505</v>
      </c>
      <c r="J57" s="1172"/>
      <c r="K57" s="1172" t="s">
        <v>1454</v>
      </c>
      <c r="L57" s="1172"/>
      <c r="M57" s="1174" t="s">
        <v>1397</v>
      </c>
      <c r="N57" s="1172"/>
      <c r="O57" s="1172"/>
      <c r="P57" s="1172"/>
      <c r="Q57" s="1172" t="s">
        <v>1455</v>
      </c>
      <c r="R57" s="1172"/>
      <c r="S57" s="1175" t="s">
        <v>1397</v>
      </c>
      <c r="T57" s="1172"/>
      <c r="U57" s="1172" t="s">
        <v>1456</v>
      </c>
      <c r="V57" s="1172"/>
      <c r="W57" s="1176"/>
      <c r="X57" s="1172"/>
      <c r="Y57" s="1176">
        <v>1000</v>
      </c>
      <c r="Z57" s="1172"/>
      <c r="AA57" s="1176">
        <v>359259.36</v>
      </c>
    </row>
    <row r="58" spans="1:27" ht="15" hidden="1" outlineLevel="1" thickBot="1" x14ac:dyDescent="0.35">
      <c r="A58" s="1172"/>
      <c r="B58" s="1172"/>
      <c r="C58" s="1172"/>
      <c r="D58" s="1172"/>
      <c r="E58" s="1172"/>
      <c r="F58" s="1172"/>
      <c r="G58" s="1172" t="s">
        <v>1409</v>
      </c>
      <c r="H58" s="1172"/>
      <c r="I58" s="1173">
        <v>44508</v>
      </c>
      <c r="J58" s="1172"/>
      <c r="K58" s="1172" t="s">
        <v>251</v>
      </c>
      <c r="L58" s="1172"/>
      <c r="M58" s="1177"/>
      <c r="N58" s="1172"/>
      <c r="O58" s="1172" t="s">
        <v>1411</v>
      </c>
      <c r="P58" s="1172"/>
      <c r="Q58" s="1172"/>
      <c r="R58" s="1172"/>
      <c r="S58" s="1175" t="s">
        <v>1397</v>
      </c>
      <c r="T58" s="1172"/>
      <c r="U58" s="1172" t="s">
        <v>500</v>
      </c>
      <c r="V58" s="1172"/>
      <c r="W58" s="1176"/>
      <c r="X58" s="1172"/>
      <c r="Y58" s="1176">
        <v>105</v>
      </c>
      <c r="Z58" s="1172"/>
      <c r="AA58" s="1176">
        <v>359154.36</v>
      </c>
    </row>
    <row r="59" spans="1:27" ht="15" hidden="1" outlineLevel="1" thickBot="1" x14ac:dyDescent="0.35">
      <c r="A59" s="1172"/>
      <c r="B59" s="1172"/>
      <c r="C59" s="1172"/>
      <c r="D59" s="1172"/>
      <c r="E59" s="1172"/>
      <c r="F59" s="1172"/>
      <c r="G59" s="1172" t="s">
        <v>1409</v>
      </c>
      <c r="H59" s="1172"/>
      <c r="I59" s="1173">
        <v>44508</v>
      </c>
      <c r="J59" s="1172"/>
      <c r="K59" s="1172" t="s">
        <v>251</v>
      </c>
      <c r="L59" s="1172"/>
      <c r="M59" s="1177"/>
      <c r="N59" s="1172"/>
      <c r="O59" s="1172" t="s">
        <v>1437</v>
      </c>
      <c r="P59" s="1172"/>
      <c r="Q59" s="1172"/>
      <c r="R59" s="1172"/>
      <c r="S59" s="1175" t="s">
        <v>1397</v>
      </c>
      <c r="T59" s="1172"/>
      <c r="U59" s="1172" t="s">
        <v>500</v>
      </c>
      <c r="V59" s="1172"/>
      <c r="W59" s="1176"/>
      <c r="X59" s="1172"/>
      <c r="Y59" s="1176">
        <v>1575</v>
      </c>
      <c r="Z59" s="1172"/>
      <c r="AA59" s="1176">
        <v>357579.36</v>
      </c>
    </row>
    <row r="60" spans="1:27" ht="15" hidden="1" outlineLevel="1" thickBot="1" x14ac:dyDescent="0.35">
      <c r="A60" s="1172"/>
      <c r="B60" s="1172"/>
      <c r="C60" s="1172"/>
      <c r="D60" s="1172"/>
      <c r="E60" s="1172"/>
      <c r="F60" s="1172"/>
      <c r="G60" s="1172" t="s">
        <v>1395</v>
      </c>
      <c r="H60" s="1172"/>
      <c r="I60" s="1173">
        <v>44508</v>
      </c>
      <c r="J60" s="1172"/>
      <c r="K60" s="1172" t="s">
        <v>1457</v>
      </c>
      <c r="L60" s="1172"/>
      <c r="M60" s="1174" t="s">
        <v>1397</v>
      </c>
      <c r="N60" s="1172"/>
      <c r="O60" s="1172"/>
      <c r="P60" s="1172"/>
      <c r="Q60" s="1172" t="s">
        <v>1427</v>
      </c>
      <c r="R60" s="1172"/>
      <c r="S60" s="1175" t="s">
        <v>1397</v>
      </c>
      <c r="T60" s="1172"/>
      <c r="U60" s="1172" t="s">
        <v>1422</v>
      </c>
      <c r="V60" s="1172"/>
      <c r="W60" s="1176">
        <v>6500</v>
      </c>
      <c r="X60" s="1172"/>
      <c r="Y60" s="1176"/>
      <c r="Z60" s="1172"/>
      <c r="AA60" s="1176">
        <v>364079.35999999999</v>
      </c>
    </row>
    <row r="61" spans="1:27" ht="15" hidden="1" outlineLevel="1" thickBot="1" x14ac:dyDescent="0.35">
      <c r="A61" s="1172"/>
      <c r="B61" s="1172"/>
      <c r="C61" s="1172"/>
      <c r="D61" s="1172"/>
      <c r="E61" s="1172"/>
      <c r="F61" s="1172"/>
      <c r="G61" s="1172" t="s">
        <v>1395</v>
      </c>
      <c r="H61" s="1172"/>
      <c r="I61" s="1173">
        <v>44508</v>
      </c>
      <c r="J61" s="1172"/>
      <c r="K61" s="1172" t="s">
        <v>1458</v>
      </c>
      <c r="L61" s="1172"/>
      <c r="M61" s="1174" t="s">
        <v>1397</v>
      </c>
      <c r="N61" s="1172"/>
      <c r="O61" s="1172"/>
      <c r="P61" s="1172"/>
      <c r="Q61" s="1172" t="s">
        <v>1459</v>
      </c>
      <c r="R61" s="1172"/>
      <c r="S61" s="1175" t="s">
        <v>1397</v>
      </c>
      <c r="T61" s="1172"/>
      <c r="U61" s="1172" t="s">
        <v>1419</v>
      </c>
      <c r="V61" s="1172"/>
      <c r="W61" s="1176"/>
      <c r="X61" s="1172"/>
      <c r="Y61" s="1176">
        <v>10500</v>
      </c>
      <c r="Z61" s="1172"/>
      <c r="AA61" s="1176">
        <v>353579.36</v>
      </c>
    </row>
    <row r="62" spans="1:27" ht="15" hidden="1" outlineLevel="1" thickBot="1" x14ac:dyDescent="0.35">
      <c r="A62" s="1172"/>
      <c r="B62" s="1172"/>
      <c r="C62" s="1172"/>
      <c r="D62" s="1172"/>
      <c r="E62" s="1172"/>
      <c r="F62" s="1172"/>
      <c r="G62" s="1172" t="s">
        <v>1395</v>
      </c>
      <c r="H62" s="1172"/>
      <c r="I62" s="1173">
        <v>44510</v>
      </c>
      <c r="J62" s="1172"/>
      <c r="K62" s="1172" t="s">
        <v>1460</v>
      </c>
      <c r="L62" s="1172"/>
      <c r="M62" s="1174" t="s">
        <v>1397</v>
      </c>
      <c r="N62" s="1172"/>
      <c r="O62" s="1172"/>
      <c r="P62" s="1172"/>
      <c r="Q62" s="1172" t="s">
        <v>1427</v>
      </c>
      <c r="R62" s="1172"/>
      <c r="S62" s="1175" t="s">
        <v>1397</v>
      </c>
      <c r="T62" s="1172"/>
      <c r="U62" s="1172" t="s">
        <v>1422</v>
      </c>
      <c r="V62" s="1172"/>
      <c r="W62" s="1176">
        <v>3000</v>
      </c>
      <c r="X62" s="1172"/>
      <c r="Y62" s="1176"/>
      <c r="Z62" s="1172"/>
      <c r="AA62" s="1176">
        <v>356579.36</v>
      </c>
    </row>
    <row r="63" spans="1:27" ht="15" hidden="1" outlineLevel="1" thickBot="1" x14ac:dyDescent="0.35">
      <c r="A63" s="1172"/>
      <c r="B63" s="1172"/>
      <c r="C63" s="1172"/>
      <c r="D63" s="1172"/>
      <c r="E63" s="1172"/>
      <c r="F63" s="1172"/>
      <c r="G63" s="1172" t="s">
        <v>1395</v>
      </c>
      <c r="H63" s="1172"/>
      <c r="I63" s="1173">
        <v>44512</v>
      </c>
      <c r="J63" s="1172"/>
      <c r="K63" s="1172" t="s">
        <v>1461</v>
      </c>
      <c r="L63" s="1172"/>
      <c r="M63" s="1174" t="s">
        <v>1397</v>
      </c>
      <c r="N63" s="1172"/>
      <c r="O63" s="1172"/>
      <c r="P63" s="1172"/>
      <c r="Q63" s="1172" t="s">
        <v>1427</v>
      </c>
      <c r="R63" s="1172"/>
      <c r="S63" s="1175" t="s">
        <v>1397</v>
      </c>
      <c r="T63" s="1172"/>
      <c r="U63" s="1172" t="s">
        <v>1422</v>
      </c>
      <c r="V63" s="1172"/>
      <c r="W63" s="1176">
        <v>11500</v>
      </c>
      <c r="X63" s="1172"/>
      <c r="Y63" s="1176"/>
      <c r="Z63" s="1172"/>
      <c r="AA63" s="1176">
        <v>368079.35999999999</v>
      </c>
    </row>
    <row r="64" spans="1:27" ht="15" hidden="1" outlineLevel="1" thickBot="1" x14ac:dyDescent="0.35">
      <c r="A64" s="1172"/>
      <c r="B64" s="1172"/>
      <c r="C64" s="1172"/>
      <c r="D64" s="1172"/>
      <c r="E64" s="1172"/>
      <c r="F64" s="1172"/>
      <c r="G64" s="1172" t="s">
        <v>1395</v>
      </c>
      <c r="H64" s="1172"/>
      <c r="I64" s="1173">
        <v>44512</v>
      </c>
      <c r="J64" s="1172"/>
      <c r="K64" s="1172" t="s">
        <v>1462</v>
      </c>
      <c r="L64" s="1172"/>
      <c r="M64" s="1174" t="s">
        <v>1397</v>
      </c>
      <c r="N64" s="1172"/>
      <c r="O64" s="1172"/>
      <c r="P64" s="1172"/>
      <c r="Q64" s="1172" t="s">
        <v>1463</v>
      </c>
      <c r="R64" s="1172"/>
      <c r="S64" s="1175" t="s">
        <v>1397</v>
      </c>
      <c r="T64" s="1172"/>
      <c r="U64" s="1172" t="s">
        <v>1422</v>
      </c>
      <c r="V64" s="1172"/>
      <c r="W64" s="1176">
        <v>14982.5</v>
      </c>
      <c r="X64" s="1172"/>
      <c r="Y64" s="1176"/>
      <c r="Z64" s="1172"/>
      <c r="AA64" s="1176">
        <v>383061.86</v>
      </c>
    </row>
    <row r="65" spans="1:27" ht="15" hidden="1" outlineLevel="1" thickBot="1" x14ac:dyDescent="0.35">
      <c r="A65" s="1172"/>
      <c r="B65" s="1172"/>
      <c r="C65" s="1172"/>
      <c r="D65" s="1172"/>
      <c r="E65" s="1172"/>
      <c r="F65" s="1172"/>
      <c r="G65" s="1172" t="s">
        <v>1395</v>
      </c>
      <c r="H65" s="1172"/>
      <c r="I65" s="1173">
        <v>44515</v>
      </c>
      <c r="J65" s="1172"/>
      <c r="K65" s="1172" t="s">
        <v>1464</v>
      </c>
      <c r="L65" s="1172"/>
      <c r="M65" s="1174" t="s">
        <v>1397</v>
      </c>
      <c r="N65" s="1172"/>
      <c r="O65" s="1172"/>
      <c r="P65" s="1172"/>
      <c r="Q65" s="1172" t="s">
        <v>1427</v>
      </c>
      <c r="R65" s="1172"/>
      <c r="S65" s="1175" t="s">
        <v>1397</v>
      </c>
      <c r="T65" s="1172"/>
      <c r="U65" s="1172" t="s">
        <v>1422</v>
      </c>
      <c r="V65" s="1172"/>
      <c r="W65" s="1176">
        <v>20583</v>
      </c>
      <c r="X65" s="1172"/>
      <c r="Y65" s="1176"/>
      <c r="Z65" s="1172"/>
      <c r="AA65" s="1176">
        <v>403644.86</v>
      </c>
    </row>
    <row r="66" spans="1:27" ht="15" hidden="1" outlineLevel="1" thickBot="1" x14ac:dyDescent="0.35">
      <c r="A66" s="1172"/>
      <c r="B66" s="1172"/>
      <c r="C66" s="1172"/>
      <c r="D66" s="1172"/>
      <c r="E66" s="1172"/>
      <c r="F66" s="1172"/>
      <c r="G66" s="1172" t="s">
        <v>1395</v>
      </c>
      <c r="H66" s="1172"/>
      <c r="I66" s="1173">
        <v>44515</v>
      </c>
      <c r="J66" s="1172"/>
      <c r="K66" s="1172" t="s">
        <v>1464</v>
      </c>
      <c r="L66" s="1172"/>
      <c r="M66" s="1174" t="s">
        <v>1397</v>
      </c>
      <c r="N66" s="1172"/>
      <c r="O66" s="1172"/>
      <c r="P66" s="1172"/>
      <c r="Q66" s="1172" t="s">
        <v>1465</v>
      </c>
      <c r="R66" s="1172"/>
      <c r="S66" s="1175" t="s">
        <v>1397</v>
      </c>
      <c r="T66" s="1172"/>
      <c r="U66" s="1172" t="s">
        <v>1394</v>
      </c>
      <c r="V66" s="1172"/>
      <c r="W66" s="1176"/>
      <c r="X66" s="1172"/>
      <c r="Y66" s="1176">
        <v>13</v>
      </c>
      <c r="Z66" s="1172"/>
      <c r="AA66" s="1176">
        <v>403631.86</v>
      </c>
    </row>
    <row r="67" spans="1:27" ht="15" hidden="1" outlineLevel="1" thickBot="1" x14ac:dyDescent="0.35">
      <c r="A67" s="1172"/>
      <c r="B67" s="1172"/>
      <c r="C67" s="1172"/>
      <c r="D67" s="1172"/>
      <c r="E67" s="1172"/>
      <c r="F67" s="1172"/>
      <c r="G67" s="1172" t="s">
        <v>1395</v>
      </c>
      <c r="H67" s="1172"/>
      <c r="I67" s="1173">
        <v>44516</v>
      </c>
      <c r="J67" s="1172"/>
      <c r="K67" s="1172" t="s">
        <v>1466</v>
      </c>
      <c r="L67" s="1172"/>
      <c r="M67" s="1174" t="s">
        <v>1397</v>
      </c>
      <c r="N67" s="1172"/>
      <c r="O67" s="1172"/>
      <c r="P67" s="1172"/>
      <c r="Q67" s="1172" t="s">
        <v>1463</v>
      </c>
      <c r="R67" s="1172"/>
      <c r="S67" s="1175" t="s">
        <v>1397</v>
      </c>
      <c r="T67" s="1172"/>
      <c r="U67" s="1172" t="s">
        <v>1422</v>
      </c>
      <c r="V67" s="1172"/>
      <c r="W67" s="1176">
        <v>19982.5</v>
      </c>
      <c r="X67" s="1172"/>
      <c r="Y67" s="1176"/>
      <c r="Z67" s="1172"/>
      <c r="AA67" s="1176">
        <v>423614.36</v>
      </c>
    </row>
    <row r="68" spans="1:27" ht="15" hidden="1" outlineLevel="1" thickBot="1" x14ac:dyDescent="0.35">
      <c r="A68" s="1172"/>
      <c r="B68" s="1172"/>
      <c r="C68" s="1172"/>
      <c r="D68" s="1172"/>
      <c r="E68" s="1172"/>
      <c r="F68" s="1172"/>
      <c r="G68" s="1172" t="s">
        <v>1395</v>
      </c>
      <c r="H68" s="1172"/>
      <c r="I68" s="1173">
        <v>44516</v>
      </c>
      <c r="J68" s="1172"/>
      <c r="K68" s="1172" t="s">
        <v>1467</v>
      </c>
      <c r="L68" s="1172"/>
      <c r="M68" s="1174" t="s">
        <v>1397</v>
      </c>
      <c r="N68" s="1172"/>
      <c r="O68" s="1172"/>
      <c r="P68" s="1172"/>
      <c r="Q68" s="1172" t="s">
        <v>1463</v>
      </c>
      <c r="R68" s="1172"/>
      <c r="S68" s="1175" t="s">
        <v>1397</v>
      </c>
      <c r="T68" s="1172"/>
      <c r="U68" s="1172" t="s">
        <v>1422</v>
      </c>
      <c r="V68" s="1172"/>
      <c r="W68" s="1176">
        <v>2000</v>
      </c>
      <c r="X68" s="1172"/>
      <c r="Y68" s="1176"/>
      <c r="Z68" s="1172"/>
      <c r="AA68" s="1176">
        <v>425614.36</v>
      </c>
    </row>
    <row r="69" spans="1:27" ht="15" hidden="1" outlineLevel="1" thickBot="1" x14ac:dyDescent="0.35">
      <c r="A69" s="1172"/>
      <c r="B69" s="1172"/>
      <c r="C69" s="1172"/>
      <c r="D69" s="1172"/>
      <c r="E69" s="1172"/>
      <c r="F69" s="1172"/>
      <c r="G69" s="1172" t="s">
        <v>1395</v>
      </c>
      <c r="H69" s="1172"/>
      <c r="I69" s="1173">
        <v>44518</v>
      </c>
      <c r="J69" s="1172"/>
      <c r="K69" s="1172" t="s">
        <v>1468</v>
      </c>
      <c r="L69" s="1172"/>
      <c r="M69" s="1174" t="s">
        <v>1397</v>
      </c>
      <c r="N69" s="1172"/>
      <c r="O69" s="1172"/>
      <c r="P69" s="1172"/>
      <c r="Q69" s="1172" t="s">
        <v>1427</v>
      </c>
      <c r="R69" s="1172"/>
      <c r="S69" s="1175" t="s">
        <v>1397</v>
      </c>
      <c r="T69" s="1172"/>
      <c r="U69" s="1172" t="s">
        <v>1422</v>
      </c>
      <c r="V69" s="1172"/>
      <c r="W69" s="1176">
        <v>4200</v>
      </c>
      <c r="X69" s="1172"/>
      <c r="Y69" s="1176"/>
      <c r="Z69" s="1172"/>
      <c r="AA69" s="1176">
        <v>429814.36</v>
      </c>
    </row>
    <row r="70" spans="1:27" ht="15" hidden="1" outlineLevel="1" thickBot="1" x14ac:dyDescent="0.35">
      <c r="A70" s="1172"/>
      <c r="B70" s="1172"/>
      <c r="C70" s="1172"/>
      <c r="D70" s="1172"/>
      <c r="E70" s="1172"/>
      <c r="F70" s="1172"/>
      <c r="G70" s="1172" t="s">
        <v>1395</v>
      </c>
      <c r="H70" s="1172"/>
      <c r="I70" s="1173">
        <v>44519</v>
      </c>
      <c r="J70" s="1172"/>
      <c r="K70" s="1172" t="s">
        <v>1469</v>
      </c>
      <c r="L70" s="1172"/>
      <c r="M70" s="1174" t="s">
        <v>1397</v>
      </c>
      <c r="N70" s="1172"/>
      <c r="O70" s="1172"/>
      <c r="P70" s="1172"/>
      <c r="Q70" s="1172" t="s">
        <v>1427</v>
      </c>
      <c r="R70" s="1172"/>
      <c r="S70" s="1175" t="s">
        <v>1397</v>
      </c>
      <c r="T70" s="1172"/>
      <c r="U70" s="1172" t="s">
        <v>1422</v>
      </c>
      <c r="V70" s="1172"/>
      <c r="W70" s="1176">
        <v>1800</v>
      </c>
      <c r="X70" s="1172"/>
      <c r="Y70" s="1176"/>
      <c r="Z70" s="1172"/>
      <c r="AA70" s="1176">
        <v>431614.36</v>
      </c>
    </row>
    <row r="71" spans="1:27" ht="15" hidden="1" outlineLevel="1" thickBot="1" x14ac:dyDescent="0.35">
      <c r="A71" s="1172"/>
      <c r="B71" s="1172"/>
      <c r="C71" s="1172"/>
      <c r="D71" s="1172"/>
      <c r="E71" s="1172"/>
      <c r="F71" s="1172"/>
      <c r="G71" s="1172" t="s">
        <v>1395</v>
      </c>
      <c r="H71" s="1172"/>
      <c r="I71" s="1173">
        <v>44519</v>
      </c>
      <c r="J71" s="1172"/>
      <c r="K71" s="1172" t="s">
        <v>1470</v>
      </c>
      <c r="L71" s="1172"/>
      <c r="M71" s="1174" t="s">
        <v>1397</v>
      </c>
      <c r="N71" s="1172"/>
      <c r="O71" s="1172"/>
      <c r="P71" s="1172"/>
      <c r="Q71" s="1172" t="s">
        <v>1455</v>
      </c>
      <c r="R71" s="1172"/>
      <c r="S71" s="1175" t="s">
        <v>1397</v>
      </c>
      <c r="T71" s="1172"/>
      <c r="U71" s="1172" t="s">
        <v>1456</v>
      </c>
      <c r="V71" s="1172"/>
      <c r="W71" s="1176"/>
      <c r="X71" s="1172"/>
      <c r="Y71" s="1176">
        <v>1000</v>
      </c>
      <c r="Z71" s="1172"/>
      <c r="AA71" s="1176">
        <v>430614.36</v>
      </c>
    </row>
    <row r="72" spans="1:27" ht="15" hidden="1" outlineLevel="1" thickBot="1" x14ac:dyDescent="0.35">
      <c r="A72" s="1172"/>
      <c r="B72" s="1172"/>
      <c r="C72" s="1172"/>
      <c r="D72" s="1172"/>
      <c r="E72" s="1172"/>
      <c r="F72" s="1172"/>
      <c r="G72" s="1172" t="s">
        <v>1395</v>
      </c>
      <c r="H72" s="1172"/>
      <c r="I72" s="1173">
        <v>44522</v>
      </c>
      <c r="J72" s="1172"/>
      <c r="K72" s="1172" t="s">
        <v>1471</v>
      </c>
      <c r="L72" s="1172"/>
      <c r="M72" s="1174" t="s">
        <v>1397</v>
      </c>
      <c r="N72" s="1172"/>
      <c r="O72" s="1172"/>
      <c r="P72" s="1172"/>
      <c r="Q72" s="1172" t="s">
        <v>1427</v>
      </c>
      <c r="R72" s="1172"/>
      <c r="S72" s="1175" t="s">
        <v>1397</v>
      </c>
      <c r="T72" s="1172"/>
      <c r="U72" s="1172" t="s">
        <v>1422</v>
      </c>
      <c r="V72" s="1172"/>
      <c r="W72" s="1176">
        <v>11600</v>
      </c>
      <c r="X72" s="1172"/>
      <c r="Y72" s="1176"/>
      <c r="Z72" s="1172"/>
      <c r="AA72" s="1176">
        <v>442214.36</v>
      </c>
    </row>
    <row r="73" spans="1:27" ht="15" hidden="1" outlineLevel="1" thickBot="1" x14ac:dyDescent="0.35">
      <c r="A73" s="1172"/>
      <c r="B73" s="1172"/>
      <c r="C73" s="1172"/>
      <c r="D73" s="1172"/>
      <c r="E73" s="1172"/>
      <c r="F73" s="1172"/>
      <c r="G73" s="1172" t="s">
        <v>1395</v>
      </c>
      <c r="H73" s="1172"/>
      <c r="I73" s="1173">
        <v>44530</v>
      </c>
      <c r="J73" s="1172"/>
      <c r="K73" s="1172" t="s">
        <v>1472</v>
      </c>
      <c r="L73" s="1172"/>
      <c r="M73" s="1174" t="s">
        <v>1397</v>
      </c>
      <c r="N73" s="1172"/>
      <c r="O73" s="1172"/>
      <c r="P73" s="1172"/>
      <c r="Q73" s="1172" t="s">
        <v>1473</v>
      </c>
      <c r="R73" s="1172"/>
      <c r="S73" s="1175" t="s">
        <v>1397</v>
      </c>
      <c r="T73" s="1172"/>
      <c r="U73" s="1172" t="s">
        <v>1456</v>
      </c>
      <c r="V73" s="1172"/>
      <c r="W73" s="1176">
        <v>2500</v>
      </c>
      <c r="X73" s="1172"/>
      <c r="Y73" s="1176"/>
      <c r="Z73" s="1172"/>
      <c r="AA73" s="1176">
        <v>444714.36</v>
      </c>
    </row>
    <row r="74" spans="1:27" ht="15" hidden="1" outlineLevel="1" thickBot="1" x14ac:dyDescent="0.35">
      <c r="A74" s="1172"/>
      <c r="B74" s="1172"/>
      <c r="C74" s="1172"/>
      <c r="D74" s="1172"/>
      <c r="E74" s="1172"/>
      <c r="F74" s="1172"/>
      <c r="G74" s="1172" t="s">
        <v>1395</v>
      </c>
      <c r="H74" s="1172"/>
      <c r="I74" s="1173">
        <v>44531</v>
      </c>
      <c r="J74" s="1172"/>
      <c r="K74" s="1172" t="s">
        <v>1474</v>
      </c>
      <c r="L74" s="1172"/>
      <c r="M74" s="1174" t="s">
        <v>1397</v>
      </c>
      <c r="N74" s="1172"/>
      <c r="O74" s="1172"/>
      <c r="P74" s="1172"/>
      <c r="Q74" s="1172" t="s">
        <v>1427</v>
      </c>
      <c r="R74" s="1172"/>
      <c r="S74" s="1175" t="s">
        <v>1397</v>
      </c>
      <c r="T74" s="1172"/>
      <c r="U74" s="1172" t="s">
        <v>1423</v>
      </c>
      <c r="V74" s="1172"/>
      <c r="W74" s="1176">
        <v>5000</v>
      </c>
      <c r="X74" s="1172"/>
      <c r="Y74" s="1176"/>
      <c r="Z74" s="1172"/>
      <c r="AA74" s="1176">
        <v>449714.36</v>
      </c>
    </row>
    <row r="75" spans="1:27" ht="15" hidden="1" outlineLevel="1" thickBot="1" x14ac:dyDescent="0.35">
      <c r="A75" s="1172"/>
      <c r="B75" s="1172"/>
      <c r="C75" s="1172"/>
      <c r="D75" s="1172"/>
      <c r="E75" s="1172"/>
      <c r="F75" s="1172"/>
      <c r="G75" s="1172" t="s">
        <v>1395</v>
      </c>
      <c r="H75" s="1172"/>
      <c r="I75" s="1173">
        <v>44536</v>
      </c>
      <c r="J75" s="1172"/>
      <c r="K75" s="1172" t="s">
        <v>1475</v>
      </c>
      <c r="L75" s="1172"/>
      <c r="M75" s="1174" t="s">
        <v>1397</v>
      </c>
      <c r="N75" s="1172"/>
      <c r="O75" s="1172"/>
      <c r="P75" s="1172"/>
      <c r="Q75" s="1172" t="s">
        <v>1427</v>
      </c>
      <c r="R75" s="1172"/>
      <c r="S75" s="1175" t="s">
        <v>1397</v>
      </c>
      <c r="T75" s="1172"/>
      <c r="U75" s="1172" t="s">
        <v>1423</v>
      </c>
      <c r="V75" s="1172"/>
      <c r="W75" s="1176">
        <v>1000</v>
      </c>
      <c r="X75" s="1172"/>
      <c r="Y75" s="1176"/>
      <c r="Z75" s="1172"/>
      <c r="AA75" s="1176">
        <v>450714.36</v>
      </c>
    </row>
    <row r="76" spans="1:27" ht="15" hidden="1" outlineLevel="1" thickBot="1" x14ac:dyDescent="0.35">
      <c r="A76" s="1172"/>
      <c r="B76" s="1172"/>
      <c r="C76" s="1172"/>
      <c r="D76" s="1172"/>
      <c r="E76" s="1172"/>
      <c r="F76" s="1172"/>
      <c r="G76" s="1172" t="s">
        <v>1409</v>
      </c>
      <c r="H76" s="1172"/>
      <c r="I76" s="1173">
        <v>44537</v>
      </c>
      <c r="J76" s="1172"/>
      <c r="K76" s="1172" t="s">
        <v>251</v>
      </c>
      <c r="L76" s="1172"/>
      <c r="M76" s="1177"/>
      <c r="N76" s="1172"/>
      <c r="O76" s="1172" t="s">
        <v>1476</v>
      </c>
      <c r="P76" s="1172"/>
      <c r="Q76" s="1172"/>
      <c r="R76" s="1172"/>
      <c r="S76" s="1175" t="s">
        <v>1397</v>
      </c>
      <c r="T76" s="1172"/>
      <c r="U76" s="1172" t="s">
        <v>500</v>
      </c>
      <c r="V76" s="1172"/>
      <c r="W76" s="1176"/>
      <c r="X76" s="1172"/>
      <c r="Y76" s="1176">
        <v>5250</v>
      </c>
      <c r="Z76" s="1172"/>
      <c r="AA76" s="1176">
        <v>445464.36</v>
      </c>
    </row>
    <row r="77" spans="1:27" ht="15" hidden="1" outlineLevel="1" thickBot="1" x14ac:dyDescent="0.35">
      <c r="A77" s="1172"/>
      <c r="B77" s="1172"/>
      <c r="C77" s="1172"/>
      <c r="D77" s="1172"/>
      <c r="E77" s="1172"/>
      <c r="F77" s="1172"/>
      <c r="G77" s="1172" t="s">
        <v>1409</v>
      </c>
      <c r="H77" s="1172"/>
      <c r="I77" s="1173">
        <v>44537</v>
      </c>
      <c r="J77" s="1172"/>
      <c r="K77" s="1172" t="s">
        <v>251</v>
      </c>
      <c r="L77" s="1172"/>
      <c r="M77" s="1177"/>
      <c r="N77" s="1172"/>
      <c r="O77" s="1172" t="s">
        <v>1411</v>
      </c>
      <c r="P77" s="1172"/>
      <c r="Q77" s="1172"/>
      <c r="R77" s="1172"/>
      <c r="S77" s="1175" t="s">
        <v>1397</v>
      </c>
      <c r="T77" s="1172"/>
      <c r="U77" s="1172" t="s">
        <v>500</v>
      </c>
      <c r="V77" s="1172"/>
      <c r="W77" s="1176"/>
      <c r="X77" s="1172"/>
      <c r="Y77" s="1176">
        <v>105</v>
      </c>
      <c r="Z77" s="1172"/>
      <c r="AA77" s="1176">
        <v>445359.35999999999</v>
      </c>
    </row>
    <row r="78" spans="1:27" ht="15" hidden="1" outlineLevel="1" thickBot="1" x14ac:dyDescent="0.35">
      <c r="A78" s="1172"/>
      <c r="B78" s="1172"/>
      <c r="C78" s="1172"/>
      <c r="D78" s="1172"/>
      <c r="E78" s="1172"/>
      <c r="F78" s="1172"/>
      <c r="G78" s="1172" t="s">
        <v>1409</v>
      </c>
      <c r="H78" s="1172"/>
      <c r="I78" s="1173">
        <v>44537</v>
      </c>
      <c r="J78" s="1172"/>
      <c r="K78" s="1172" t="s">
        <v>251</v>
      </c>
      <c r="L78" s="1172"/>
      <c r="M78" s="1177"/>
      <c r="N78" s="1172"/>
      <c r="O78" s="1172" t="s">
        <v>1437</v>
      </c>
      <c r="P78" s="1172"/>
      <c r="Q78" s="1172"/>
      <c r="R78" s="1172"/>
      <c r="S78" s="1175" t="s">
        <v>1397</v>
      </c>
      <c r="T78" s="1172"/>
      <c r="U78" s="1172" t="s">
        <v>500</v>
      </c>
      <c r="V78" s="1172"/>
      <c r="W78" s="1176"/>
      <c r="X78" s="1172"/>
      <c r="Y78" s="1176">
        <v>1575</v>
      </c>
      <c r="Z78" s="1172"/>
      <c r="AA78" s="1176">
        <v>443784.36</v>
      </c>
    </row>
    <row r="79" spans="1:27" ht="15" hidden="1" outlineLevel="1" thickBot="1" x14ac:dyDescent="0.35">
      <c r="A79" s="1172"/>
      <c r="B79" s="1172"/>
      <c r="C79" s="1172"/>
      <c r="D79" s="1172"/>
      <c r="E79" s="1172"/>
      <c r="F79" s="1172"/>
      <c r="G79" s="1172" t="s">
        <v>1395</v>
      </c>
      <c r="H79" s="1172"/>
      <c r="I79" s="1173">
        <v>44538</v>
      </c>
      <c r="J79" s="1172"/>
      <c r="K79" s="1172" t="s">
        <v>1477</v>
      </c>
      <c r="L79" s="1172"/>
      <c r="M79" s="1174" t="s">
        <v>1397</v>
      </c>
      <c r="N79" s="1172"/>
      <c r="O79" s="1172"/>
      <c r="P79" s="1172"/>
      <c r="Q79" s="1172" t="s">
        <v>1455</v>
      </c>
      <c r="R79" s="1172"/>
      <c r="S79" s="1175" t="s">
        <v>1397</v>
      </c>
      <c r="T79" s="1172"/>
      <c r="U79" s="1172" t="s">
        <v>1456</v>
      </c>
      <c r="V79" s="1172"/>
      <c r="W79" s="1176"/>
      <c r="X79" s="1172"/>
      <c r="Y79" s="1176">
        <v>5000</v>
      </c>
      <c r="Z79" s="1172"/>
      <c r="AA79" s="1176">
        <v>438784.36</v>
      </c>
    </row>
    <row r="80" spans="1:27" ht="15" hidden="1" outlineLevel="1" thickBot="1" x14ac:dyDescent="0.35">
      <c r="A80" s="1172"/>
      <c r="B80" s="1172"/>
      <c r="C80" s="1172"/>
      <c r="D80" s="1172"/>
      <c r="E80" s="1172"/>
      <c r="F80" s="1172"/>
      <c r="G80" s="1172" t="s">
        <v>1395</v>
      </c>
      <c r="H80" s="1172"/>
      <c r="I80" s="1173">
        <v>44545</v>
      </c>
      <c r="J80" s="1172"/>
      <c r="K80" s="1172" t="s">
        <v>1478</v>
      </c>
      <c r="L80" s="1172"/>
      <c r="M80" s="1174" t="s">
        <v>1397</v>
      </c>
      <c r="N80" s="1172"/>
      <c r="O80" s="1172"/>
      <c r="P80" s="1172"/>
      <c r="Q80" s="1172" t="s">
        <v>1427</v>
      </c>
      <c r="R80" s="1172"/>
      <c r="S80" s="1175" t="s">
        <v>1397</v>
      </c>
      <c r="T80" s="1172"/>
      <c r="U80" s="1172" t="s">
        <v>1423</v>
      </c>
      <c r="V80" s="1172"/>
      <c r="W80" s="1176">
        <v>10000</v>
      </c>
      <c r="X80" s="1172"/>
      <c r="Y80" s="1176"/>
      <c r="Z80" s="1172"/>
      <c r="AA80" s="1176">
        <v>448784.36</v>
      </c>
    </row>
    <row r="81" spans="1:27" ht="15" hidden="1" outlineLevel="1" thickBot="1" x14ac:dyDescent="0.35">
      <c r="A81" s="1172"/>
      <c r="B81" s="1172"/>
      <c r="C81" s="1172"/>
      <c r="D81" s="1172"/>
      <c r="E81" s="1172"/>
      <c r="F81" s="1172"/>
      <c r="G81" s="1172" t="s">
        <v>1409</v>
      </c>
      <c r="H81" s="1172"/>
      <c r="I81" s="1173">
        <v>44567</v>
      </c>
      <c r="J81" s="1172"/>
      <c r="K81" s="1172" t="s">
        <v>251</v>
      </c>
      <c r="L81" s="1172"/>
      <c r="M81" s="1177"/>
      <c r="N81" s="1172"/>
      <c r="O81" s="1172" t="s">
        <v>1411</v>
      </c>
      <c r="P81" s="1172"/>
      <c r="Q81" s="1172"/>
      <c r="R81" s="1172"/>
      <c r="S81" s="1175" t="s">
        <v>1397</v>
      </c>
      <c r="T81" s="1172"/>
      <c r="U81" s="1172" t="s">
        <v>500</v>
      </c>
      <c r="V81" s="1172"/>
      <c r="W81" s="1176"/>
      <c r="X81" s="1172"/>
      <c r="Y81" s="1176">
        <v>105</v>
      </c>
      <c r="Z81" s="1172"/>
      <c r="AA81" s="1176">
        <v>448679.36</v>
      </c>
    </row>
    <row r="82" spans="1:27" ht="15" hidden="1" outlineLevel="1" thickBot="1" x14ac:dyDescent="0.35">
      <c r="A82" s="1172"/>
      <c r="B82" s="1172"/>
      <c r="C82" s="1172"/>
      <c r="D82" s="1172"/>
      <c r="E82" s="1172"/>
      <c r="F82" s="1172"/>
      <c r="G82" s="1172" t="s">
        <v>1409</v>
      </c>
      <c r="H82" s="1172"/>
      <c r="I82" s="1173">
        <v>44567</v>
      </c>
      <c r="J82" s="1172"/>
      <c r="K82" s="1172" t="s">
        <v>251</v>
      </c>
      <c r="L82" s="1172"/>
      <c r="M82" s="1177"/>
      <c r="N82" s="1172"/>
      <c r="O82" s="1172" t="s">
        <v>1437</v>
      </c>
      <c r="P82" s="1172"/>
      <c r="Q82" s="1172"/>
      <c r="R82" s="1172"/>
      <c r="S82" s="1175" t="s">
        <v>1397</v>
      </c>
      <c r="T82" s="1172"/>
      <c r="U82" s="1172" t="s">
        <v>500</v>
      </c>
      <c r="V82" s="1172"/>
      <c r="W82" s="1176"/>
      <c r="X82" s="1172"/>
      <c r="Y82" s="1176">
        <v>1575</v>
      </c>
      <c r="Z82" s="1172"/>
      <c r="AA82" s="1176">
        <v>447104.36</v>
      </c>
    </row>
    <row r="83" spans="1:27" ht="15" hidden="1" outlineLevel="1" thickBot="1" x14ac:dyDescent="0.35">
      <c r="A83" s="1172"/>
      <c r="B83" s="1172"/>
      <c r="C83" s="1172"/>
      <c r="D83" s="1172"/>
      <c r="E83" s="1172"/>
      <c r="F83" s="1172"/>
      <c r="G83" s="1172" t="s">
        <v>1409</v>
      </c>
      <c r="H83" s="1172"/>
      <c r="I83" s="1173">
        <v>44595</v>
      </c>
      <c r="J83" s="1172"/>
      <c r="K83" s="1172" t="s">
        <v>251</v>
      </c>
      <c r="L83" s="1172"/>
      <c r="M83" s="1177"/>
      <c r="N83" s="1172"/>
      <c r="O83" s="1172" t="s">
        <v>1411</v>
      </c>
      <c r="P83" s="1172"/>
      <c r="Q83" s="1172"/>
      <c r="R83" s="1172"/>
      <c r="S83" s="1175" t="s">
        <v>1397</v>
      </c>
      <c r="T83" s="1172"/>
      <c r="U83" s="1172" t="s">
        <v>500</v>
      </c>
      <c r="V83" s="1172"/>
      <c r="W83" s="1176"/>
      <c r="X83" s="1172"/>
      <c r="Y83" s="1176">
        <v>105</v>
      </c>
      <c r="Z83" s="1172"/>
      <c r="AA83" s="1176">
        <v>446999.36</v>
      </c>
    </row>
    <row r="84" spans="1:27" ht="15" hidden="1" outlineLevel="1" thickBot="1" x14ac:dyDescent="0.35">
      <c r="A84" s="1172"/>
      <c r="B84" s="1172"/>
      <c r="C84" s="1172"/>
      <c r="D84" s="1172"/>
      <c r="E84" s="1172"/>
      <c r="F84" s="1172"/>
      <c r="G84" s="1172" t="s">
        <v>1409</v>
      </c>
      <c r="H84" s="1172"/>
      <c r="I84" s="1173">
        <v>44627</v>
      </c>
      <c r="J84" s="1172"/>
      <c r="K84" s="1172" t="s">
        <v>251</v>
      </c>
      <c r="L84" s="1172"/>
      <c r="M84" s="1177"/>
      <c r="N84" s="1172"/>
      <c r="O84" s="1172" t="s">
        <v>1411</v>
      </c>
      <c r="P84" s="1172"/>
      <c r="Q84" s="1172"/>
      <c r="R84" s="1172"/>
      <c r="S84" s="1175" t="s">
        <v>1397</v>
      </c>
      <c r="T84" s="1172"/>
      <c r="U84" s="1172" t="s">
        <v>500</v>
      </c>
      <c r="V84" s="1172"/>
      <c r="W84" s="1176"/>
      <c r="X84" s="1172"/>
      <c r="Y84" s="1176">
        <v>105</v>
      </c>
      <c r="Z84" s="1172"/>
      <c r="AA84" s="1176">
        <v>446894.36</v>
      </c>
    </row>
    <row r="85" spans="1:27" ht="15" hidden="1" outlineLevel="1" thickBot="1" x14ac:dyDescent="0.35">
      <c r="A85" s="1172"/>
      <c r="B85" s="1172"/>
      <c r="C85" s="1172"/>
      <c r="D85" s="1172"/>
      <c r="E85" s="1172"/>
      <c r="F85" s="1172"/>
      <c r="G85" s="1172" t="s">
        <v>1395</v>
      </c>
      <c r="H85" s="1172"/>
      <c r="I85" s="1173">
        <v>44630</v>
      </c>
      <c r="J85" s="1172"/>
      <c r="K85" s="1172" t="s">
        <v>1479</v>
      </c>
      <c r="L85" s="1172"/>
      <c r="M85" s="1174" t="s">
        <v>1397</v>
      </c>
      <c r="N85" s="1172"/>
      <c r="O85" s="1172"/>
      <c r="P85" s="1172"/>
      <c r="Q85" s="1172" t="s">
        <v>1480</v>
      </c>
      <c r="R85" s="1172"/>
      <c r="S85" s="1175" t="s">
        <v>1397</v>
      </c>
      <c r="T85" s="1172"/>
      <c r="U85" s="1172" t="s">
        <v>1422</v>
      </c>
      <c r="V85" s="1172"/>
      <c r="W85" s="1176">
        <v>966.83</v>
      </c>
      <c r="X85" s="1172"/>
      <c r="Y85" s="1176"/>
      <c r="Z85" s="1172"/>
      <c r="AA85" s="1176">
        <v>447861.19</v>
      </c>
    </row>
    <row r="86" spans="1:27" ht="15" hidden="1" outlineLevel="1" thickBot="1" x14ac:dyDescent="0.35">
      <c r="A86" s="1172"/>
      <c r="B86" s="1172"/>
      <c r="C86" s="1172"/>
      <c r="D86" s="1172"/>
      <c r="E86" s="1172"/>
      <c r="F86" s="1172"/>
      <c r="G86" s="1172" t="s">
        <v>1395</v>
      </c>
      <c r="H86" s="1172"/>
      <c r="I86" s="1173">
        <v>44634</v>
      </c>
      <c r="J86" s="1172"/>
      <c r="K86" s="1172" t="s">
        <v>1481</v>
      </c>
      <c r="L86" s="1172"/>
      <c r="M86" s="1174" t="s">
        <v>1397</v>
      </c>
      <c r="N86" s="1172"/>
      <c r="O86" s="1172"/>
      <c r="P86" s="1172"/>
      <c r="Q86" s="1172" t="s">
        <v>1427</v>
      </c>
      <c r="R86" s="1172"/>
      <c r="S86" s="1175" t="s">
        <v>1397</v>
      </c>
      <c r="T86" s="1172"/>
      <c r="U86" s="1172" t="s">
        <v>1422</v>
      </c>
      <c r="V86" s="1172"/>
      <c r="W86" s="1176">
        <v>8000</v>
      </c>
      <c r="X86" s="1172"/>
      <c r="Y86" s="1176"/>
      <c r="Z86" s="1172"/>
      <c r="AA86" s="1176">
        <v>455861.19</v>
      </c>
    </row>
    <row r="87" spans="1:27" ht="15" hidden="1" outlineLevel="1" thickBot="1" x14ac:dyDescent="0.35">
      <c r="A87" s="1172"/>
      <c r="B87" s="1172"/>
      <c r="C87" s="1172"/>
      <c r="D87" s="1172"/>
      <c r="E87" s="1172"/>
      <c r="F87" s="1172"/>
      <c r="G87" s="1172" t="s">
        <v>1409</v>
      </c>
      <c r="H87" s="1172"/>
      <c r="I87" s="1173">
        <v>44651</v>
      </c>
      <c r="J87" s="1172"/>
      <c r="K87" s="1172" t="s">
        <v>251</v>
      </c>
      <c r="L87" s="1172"/>
      <c r="M87" s="1177"/>
      <c r="N87" s="1172"/>
      <c r="O87" s="1172" t="s">
        <v>1411</v>
      </c>
      <c r="P87" s="1172"/>
      <c r="Q87" s="1172"/>
      <c r="R87" s="1172"/>
      <c r="S87" s="1175" t="s">
        <v>1397</v>
      </c>
      <c r="T87" s="1172"/>
      <c r="U87" s="1172" t="s">
        <v>500</v>
      </c>
      <c r="V87" s="1172"/>
      <c r="W87" s="1176"/>
      <c r="X87" s="1172"/>
      <c r="Y87" s="1176">
        <v>105</v>
      </c>
      <c r="Z87" s="1172"/>
      <c r="AA87" s="1176">
        <v>455756.19</v>
      </c>
    </row>
    <row r="88" spans="1:27" ht="15" hidden="1" outlineLevel="1" thickBot="1" x14ac:dyDescent="0.35">
      <c r="A88" s="1172"/>
      <c r="B88" s="1172"/>
      <c r="C88" s="1172"/>
      <c r="D88" s="1172"/>
      <c r="E88" s="1172"/>
      <c r="F88" s="1172"/>
      <c r="G88" s="1172" t="s">
        <v>1409</v>
      </c>
      <c r="H88" s="1172"/>
      <c r="I88" s="1173">
        <v>44680</v>
      </c>
      <c r="J88" s="1172"/>
      <c r="K88" s="1172" t="s">
        <v>251</v>
      </c>
      <c r="L88" s="1172"/>
      <c r="M88" s="1177"/>
      <c r="N88" s="1172"/>
      <c r="O88" s="1172" t="s">
        <v>1411</v>
      </c>
      <c r="P88" s="1172"/>
      <c r="Q88" s="1172"/>
      <c r="R88" s="1172"/>
      <c r="S88" s="1175" t="s">
        <v>1397</v>
      </c>
      <c r="T88" s="1172"/>
      <c r="U88" s="1172" t="s">
        <v>500</v>
      </c>
      <c r="V88" s="1172"/>
      <c r="W88" s="1176"/>
      <c r="X88" s="1172"/>
      <c r="Y88" s="1176">
        <v>105</v>
      </c>
      <c r="Z88" s="1172"/>
      <c r="AA88" s="1176">
        <v>455651.19</v>
      </c>
    </row>
    <row r="89" spans="1:27" ht="15" hidden="1" outlineLevel="1" thickBot="1" x14ac:dyDescent="0.35">
      <c r="A89" s="1172"/>
      <c r="B89" s="1172"/>
      <c r="C89" s="1172"/>
      <c r="D89" s="1172"/>
      <c r="E89" s="1172"/>
      <c r="F89" s="1172"/>
      <c r="G89" s="1172" t="s">
        <v>1482</v>
      </c>
      <c r="H89" s="1172"/>
      <c r="I89" s="1173">
        <v>44681</v>
      </c>
      <c r="J89" s="1172"/>
      <c r="K89" s="1172"/>
      <c r="L89" s="1172"/>
      <c r="M89" s="1177"/>
      <c r="N89" s="1172"/>
      <c r="O89" s="1172"/>
      <c r="P89" s="1172"/>
      <c r="Q89" s="1172" t="s">
        <v>1483</v>
      </c>
      <c r="R89" s="1172"/>
      <c r="S89" s="1175" t="s">
        <v>1397</v>
      </c>
      <c r="T89" s="1172"/>
      <c r="U89" s="1172" t="s">
        <v>1408</v>
      </c>
      <c r="V89" s="1172"/>
      <c r="W89" s="1176"/>
      <c r="X89" s="1172"/>
      <c r="Y89" s="1176">
        <v>2</v>
      </c>
      <c r="Z89" s="1172"/>
      <c r="AA89" s="1176">
        <v>455649.19</v>
      </c>
    </row>
    <row r="90" spans="1:27" ht="15" hidden="1" outlineLevel="1" thickBot="1" x14ac:dyDescent="0.35">
      <c r="A90" s="1172"/>
      <c r="B90" s="1172"/>
      <c r="C90" s="1172"/>
      <c r="D90" s="1172"/>
      <c r="E90" s="1172"/>
      <c r="F90" s="1172"/>
      <c r="G90" s="1172" t="s">
        <v>1395</v>
      </c>
      <c r="H90" s="1172"/>
      <c r="I90" s="1173">
        <v>44683</v>
      </c>
      <c r="J90" s="1172"/>
      <c r="K90" s="1172" t="s">
        <v>1484</v>
      </c>
      <c r="L90" s="1172"/>
      <c r="M90" s="1174" t="s">
        <v>1397</v>
      </c>
      <c r="N90" s="1172"/>
      <c r="O90" s="1172"/>
      <c r="P90" s="1172"/>
      <c r="Q90" s="1172" t="s">
        <v>1485</v>
      </c>
      <c r="R90" s="1172"/>
      <c r="S90" s="1175" t="s">
        <v>1397</v>
      </c>
      <c r="T90" s="1172"/>
      <c r="U90" s="1172" t="s">
        <v>1423</v>
      </c>
      <c r="V90" s="1172"/>
      <c r="W90" s="1176">
        <v>15000</v>
      </c>
      <c r="X90" s="1172"/>
      <c r="Y90" s="1176"/>
      <c r="Z90" s="1172"/>
      <c r="AA90" s="1176">
        <v>470649.19</v>
      </c>
    </row>
    <row r="91" spans="1:27" ht="15" hidden="1" outlineLevel="1" thickBot="1" x14ac:dyDescent="0.35">
      <c r="A91" s="1172"/>
      <c r="B91" s="1172"/>
      <c r="C91" s="1172"/>
      <c r="D91" s="1172"/>
      <c r="E91" s="1172"/>
      <c r="F91" s="1172"/>
      <c r="G91" s="1172" t="s">
        <v>1409</v>
      </c>
      <c r="H91" s="1172"/>
      <c r="I91" s="1173">
        <v>44715</v>
      </c>
      <c r="J91" s="1172"/>
      <c r="K91" s="1172" t="s">
        <v>251</v>
      </c>
      <c r="L91" s="1172"/>
      <c r="M91" s="1177"/>
      <c r="N91" s="1172"/>
      <c r="O91" s="1172" t="s">
        <v>1411</v>
      </c>
      <c r="P91" s="1172"/>
      <c r="Q91" s="1172"/>
      <c r="R91" s="1172"/>
      <c r="S91" s="1175" t="s">
        <v>1397</v>
      </c>
      <c r="T91" s="1172"/>
      <c r="U91" s="1172" t="s">
        <v>500</v>
      </c>
      <c r="V91" s="1172"/>
      <c r="W91" s="1176"/>
      <c r="X91" s="1172"/>
      <c r="Y91" s="1176">
        <v>105</v>
      </c>
      <c r="Z91" s="1172"/>
      <c r="AA91" s="1176">
        <v>470544.19</v>
      </c>
    </row>
    <row r="92" spans="1:27" ht="15" hidden="1" outlineLevel="1" thickBot="1" x14ac:dyDescent="0.35">
      <c r="A92" s="1172"/>
      <c r="B92" s="1172"/>
      <c r="C92" s="1172"/>
      <c r="D92" s="1172"/>
      <c r="E92" s="1172"/>
      <c r="F92" s="1172"/>
      <c r="G92" s="1172" t="s">
        <v>1409</v>
      </c>
      <c r="H92" s="1172"/>
      <c r="I92" s="1173">
        <v>44742</v>
      </c>
      <c r="J92" s="1172"/>
      <c r="K92" s="1172" t="s">
        <v>251</v>
      </c>
      <c r="L92" s="1172"/>
      <c r="M92" s="1177"/>
      <c r="N92" s="1172"/>
      <c r="O92" s="1172" t="s">
        <v>1411</v>
      </c>
      <c r="P92" s="1172"/>
      <c r="Q92" s="1172"/>
      <c r="R92" s="1172"/>
      <c r="S92" s="1175" t="s">
        <v>1397</v>
      </c>
      <c r="T92" s="1172"/>
      <c r="U92" s="1172" t="s">
        <v>500</v>
      </c>
      <c r="V92" s="1172"/>
      <c r="W92" s="1176"/>
      <c r="X92" s="1172"/>
      <c r="Y92" s="1176">
        <v>105</v>
      </c>
      <c r="Z92" s="1172"/>
      <c r="AA92" s="1176">
        <v>470439.19</v>
      </c>
    </row>
    <row r="93" spans="1:27" ht="15" hidden="1" outlineLevel="1" thickBot="1" x14ac:dyDescent="0.35">
      <c r="A93" s="1172"/>
      <c r="B93" s="1172"/>
      <c r="C93" s="1172"/>
      <c r="D93" s="1172"/>
      <c r="E93" s="1172"/>
      <c r="F93" s="1172"/>
      <c r="G93" s="1172" t="s">
        <v>1409</v>
      </c>
      <c r="H93" s="1172"/>
      <c r="I93" s="1173">
        <v>44776</v>
      </c>
      <c r="J93" s="1172"/>
      <c r="K93" s="1172" t="s">
        <v>251</v>
      </c>
      <c r="L93" s="1172"/>
      <c r="M93" s="1177"/>
      <c r="N93" s="1172"/>
      <c r="O93" s="1172" t="s">
        <v>1411</v>
      </c>
      <c r="P93" s="1172"/>
      <c r="Q93" s="1172"/>
      <c r="R93" s="1172"/>
      <c r="S93" s="1175" t="s">
        <v>1397</v>
      </c>
      <c r="T93" s="1172"/>
      <c r="U93" s="1172" t="s">
        <v>500</v>
      </c>
      <c r="V93" s="1172"/>
      <c r="W93" s="1176"/>
      <c r="X93" s="1172"/>
      <c r="Y93" s="1176">
        <v>105</v>
      </c>
      <c r="Z93" s="1172"/>
      <c r="AA93" s="1176">
        <v>470334.19</v>
      </c>
    </row>
    <row r="94" spans="1:27" ht="15" hidden="1" outlineLevel="1" thickBot="1" x14ac:dyDescent="0.35">
      <c r="A94" s="1172"/>
      <c r="B94" s="1172"/>
      <c r="C94" s="1172"/>
      <c r="D94" s="1172"/>
      <c r="E94" s="1172"/>
      <c r="F94" s="1172"/>
      <c r="G94" s="1172" t="s">
        <v>1409</v>
      </c>
      <c r="H94" s="1172"/>
      <c r="I94" s="1173">
        <v>44810</v>
      </c>
      <c r="J94" s="1172"/>
      <c r="K94" s="1172" t="s">
        <v>251</v>
      </c>
      <c r="L94" s="1172"/>
      <c r="M94" s="1177"/>
      <c r="N94" s="1172"/>
      <c r="O94" s="1172" t="s">
        <v>1411</v>
      </c>
      <c r="P94" s="1172"/>
      <c r="Q94" s="1172"/>
      <c r="R94" s="1172"/>
      <c r="S94" s="1175" t="s">
        <v>1397</v>
      </c>
      <c r="T94" s="1172"/>
      <c r="U94" s="1172" t="s">
        <v>500</v>
      </c>
      <c r="V94" s="1172"/>
      <c r="W94" s="1176"/>
      <c r="X94" s="1172"/>
      <c r="Y94" s="1176">
        <v>105</v>
      </c>
      <c r="Z94" s="1172"/>
      <c r="AA94" s="1176">
        <v>470229.19</v>
      </c>
    </row>
    <row r="95" spans="1:27" ht="15" hidden="1" outlineLevel="1" thickBot="1" x14ac:dyDescent="0.35">
      <c r="A95" s="1172"/>
      <c r="B95" s="1172"/>
      <c r="C95" s="1172"/>
      <c r="D95" s="1172"/>
      <c r="E95" s="1172"/>
      <c r="F95" s="1172"/>
      <c r="G95" s="1172" t="s">
        <v>1409</v>
      </c>
      <c r="H95" s="1172"/>
      <c r="I95" s="1173">
        <v>44810</v>
      </c>
      <c r="J95" s="1172"/>
      <c r="K95" s="1172" t="s">
        <v>251</v>
      </c>
      <c r="L95" s="1172"/>
      <c r="M95" s="1177"/>
      <c r="N95" s="1172"/>
      <c r="O95" s="1172" t="s">
        <v>1412</v>
      </c>
      <c r="P95" s="1172"/>
      <c r="Q95" s="1172"/>
      <c r="R95" s="1172"/>
      <c r="S95" s="1175" t="s">
        <v>1397</v>
      </c>
      <c r="T95" s="1172"/>
      <c r="U95" s="1172" t="s">
        <v>500</v>
      </c>
      <c r="V95" s="1172"/>
      <c r="W95" s="1176"/>
      <c r="X95" s="1172"/>
      <c r="Y95" s="1176">
        <v>10495.51</v>
      </c>
      <c r="Z95" s="1172"/>
      <c r="AA95" s="1176">
        <v>459733.68</v>
      </c>
    </row>
    <row r="96" spans="1:27" ht="15" hidden="1" outlineLevel="1" thickBot="1" x14ac:dyDescent="0.35">
      <c r="A96" s="1172"/>
      <c r="B96" s="1172"/>
      <c r="C96" s="1172"/>
      <c r="D96" s="1172"/>
      <c r="E96" s="1172"/>
      <c r="F96" s="1172"/>
      <c r="G96" s="1172" t="s">
        <v>1409</v>
      </c>
      <c r="H96" s="1172"/>
      <c r="I96" s="1173">
        <v>44840</v>
      </c>
      <c r="J96" s="1172"/>
      <c r="K96" s="1172" t="s">
        <v>251</v>
      </c>
      <c r="L96" s="1172"/>
      <c r="M96" s="1177"/>
      <c r="N96" s="1172"/>
      <c r="O96" s="1172" t="s">
        <v>1411</v>
      </c>
      <c r="P96" s="1172"/>
      <c r="Q96" s="1172"/>
      <c r="R96" s="1172"/>
      <c r="S96" s="1175" t="s">
        <v>1397</v>
      </c>
      <c r="T96" s="1172"/>
      <c r="U96" s="1172" t="s">
        <v>500</v>
      </c>
      <c r="V96" s="1172"/>
      <c r="W96" s="1176"/>
      <c r="X96" s="1172"/>
      <c r="Y96" s="1176">
        <v>105</v>
      </c>
      <c r="Z96" s="1172"/>
      <c r="AA96" s="1176">
        <v>459628.68</v>
      </c>
    </row>
    <row r="97" spans="1:27" ht="15" hidden="1" outlineLevel="1" thickBot="1" x14ac:dyDescent="0.35">
      <c r="A97" s="1172"/>
      <c r="B97" s="1172"/>
      <c r="C97" s="1172"/>
      <c r="D97" s="1172"/>
      <c r="E97" s="1172"/>
      <c r="F97" s="1172"/>
      <c r="G97" s="1172" t="s">
        <v>1409</v>
      </c>
      <c r="H97" s="1172"/>
      <c r="I97" s="1173">
        <v>44866</v>
      </c>
      <c r="J97" s="1172"/>
      <c r="K97" s="1172" t="s">
        <v>251</v>
      </c>
      <c r="L97" s="1172"/>
      <c r="M97" s="1177"/>
      <c r="N97" s="1172"/>
      <c r="O97" s="1172" t="s">
        <v>1437</v>
      </c>
      <c r="P97" s="1172"/>
      <c r="Q97" s="1172"/>
      <c r="R97" s="1172"/>
      <c r="S97" s="1175" t="s">
        <v>1397</v>
      </c>
      <c r="T97" s="1172"/>
      <c r="U97" s="1172" t="s">
        <v>500</v>
      </c>
      <c r="V97" s="1172"/>
      <c r="W97" s="1176"/>
      <c r="X97" s="1172"/>
      <c r="Y97" s="1176">
        <v>1575</v>
      </c>
      <c r="Z97" s="1172"/>
      <c r="AA97" s="1176">
        <v>458053.68</v>
      </c>
    </row>
    <row r="98" spans="1:27" ht="15" hidden="1" outlineLevel="1" thickBot="1" x14ac:dyDescent="0.35">
      <c r="A98" s="1172"/>
      <c r="B98" s="1172"/>
      <c r="C98" s="1172"/>
      <c r="D98" s="1172"/>
      <c r="E98" s="1172"/>
      <c r="F98" s="1172"/>
      <c r="G98" s="1172" t="s">
        <v>1409</v>
      </c>
      <c r="H98" s="1172"/>
      <c r="I98" s="1173">
        <v>44866</v>
      </c>
      <c r="J98" s="1172"/>
      <c r="K98" s="1172" t="s">
        <v>251</v>
      </c>
      <c r="L98" s="1172"/>
      <c r="M98" s="1177"/>
      <c r="N98" s="1172"/>
      <c r="O98" s="1172" t="s">
        <v>1411</v>
      </c>
      <c r="P98" s="1172"/>
      <c r="Q98" s="1172"/>
      <c r="R98" s="1172"/>
      <c r="S98" s="1175" t="s">
        <v>1397</v>
      </c>
      <c r="T98" s="1172"/>
      <c r="U98" s="1172" t="s">
        <v>500</v>
      </c>
      <c r="V98" s="1172"/>
      <c r="W98" s="1176"/>
      <c r="X98" s="1172"/>
      <c r="Y98" s="1176">
        <v>105</v>
      </c>
      <c r="Z98" s="1172"/>
      <c r="AA98" s="1176">
        <v>457948.68</v>
      </c>
    </row>
    <row r="99" spans="1:27" ht="15" hidden="1" outlineLevel="1" thickBot="1" x14ac:dyDescent="0.35">
      <c r="A99" s="1172"/>
      <c r="B99" s="1172"/>
      <c r="C99" s="1172"/>
      <c r="D99" s="1172"/>
      <c r="E99" s="1172"/>
      <c r="F99" s="1172"/>
      <c r="G99" s="1172" t="s">
        <v>1409</v>
      </c>
      <c r="H99" s="1172"/>
      <c r="I99" s="1173">
        <v>44874</v>
      </c>
      <c r="J99" s="1172"/>
      <c r="K99" s="1172" t="s">
        <v>251</v>
      </c>
      <c r="L99" s="1172"/>
      <c r="M99" s="1177"/>
      <c r="N99" s="1172"/>
      <c r="O99" s="1172" t="s">
        <v>1486</v>
      </c>
      <c r="P99" s="1172"/>
      <c r="Q99" s="1172"/>
      <c r="R99" s="1172"/>
      <c r="S99" s="1175" t="s">
        <v>1397</v>
      </c>
      <c r="T99" s="1172"/>
      <c r="U99" s="1172" t="s">
        <v>500</v>
      </c>
      <c r="V99" s="1172"/>
      <c r="W99" s="1176"/>
      <c r="X99" s="1172"/>
      <c r="Y99" s="1176">
        <v>2625</v>
      </c>
      <c r="Z99" s="1172"/>
      <c r="AA99" s="1176">
        <v>455323.68</v>
      </c>
    </row>
    <row r="100" spans="1:27" ht="15" hidden="1" outlineLevel="1" thickBot="1" x14ac:dyDescent="0.35">
      <c r="A100" s="1172"/>
      <c r="B100" s="1172"/>
      <c r="C100" s="1172"/>
      <c r="D100" s="1172"/>
      <c r="E100" s="1172"/>
      <c r="F100" s="1172"/>
      <c r="G100" s="1172" t="s">
        <v>1409</v>
      </c>
      <c r="H100" s="1172"/>
      <c r="I100" s="1173">
        <v>44880</v>
      </c>
      <c r="J100" s="1172"/>
      <c r="K100" s="1172" t="s">
        <v>251</v>
      </c>
      <c r="L100" s="1172"/>
      <c r="M100" s="1177"/>
      <c r="N100" s="1172"/>
      <c r="O100" s="1172" t="s">
        <v>1487</v>
      </c>
      <c r="P100" s="1172"/>
      <c r="Q100" s="1172"/>
      <c r="R100" s="1172"/>
      <c r="S100" s="1175" t="s">
        <v>1397</v>
      </c>
      <c r="T100" s="1172"/>
      <c r="U100" s="1172" t="s">
        <v>500</v>
      </c>
      <c r="V100" s="1172"/>
      <c r="W100" s="1176"/>
      <c r="X100" s="1172"/>
      <c r="Y100" s="1176">
        <v>58926.31</v>
      </c>
      <c r="Z100" s="1172"/>
      <c r="AA100" s="1176">
        <v>396397.37</v>
      </c>
    </row>
    <row r="101" spans="1:27" ht="15" hidden="1" outlineLevel="1" thickBot="1" x14ac:dyDescent="0.35">
      <c r="A101" s="1172"/>
      <c r="B101" s="1172"/>
      <c r="C101" s="1172"/>
      <c r="D101" s="1172"/>
      <c r="E101" s="1172"/>
      <c r="F101" s="1172"/>
      <c r="G101" s="1172" t="s">
        <v>1395</v>
      </c>
      <c r="H101" s="1172"/>
      <c r="I101" s="1173">
        <v>44880</v>
      </c>
      <c r="J101" s="1172"/>
      <c r="K101" s="1172" t="s">
        <v>1488</v>
      </c>
      <c r="L101" s="1172"/>
      <c r="M101" s="1174" t="s">
        <v>1397</v>
      </c>
      <c r="N101" s="1172"/>
      <c r="O101" s="1172"/>
      <c r="P101" s="1172"/>
      <c r="Q101" s="1172"/>
      <c r="R101" s="1172"/>
      <c r="S101" s="1175" t="s">
        <v>1397</v>
      </c>
      <c r="T101" s="1172"/>
      <c r="U101" s="1172" t="s">
        <v>1489</v>
      </c>
      <c r="V101" s="1172"/>
      <c r="W101" s="1176">
        <v>248750</v>
      </c>
      <c r="X101" s="1172"/>
      <c r="Y101" s="1176"/>
      <c r="Z101" s="1172"/>
      <c r="AA101" s="1176">
        <v>645147.37</v>
      </c>
    </row>
    <row r="102" spans="1:27" ht="15" hidden="1" outlineLevel="1" thickBot="1" x14ac:dyDescent="0.35">
      <c r="A102" s="1172"/>
      <c r="B102" s="1172"/>
      <c r="C102" s="1172"/>
      <c r="D102" s="1172"/>
      <c r="E102" s="1172"/>
      <c r="F102" s="1172"/>
      <c r="G102" s="1172" t="s">
        <v>1409</v>
      </c>
      <c r="H102" s="1172"/>
      <c r="I102" s="1173">
        <v>44881</v>
      </c>
      <c r="J102" s="1172"/>
      <c r="K102" s="1172" t="s">
        <v>251</v>
      </c>
      <c r="L102" s="1172"/>
      <c r="M102" s="1177"/>
      <c r="N102" s="1172"/>
      <c r="O102" s="1172" t="s">
        <v>1487</v>
      </c>
      <c r="P102" s="1172"/>
      <c r="Q102" s="1172"/>
      <c r="R102" s="1172"/>
      <c r="S102" s="1175" t="s">
        <v>1397</v>
      </c>
      <c r="T102" s="1172"/>
      <c r="U102" s="1172" t="s">
        <v>500</v>
      </c>
      <c r="V102" s="1172"/>
      <c r="W102" s="1176"/>
      <c r="X102" s="1172"/>
      <c r="Y102" s="1176">
        <v>183.09</v>
      </c>
      <c r="Z102" s="1172"/>
      <c r="AA102" s="1176">
        <v>644964.28</v>
      </c>
    </row>
    <row r="103" spans="1:27" ht="15" hidden="1" outlineLevel="1" thickBot="1" x14ac:dyDescent="0.35">
      <c r="A103" s="1172"/>
      <c r="B103" s="1172"/>
      <c r="C103" s="1172"/>
      <c r="D103" s="1172"/>
      <c r="E103" s="1172"/>
      <c r="F103" s="1172"/>
      <c r="G103" s="1172" t="s">
        <v>1395</v>
      </c>
      <c r="H103" s="1172"/>
      <c r="I103" s="1173">
        <v>44881</v>
      </c>
      <c r="J103" s="1172"/>
      <c r="K103" s="1172" t="s">
        <v>1490</v>
      </c>
      <c r="L103" s="1172"/>
      <c r="M103" s="1174" t="s">
        <v>1397</v>
      </c>
      <c r="N103" s="1172"/>
      <c r="O103" s="1172"/>
      <c r="P103" s="1172"/>
      <c r="Q103" s="1172" t="s">
        <v>1491</v>
      </c>
      <c r="R103" s="1172"/>
      <c r="S103" s="1175" t="s">
        <v>1397</v>
      </c>
      <c r="T103" s="1172"/>
      <c r="U103" s="1172" t="s">
        <v>1489</v>
      </c>
      <c r="V103" s="1172"/>
      <c r="W103" s="1176">
        <v>7600.18</v>
      </c>
      <c r="X103" s="1172"/>
      <c r="Y103" s="1176"/>
      <c r="Z103" s="1172"/>
      <c r="AA103" s="1176">
        <v>652564.46</v>
      </c>
    </row>
    <row r="104" spans="1:27" ht="15" hidden="1" outlineLevel="1" thickBot="1" x14ac:dyDescent="0.35">
      <c r="A104" s="1172"/>
      <c r="B104" s="1172"/>
      <c r="C104" s="1172"/>
      <c r="D104" s="1172"/>
      <c r="E104" s="1172"/>
      <c r="F104" s="1172"/>
      <c r="G104" s="1172" t="s">
        <v>1395</v>
      </c>
      <c r="H104" s="1172"/>
      <c r="I104" s="1173">
        <v>44881</v>
      </c>
      <c r="J104" s="1172"/>
      <c r="K104" s="1172" t="s">
        <v>1492</v>
      </c>
      <c r="L104" s="1172"/>
      <c r="M104" s="1174" t="s">
        <v>1397</v>
      </c>
      <c r="N104" s="1172"/>
      <c r="O104" s="1172"/>
      <c r="P104" s="1172"/>
      <c r="Q104" s="1172"/>
      <c r="R104" s="1172"/>
      <c r="S104" s="1175" t="s">
        <v>1397</v>
      </c>
      <c r="T104" s="1172"/>
      <c r="U104" s="1172" t="s">
        <v>1489</v>
      </c>
      <c r="V104" s="1172"/>
      <c r="W104" s="1176">
        <v>606.89</v>
      </c>
      <c r="X104" s="1172"/>
      <c r="Y104" s="1176"/>
      <c r="Z104" s="1172"/>
      <c r="AA104" s="1176">
        <v>653171.35</v>
      </c>
    </row>
    <row r="105" spans="1:27" ht="15" hidden="1" outlineLevel="1" thickBot="1" x14ac:dyDescent="0.35">
      <c r="A105" s="1172"/>
      <c r="B105" s="1172"/>
      <c r="C105" s="1172"/>
      <c r="D105" s="1172"/>
      <c r="E105" s="1172"/>
      <c r="F105" s="1172"/>
      <c r="G105" s="1172" t="s">
        <v>1395</v>
      </c>
      <c r="H105" s="1172"/>
      <c r="I105" s="1173">
        <v>44881</v>
      </c>
      <c r="J105" s="1172"/>
      <c r="K105" s="1172" t="s">
        <v>1493</v>
      </c>
      <c r="L105" s="1172"/>
      <c r="M105" s="1174" t="s">
        <v>1397</v>
      </c>
      <c r="N105" s="1172"/>
      <c r="O105" s="1172"/>
      <c r="P105" s="1172"/>
      <c r="Q105" s="1172"/>
      <c r="R105" s="1172"/>
      <c r="S105" s="1175" t="s">
        <v>1397</v>
      </c>
      <c r="T105" s="1172"/>
      <c r="U105" s="1172" t="s">
        <v>1489</v>
      </c>
      <c r="V105" s="1172"/>
      <c r="W105" s="1176">
        <v>10000</v>
      </c>
      <c r="X105" s="1172"/>
      <c r="Y105" s="1176"/>
      <c r="Z105" s="1172"/>
      <c r="AA105" s="1176">
        <v>663171.35</v>
      </c>
    </row>
    <row r="106" spans="1:27" ht="15" hidden="1" outlineLevel="1" thickBot="1" x14ac:dyDescent="0.35">
      <c r="A106" s="1172"/>
      <c r="B106" s="1172"/>
      <c r="C106" s="1172"/>
      <c r="D106" s="1172"/>
      <c r="E106" s="1172"/>
      <c r="F106" s="1172"/>
      <c r="G106" s="1172" t="s">
        <v>1409</v>
      </c>
      <c r="H106" s="1172"/>
      <c r="I106" s="1173">
        <v>44890</v>
      </c>
      <c r="J106" s="1172"/>
      <c r="K106" s="1172" t="s">
        <v>251</v>
      </c>
      <c r="L106" s="1172"/>
      <c r="M106" s="1177"/>
      <c r="N106" s="1172"/>
      <c r="O106" s="1172" t="s">
        <v>1494</v>
      </c>
      <c r="P106" s="1172"/>
      <c r="Q106" s="1172"/>
      <c r="R106" s="1172"/>
      <c r="S106" s="1175" t="s">
        <v>1397</v>
      </c>
      <c r="T106" s="1172"/>
      <c r="U106" s="1172" t="s">
        <v>500</v>
      </c>
      <c r="V106" s="1172"/>
      <c r="W106" s="1176"/>
      <c r="X106" s="1172"/>
      <c r="Y106" s="1176">
        <v>25239.08</v>
      </c>
      <c r="Z106" s="1172"/>
      <c r="AA106" s="1176">
        <v>637932.27</v>
      </c>
    </row>
    <row r="107" spans="1:27" ht="15" hidden="1" outlineLevel="1" thickBot="1" x14ac:dyDescent="0.35">
      <c r="A107" s="1172"/>
      <c r="B107" s="1172"/>
      <c r="C107" s="1172"/>
      <c r="D107" s="1172"/>
      <c r="E107" s="1172"/>
      <c r="F107" s="1172"/>
      <c r="G107" s="1172" t="s">
        <v>1395</v>
      </c>
      <c r="H107" s="1172"/>
      <c r="I107" s="1173">
        <v>44895</v>
      </c>
      <c r="J107" s="1172"/>
      <c r="K107" s="1172" t="s">
        <v>1495</v>
      </c>
      <c r="L107" s="1172"/>
      <c r="M107" s="1174" t="s">
        <v>1397</v>
      </c>
      <c r="N107" s="1172"/>
      <c r="O107" s="1172"/>
      <c r="P107" s="1172"/>
      <c r="Q107" s="1172"/>
      <c r="R107" s="1172"/>
      <c r="S107" s="1175" t="s">
        <v>1397</v>
      </c>
      <c r="T107" s="1172"/>
      <c r="U107" s="1172" t="s">
        <v>1496</v>
      </c>
      <c r="V107" s="1172"/>
      <c r="W107" s="1176"/>
      <c r="X107" s="1172"/>
      <c r="Y107" s="1176">
        <v>520000</v>
      </c>
      <c r="Z107" s="1172"/>
      <c r="AA107" s="1176">
        <v>117932.27</v>
      </c>
    </row>
    <row r="108" spans="1:27" ht="15" hidden="1" outlineLevel="1" thickBot="1" x14ac:dyDescent="0.35">
      <c r="A108" s="1172"/>
      <c r="B108" s="1172"/>
      <c r="C108" s="1172"/>
      <c r="D108" s="1172"/>
      <c r="E108" s="1172"/>
      <c r="F108" s="1172"/>
      <c r="G108" s="1172" t="s">
        <v>1409</v>
      </c>
      <c r="H108" s="1172"/>
      <c r="I108" s="1173">
        <v>44900</v>
      </c>
      <c r="J108" s="1172"/>
      <c r="K108" s="1172" t="s">
        <v>251</v>
      </c>
      <c r="L108" s="1172"/>
      <c r="M108" s="1177"/>
      <c r="N108" s="1172"/>
      <c r="O108" s="1172" t="s">
        <v>1411</v>
      </c>
      <c r="P108" s="1172"/>
      <c r="Q108" s="1172"/>
      <c r="R108" s="1172"/>
      <c r="S108" s="1175" t="s">
        <v>1397</v>
      </c>
      <c r="T108" s="1172"/>
      <c r="U108" s="1172" t="s">
        <v>500</v>
      </c>
      <c r="V108" s="1172"/>
      <c r="W108" s="1176"/>
      <c r="X108" s="1172"/>
      <c r="Y108" s="1176">
        <v>105</v>
      </c>
      <c r="Z108" s="1172"/>
      <c r="AA108" s="1176">
        <v>117827.27</v>
      </c>
    </row>
    <row r="109" spans="1:27" ht="15" hidden="1" outlineLevel="1" thickBot="1" x14ac:dyDescent="0.35">
      <c r="A109" s="1172"/>
      <c r="B109" s="1172"/>
      <c r="C109" s="1172"/>
      <c r="D109" s="1172"/>
      <c r="E109" s="1172"/>
      <c r="F109" s="1172"/>
      <c r="G109" s="1172" t="s">
        <v>1409</v>
      </c>
      <c r="H109" s="1172"/>
      <c r="I109" s="1173">
        <v>44900</v>
      </c>
      <c r="J109" s="1172"/>
      <c r="K109" s="1172" t="s">
        <v>251</v>
      </c>
      <c r="L109" s="1172"/>
      <c r="M109" s="1177"/>
      <c r="N109" s="1172"/>
      <c r="O109" s="1172" t="s">
        <v>1437</v>
      </c>
      <c r="P109" s="1172"/>
      <c r="Q109" s="1172"/>
      <c r="R109" s="1172"/>
      <c r="S109" s="1175" t="s">
        <v>1397</v>
      </c>
      <c r="T109" s="1172"/>
      <c r="U109" s="1172" t="s">
        <v>500</v>
      </c>
      <c r="V109" s="1172"/>
      <c r="W109" s="1176"/>
      <c r="X109" s="1172"/>
      <c r="Y109" s="1176">
        <v>2100</v>
      </c>
      <c r="Z109" s="1172"/>
      <c r="AA109" s="1176">
        <v>115727.27</v>
      </c>
    </row>
    <row r="110" spans="1:27" ht="15" collapsed="1" thickBot="1" x14ac:dyDescent="0.35">
      <c r="A110" s="1172"/>
      <c r="B110" s="1172"/>
      <c r="C110" s="1172" t="s">
        <v>1497</v>
      </c>
      <c r="D110" s="1172"/>
      <c r="E110" s="1172"/>
      <c r="F110" s="1172"/>
      <c r="G110" s="1172"/>
      <c r="H110" s="1172"/>
      <c r="I110" s="1173"/>
      <c r="J110" s="1172"/>
      <c r="K110" s="1172"/>
      <c r="L110" s="1172"/>
      <c r="M110" s="1177"/>
      <c r="N110" s="1172"/>
      <c r="O110" s="1172"/>
      <c r="P110" s="1172"/>
      <c r="Q110" s="1172"/>
      <c r="R110" s="1172"/>
      <c r="S110" s="1172"/>
      <c r="T110" s="1172"/>
      <c r="U110" s="1172"/>
      <c r="V110" s="1172"/>
      <c r="W110" s="1183">
        <f>ROUND(SUM(W3:W109),5)</f>
        <v>818019.4</v>
      </c>
      <c r="X110" s="1172"/>
      <c r="Y110" s="1183">
        <f>ROUND(SUM(Y3:Y109),5)</f>
        <v>702292.13</v>
      </c>
      <c r="Z110" s="1172"/>
      <c r="AA110" s="1183">
        <f>AA109</f>
        <v>115727.27</v>
      </c>
    </row>
    <row r="111" spans="1:27" x14ac:dyDescent="0.3">
      <c r="A111" s="1172"/>
      <c r="B111" s="1172" t="s">
        <v>1498</v>
      </c>
      <c r="C111" s="1172"/>
      <c r="D111" s="1172"/>
      <c r="E111" s="1172"/>
      <c r="F111" s="1172"/>
      <c r="G111" s="1172"/>
      <c r="H111" s="1172"/>
      <c r="I111" s="1173"/>
      <c r="J111" s="1172"/>
      <c r="K111" s="1172"/>
      <c r="L111" s="1172"/>
      <c r="M111" s="1177"/>
      <c r="N111" s="1172"/>
      <c r="O111" s="1172"/>
      <c r="P111" s="1172"/>
      <c r="Q111" s="1172"/>
      <c r="R111" s="1172"/>
      <c r="S111" s="1172"/>
      <c r="T111" s="1172"/>
      <c r="U111" s="1172"/>
      <c r="V111" s="1172"/>
      <c r="W111" s="1176">
        <f>W110</f>
        <v>818019.4</v>
      </c>
      <c r="X111" s="1172"/>
      <c r="Y111" s="1176">
        <f>Y110</f>
        <v>702292.13</v>
      </c>
      <c r="Z111" s="1172"/>
      <c r="AA111" s="1176">
        <f>AA110</f>
        <v>115727.27</v>
      </c>
    </row>
    <row r="112" spans="1:27" x14ac:dyDescent="0.3">
      <c r="A112" s="1168"/>
      <c r="B112" s="1168" t="s">
        <v>1499</v>
      </c>
      <c r="C112" s="1168"/>
      <c r="D112" s="1168"/>
      <c r="E112" s="1168"/>
      <c r="F112" s="1168"/>
      <c r="G112" s="1168"/>
      <c r="H112" s="1168"/>
      <c r="I112" s="1169"/>
      <c r="J112" s="1168"/>
      <c r="K112" s="1168"/>
      <c r="L112" s="1168"/>
      <c r="M112" s="1170"/>
      <c r="N112" s="1168"/>
      <c r="O112" s="1168"/>
      <c r="P112" s="1168"/>
      <c r="Q112" s="1168"/>
      <c r="R112" s="1168"/>
      <c r="S112" s="1168"/>
      <c r="T112" s="1168"/>
      <c r="U112" s="1168"/>
      <c r="V112" s="1168"/>
      <c r="W112" s="1171"/>
      <c r="X112" s="1168"/>
      <c r="Y112" s="1171"/>
      <c r="Z112" s="1168"/>
      <c r="AA112" s="1171"/>
    </row>
    <row r="113" spans="1:27" ht="15" thickBot="1" x14ac:dyDescent="0.35">
      <c r="A113" s="1184"/>
      <c r="B113" s="1184"/>
      <c r="C113" s="1184"/>
      <c r="D113" s="1184"/>
      <c r="E113" s="1172"/>
      <c r="F113" s="1172"/>
      <c r="G113" s="1172" t="s">
        <v>1395</v>
      </c>
      <c r="H113" s="1172"/>
      <c r="I113" s="1173">
        <v>44260</v>
      </c>
      <c r="J113" s="1172"/>
      <c r="K113" s="1172" t="s">
        <v>1500</v>
      </c>
      <c r="L113" s="1172"/>
      <c r="M113" s="1174" t="s">
        <v>1397</v>
      </c>
      <c r="N113" s="1172"/>
      <c r="O113" s="1172" t="s">
        <v>1330</v>
      </c>
      <c r="P113" s="1172"/>
      <c r="Q113" s="1172" t="s">
        <v>1501</v>
      </c>
      <c r="R113" s="1172"/>
      <c r="S113" s="1175"/>
      <c r="T113" s="1172"/>
      <c r="U113" s="1172" t="s">
        <v>1405</v>
      </c>
      <c r="V113" s="1172"/>
      <c r="W113" s="1182">
        <v>1</v>
      </c>
      <c r="X113" s="1172"/>
      <c r="Y113" s="1182"/>
      <c r="Z113" s="1172"/>
      <c r="AA113" s="1182">
        <v>1</v>
      </c>
    </row>
    <row r="114" spans="1:27" x14ac:dyDescent="0.3">
      <c r="A114" s="1172"/>
      <c r="B114" s="1172" t="s">
        <v>1502</v>
      </c>
      <c r="C114" s="1172"/>
      <c r="D114" s="1172"/>
      <c r="E114" s="1172"/>
      <c r="F114" s="1172"/>
      <c r="G114" s="1172"/>
      <c r="H114" s="1172"/>
      <c r="I114" s="1173"/>
      <c r="J114" s="1172"/>
      <c r="K114" s="1172"/>
      <c r="L114" s="1172"/>
      <c r="M114" s="1177"/>
      <c r="N114" s="1172"/>
      <c r="O114" s="1172"/>
      <c r="P114" s="1172"/>
      <c r="Q114" s="1172"/>
      <c r="R114" s="1172"/>
      <c r="S114" s="1172"/>
      <c r="T114" s="1172"/>
      <c r="U114" s="1172"/>
      <c r="V114" s="1172"/>
      <c r="W114" s="1176">
        <f>ROUND(SUM(W112:W113),5)</f>
        <v>1</v>
      </c>
      <c r="X114" s="1172"/>
      <c r="Y114" s="1176">
        <f>ROUND(SUM(Y112:Y113),5)</f>
        <v>0</v>
      </c>
      <c r="Z114" s="1172"/>
      <c r="AA114" s="1176">
        <f>AA113</f>
        <v>1</v>
      </c>
    </row>
    <row r="115" spans="1:27" hidden="1" outlineLevel="1" x14ac:dyDescent="0.3">
      <c r="A115" s="1168"/>
      <c r="B115" s="1172" t="s">
        <v>500</v>
      </c>
      <c r="C115" s="1168"/>
      <c r="D115" s="1168"/>
      <c r="E115" s="1168"/>
      <c r="F115" s="1168"/>
      <c r="G115" s="1168"/>
      <c r="H115" s="1168"/>
      <c r="I115" s="1169"/>
      <c r="J115" s="1168"/>
      <c r="K115" s="1168"/>
      <c r="L115" s="1168"/>
      <c r="M115" s="1170"/>
      <c r="N115" s="1168"/>
      <c r="O115" s="1168"/>
      <c r="P115" s="1168"/>
      <c r="Q115" s="1168"/>
      <c r="R115" s="1168"/>
      <c r="S115" s="1168"/>
      <c r="T115" s="1168"/>
      <c r="U115" s="1168"/>
      <c r="V115" s="1168"/>
      <c r="W115" s="1171"/>
      <c r="X115" s="1168"/>
      <c r="Y115" s="1171"/>
      <c r="Z115" s="1168"/>
      <c r="AA115" s="1171"/>
    </row>
    <row r="116" spans="1:27" hidden="1" outlineLevel="1" x14ac:dyDescent="0.3">
      <c r="A116" s="1172"/>
      <c r="B116" s="1172" t="s">
        <v>500</v>
      </c>
      <c r="C116" s="1172"/>
      <c r="D116" s="1172"/>
      <c r="E116" s="1172"/>
      <c r="F116" s="1172"/>
      <c r="G116" s="1172" t="s">
        <v>871</v>
      </c>
      <c r="H116" s="1172"/>
      <c r="I116" s="1173">
        <v>44286</v>
      </c>
      <c r="J116" s="1172"/>
      <c r="K116" s="1172" t="s">
        <v>1503</v>
      </c>
      <c r="L116" s="1172"/>
      <c r="M116" s="1177"/>
      <c r="N116" s="1172"/>
      <c r="O116" s="1172" t="s">
        <v>1411</v>
      </c>
      <c r="P116" s="1172"/>
      <c r="Q116" s="1172"/>
      <c r="R116" s="1172"/>
      <c r="S116" s="1175"/>
      <c r="T116" s="1172"/>
      <c r="U116" s="1172" t="s">
        <v>1422</v>
      </c>
      <c r="V116" s="1172"/>
      <c r="W116" s="1176"/>
      <c r="X116" s="1172"/>
      <c r="Y116" s="1176">
        <v>131.25</v>
      </c>
      <c r="Z116" s="1172"/>
      <c r="AA116" s="1176">
        <v>-131.25</v>
      </c>
    </row>
    <row r="117" spans="1:27" hidden="1" outlineLevel="1" x14ac:dyDescent="0.3">
      <c r="A117" s="1172"/>
      <c r="B117" s="1172" t="s">
        <v>500</v>
      </c>
      <c r="C117" s="1172"/>
      <c r="D117" s="1172"/>
      <c r="E117" s="1172"/>
      <c r="F117" s="1172"/>
      <c r="G117" s="1172" t="s">
        <v>871</v>
      </c>
      <c r="H117" s="1172"/>
      <c r="I117" s="1173">
        <v>44317</v>
      </c>
      <c r="J117" s="1172"/>
      <c r="K117" s="1172" t="s">
        <v>1504</v>
      </c>
      <c r="L117" s="1172"/>
      <c r="M117" s="1177"/>
      <c r="N117" s="1172"/>
      <c r="O117" s="1172" t="s">
        <v>1411</v>
      </c>
      <c r="P117" s="1172"/>
      <c r="Q117" s="1172"/>
      <c r="R117" s="1172"/>
      <c r="S117" s="1175"/>
      <c r="T117" s="1172"/>
      <c r="U117" s="1172" t="s">
        <v>1422</v>
      </c>
      <c r="V117" s="1172"/>
      <c r="W117" s="1176"/>
      <c r="X117" s="1172"/>
      <c r="Y117" s="1176">
        <v>105</v>
      </c>
      <c r="Z117" s="1172"/>
      <c r="AA117" s="1176">
        <v>-236.25</v>
      </c>
    </row>
    <row r="118" spans="1:27" hidden="1" outlineLevel="1" x14ac:dyDescent="0.3">
      <c r="A118" s="1172"/>
      <c r="B118" s="1172" t="s">
        <v>500</v>
      </c>
      <c r="C118" s="1172"/>
      <c r="D118" s="1172"/>
      <c r="E118" s="1172"/>
      <c r="F118" s="1172"/>
      <c r="G118" s="1172" t="s">
        <v>871</v>
      </c>
      <c r="H118" s="1172"/>
      <c r="I118" s="1173">
        <v>44317</v>
      </c>
      <c r="J118" s="1172"/>
      <c r="K118" s="1172" t="s">
        <v>1440</v>
      </c>
      <c r="L118" s="1172"/>
      <c r="M118" s="1177"/>
      <c r="N118" s="1172"/>
      <c r="O118" s="1172" t="s">
        <v>1413</v>
      </c>
      <c r="P118" s="1172"/>
      <c r="Q118" s="1172"/>
      <c r="R118" s="1172"/>
      <c r="S118" s="1175"/>
      <c r="T118" s="1172"/>
      <c r="U118" s="1172" t="s">
        <v>1422</v>
      </c>
      <c r="V118" s="1172"/>
      <c r="W118" s="1176"/>
      <c r="X118" s="1172"/>
      <c r="Y118" s="1176">
        <v>5250</v>
      </c>
      <c r="Z118" s="1172"/>
      <c r="AA118" s="1176">
        <v>-5486.25</v>
      </c>
    </row>
    <row r="119" spans="1:27" hidden="1" outlineLevel="1" x14ac:dyDescent="0.3">
      <c r="A119" s="1172"/>
      <c r="B119" s="1172" t="s">
        <v>500</v>
      </c>
      <c r="C119" s="1172"/>
      <c r="D119" s="1172"/>
      <c r="E119" s="1172"/>
      <c r="F119" s="1172"/>
      <c r="G119" s="1172" t="s">
        <v>871</v>
      </c>
      <c r="H119" s="1172"/>
      <c r="I119" s="1173">
        <v>44331</v>
      </c>
      <c r="J119" s="1172"/>
      <c r="K119" s="1172"/>
      <c r="L119" s="1172"/>
      <c r="M119" s="1177"/>
      <c r="N119" s="1172"/>
      <c r="O119" s="1172" t="s">
        <v>1410</v>
      </c>
      <c r="P119" s="1172"/>
      <c r="Q119" s="1172"/>
      <c r="R119" s="1172"/>
      <c r="S119" s="1175"/>
      <c r="T119" s="1172"/>
      <c r="U119" s="1172" t="s">
        <v>1422</v>
      </c>
      <c r="V119" s="1172"/>
      <c r="W119" s="1176"/>
      <c r="X119" s="1172"/>
      <c r="Y119" s="1176">
        <v>3110.1</v>
      </c>
      <c r="Z119" s="1172"/>
      <c r="AA119" s="1176">
        <v>-8596.35</v>
      </c>
    </row>
    <row r="120" spans="1:27" hidden="1" outlineLevel="1" x14ac:dyDescent="0.3">
      <c r="A120" s="1172"/>
      <c r="B120" s="1172" t="s">
        <v>500</v>
      </c>
      <c r="C120" s="1172"/>
      <c r="D120" s="1172"/>
      <c r="E120" s="1172"/>
      <c r="F120" s="1172"/>
      <c r="G120" s="1172" t="s">
        <v>871</v>
      </c>
      <c r="H120" s="1172"/>
      <c r="I120" s="1173">
        <v>44334</v>
      </c>
      <c r="J120" s="1172"/>
      <c r="K120" s="1172"/>
      <c r="L120" s="1172"/>
      <c r="M120" s="1177"/>
      <c r="N120" s="1172"/>
      <c r="O120" s="1172" t="s">
        <v>1505</v>
      </c>
      <c r="P120" s="1172"/>
      <c r="Q120" s="1172"/>
      <c r="R120" s="1172"/>
      <c r="S120" s="1175"/>
      <c r="T120" s="1172"/>
      <c r="U120" s="1172" t="s">
        <v>1422</v>
      </c>
      <c r="V120" s="1172"/>
      <c r="W120" s="1176">
        <v>0</v>
      </c>
      <c r="X120" s="1172"/>
      <c r="Y120" s="1176"/>
      <c r="Z120" s="1172"/>
      <c r="AA120" s="1176">
        <v>-8596.35</v>
      </c>
    </row>
    <row r="121" spans="1:27" hidden="1" outlineLevel="1" x14ac:dyDescent="0.3">
      <c r="A121" s="1172"/>
      <c r="B121" s="1172" t="s">
        <v>500</v>
      </c>
      <c r="C121" s="1172"/>
      <c r="D121" s="1172"/>
      <c r="E121" s="1172"/>
      <c r="F121" s="1172"/>
      <c r="G121" s="1172" t="s">
        <v>1409</v>
      </c>
      <c r="H121" s="1172"/>
      <c r="I121" s="1173">
        <v>44337</v>
      </c>
      <c r="J121" s="1172"/>
      <c r="K121" s="1172" t="s">
        <v>251</v>
      </c>
      <c r="L121" s="1172"/>
      <c r="M121" s="1177"/>
      <c r="N121" s="1172"/>
      <c r="O121" s="1172" t="s">
        <v>1410</v>
      </c>
      <c r="P121" s="1172"/>
      <c r="Q121" s="1172"/>
      <c r="R121" s="1172"/>
      <c r="S121" s="1175"/>
      <c r="T121" s="1172"/>
      <c r="U121" s="1172" t="s">
        <v>1394</v>
      </c>
      <c r="V121" s="1172"/>
      <c r="W121" s="1176">
        <v>110.1</v>
      </c>
      <c r="X121" s="1172"/>
      <c r="Y121" s="1176"/>
      <c r="Z121" s="1172"/>
      <c r="AA121" s="1176">
        <v>-8486.25</v>
      </c>
    </row>
    <row r="122" spans="1:27" hidden="1" outlineLevel="1" x14ac:dyDescent="0.3">
      <c r="A122" s="1172"/>
      <c r="B122" s="1172" t="s">
        <v>500</v>
      </c>
      <c r="C122" s="1172"/>
      <c r="D122" s="1172"/>
      <c r="E122" s="1172"/>
      <c r="F122" s="1172"/>
      <c r="G122" s="1172" t="s">
        <v>1409</v>
      </c>
      <c r="H122" s="1172"/>
      <c r="I122" s="1173">
        <v>44337</v>
      </c>
      <c r="J122" s="1172"/>
      <c r="K122" s="1172" t="s">
        <v>251</v>
      </c>
      <c r="L122" s="1172"/>
      <c r="M122" s="1177"/>
      <c r="N122" s="1172"/>
      <c r="O122" s="1172" t="s">
        <v>1410</v>
      </c>
      <c r="P122" s="1172"/>
      <c r="Q122" s="1172"/>
      <c r="R122" s="1172"/>
      <c r="S122" s="1175"/>
      <c r="T122" s="1172"/>
      <c r="U122" s="1172" t="s">
        <v>1394</v>
      </c>
      <c r="V122" s="1172"/>
      <c r="W122" s="1176">
        <v>3000</v>
      </c>
      <c r="X122" s="1172"/>
      <c r="Y122" s="1176"/>
      <c r="Z122" s="1172"/>
      <c r="AA122" s="1176">
        <v>-5486.25</v>
      </c>
    </row>
    <row r="123" spans="1:27" hidden="1" outlineLevel="1" x14ac:dyDescent="0.3">
      <c r="A123" s="1172"/>
      <c r="B123" s="1172" t="s">
        <v>500</v>
      </c>
      <c r="C123" s="1172"/>
      <c r="D123" s="1172"/>
      <c r="E123" s="1172"/>
      <c r="F123" s="1172"/>
      <c r="G123" s="1172" t="s">
        <v>1409</v>
      </c>
      <c r="H123" s="1172"/>
      <c r="I123" s="1173">
        <v>44345</v>
      </c>
      <c r="J123" s="1172"/>
      <c r="K123" s="1172" t="s">
        <v>251</v>
      </c>
      <c r="L123" s="1172"/>
      <c r="M123" s="1177"/>
      <c r="N123" s="1172"/>
      <c r="O123" s="1172" t="s">
        <v>1411</v>
      </c>
      <c r="P123" s="1172"/>
      <c r="Q123" s="1172"/>
      <c r="R123" s="1172"/>
      <c r="S123" s="1175"/>
      <c r="T123" s="1172"/>
      <c r="U123" s="1172" t="s">
        <v>1394</v>
      </c>
      <c r="V123" s="1172"/>
      <c r="W123" s="1176">
        <v>105</v>
      </c>
      <c r="X123" s="1172"/>
      <c r="Y123" s="1176"/>
      <c r="Z123" s="1172"/>
      <c r="AA123" s="1176">
        <v>-5381.25</v>
      </c>
    </row>
    <row r="124" spans="1:27" hidden="1" outlineLevel="1" x14ac:dyDescent="0.3">
      <c r="A124" s="1172"/>
      <c r="B124" s="1172" t="s">
        <v>500</v>
      </c>
      <c r="C124" s="1172"/>
      <c r="D124" s="1172"/>
      <c r="E124" s="1172"/>
      <c r="F124" s="1172"/>
      <c r="G124" s="1172" t="s">
        <v>1409</v>
      </c>
      <c r="H124" s="1172"/>
      <c r="I124" s="1173">
        <v>44345</v>
      </c>
      <c r="J124" s="1172"/>
      <c r="K124" s="1172" t="s">
        <v>251</v>
      </c>
      <c r="L124" s="1172"/>
      <c r="M124" s="1177"/>
      <c r="N124" s="1172"/>
      <c r="O124" s="1172" t="s">
        <v>1411</v>
      </c>
      <c r="P124" s="1172"/>
      <c r="Q124" s="1172"/>
      <c r="R124" s="1172"/>
      <c r="S124" s="1175"/>
      <c r="T124" s="1172"/>
      <c r="U124" s="1172" t="s">
        <v>1394</v>
      </c>
      <c r="V124" s="1172"/>
      <c r="W124" s="1176">
        <v>131.25</v>
      </c>
      <c r="X124" s="1172"/>
      <c r="Y124" s="1176"/>
      <c r="Z124" s="1172"/>
      <c r="AA124" s="1176">
        <v>-5250</v>
      </c>
    </row>
    <row r="125" spans="1:27" hidden="1" outlineLevel="1" x14ac:dyDescent="0.3">
      <c r="A125" s="1172"/>
      <c r="B125" s="1172" t="s">
        <v>500</v>
      </c>
      <c r="C125" s="1172"/>
      <c r="D125" s="1172"/>
      <c r="E125" s="1172"/>
      <c r="F125" s="1172"/>
      <c r="G125" s="1172" t="s">
        <v>871</v>
      </c>
      <c r="H125" s="1172"/>
      <c r="I125" s="1173">
        <v>44348</v>
      </c>
      <c r="J125" s="1172"/>
      <c r="K125" s="1172" t="s">
        <v>1506</v>
      </c>
      <c r="L125" s="1172"/>
      <c r="M125" s="1177"/>
      <c r="N125" s="1172"/>
      <c r="O125" s="1172" t="s">
        <v>1411</v>
      </c>
      <c r="P125" s="1172"/>
      <c r="Q125" s="1172"/>
      <c r="R125" s="1172"/>
      <c r="S125" s="1175"/>
      <c r="T125" s="1172"/>
      <c r="U125" s="1172" t="s">
        <v>1422</v>
      </c>
      <c r="V125" s="1172"/>
      <c r="W125" s="1176"/>
      <c r="X125" s="1172"/>
      <c r="Y125" s="1176">
        <v>105</v>
      </c>
      <c r="Z125" s="1172"/>
      <c r="AA125" s="1176">
        <v>-5355</v>
      </c>
    </row>
    <row r="126" spans="1:27" hidden="1" outlineLevel="1" x14ac:dyDescent="0.3">
      <c r="A126" s="1172"/>
      <c r="B126" s="1172" t="s">
        <v>500</v>
      </c>
      <c r="C126" s="1172"/>
      <c r="D126" s="1172"/>
      <c r="E126" s="1172"/>
      <c r="F126" s="1172"/>
      <c r="G126" s="1172" t="s">
        <v>871</v>
      </c>
      <c r="H126" s="1172"/>
      <c r="I126" s="1173">
        <v>44348</v>
      </c>
      <c r="J126" s="1172"/>
      <c r="K126" s="1172" t="s">
        <v>1507</v>
      </c>
      <c r="L126" s="1172"/>
      <c r="M126" s="1177"/>
      <c r="N126" s="1172"/>
      <c r="O126" s="1172" t="s">
        <v>1411</v>
      </c>
      <c r="P126" s="1172"/>
      <c r="Q126" s="1172"/>
      <c r="R126" s="1172"/>
      <c r="S126" s="1175"/>
      <c r="T126" s="1172"/>
      <c r="U126" s="1172" t="s">
        <v>1422</v>
      </c>
      <c r="V126" s="1172"/>
      <c r="W126" s="1176"/>
      <c r="X126" s="1172"/>
      <c r="Y126" s="1176">
        <v>105</v>
      </c>
      <c r="Z126" s="1172"/>
      <c r="AA126" s="1176">
        <v>-5460</v>
      </c>
    </row>
    <row r="127" spans="1:27" hidden="1" outlineLevel="1" x14ac:dyDescent="0.3">
      <c r="A127" s="1172"/>
      <c r="B127" s="1172" t="s">
        <v>500</v>
      </c>
      <c r="C127" s="1172"/>
      <c r="D127" s="1172"/>
      <c r="E127" s="1172"/>
      <c r="F127" s="1172"/>
      <c r="G127" s="1172" t="s">
        <v>871</v>
      </c>
      <c r="H127" s="1172"/>
      <c r="I127" s="1173">
        <v>44348</v>
      </c>
      <c r="J127" s="1172"/>
      <c r="K127" s="1172" t="s">
        <v>1441</v>
      </c>
      <c r="L127" s="1172"/>
      <c r="M127" s="1177"/>
      <c r="N127" s="1172"/>
      <c r="O127" s="1172" t="s">
        <v>1413</v>
      </c>
      <c r="P127" s="1172"/>
      <c r="Q127" s="1172"/>
      <c r="R127" s="1172"/>
      <c r="S127" s="1175"/>
      <c r="T127" s="1172"/>
      <c r="U127" s="1172" t="s">
        <v>1422</v>
      </c>
      <c r="V127" s="1172"/>
      <c r="W127" s="1176"/>
      <c r="X127" s="1172"/>
      <c r="Y127" s="1176">
        <v>5250</v>
      </c>
      <c r="Z127" s="1172"/>
      <c r="AA127" s="1176">
        <v>-10710</v>
      </c>
    </row>
    <row r="128" spans="1:27" hidden="1" outlineLevel="1" x14ac:dyDescent="0.3">
      <c r="A128" s="1172"/>
      <c r="B128" s="1172" t="s">
        <v>500</v>
      </c>
      <c r="C128" s="1172"/>
      <c r="D128" s="1172"/>
      <c r="E128" s="1172"/>
      <c r="F128" s="1172"/>
      <c r="G128" s="1172" t="s">
        <v>871</v>
      </c>
      <c r="H128" s="1172"/>
      <c r="I128" s="1173">
        <v>44348</v>
      </c>
      <c r="J128" s="1172"/>
      <c r="K128" s="1172"/>
      <c r="L128" s="1172"/>
      <c r="M128" s="1177"/>
      <c r="N128" s="1172"/>
      <c r="O128" s="1172" t="s">
        <v>1411</v>
      </c>
      <c r="P128" s="1172"/>
      <c r="Q128" s="1172"/>
      <c r="R128" s="1172"/>
      <c r="S128" s="1175"/>
      <c r="T128" s="1172"/>
      <c r="U128" s="1172" t="s">
        <v>1422</v>
      </c>
      <c r="V128" s="1172"/>
      <c r="W128" s="1176"/>
      <c r="X128" s="1172"/>
      <c r="Y128" s="1176">
        <v>131.25</v>
      </c>
      <c r="Z128" s="1172"/>
      <c r="AA128" s="1176">
        <v>-10841.25</v>
      </c>
    </row>
    <row r="129" spans="1:27" hidden="1" outlineLevel="1" x14ac:dyDescent="0.3">
      <c r="A129" s="1172"/>
      <c r="B129" s="1172" t="s">
        <v>500</v>
      </c>
      <c r="C129" s="1172"/>
      <c r="D129" s="1172"/>
      <c r="E129" s="1172"/>
      <c r="F129" s="1172"/>
      <c r="G129" s="1172" t="s">
        <v>871</v>
      </c>
      <c r="H129" s="1172"/>
      <c r="I129" s="1173">
        <v>44357</v>
      </c>
      <c r="J129" s="1172"/>
      <c r="K129" s="1172" t="s">
        <v>1508</v>
      </c>
      <c r="L129" s="1172"/>
      <c r="M129" s="1177"/>
      <c r="N129" s="1172"/>
      <c r="O129" s="1172" t="s">
        <v>1412</v>
      </c>
      <c r="P129" s="1172"/>
      <c r="Q129" s="1172"/>
      <c r="R129" s="1172"/>
      <c r="S129" s="1175"/>
      <c r="T129" s="1172"/>
      <c r="U129" s="1172" t="s">
        <v>1422</v>
      </c>
      <c r="V129" s="1172"/>
      <c r="W129" s="1176"/>
      <c r="X129" s="1172"/>
      <c r="Y129" s="1176">
        <v>21000</v>
      </c>
      <c r="Z129" s="1172"/>
      <c r="AA129" s="1176">
        <v>-31841.25</v>
      </c>
    </row>
    <row r="130" spans="1:27" hidden="1" outlineLevel="1" x14ac:dyDescent="0.3">
      <c r="A130" s="1172"/>
      <c r="B130" s="1172" t="s">
        <v>500</v>
      </c>
      <c r="C130" s="1172"/>
      <c r="D130" s="1172"/>
      <c r="E130" s="1172"/>
      <c r="F130" s="1172"/>
      <c r="G130" s="1172" t="s">
        <v>1409</v>
      </c>
      <c r="H130" s="1172"/>
      <c r="I130" s="1173">
        <v>44361</v>
      </c>
      <c r="J130" s="1172"/>
      <c r="K130" s="1172" t="s">
        <v>251</v>
      </c>
      <c r="L130" s="1172"/>
      <c r="M130" s="1177"/>
      <c r="N130" s="1172"/>
      <c r="O130" s="1172" t="s">
        <v>1411</v>
      </c>
      <c r="P130" s="1172"/>
      <c r="Q130" s="1172"/>
      <c r="R130" s="1172"/>
      <c r="S130" s="1175"/>
      <c r="T130" s="1172"/>
      <c r="U130" s="1172" t="s">
        <v>1394</v>
      </c>
      <c r="V130" s="1172"/>
      <c r="W130" s="1176">
        <v>131.25</v>
      </c>
      <c r="X130" s="1172"/>
      <c r="Y130" s="1176"/>
      <c r="Z130" s="1172"/>
      <c r="AA130" s="1176">
        <v>-31710</v>
      </c>
    </row>
    <row r="131" spans="1:27" hidden="1" outlineLevel="1" x14ac:dyDescent="0.3">
      <c r="A131" s="1172"/>
      <c r="B131" s="1172" t="s">
        <v>500</v>
      </c>
      <c r="C131" s="1172"/>
      <c r="D131" s="1172"/>
      <c r="E131" s="1172"/>
      <c r="F131" s="1172"/>
      <c r="G131" s="1172" t="s">
        <v>1409</v>
      </c>
      <c r="H131" s="1172"/>
      <c r="I131" s="1173">
        <v>44375</v>
      </c>
      <c r="J131" s="1172"/>
      <c r="K131" s="1172" t="s">
        <v>251</v>
      </c>
      <c r="L131" s="1172"/>
      <c r="M131" s="1177"/>
      <c r="N131" s="1172"/>
      <c r="O131" s="1172" t="s">
        <v>1412</v>
      </c>
      <c r="P131" s="1172"/>
      <c r="Q131" s="1172"/>
      <c r="R131" s="1172"/>
      <c r="S131" s="1175"/>
      <c r="T131" s="1172"/>
      <c r="U131" s="1172" t="s">
        <v>1394</v>
      </c>
      <c r="V131" s="1172"/>
      <c r="W131" s="1176">
        <v>15750</v>
      </c>
      <c r="X131" s="1172"/>
      <c r="Y131" s="1176"/>
      <c r="Z131" s="1172"/>
      <c r="AA131" s="1176">
        <v>-15960</v>
      </c>
    </row>
    <row r="132" spans="1:27" hidden="1" outlineLevel="1" x14ac:dyDescent="0.3">
      <c r="A132" s="1172"/>
      <c r="B132" s="1172" t="s">
        <v>500</v>
      </c>
      <c r="C132" s="1172"/>
      <c r="D132" s="1172"/>
      <c r="E132" s="1172"/>
      <c r="F132" s="1172"/>
      <c r="G132" s="1172" t="s">
        <v>1409</v>
      </c>
      <c r="H132" s="1172"/>
      <c r="I132" s="1173">
        <v>44375</v>
      </c>
      <c r="J132" s="1172"/>
      <c r="K132" s="1172" t="s">
        <v>251</v>
      </c>
      <c r="L132" s="1172"/>
      <c r="M132" s="1177"/>
      <c r="N132" s="1172"/>
      <c r="O132" s="1172" t="s">
        <v>1413</v>
      </c>
      <c r="P132" s="1172"/>
      <c r="Q132" s="1172"/>
      <c r="R132" s="1172"/>
      <c r="S132" s="1175"/>
      <c r="T132" s="1172"/>
      <c r="U132" s="1172" t="s">
        <v>1394</v>
      </c>
      <c r="V132" s="1172"/>
      <c r="W132" s="1176">
        <v>5250</v>
      </c>
      <c r="X132" s="1172"/>
      <c r="Y132" s="1176"/>
      <c r="Z132" s="1172"/>
      <c r="AA132" s="1176">
        <v>-10710</v>
      </c>
    </row>
    <row r="133" spans="1:27" hidden="1" outlineLevel="1" x14ac:dyDescent="0.3">
      <c r="A133" s="1172"/>
      <c r="B133" s="1172" t="s">
        <v>500</v>
      </c>
      <c r="C133" s="1172"/>
      <c r="D133" s="1172"/>
      <c r="E133" s="1172"/>
      <c r="F133" s="1172"/>
      <c r="G133" s="1172" t="s">
        <v>1409</v>
      </c>
      <c r="H133" s="1172"/>
      <c r="I133" s="1173">
        <v>44375</v>
      </c>
      <c r="J133" s="1172"/>
      <c r="K133" s="1172" t="s">
        <v>251</v>
      </c>
      <c r="L133" s="1172"/>
      <c r="M133" s="1177"/>
      <c r="N133" s="1172"/>
      <c r="O133" s="1172" t="s">
        <v>1412</v>
      </c>
      <c r="P133" s="1172"/>
      <c r="Q133" s="1172"/>
      <c r="R133" s="1172"/>
      <c r="S133" s="1175"/>
      <c r="T133" s="1172"/>
      <c r="U133" s="1172" t="s">
        <v>1394</v>
      </c>
      <c r="V133" s="1172"/>
      <c r="W133" s="1176">
        <v>5250</v>
      </c>
      <c r="X133" s="1172"/>
      <c r="Y133" s="1176"/>
      <c r="Z133" s="1172"/>
      <c r="AA133" s="1176">
        <v>-5460</v>
      </c>
    </row>
    <row r="134" spans="1:27" hidden="1" outlineLevel="1" x14ac:dyDescent="0.3">
      <c r="A134" s="1172"/>
      <c r="B134" s="1172" t="s">
        <v>500</v>
      </c>
      <c r="C134" s="1172"/>
      <c r="D134" s="1172"/>
      <c r="E134" s="1172"/>
      <c r="F134" s="1172"/>
      <c r="G134" s="1172" t="s">
        <v>1409</v>
      </c>
      <c r="H134" s="1172"/>
      <c r="I134" s="1173">
        <v>44375</v>
      </c>
      <c r="J134" s="1172"/>
      <c r="K134" s="1172" t="s">
        <v>251</v>
      </c>
      <c r="L134" s="1172"/>
      <c r="M134" s="1177"/>
      <c r="N134" s="1172"/>
      <c r="O134" s="1172" t="s">
        <v>1413</v>
      </c>
      <c r="P134" s="1172"/>
      <c r="Q134" s="1172"/>
      <c r="R134" s="1172"/>
      <c r="S134" s="1175"/>
      <c r="T134" s="1172"/>
      <c r="U134" s="1172" t="s">
        <v>1394</v>
      </c>
      <c r="V134" s="1172"/>
      <c r="W134" s="1176">
        <v>5250</v>
      </c>
      <c r="X134" s="1172"/>
      <c r="Y134" s="1176"/>
      <c r="Z134" s="1172"/>
      <c r="AA134" s="1176">
        <v>-210</v>
      </c>
    </row>
    <row r="135" spans="1:27" hidden="1" outlineLevel="1" x14ac:dyDescent="0.3">
      <c r="A135" s="1172"/>
      <c r="B135" s="1172" t="s">
        <v>500</v>
      </c>
      <c r="C135" s="1172"/>
      <c r="D135" s="1172"/>
      <c r="E135" s="1172"/>
      <c r="F135" s="1172"/>
      <c r="G135" s="1172" t="s">
        <v>1409</v>
      </c>
      <c r="H135" s="1172"/>
      <c r="I135" s="1173">
        <v>44375</v>
      </c>
      <c r="J135" s="1172"/>
      <c r="K135" s="1172" t="s">
        <v>251</v>
      </c>
      <c r="L135" s="1172"/>
      <c r="M135" s="1177"/>
      <c r="N135" s="1172"/>
      <c r="O135" s="1172" t="s">
        <v>1411</v>
      </c>
      <c r="P135" s="1172"/>
      <c r="Q135" s="1172"/>
      <c r="R135" s="1172"/>
      <c r="S135" s="1175"/>
      <c r="T135" s="1172"/>
      <c r="U135" s="1172" t="s">
        <v>1394</v>
      </c>
      <c r="V135" s="1172"/>
      <c r="W135" s="1176">
        <v>105</v>
      </c>
      <c r="X135" s="1172"/>
      <c r="Y135" s="1176"/>
      <c r="Z135" s="1172"/>
      <c r="AA135" s="1176">
        <v>-105</v>
      </c>
    </row>
    <row r="136" spans="1:27" hidden="1" outlineLevel="1" x14ac:dyDescent="0.3">
      <c r="A136" s="1172"/>
      <c r="B136" s="1172" t="s">
        <v>500</v>
      </c>
      <c r="C136" s="1172"/>
      <c r="D136" s="1172"/>
      <c r="E136" s="1172"/>
      <c r="F136" s="1172"/>
      <c r="G136" s="1172" t="s">
        <v>1409</v>
      </c>
      <c r="H136" s="1172"/>
      <c r="I136" s="1173">
        <v>44375</v>
      </c>
      <c r="J136" s="1172"/>
      <c r="K136" s="1172" t="s">
        <v>251</v>
      </c>
      <c r="L136" s="1172"/>
      <c r="M136" s="1177"/>
      <c r="N136" s="1172"/>
      <c r="O136" s="1172" t="s">
        <v>1413</v>
      </c>
      <c r="P136" s="1172"/>
      <c r="Q136" s="1172"/>
      <c r="R136" s="1172"/>
      <c r="S136" s="1175"/>
      <c r="T136" s="1172"/>
      <c r="U136" s="1172" t="s">
        <v>1394</v>
      </c>
      <c r="V136" s="1172"/>
      <c r="W136" s="1176">
        <v>5250</v>
      </c>
      <c r="X136" s="1172"/>
      <c r="Y136" s="1176"/>
      <c r="Z136" s="1172"/>
      <c r="AA136" s="1176">
        <v>5145</v>
      </c>
    </row>
    <row r="137" spans="1:27" hidden="1" outlineLevel="1" x14ac:dyDescent="0.3">
      <c r="A137" s="1172"/>
      <c r="B137" s="1172" t="s">
        <v>500</v>
      </c>
      <c r="C137" s="1172"/>
      <c r="D137" s="1172"/>
      <c r="E137" s="1172"/>
      <c r="F137" s="1172"/>
      <c r="G137" s="1172" t="s">
        <v>871</v>
      </c>
      <c r="H137" s="1172"/>
      <c r="I137" s="1173">
        <v>44377</v>
      </c>
      <c r="J137" s="1172"/>
      <c r="K137" s="1172" t="s">
        <v>1509</v>
      </c>
      <c r="L137" s="1172"/>
      <c r="M137" s="1177"/>
      <c r="N137" s="1172"/>
      <c r="O137" s="1172" t="s">
        <v>1412</v>
      </c>
      <c r="P137" s="1172"/>
      <c r="Q137" s="1172"/>
      <c r="R137" s="1172"/>
      <c r="S137" s="1175"/>
      <c r="T137" s="1172"/>
      <c r="U137" s="1172" t="s">
        <v>1422</v>
      </c>
      <c r="V137" s="1172"/>
      <c r="W137" s="1176"/>
      <c r="X137" s="1172"/>
      <c r="Y137" s="1176">
        <v>8448.2099999999991</v>
      </c>
      <c r="Z137" s="1172"/>
      <c r="AA137" s="1176">
        <v>-3303.21</v>
      </c>
    </row>
    <row r="138" spans="1:27" hidden="1" outlineLevel="1" x14ac:dyDescent="0.3">
      <c r="A138" s="1172"/>
      <c r="B138" s="1172" t="s">
        <v>500</v>
      </c>
      <c r="C138" s="1172"/>
      <c r="D138" s="1172"/>
      <c r="E138" s="1172"/>
      <c r="F138" s="1172"/>
      <c r="G138" s="1172" t="s">
        <v>871</v>
      </c>
      <c r="H138" s="1172"/>
      <c r="I138" s="1173">
        <v>44378</v>
      </c>
      <c r="J138" s="1172"/>
      <c r="K138" s="1172" t="s">
        <v>1510</v>
      </c>
      <c r="L138" s="1172"/>
      <c r="M138" s="1177"/>
      <c r="N138" s="1172"/>
      <c r="O138" s="1172" t="s">
        <v>1411</v>
      </c>
      <c r="P138" s="1172"/>
      <c r="Q138" s="1172"/>
      <c r="R138" s="1172"/>
      <c r="S138" s="1175"/>
      <c r="T138" s="1172"/>
      <c r="U138" s="1172" t="s">
        <v>1422</v>
      </c>
      <c r="V138" s="1172"/>
      <c r="W138" s="1176"/>
      <c r="X138" s="1172"/>
      <c r="Y138" s="1176">
        <v>105</v>
      </c>
      <c r="Z138" s="1172"/>
      <c r="AA138" s="1176">
        <v>-3408.21</v>
      </c>
    </row>
    <row r="139" spans="1:27" hidden="1" outlineLevel="1" x14ac:dyDescent="0.3">
      <c r="A139" s="1172"/>
      <c r="B139" s="1172" t="s">
        <v>500</v>
      </c>
      <c r="C139" s="1172"/>
      <c r="D139" s="1172"/>
      <c r="E139" s="1172"/>
      <c r="F139" s="1172"/>
      <c r="G139" s="1172" t="s">
        <v>871</v>
      </c>
      <c r="H139" s="1172"/>
      <c r="I139" s="1173">
        <v>44378</v>
      </c>
      <c r="J139" s="1172"/>
      <c r="K139" s="1172" t="s">
        <v>1442</v>
      </c>
      <c r="L139" s="1172"/>
      <c r="M139" s="1177"/>
      <c r="N139" s="1172"/>
      <c r="O139" s="1172" t="s">
        <v>1413</v>
      </c>
      <c r="P139" s="1172"/>
      <c r="Q139" s="1172"/>
      <c r="R139" s="1172"/>
      <c r="S139" s="1175"/>
      <c r="T139" s="1172"/>
      <c r="U139" s="1172" t="s">
        <v>1422</v>
      </c>
      <c r="V139" s="1172"/>
      <c r="W139" s="1176"/>
      <c r="X139" s="1172"/>
      <c r="Y139" s="1176">
        <v>5250</v>
      </c>
      <c r="Z139" s="1172"/>
      <c r="AA139" s="1176">
        <v>-8658.2099999999991</v>
      </c>
    </row>
    <row r="140" spans="1:27" hidden="1" outlineLevel="1" x14ac:dyDescent="0.3">
      <c r="A140" s="1172"/>
      <c r="B140" s="1172" t="s">
        <v>500</v>
      </c>
      <c r="C140" s="1172"/>
      <c r="D140" s="1172"/>
      <c r="E140" s="1172"/>
      <c r="F140" s="1172"/>
      <c r="G140" s="1172" t="s">
        <v>871</v>
      </c>
      <c r="H140" s="1172"/>
      <c r="I140" s="1173">
        <v>44384</v>
      </c>
      <c r="J140" s="1172"/>
      <c r="K140" s="1172" t="s">
        <v>1511</v>
      </c>
      <c r="L140" s="1172"/>
      <c r="M140" s="1177"/>
      <c r="N140" s="1172"/>
      <c r="O140" s="1172" t="s">
        <v>1416</v>
      </c>
      <c r="P140" s="1172"/>
      <c r="Q140" s="1172"/>
      <c r="R140" s="1172"/>
      <c r="S140" s="1175"/>
      <c r="T140" s="1172"/>
      <c r="U140" s="1172" t="s">
        <v>1422</v>
      </c>
      <c r="V140" s="1172"/>
      <c r="W140" s="1176"/>
      <c r="X140" s="1172"/>
      <c r="Y140" s="1176">
        <v>1291.5</v>
      </c>
      <c r="Z140" s="1172"/>
      <c r="AA140" s="1176">
        <v>-9949.7099999999991</v>
      </c>
    </row>
    <row r="141" spans="1:27" hidden="1" outlineLevel="1" x14ac:dyDescent="0.3">
      <c r="A141" s="1172"/>
      <c r="B141" s="1172" t="s">
        <v>500</v>
      </c>
      <c r="C141" s="1172"/>
      <c r="D141" s="1172"/>
      <c r="E141" s="1172"/>
      <c r="F141" s="1172"/>
      <c r="G141" s="1172" t="s">
        <v>1409</v>
      </c>
      <c r="H141" s="1172"/>
      <c r="I141" s="1173">
        <v>44403</v>
      </c>
      <c r="J141" s="1172"/>
      <c r="K141" s="1172" t="s">
        <v>251</v>
      </c>
      <c r="L141" s="1172"/>
      <c r="M141" s="1177"/>
      <c r="N141" s="1172"/>
      <c r="O141" s="1172" t="s">
        <v>1416</v>
      </c>
      <c r="P141" s="1172"/>
      <c r="Q141" s="1172"/>
      <c r="R141" s="1172"/>
      <c r="S141" s="1175"/>
      <c r="T141" s="1172"/>
      <c r="U141" s="1172" t="s">
        <v>1394</v>
      </c>
      <c r="V141" s="1172"/>
      <c r="W141" s="1176">
        <v>1291.5</v>
      </c>
      <c r="X141" s="1172"/>
      <c r="Y141" s="1176"/>
      <c r="Z141" s="1172"/>
      <c r="AA141" s="1176">
        <v>-8658.2099999999991</v>
      </c>
    </row>
    <row r="142" spans="1:27" hidden="1" outlineLevel="1" x14ac:dyDescent="0.3">
      <c r="A142" s="1172"/>
      <c r="B142" s="1172" t="s">
        <v>500</v>
      </c>
      <c r="C142" s="1172"/>
      <c r="D142" s="1172"/>
      <c r="E142" s="1172"/>
      <c r="F142" s="1172"/>
      <c r="G142" s="1172" t="s">
        <v>871</v>
      </c>
      <c r="H142" s="1172"/>
      <c r="I142" s="1173">
        <v>44409</v>
      </c>
      <c r="J142" s="1172"/>
      <c r="K142" s="1172" t="s">
        <v>1512</v>
      </c>
      <c r="L142" s="1172"/>
      <c r="M142" s="1177"/>
      <c r="N142" s="1172"/>
      <c r="O142" s="1172" t="s">
        <v>1411</v>
      </c>
      <c r="P142" s="1172"/>
      <c r="Q142" s="1172"/>
      <c r="R142" s="1172"/>
      <c r="S142" s="1175"/>
      <c r="T142" s="1172"/>
      <c r="U142" s="1172" t="s">
        <v>1422</v>
      </c>
      <c r="V142" s="1172"/>
      <c r="W142" s="1176"/>
      <c r="X142" s="1172"/>
      <c r="Y142" s="1176">
        <v>105</v>
      </c>
      <c r="Z142" s="1172"/>
      <c r="AA142" s="1176">
        <v>-8763.2099999999991</v>
      </c>
    </row>
    <row r="143" spans="1:27" hidden="1" outlineLevel="1" x14ac:dyDescent="0.3">
      <c r="A143" s="1172"/>
      <c r="B143" s="1172" t="s">
        <v>500</v>
      </c>
      <c r="C143" s="1172"/>
      <c r="D143" s="1172"/>
      <c r="E143" s="1172"/>
      <c r="F143" s="1172"/>
      <c r="G143" s="1172" t="s">
        <v>1409</v>
      </c>
      <c r="H143" s="1172"/>
      <c r="I143" s="1173">
        <v>44411</v>
      </c>
      <c r="J143" s="1172"/>
      <c r="K143" s="1172" t="s">
        <v>251</v>
      </c>
      <c r="L143" s="1172"/>
      <c r="M143" s="1177"/>
      <c r="N143" s="1172"/>
      <c r="O143" s="1172" t="s">
        <v>1411</v>
      </c>
      <c r="P143" s="1172"/>
      <c r="Q143" s="1172"/>
      <c r="R143" s="1172"/>
      <c r="S143" s="1175"/>
      <c r="T143" s="1172"/>
      <c r="U143" s="1172" t="s">
        <v>1394</v>
      </c>
      <c r="V143" s="1172"/>
      <c r="W143" s="1176">
        <v>105</v>
      </c>
      <c r="X143" s="1172"/>
      <c r="Y143" s="1176"/>
      <c r="Z143" s="1172"/>
      <c r="AA143" s="1176">
        <v>-8658.2099999999991</v>
      </c>
    </row>
    <row r="144" spans="1:27" hidden="1" outlineLevel="1" x14ac:dyDescent="0.3">
      <c r="A144" s="1172"/>
      <c r="B144" s="1172" t="s">
        <v>500</v>
      </c>
      <c r="C144" s="1172"/>
      <c r="D144" s="1172"/>
      <c r="E144" s="1172"/>
      <c r="F144" s="1172"/>
      <c r="G144" s="1172" t="s">
        <v>871</v>
      </c>
      <c r="H144" s="1172"/>
      <c r="I144" s="1173">
        <v>44414</v>
      </c>
      <c r="J144" s="1172"/>
      <c r="K144" s="1172" t="s">
        <v>1513</v>
      </c>
      <c r="L144" s="1172"/>
      <c r="M144" s="1177"/>
      <c r="N144" s="1172"/>
      <c r="O144" s="1172" t="s">
        <v>1416</v>
      </c>
      <c r="P144" s="1172"/>
      <c r="Q144" s="1172" t="s">
        <v>1514</v>
      </c>
      <c r="R144" s="1172"/>
      <c r="S144" s="1175"/>
      <c r="T144" s="1172"/>
      <c r="U144" s="1172" t="s">
        <v>1422</v>
      </c>
      <c r="V144" s="1172"/>
      <c r="W144" s="1176">
        <v>0</v>
      </c>
      <c r="X144" s="1172"/>
      <c r="Y144" s="1176"/>
      <c r="Z144" s="1172"/>
      <c r="AA144" s="1176">
        <v>-8658.2099999999991</v>
      </c>
    </row>
    <row r="145" spans="1:27" hidden="1" outlineLevel="1" x14ac:dyDescent="0.3">
      <c r="A145" s="1172"/>
      <c r="B145" s="1172" t="s">
        <v>500</v>
      </c>
      <c r="C145" s="1172"/>
      <c r="D145" s="1172"/>
      <c r="E145" s="1172"/>
      <c r="F145" s="1172"/>
      <c r="G145" s="1172" t="s">
        <v>871</v>
      </c>
      <c r="H145" s="1172"/>
      <c r="I145" s="1173">
        <v>44415</v>
      </c>
      <c r="J145" s="1172"/>
      <c r="K145" s="1172" t="s">
        <v>1515</v>
      </c>
      <c r="L145" s="1172"/>
      <c r="M145" s="1177"/>
      <c r="N145" s="1172"/>
      <c r="O145" s="1172" t="s">
        <v>1416</v>
      </c>
      <c r="P145" s="1172"/>
      <c r="Q145" s="1172" t="s">
        <v>1516</v>
      </c>
      <c r="R145" s="1172"/>
      <c r="S145" s="1175"/>
      <c r="T145" s="1172"/>
      <c r="U145" s="1172" t="s">
        <v>1422</v>
      </c>
      <c r="V145" s="1172"/>
      <c r="W145" s="1176">
        <v>0</v>
      </c>
      <c r="X145" s="1172"/>
      <c r="Y145" s="1176"/>
      <c r="Z145" s="1172"/>
      <c r="AA145" s="1176">
        <v>-8658.2099999999991</v>
      </c>
    </row>
    <row r="146" spans="1:27" hidden="1" outlineLevel="1" x14ac:dyDescent="0.3">
      <c r="A146" s="1172"/>
      <c r="B146" s="1172" t="s">
        <v>500</v>
      </c>
      <c r="C146" s="1172"/>
      <c r="D146" s="1172"/>
      <c r="E146" s="1172"/>
      <c r="F146" s="1172"/>
      <c r="G146" s="1172" t="s">
        <v>1409</v>
      </c>
      <c r="H146" s="1172"/>
      <c r="I146" s="1173">
        <v>44434</v>
      </c>
      <c r="J146" s="1172"/>
      <c r="K146" s="1172" t="s">
        <v>251</v>
      </c>
      <c r="L146" s="1172"/>
      <c r="M146" s="1177"/>
      <c r="N146" s="1172"/>
      <c r="O146" s="1172" t="s">
        <v>1412</v>
      </c>
      <c r="P146" s="1172"/>
      <c r="Q146" s="1172"/>
      <c r="R146" s="1172"/>
      <c r="S146" s="1175"/>
      <c r="T146" s="1172"/>
      <c r="U146" s="1172" t="s">
        <v>1394</v>
      </c>
      <c r="V146" s="1172"/>
      <c r="W146" s="1176">
        <v>8448.2099999999991</v>
      </c>
      <c r="X146" s="1172"/>
      <c r="Y146" s="1176"/>
      <c r="Z146" s="1172"/>
      <c r="AA146" s="1176">
        <v>-210</v>
      </c>
    </row>
    <row r="147" spans="1:27" hidden="1" outlineLevel="1" x14ac:dyDescent="0.3">
      <c r="A147" s="1172"/>
      <c r="B147" s="1172" t="s">
        <v>500</v>
      </c>
      <c r="C147" s="1172"/>
      <c r="D147" s="1172"/>
      <c r="E147" s="1172"/>
      <c r="F147" s="1172"/>
      <c r="G147" s="1172" t="s">
        <v>1409</v>
      </c>
      <c r="H147" s="1172"/>
      <c r="I147" s="1173">
        <v>44434</v>
      </c>
      <c r="J147" s="1172"/>
      <c r="K147" s="1172" t="s">
        <v>251</v>
      </c>
      <c r="L147" s="1172"/>
      <c r="M147" s="1177"/>
      <c r="N147" s="1172"/>
      <c r="O147" s="1172" t="s">
        <v>1411</v>
      </c>
      <c r="P147" s="1172"/>
      <c r="Q147" s="1172"/>
      <c r="R147" s="1172"/>
      <c r="S147" s="1175"/>
      <c r="T147" s="1172"/>
      <c r="U147" s="1172" t="s">
        <v>1394</v>
      </c>
      <c r="V147" s="1172"/>
      <c r="W147" s="1176">
        <v>105</v>
      </c>
      <c r="X147" s="1172"/>
      <c r="Y147" s="1176"/>
      <c r="Z147" s="1172"/>
      <c r="AA147" s="1176">
        <v>-105</v>
      </c>
    </row>
    <row r="148" spans="1:27" hidden="1" outlineLevel="1" x14ac:dyDescent="0.3">
      <c r="A148" s="1172"/>
      <c r="B148" s="1172" t="s">
        <v>500</v>
      </c>
      <c r="C148" s="1172"/>
      <c r="D148" s="1172"/>
      <c r="E148" s="1172"/>
      <c r="F148" s="1172"/>
      <c r="G148" s="1172" t="s">
        <v>871</v>
      </c>
      <c r="H148" s="1172"/>
      <c r="I148" s="1173">
        <v>44440</v>
      </c>
      <c r="J148" s="1172"/>
      <c r="K148" s="1172" t="s">
        <v>1517</v>
      </c>
      <c r="L148" s="1172"/>
      <c r="M148" s="1177"/>
      <c r="N148" s="1172"/>
      <c r="O148" s="1172" t="s">
        <v>1411</v>
      </c>
      <c r="P148" s="1172"/>
      <c r="Q148" s="1172"/>
      <c r="R148" s="1172"/>
      <c r="S148" s="1175"/>
      <c r="T148" s="1172"/>
      <c r="U148" s="1172" t="s">
        <v>1422</v>
      </c>
      <c r="V148" s="1172"/>
      <c r="W148" s="1176"/>
      <c r="X148" s="1172"/>
      <c r="Y148" s="1176">
        <v>105</v>
      </c>
      <c r="Z148" s="1172"/>
      <c r="AA148" s="1176">
        <v>-210</v>
      </c>
    </row>
    <row r="149" spans="1:27" hidden="1" outlineLevel="1" x14ac:dyDescent="0.3">
      <c r="A149" s="1172"/>
      <c r="B149" s="1172" t="s">
        <v>500</v>
      </c>
      <c r="C149" s="1172"/>
      <c r="D149" s="1172"/>
      <c r="E149" s="1172"/>
      <c r="F149" s="1172"/>
      <c r="G149" s="1172" t="s">
        <v>871</v>
      </c>
      <c r="H149" s="1172"/>
      <c r="I149" s="1173">
        <v>44446</v>
      </c>
      <c r="J149" s="1172"/>
      <c r="K149" s="1172" t="s">
        <v>1518</v>
      </c>
      <c r="L149" s="1172"/>
      <c r="M149" s="1177"/>
      <c r="N149" s="1172"/>
      <c r="O149" s="1172" t="s">
        <v>1416</v>
      </c>
      <c r="P149" s="1172"/>
      <c r="Q149" s="1172"/>
      <c r="R149" s="1172"/>
      <c r="S149" s="1175"/>
      <c r="T149" s="1172"/>
      <c r="U149" s="1172" t="s">
        <v>1422</v>
      </c>
      <c r="V149" s="1172"/>
      <c r="W149" s="1176">
        <v>0</v>
      </c>
      <c r="X149" s="1172"/>
      <c r="Y149" s="1176"/>
      <c r="Z149" s="1172"/>
      <c r="AA149" s="1176">
        <v>-210</v>
      </c>
    </row>
    <row r="150" spans="1:27" hidden="1" outlineLevel="1" x14ac:dyDescent="0.3">
      <c r="A150" s="1172"/>
      <c r="B150" s="1172" t="s">
        <v>500</v>
      </c>
      <c r="C150" s="1172"/>
      <c r="D150" s="1172"/>
      <c r="E150" s="1172"/>
      <c r="F150" s="1172"/>
      <c r="G150" s="1172" t="s">
        <v>1409</v>
      </c>
      <c r="H150" s="1172"/>
      <c r="I150" s="1173">
        <v>44446</v>
      </c>
      <c r="J150" s="1172"/>
      <c r="K150" s="1172" t="s">
        <v>251</v>
      </c>
      <c r="L150" s="1172"/>
      <c r="M150" s="1177"/>
      <c r="N150" s="1172"/>
      <c r="O150" s="1172" t="s">
        <v>1411</v>
      </c>
      <c r="P150" s="1172"/>
      <c r="Q150" s="1172"/>
      <c r="R150" s="1172"/>
      <c r="S150" s="1175"/>
      <c r="T150" s="1172"/>
      <c r="U150" s="1172" t="s">
        <v>1394</v>
      </c>
      <c r="V150" s="1172"/>
      <c r="W150" s="1176">
        <v>105</v>
      </c>
      <c r="X150" s="1172"/>
      <c r="Y150" s="1176"/>
      <c r="Z150" s="1172"/>
      <c r="AA150" s="1176">
        <v>-105</v>
      </c>
    </row>
    <row r="151" spans="1:27" hidden="1" outlineLevel="1" x14ac:dyDescent="0.3">
      <c r="A151" s="1172"/>
      <c r="B151" s="1172" t="s">
        <v>500</v>
      </c>
      <c r="C151" s="1172"/>
      <c r="D151" s="1172"/>
      <c r="E151" s="1172"/>
      <c r="F151" s="1172"/>
      <c r="G151" s="1172" t="s">
        <v>871</v>
      </c>
      <c r="H151" s="1172"/>
      <c r="I151" s="1173">
        <v>44470</v>
      </c>
      <c r="J151" s="1172"/>
      <c r="K151" s="1172"/>
      <c r="L151" s="1172"/>
      <c r="M151" s="1177"/>
      <c r="N151" s="1172"/>
      <c r="O151" s="1172" t="s">
        <v>1437</v>
      </c>
      <c r="P151" s="1172"/>
      <c r="Q151" s="1172"/>
      <c r="R151" s="1172"/>
      <c r="S151" s="1175"/>
      <c r="T151" s="1172"/>
      <c r="U151" s="1172" t="s">
        <v>1422</v>
      </c>
      <c r="V151" s="1172"/>
      <c r="W151" s="1176"/>
      <c r="X151" s="1172"/>
      <c r="Y151" s="1176">
        <v>1575</v>
      </c>
      <c r="Z151" s="1172"/>
      <c r="AA151" s="1176">
        <v>-1680</v>
      </c>
    </row>
    <row r="152" spans="1:27" hidden="1" outlineLevel="1" x14ac:dyDescent="0.3">
      <c r="A152" s="1172"/>
      <c r="B152" s="1172" t="s">
        <v>500</v>
      </c>
      <c r="C152" s="1172"/>
      <c r="D152" s="1172"/>
      <c r="E152" s="1172"/>
      <c r="F152" s="1172"/>
      <c r="G152" s="1172" t="s">
        <v>871</v>
      </c>
      <c r="H152" s="1172"/>
      <c r="I152" s="1173">
        <v>44476</v>
      </c>
      <c r="J152" s="1172"/>
      <c r="K152" s="1172" t="s">
        <v>1519</v>
      </c>
      <c r="L152" s="1172"/>
      <c r="M152" s="1177"/>
      <c r="N152" s="1172"/>
      <c r="O152" s="1172" t="s">
        <v>1416</v>
      </c>
      <c r="P152" s="1172"/>
      <c r="Q152" s="1172"/>
      <c r="R152" s="1172"/>
      <c r="S152" s="1175"/>
      <c r="T152" s="1172"/>
      <c r="U152" s="1172" t="s">
        <v>1422</v>
      </c>
      <c r="V152" s="1172"/>
      <c r="W152" s="1176">
        <v>0</v>
      </c>
      <c r="X152" s="1172"/>
      <c r="Y152" s="1176"/>
      <c r="Z152" s="1172"/>
      <c r="AA152" s="1176">
        <v>-1680</v>
      </c>
    </row>
    <row r="153" spans="1:27" hidden="1" outlineLevel="1" x14ac:dyDescent="0.3">
      <c r="A153" s="1172"/>
      <c r="B153" s="1172" t="s">
        <v>500</v>
      </c>
      <c r="C153" s="1172"/>
      <c r="D153" s="1172"/>
      <c r="E153" s="1172"/>
      <c r="F153" s="1172"/>
      <c r="G153" s="1172" t="s">
        <v>1409</v>
      </c>
      <c r="H153" s="1172"/>
      <c r="I153" s="1173">
        <v>44482</v>
      </c>
      <c r="J153" s="1172"/>
      <c r="K153" s="1172"/>
      <c r="L153" s="1172"/>
      <c r="M153" s="1177"/>
      <c r="N153" s="1172"/>
      <c r="O153" s="1172" t="s">
        <v>1437</v>
      </c>
      <c r="P153" s="1172"/>
      <c r="Q153" s="1172"/>
      <c r="R153" s="1172"/>
      <c r="S153" s="1175"/>
      <c r="T153" s="1172"/>
      <c r="U153" s="1172" t="s">
        <v>1394</v>
      </c>
      <c r="V153" s="1172"/>
      <c r="W153" s="1176">
        <v>1575</v>
      </c>
      <c r="X153" s="1172"/>
      <c r="Y153" s="1176"/>
      <c r="Z153" s="1172"/>
      <c r="AA153" s="1176">
        <v>-105</v>
      </c>
    </row>
    <row r="154" spans="1:27" hidden="1" outlineLevel="1" x14ac:dyDescent="0.3">
      <c r="A154" s="1172"/>
      <c r="B154" s="1172" t="s">
        <v>500</v>
      </c>
      <c r="C154" s="1172"/>
      <c r="D154" s="1172"/>
      <c r="E154" s="1172"/>
      <c r="F154" s="1172"/>
      <c r="G154" s="1172" t="s">
        <v>1409</v>
      </c>
      <c r="H154" s="1172"/>
      <c r="I154" s="1173">
        <v>44482</v>
      </c>
      <c r="J154" s="1172"/>
      <c r="K154" s="1172" t="s">
        <v>251</v>
      </c>
      <c r="L154" s="1172"/>
      <c r="M154" s="1177"/>
      <c r="N154" s="1172"/>
      <c r="O154" s="1172" t="s">
        <v>1411</v>
      </c>
      <c r="P154" s="1172"/>
      <c r="Q154" s="1172"/>
      <c r="R154" s="1172"/>
      <c r="S154" s="1175"/>
      <c r="T154" s="1172"/>
      <c r="U154" s="1172" t="s">
        <v>1394</v>
      </c>
      <c r="V154" s="1172"/>
      <c r="W154" s="1176">
        <v>105</v>
      </c>
      <c r="X154" s="1172"/>
      <c r="Y154" s="1176"/>
      <c r="Z154" s="1172"/>
      <c r="AA154" s="1176">
        <v>0</v>
      </c>
    </row>
    <row r="155" spans="1:27" hidden="1" outlineLevel="1" x14ac:dyDescent="0.3">
      <c r="A155" s="1172"/>
      <c r="B155" s="1172" t="s">
        <v>500</v>
      </c>
      <c r="C155" s="1172"/>
      <c r="D155" s="1172"/>
      <c r="E155" s="1172"/>
      <c r="F155" s="1172"/>
      <c r="G155" s="1172" t="s">
        <v>871</v>
      </c>
      <c r="H155" s="1172"/>
      <c r="I155" s="1173">
        <v>44501</v>
      </c>
      <c r="J155" s="1172"/>
      <c r="K155" s="1172" t="s">
        <v>1520</v>
      </c>
      <c r="L155" s="1172"/>
      <c r="M155" s="1177"/>
      <c r="N155" s="1172"/>
      <c r="O155" s="1172" t="s">
        <v>1411</v>
      </c>
      <c r="P155" s="1172"/>
      <c r="Q155" s="1172"/>
      <c r="R155" s="1172"/>
      <c r="S155" s="1175"/>
      <c r="T155" s="1172"/>
      <c r="U155" s="1172" t="s">
        <v>1422</v>
      </c>
      <c r="V155" s="1172"/>
      <c r="W155" s="1176"/>
      <c r="X155" s="1172"/>
      <c r="Y155" s="1176">
        <v>105</v>
      </c>
      <c r="Z155" s="1172"/>
      <c r="AA155" s="1176">
        <v>-105</v>
      </c>
    </row>
    <row r="156" spans="1:27" hidden="1" outlineLevel="1" x14ac:dyDescent="0.3">
      <c r="A156" s="1172"/>
      <c r="B156" s="1172" t="s">
        <v>500</v>
      </c>
      <c r="C156" s="1172"/>
      <c r="D156" s="1172"/>
      <c r="E156" s="1172"/>
      <c r="F156" s="1172"/>
      <c r="G156" s="1172" t="s">
        <v>871</v>
      </c>
      <c r="H156" s="1172"/>
      <c r="I156" s="1173">
        <v>44501</v>
      </c>
      <c r="J156" s="1172"/>
      <c r="K156" s="1172" t="s">
        <v>1521</v>
      </c>
      <c r="L156" s="1172"/>
      <c r="M156" s="1177"/>
      <c r="N156" s="1172"/>
      <c r="O156" s="1172" t="s">
        <v>1437</v>
      </c>
      <c r="P156" s="1172"/>
      <c r="Q156" s="1172"/>
      <c r="R156" s="1172"/>
      <c r="S156" s="1175"/>
      <c r="T156" s="1172"/>
      <c r="U156" s="1172" t="s">
        <v>1422</v>
      </c>
      <c r="V156" s="1172"/>
      <c r="W156" s="1176"/>
      <c r="X156" s="1172"/>
      <c r="Y156" s="1176">
        <v>1575</v>
      </c>
      <c r="Z156" s="1172"/>
      <c r="AA156" s="1176">
        <v>-1680</v>
      </c>
    </row>
    <row r="157" spans="1:27" hidden="1" outlineLevel="1" x14ac:dyDescent="0.3">
      <c r="A157" s="1172"/>
      <c r="B157" s="1172" t="s">
        <v>500</v>
      </c>
      <c r="C157" s="1172"/>
      <c r="D157" s="1172"/>
      <c r="E157" s="1172"/>
      <c r="F157" s="1172"/>
      <c r="G157" s="1172" t="s">
        <v>871</v>
      </c>
      <c r="H157" s="1172"/>
      <c r="I157" s="1173">
        <v>44507</v>
      </c>
      <c r="J157" s="1172"/>
      <c r="K157" s="1172" t="s">
        <v>1522</v>
      </c>
      <c r="L157" s="1172"/>
      <c r="M157" s="1177"/>
      <c r="N157" s="1172"/>
      <c r="O157" s="1172" t="s">
        <v>1416</v>
      </c>
      <c r="P157" s="1172"/>
      <c r="Q157" s="1172"/>
      <c r="R157" s="1172"/>
      <c r="S157" s="1175"/>
      <c r="T157" s="1172"/>
      <c r="U157" s="1172" t="s">
        <v>1422</v>
      </c>
      <c r="V157" s="1172"/>
      <c r="W157" s="1176">
        <v>0</v>
      </c>
      <c r="X157" s="1172"/>
      <c r="Y157" s="1176"/>
      <c r="Z157" s="1172"/>
      <c r="AA157" s="1176">
        <v>-1680</v>
      </c>
    </row>
    <row r="158" spans="1:27" hidden="1" outlineLevel="1" x14ac:dyDescent="0.3">
      <c r="A158" s="1172"/>
      <c r="B158" s="1172" t="s">
        <v>500</v>
      </c>
      <c r="C158" s="1172"/>
      <c r="D158" s="1172"/>
      <c r="E158" s="1172"/>
      <c r="F158" s="1172"/>
      <c r="G158" s="1172" t="s">
        <v>871</v>
      </c>
      <c r="H158" s="1172"/>
      <c r="I158" s="1173">
        <v>44508</v>
      </c>
      <c r="J158" s="1172"/>
      <c r="K158" s="1172" t="s">
        <v>1523</v>
      </c>
      <c r="L158" s="1172"/>
      <c r="M158" s="1177"/>
      <c r="N158" s="1172"/>
      <c r="O158" s="1172" t="s">
        <v>1437</v>
      </c>
      <c r="P158" s="1172"/>
      <c r="Q158" s="1172"/>
      <c r="R158" s="1172"/>
      <c r="S158" s="1175"/>
      <c r="T158" s="1172"/>
      <c r="U158" s="1172" t="s">
        <v>1422</v>
      </c>
      <c r="V158" s="1172"/>
      <c r="W158" s="1176"/>
      <c r="X158" s="1172"/>
      <c r="Y158" s="1176">
        <v>1575</v>
      </c>
      <c r="Z158" s="1172"/>
      <c r="AA158" s="1176">
        <v>-3255</v>
      </c>
    </row>
    <row r="159" spans="1:27" hidden="1" outlineLevel="1" x14ac:dyDescent="0.3">
      <c r="A159" s="1172"/>
      <c r="B159" s="1172" t="s">
        <v>500</v>
      </c>
      <c r="C159" s="1172"/>
      <c r="D159" s="1172"/>
      <c r="E159" s="1172"/>
      <c r="F159" s="1172"/>
      <c r="G159" s="1172" t="s">
        <v>1409</v>
      </c>
      <c r="H159" s="1172"/>
      <c r="I159" s="1173">
        <v>44508</v>
      </c>
      <c r="J159" s="1172"/>
      <c r="K159" s="1172" t="s">
        <v>251</v>
      </c>
      <c r="L159" s="1172"/>
      <c r="M159" s="1177"/>
      <c r="N159" s="1172"/>
      <c r="O159" s="1172" t="s">
        <v>1411</v>
      </c>
      <c r="P159" s="1172"/>
      <c r="Q159" s="1172"/>
      <c r="R159" s="1172"/>
      <c r="S159" s="1175"/>
      <c r="T159" s="1172"/>
      <c r="U159" s="1172" t="s">
        <v>1394</v>
      </c>
      <c r="V159" s="1172"/>
      <c r="W159" s="1176">
        <v>105</v>
      </c>
      <c r="X159" s="1172"/>
      <c r="Y159" s="1176"/>
      <c r="Z159" s="1172"/>
      <c r="AA159" s="1176">
        <v>-3150</v>
      </c>
    </row>
    <row r="160" spans="1:27" hidden="1" outlineLevel="1" x14ac:dyDescent="0.3">
      <c r="A160" s="1172"/>
      <c r="B160" s="1172" t="s">
        <v>500</v>
      </c>
      <c r="C160" s="1172"/>
      <c r="D160" s="1172"/>
      <c r="E160" s="1172"/>
      <c r="F160" s="1172"/>
      <c r="G160" s="1172" t="s">
        <v>1409</v>
      </c>
      <c r="H160" s="1172"/>
      <c r="I160" s="1173">
        <v>44508</v>
      </c>
      <c r="J160" s="1172"/>
      <c r="K160" s="1172" t="s">
        <v>251</v>
      </c>
      <c r="L160" s="1172"/>
      <c r="M160" s="1177"/>
      <c r="N160" s="1172"/>
      <c r="O160" s="1172" t="s">
        <v>1437</v>
      </c>
      <c r="P160" s="1172"/>
      <c r="Q160" s="1172"/>
      <c r="R160" s="1172"/>
      <c r="S160" s="1175"/>
      <c r="T160" s="1172"/>
      <c r="U160" s="1172" t="s">
        <v>1394</v>
      </c>
      <c r="V160" s="1172"/>
      <c r="W160" s="1176">
        <v>1575</v>
      </c>
      <c r="X160" s="1172"/>
      <c r="Y160" s="1176"/>
      <c r="Z160" s="1172"/>
      <c r="AA160" s="1176">
        <v>-1575</v>
      </c>
    </row>
    <row r="161" spans="1:27" hidden="1" outlineLevel="1" x14ac:dyDescent="0.3">
      <c r="A161" s="1172"/>
      <c r="B161" s="1172" t="s">
        <v>500</v>
      </c>
      <c r="C161" s="1172"/>
      <c r="D161" s="1172"/>
      <c r="E161" s="1172"/>
      <c r="F161" s="1172"/>
      <c r="G161" s="1172" t="s">
        <v>871</v>
      </c>
      <c r="H161" s="1172"/>
      <c r="I161" s="1173">
        <v>44531</v>
      </c>
      <c r="J161" s="1172"/>
      <c r="K161" s="1172" t="s">
        <v>1524</v>
      </c>
      <c r="L161" s="1172"/>
      <c r="M161" s="1177"/>
      <c r="N161" s="1172"/>
      <c r="O161" s="1172" t="s">
        <v>1411</v>
      </c>
      <c r="P161" s="1172"/>
      <c r="Q161" s="1172"/>
      <c r="R161" s="1172"/>
      <c r="S161" s="1175"/>
      <c r="T161" s="1172"/>
      <c r="U161" s="1172" t="s">
        <v>1422</v>
      </c>
      <c r="V161" s="1172"/>
      <c r="W161" s="1176"/>
      <c r="X161" s="1172"/>
      <c r="Y161" s="1176">
        <v>105</v>
      </c>
      <c r="Z161" s="1172"/>
      <c r="AA161" s="1176">
        <v>-1680</v>
      </c>
    </row>
    <row r="162" spans="1:27" hidden="1" outlineLevel="1" x14ac:dyDescent="0.3">
      <c r="A162" s="1172"/>
      <c r="B162" s="1172" t="s">
        <v>500</v>
      </c>
      <c r="C162" s="1172"/>
      <c r="D162" s="1172"/>
      <c r="E162" s="1172"/>
      <c r="F162" s="1172"/>
      <c r="G162" s="1172" t="s">
        <v>871</v>
      </c>
      <c r="H162" s="1172"/>
      <c r="I162" s="1173">
        <v>44534</v>
      </c>
      <c r="J162" s="1172"/>
      <c r="K162" s="1172" t="s">
        <v>1525</v>
      </c>
      <c r="L162" s="1172"/>
      <c r="M162" s="1177"/>
      <c r="N162" s="1172"/>
      <c r="O162" s="1172" t="s">
        <v>1476</v>
      </c>
      <c r="P162" s="1172"/>
      <c r="Q162" s="1172"/>
      <c r="R162" s="1172"/>
      <c r="S162" s="1175"/>
      <c r="T162" s="1172"/>
      <c r="U162" s="1172" t="s">
        <v>1422</v>
      </c>
      <c r="V162" s="1172"/>
      <c r="W162" s="1176"/>
      <c r="X162" s="1172"/>
      <c r="Y162" s="1176">
        <v>5250</v>
      </c>
      <c r="Z162" s="1172"/>
      <c r="AA162" s="1176">
        <v>-6930</v>
      </c>
    </row>
    <row r="163" spans="1:27" hidden="1" outlineLevel="1" x14ac:dyDescent="0.3">
      <c r="A163" s="1172"/>
      <c r="B163" s="1172" t="s">
        <v>500</v>
      </c>
      <c r="C163" s="1172"/>
      <c r="D163" s="1172"/>
      <c r="E163" s="1172"/>
      <c r="F163" s="1172"/>
      <c r="G163" s="1172" t="s">
        <v>871</v>
      </c>
      <c r="H163" s="1172"/>
      <c r="I163" s="1173">
        <v>44534</v>
      </c>
      <c r="J163" s="1172"/>
      <c r="K163" s="1172" t="s">
        <v>1526</v>
      </c>
      <c r="L163" s="1172"/>
      <c r="M163" s="1177"/>
      <c r="N163" s="1172"/>
      <c r="O163" s="1172" t="s">
        <v>1416</v>
      </c>
      <c r="P163" s="1172"/>
      <c r="Q163" s="1172"/>
      <c r="R163" s="1172"/>
      <c r="S163" s="1175"/>
      <c r="T163" s="1172"/>
      <c r="U163" s="1172" t="s">
        <v>1422</v>
      </c>
      <c r="V163" s="1172"/>
      <c r="W163" s="1176">
        <v>0</v>
      </c>
      <c r="X163" s="1172"/>
      <c r="Y163" s="1176"/>
      <c r="Z163" s="1172"/>
      <c r="AA163" s="1176">
        <v>-6930</v>
      </c>
    </row>
    <row r="164" spans="1:27" hidden="1" outlineLevel="1" x14ac:dyDescent="0.3">
      <c r="A164" s="1172"/>
      <c r="B164" s="1172" t="s">
        <v>500</v>
      </c>
      <c r="C164" s="1172"/>
      <c r="D164" s="1172"/>
      <c r="E164" s="1172"/>
      <c r="F164" s="1172"/>
      <c r="G164" s="1172" t="s">
        <v>1409</v>
      </c>
      <c r="H164" s="1172"/>
      <c r="I164" s="1173">
        <v>44537</v>
      </c>
      <c r="J164" s="1172"/>
      <c r="K164" s="1172" t="s">
        <v>251</v>
      </c>
      <c r="L164" s="1172"/>
      <c r="M164" s="1177"/>
      <c r="N164" s="1172"/>
      <c r="O164" s="1172" t="s">
        <v>1476</v>
      </c>
      <c r="P164" s="1172"/>
      <c r="Q164" s="1172"/>
      <c r="R164" s="1172"/>
      <c r="S164" s="1175"/>
      <c r="T164" s="1172"/>
      <c r="U164" s="1172" t="s">
        <v>1394</v>
      </c>
      <c r="V164" s="1172"/>
      <c r="W164" s="1176">
        <v>5250</v>
      </c>
      <c r="X164" s="1172"/>
      <c r="Y164" s="1176"/>
      <c r="Z164" s="1172"/>
      <c r="AA164" s="1176">
        <v>-1680</v>
      </c>
    </row>
    <row r="165" spans="1:27" hidden="1" outlineLevel="1" x14ac:dyDescent="0.3">
      <c r="A165" s="1172"/>
      <c r="B165" s="1172" t="s">
        <v>500</v>
      </c>
      <c r="C165" s="1172"/>
      <c r="D165" s="1172"/>
      <c r="E165" s="1172"/>
      <c r="F165" s="1172"/>
      <c r="G165" s="1172" t="s">
        <v>1409</v>
      </c>
      <c r="H165" s="1172"/>
      <c r="I165" s="1173">
        <v>44537</v>
      </c>
      <c r="J165" s="1172"/>
      <c r="K165" s="1172" t="s">
        <v>251</v>
      </c>
      <c r="L165" s="1172"/>
      <c r="M165" s="1177"/>
      <c r="N165" s="1172"/>
      <c r="O165" s="1172" t="s">
        <v>1411</v>
      </c>
      <c r="P165" s="1172"/>
      <c r="Q165" s="1172"/>
      <c r="R165" s="1172"/>
      <c r="S165" s="1175"/>
      <c r="T165" s="1172"/>
      <c r="U165" s="1172" t="s">
        <v>1394</v>
      </c>
      <c r="V165" s="1172"/>
      <c r="W165" s="1176">
        <v>105</v>
      </c>
      <c r="X165" s="1172"/>
      <c r="Y165" s="1176"/>
      <c r="Z165" s="1172"/>
      <c r="AA165" s="1176">
        <v>-1575</v>
      </c>
    </row>
    <row r="166" spans="1:27" hidden="1" outlineLevel="1" x14ac:dyDescent="0.3">
      <c r="A166" s="1172"/>
      <c r="B166" s="1172" t="s">
        <v>500</v>
      </c>
      <c r="C166" s="1172"/>
      <c r="D166" s="1172"/>
      <c r="E166" s="1172"/>
      <c r="F166" s="1172"/>
      <c r="G166" s="1172" t="s">
        <v>1409</v>
      </c>
      <c r="H166" s="1172"/>
      <c r="I166" s="1173">
        <v>44537</v>
      </c>
      <c r="J166" s="1172"/>
      <c r="K166" s="1172" t="s">
        <v>251</v>
      </c>
      <c r="L166" s="1172"/>
      <c r="M166" s="1177"/>
      <c r="N166" s="1172"/>
      <c r="O166" s="1172" t="s">
        <v>1437</v>
      </c>
      <c r="P166" s="1172"/>
      <c r="Q166" s="1172"/>
      <c r="R166" s="1172"/>
      <c r="S166" s="1175"/>
      <c r="T166" s="1172"/>
      <c r="U166" s="1172" t="s">
        <v>1394</v>
      </c>
      <c r="V166" s="1172"/>
      <c r="W166" s="1176">
        <v>1575</v>
      </c>
      <c r="X166" s="1172"/>
      <c r="Y166" s="1176"/>
      <c r="Z166" s="1172"/>
      <c r="AA166" s="1176">
        <v>0</v>
      </c>
    </row>
    <row r="167" spans="1:27" hidden="1" outlineLevel="1" x14ac:dyDescent="0.3">
      <c r="A167" s="1172"/>
      <c r="B167" s="1172" t="s">
        <v>500</v>
      </c>
      <c r="C167" s="1172"/>
      <c r="D167" s="1172"/>
      <c r="E167" s="1172"/>
      <c r="F167" s="1172"/>
      <c r="G167" s="1172" t="s">
        <v>871</v>
      </c>
      <c r="H167" s="1172"/>
      <c r="I167" s="1173">
        <v>44562</v>
      </c>
      <c r="J167" s="1172"/>
      <c r="K167" s="1172" t="s">
        <v>1527</v>
      </c>
      <c r="L167" s="1172"/>
      <c r="M167" s="1177"/>
      <c r="N167" s="1172"/>
      <c r="O167" s="1172" t="s">
        <v>1411</v>
      </c>
      <c r="P167" s="1172"/>
      <c r="Q167" s="1172"/>
      <c r="R167" s="1172"/>
      <c r="S167" s="1175"/>
      <c r="T167" s="1172"/>
      <c r="U167" s="1172" t="s">
        <v>1422</v>
      </c>
      <c r="V167" s="1172"/>
      <c r="W167" s="1176"/>
      <c r="X167" s="1172"/>
      <c r="Y167" s="1176">
        <v>105</v>
      </c>
      <c r="Z167" s="1172"/>
      <c r="AA167" s="1176">
        <v>-105</v>
      </c>
    </row>
    <row r="168" spans="1:27" hidden="1" outlineLevel="1" x14ac:dyDescent="0.3">
      <c r="A168" s="1172"/>
      <c r="B168" s="1172" t="s">
        <v>500</v>
      </c>
      <c r="C168" s="1172"/>
      <c r="D168" s="1172"/>
      <c r="E168" s="1172"/>
      <c r="F168" s="1172"/>
      <c r="G168" s="1172" t="s">
        <v>871</v>
      </c>
      <c r="H168" s="1172"/>
      <c r="I168" s="1173">
        <v>44563</v>
      </c>
      <c r="J168" s="1172"/>
      <c r="K168" s="1172" t="s">
        <v>1528</v>
      </c>
      <c r="L168" s="1172"/>
      <c r="M168" s="1177"/>
      <c r="N168" s="1172"/>
      <c r="O168" s="1172" t="s">
        <v>1437</v>
      </c>
      <c r="P168" s="1172"/>
      <c r="Q168" s="1172"/>
      <c r="R168" s="1172"/>
      <c r="S168" s="1175"/>
      <c r="T168" s="1172"/>
      <c r="U168" s="1172" t="s">
        <v>1422</v>
      </c>
      <c r="V168" s="1172"/>
      <c r="W168" s="1176"/>
      <c r="X168" s="1172"/>
      <c r="Y168" s="1176">
        <v>1575</v>
      </c>
      <c r="Z168" s="1172"/>
      <c r="AA168" s="1176">
        <v>-1680</v>
      </c>
    </row>
    <row r="169" spans="1:27" hidden="1" outlineLevel="1" x14ac:dyDescent="0.3">
      <c r="A169" s="1172"/>
      <c r="B169" s="1172" t="s">
        <v>500</v>
      </c>
      <c r="C169" s="1172"/>
      <c r="D169" s="1172"/>
      <c r="E169" s="1172"/>
      <c r="F169" s="1172"/>
      <c r="G169" s="1172" t="s">
        <v>1409</v>
      </c>
      <c r="H169" s="1172"/>
      <c r="I169" s="1173">
        <v>44567</v>
      </c>
      <c r="J169" s="1172"/>
      <c r="K169" s="1172" t="s">
        <v>251</v>
      </c>
      <c r="L169" s="1172"/>
      <c r="M169" s="1177"/>
      <c r="N169" s="1172"/>
      <c r="O169" s="1172" t="s">
        <v>1411</v>
      </c>
      <c r="P169" s="1172"/>
      <c r="Q169" s="1172"/>
      <c r="R169" s="1172"/>
      <c r="S169" s="1175"/>
      <c r="T169" s="1172"/>
      <c r="U169" s="1172" t="s">
        <v>1394</v>
      </c>
      <c r="V169" s="1172"/>
      <c r="W169" s="1176">
        <v>105</v>
      </c>
      <c r="X169" s="1172"/>
      <c r="Y169" s="1176"/>
      <c r="Z169" s="1172"/>
      <c r="AA169" s="1176">
        <v>-1575</v>
      </c>
    </row>
    <row r="170" spans="1:27" hidden="1" outlineLevel="1" x14ac:dyDescent="0.3">
      <c r="A170" s="1172"/>
      <c r="B170" s="1172" t="s">
        <v>500</v>
      </c>
      <c r="C170" s="1172"/>
      <c r="D170" s="1172"/>
      <c r="E170" s="1172"/>
      <c r="F170" s="1172"/>
      <c r="G170" s="1172" t="s">
        <v>1409</v>
      </c>
      <c r="H170" s="1172"/>
      <c r="I170" s="1173">
        <v>44567</v>
      </c>
      <c r="J170" s="1172"/>
      <c r="K170" s="1172" t="s">
        <v>251</v>
      </c>
      <c r="L170" s="1172"/>
      <c r="M170" s="1177"/>
      <c r="N170" s="1172"/>
      <c r="O170" s="1172" t="s">
        <v>1437</v>
      </c>
      <c r="P170" s="1172"/>
      <c r="Q170" s="1172"/>
      <c r="R170" s="1172"/>
      <c r="S170" s="1175"/>
      <c r="T170" s="1172"/>
      <c r="U170" s="1172" t="s">
        <v>1394</v>
      </c>
      <c r="V170" s="1172"/>
      <c r="W170" s="1176">
        <v>1575</v>
      </c>
      <c r="X170" s="1172"/>
      <c r="Y170" s="1176"/>
      <c r="Z170" s="1172"/>
      <c r="AA170" s="1176">
        <v>0</v>
      </c>
    </row>
    <row r="171" spans="1:27" hidden="1" outlineLevel="1" x14ac:dyDescent="0.3">
      <c r="A171" s="1172"/>
      <c r="B171" s="1172" t="s">
        <v>500</v>
      </c>
      <c r="C171" s="1172"/>
      <c r="D171" s="1172"/>
      <c r="E171" s="1172"/>
      <c r="F171" s="1172"/>
      <c r="G171" s="1172" t="s">
        <v>871</v>
      </c>
      <c r="H171" s="1172"/>
      <c r="I171" s="1173">
        <v>44568</v>
      </c>
      <c r="J171" s="1172"/>
      <c r="K171" s="1172" t="s">
        <v>1529</v>
      </c>
      <c r="L171" s="1172"/>
      <c r="M171" s="1177"/>
      <c r="N171" s="1172"/>
      <c r="O171" s="1172" t="s">
        <v>1416</v>
      </c>
      <c r="P171" s="1172"/>
      <c r="Q171" s="1172"/>
      <c r="R171" s="1172"/>
      <c r="S171" s="1175"/>
      <c r="T171" s="1172"/>
      <c r="U171" s="1172" t="s">
        <v>1422</v>
      </c>
      <c r="V171" s="1172"/>
      <c r="W171" s="1176">
        <v>0</v>
      </c>
      <c r="X171" s="1172"/>
      <c r="Y171" s="1176"/>
      <c r="Z171" s="1172"/>
      <c r="AA171" s="1176">
        <v>0</v>
      </c>
    </row>
    <row r="172" spans="1:27" hidden="1" outlineLevel="1" x14ac:dyDescent="0.3">
      <c r="A172" s="1172"/>
      <c r="B172" s="1172" t="s">
        <v>500</v>
      </c>
      <c r="C172" s="1172"/>
      <c r="D172" s="1172"/>
      <c r="E172" s="1172"/>
      <c r="F172" s="1172"/>
      <c r="G172" s="1172" t="s">
        <v>871</v>
      </c>
      <c r="H172" s="1172"/>
      <c r="I172" s="1173">
        <v>44593</v>
      </c>
      <c r="J172" s="1172"/>
      <c r="K172" s="1172" t="s">
        <v>1530</v>
      </c>
      <c r="L172" s="1172"/>
      <c r="M172" s="1177"/>
      <c r="N172" s="1172"/>
      <c r="O172" s="1172" t="s">
        <v>1411</v>
      </c>
      <c r="P172" s="1172"/>
      <c r="Q172" s="1172"/>
      <c r="R172" s="1172"/>
      <c r="S172" s="1175"/>
      <c r="T172" s="1172"/>
      <c r="U172" s="1172" t="s">
        <v>1422</v>
      </c>
      <c r="V172" s="1172"/>
      <c r="W172" s="1176"/>
      <c r="X172" s="1172"/>
      <c r="Y172" s="1176">
        <v>105</v>
      </c>
      <c r="Z172" s="1172"/>
      <c r="AA172" s="1176">
        <v>-105</v>
      </c>
    </row>
    <row r="173" spans="1:27" hidden="1" outlineLevel="1" x14ac:dyDescent="0.3">
      <c r="A173" s="1172"/>
      <c r="B173" s="1172" t="s">
        <v>500</v>
      </c>
      <c r="C173" s="1172"/>
      <c r="D173" s="1172"/>
      <c r="E173" s="1172"/>
      <c r="F173" s="1172"/>
      <c r="G173" s="1172" t="s">
        <v>1409</v>
      </c>
      <c r="H173" s="1172"/>
      <c r="I173" s="1173">
        <v>44595</v>
      </c>
      <c r="J173" s="1172"/>
      <c r="K173" s="1172" t="s">
        <v>251</v>
      </c>
      <c r="L173" s="1172"/>
      <c r="M173" s="1177"/>
      <c r="N173" s="1172"/>
      <c r="O173" s="1172" t="s">
        <v>1411</v>
      </c>
      <c r="P173" s="1172"/>
      <c r="Q173" s="1172"/>
      <c r="R173" s="1172"/>
      <c r="S173" s="1175"/>
      <c r="T173" s="1172"/>
      <c r="U173" s="1172" t="s">
        <v>1394</v>
      </c>
      <c r="V173" s="1172"/>
      <c r="W173" s="1176">
        <v>105</v>
      </c>
      <c r="X173" s="1172"/>
      <c r="Y173" s="1176"/>
      <c r="Z173" s="1172"/>
      <c r="AA173" s="1176">
        <v>0</v>
      </c>
    </row>
    <row r="174" spans="1:27" hidden="1" outlineLevel="1" x14ac:dyDescent="0.3">
      <c r="A174" s="1172"/>
      <c r="B174" s="1172" t="s">
        <v>500</v>
      </c>
      <c r="C174" s="1172"/>
      <c r="D174" s="1172"/>
      <c r="E174" s="1172"/>
      <c r="F174" s="1172"/>
      <c r="G174" s="1172" t="s">
        <v>871</v>
      </c>
      <c r="H174" s="1172"/>
      <c r="I174" s="1173">
        <v>44599</v>
      </c>
      <c r="J174" s="1172"/>
      <c r="K174" s="1172" t="s">
        <v>1531</v>
      </c>
      <c r="L174" s="1172"/>
      <c r="M174" s="1177"/>
      <c r="N174" s="1172"/>
      <c r="O174" s="1172" t="s">
        <v>1416</v>
      </c>
      <c r="P174" s="1172"/>
      <c r="Q174" s="1172"/>
      <c r="R174" s="1172"/>
      <c r="S174" s="1175"/>
      <c r="T174" s="1172"/>
      <c r="U174" s="1172" t="s">
        <v>1422</v>
      </c>
      <c r="V174" s="1172"/>
      <c r="W174" s="1176">
        <v>0</v>
      </c>
      <c r="X174" s="1172"/>
      <c r="Y174" s="1176"/>
      <c r="Z174" s="1172"/>
      <c r="AA174" s="1176">
        <v>0</v>
      </c>
    </row>
    <row r="175" spans="1:27" hidden="1" outlineLevel="1" x14ac:dyDescent="0.3">
      <c r="A175" s="1172"/>
      <c r="B175" s="1172" t="s">
        <v>500</v>
      </c>
      <c r="C175" s="1172"/>
      <c r="D175" s="1172"/>
      <c r="E175" s="1172"/>
      <c r="F175" s="1172"/>
      <c r="G175" s="1172" t="s">
        <v>871</v>
      </c>
      <c r="H175" s="1172"/>
      <c r="I175" s="1173">
        <v>44621</v>
      </c>
      <c r="J175" s="1172"/>
      <c r="K175" s="1172" t="s">
        <v>1532</v>
      </c>
      <c r="L175" s="1172"/>
      <c r="M175" s="1177"/>
      <c r="N175" s="1172"/>
      <c r="O175" s="1172" t="s">
        <v>1411</v>
      </c>
      <c r="P175" s="1172"/>
      <c r="Q175" s="1172"/>
      <c r="R175" s="1172"/>
      <c r="S175" s="1175"/>
      <c r="T175" s="1172"/>
      <c r="U175" s="1172" t="s">
        <v>1422</v>
      </c>
      <c r="V175" s="1172"/>
      <c r="W175" s="1176"/>
      <c r="X175" s="1172"/>
      <c r="Y175" s="1176">
        <v>105</v>
      </c>
      <c r="Z175" s="1172"/>
      <c r="AA175" s="1176">
        <v>-105</v>
      </c>
    </row>
    <row r="176" spans="1:27" hidden="1" outlineLevel="1" x14ac:dyDescent="0.3">
      <c r="A176" s="1172"/>
      <c r="B176" s="1172" t="s">
        <v>500</v>
      </c>
      <c r="C176" s="1172"/>
      <c r="D176" s="1172"/>
      <c r="E176" s="1172"/>
      <c r="F176" s="1172"/>
      <c r="G176" s="1172" t="s">
        <v>871</v>
      </c>
      <c r="H176" s="1172"/>
      <c r="I176" s="1173">
        <v>44627</v>
      </c>
      <c r="J176" s="1172"/>
      <c r="K176" s="1172" t="s">
        <v>1533</v>
      </c>
      <c r="L176" s="1172"/>
      <c r="M176" s="1177"/>
      <c r="N176" s="1172"/>
      <c r="O176" s="1172" t="s">
        <v>1416</v>
      </c>
      <c r="P176" s="1172"/>
      <c r="Q176" s="1172"/>
      <c r="R176" s="1172"/>
      <c r="S176" s="1175"/>
      <c r="T176" s="1172"/>
      <c r="U176" s="1172" t="s">
        <v>1422</v>
      </c>
      <c r="V176" s="1172"/>
      <c r="W176" s="1176">
        <v>0</v>
      </c>
      <c r="X176" s="1172"/>
      <c r="Y176" s="1176"/>
      <c r="Z176" s="1172"/>
      <c r="AA176" s="1176">
        <v>-105</v>
      </c>
    </row>
    <row r="177" spans="1:27" hidden="1" outlineLevel="1" x14ac:dyDescent="0.3">
      <c r="A177" s="1172"/>
      <c r="B177" s="1172" t="s">
        <v>500</v>
      </c>
      <c r="C177" s="1172"/>
      <c r="D177" s="1172"/>
      <c r="E177" s="1172"/>
      <c r="F177" s="1172"/>
      <c r="G177" s="1172" t="s">
        <v>1409</v>
      </c>
      <c r="H177" s="1172"/>
      <c r="I177" s="1173">
        <v>44627</v>
      </c>
      <c r="J177" s="1172"/>
      <c r="K177" s="1172" t="s">
        <v>251</v>
      </c>
      <c r="L177" s="1172"/>
      <c r="M177" s="1177"/>
      <c r="N177" s="1172"/>
      <c r="O177" s="1172" t="s">
        <v>1411</v>
      </c>
      <c r="P177" s="1172"/>
      <c r="Q177" s="1172"/>
      <c r="R177" s="1172"/>
      <c r="S177" s="1175"/>
      <c r="T177" s="1172"/>
      <c r="U177" s="1172" t="s">
        <v>1394</v>
      </c>
      <c r="V177" s="1172"/>
      <c r="W177" s="1176">
        <v>105</v>
      </c>
      <c r="X177" s="1172"/>
      <c r="Y177" s="1176"/>
      <c r="Z177" s="1172"/>
      <c r="AA177" s="1176">
        <v>0</v>
      </c>
    </row>
    <row r="178" spans="1:27" hidden="1" outlineLevel="1" x14ac:dyDescent="0.3">
      <c r="A178" s="1172"/>
      <c r="B178" s="1172" t="s">
        <v>500</v>
      </c>
      <c r="C178" s="1172"/>
      <c r="D178" s="1172"/>
      <c r="E178" s="1172"/>
      <c r="F178" s="1172"/>
      <c r="G178" s="1172" t="s">
        <v>1409</v>
      </c>
      <c r="H178" s="1172"/>
      <c r="I178" s="1173">
        <v>44651</v>
      </c>
      <c r="J178" s="1172"/>
      <c r="K178" s="1172" t="s">
        <v>251</v>
      </c>
      <c r="L178" s="1172"/>
      <c r="M178" s="1177"/>
      <c r="N178" s="1172"/>
      <c r="O178" s="1172" t="s">
        <v>1411</v>
      </c>
      <c r="P178" s="1172"/>
      <c r="Q178" s="1172"/>
      <c r="R178" s="1172"/>
      <c r="S178" s="1175"/>
      <c r="T178" s="1172"/>
      <c r="U178" s="1172" t="s">
        <v>1394</v>
      </c>
      <c r="V178" s="1172"/>
      <c r="W178" s="1176">
        <v>105</v>
      </c>
      <c r="X178" s="1172"/>
      <c r="Y178" s="1176"/>
      <c r="Z178" s="1172"/>
      <c r="AA178" s="1176">
        <v>105</v>
      </c>
    </row>
    <row r="179" spans="1:27" hidden="1" outlineLevel="1" x14ac:dyDescent="0.3">
      <c r="A179" s="1172"/>
      <c r="B179" s="1172" t="s">
        <v>500</v>
      </c>
      <c r="C179" s="1172"/>
      <c r="D179" s="1172"/>
      <c r="E179" s="1172"/>
      <c r="F179" s="1172"/>
      <c r="G179" s="1172" t="s">
        <v>871</v>
      </c>
      <c r="H179" s="1172"/>
      <c r="I179" s="1173">
        <v>44652</v>
      </c>
      <c r="J179" s="1172"/>
      <c r="K179" s="1172" t="s">
        <v>1534</v>
      </c>
      <c r="L179" s="1172"/>
      <c r="M179" s="1177"/>
      <c r="N179" s="1172"/>
      <c r="O179" s="1172" t="s">
        <v>1411</v>
      </c>
      <c r="P179" s="1172"/>
      <c r="Q179" s="1172"/>
      <c r="R179" s="1172"/>
      <c r="S179" s="1175"/>
      <c r="T179" s="1172"/>
      <c r="U179" s="1172" t="s">
        <v>1422</v>
      </c>
      <c r="V179" s="1172"/>
      <c r="W179" s="1176"/>
      <c r="X179" s="1172"/>
      <c r="Y179" s="1176">
        <v>105</v>
      </c>
      <c r="Z179" s="1172"/>
      <c r="AA179" s="1176">
        <v>0</v>
      </c>
    </row>
    <row r="180" spans="1:27" hidden="1" outlineLevel="1" x14ac:dyDescent="0.3">
      <c r="A180" s="1172"/>
      <c r="B180" s="1172" t="s">
        <v>500</v>
      </c>
      <c r="C180" s="1172"/>
      <c r="D180" s="1172"/>
      <c r="E180" s="1172"/>
      <c r="F180" s="1172"/>
      <c r="G180" s="1172" t="s">
        <v>871</v>
      </c>
      <c r="H180" s="1172"/>
      <c r="I180" s="1173">
        <v>44658</v>
      </c>
      <c r="J180" s="1172"/>
      <c r="K180" s="1172" t="s">
        <v>1535</v>
      </c>
      <c r="L180" s="1172"/>
      <c r="M180" s="1177"/>
      <c r="N180" s="1172"/>
      <c r="O180" s="1172" t="s">
        <v>1416</v>
      </c>
      <c r="P180" s="1172"/>
      <c r="Q180" s="1172"/>
      <c r="R180" s="1172"/>
      <c r="S180" s="1175"/>
      <c r="T180" s="1172"/>
      <c r="U180" s="1172" t="s">
        <v>1422</v>
      </c>
      <c r="V180" s="1172"/>
      <c r="W180" s="1176">
        <v>0</v>
      </c>
      <c r="X180" s="1172"/>
      <c r="Y180" s="1176"/>
      <c r="Z180" s="1172"/>
      <c r="AA180" s="1176">
        <v>0</v>
      </c>
    </row>
    <row r="181" spans="1:27" hidden="1" outlineLevel="1" x14ac:dyDescent="0.3">
      <c r="A181" s="1172"/>
      <c r="B181" s="1172" t="s">
        <v>500</v>
      </c>
      <c r="C181" s="1172"/>
      <c r="D181" s="1172"/>
      <c r="E181" s="1172"/>
      <c r="F181" s="1172"/>
      <c r="G181" s="1172" t="s">
        <v>1409</v>
      </c>
      <c r="H181" s="1172"/>
      <c r="I181" s="1173">
        <v>44680</v>
      </c>
      <c r="J181" s="1172"/>
      <c r="K181" s="1172" t="s">
        <v>251</v>
      </c>
      <c r="L181" s="1172"/>
      <c r="M181" s="1177"/>
      <c r="N181" s="1172"/>
      <c r="O181" s="1172" t="s">
        <v>1411</v>
      </c>
      <c r="P181" s="1172"/>
      <c r="Q181" s="1172"/>
      <c r="R181" s="1172"/>
      <c r="S181" s="1175"/>
      <c r="T181" s="1172"/>
      <c r="U181" s="1172" t="s">
        <v>1394</v>
      </c>
      <c r="V181" s="1172"/>
      <c r="W181" s="1176">
        <v>105</v>
      </c>
      <c r="X181" s="1172"/>
      <c r="Y181" s="1176"/>
      <c r="Z181" s="1172"/>
      <c r="AA181" s="1176">
        <v>105</v>
      </c>
    </row>
    <row r="182" spans="1:27" hidden="1" outlineLevel="1" x14ac:dyDescent="0.3">
      <c r="A182" s="1172"/>
      <c r="B182" s="1172" t="s">
        <v>500</v>
      </c>
      <c r="C182" s="1172"/>
      <c r="D182" s="1172"/>
      <c r="E182" s="1172"/>
      <c r="F182" s="1172"/>
      <c r="G182" s="1172" t="s">
        <v>871</v>
      </c>
      <c r="H182" s="1172"/>
      <c r="I182" s="1173">
        <v>44682</v>
      </c>
      <c r="J182" s="1172"/>
      <c r="K182" s="1172" t="s">
        <v>1536</v>
      </c>
      <c r="L182" s="1172"/>
      <c r="M182" s="1177"/>
      <c r="N182" s="1172"/>
      <c r="O182" s="1172" t="s">
        <v>1411</v>
      </c>
      <c r="P182" s="1172"/>
      <c r="Q182" s="1172"/>
      <c r="R182" s="1172"/>
      <c r="S182" s="1175"/>
      <c r="T182" s="1172"/>
      <c r="U182" s="1172" t="s">
        <v>1422</v>
      </c>
      <c r="V182" s="1172"/>
      <c r="W182" s="1176"/>
      <c r="X182" s="1172"/>
      <c r="Y182" s="1176">
        <v>105</v>
      </c>
      <c r="Z182" s="1172"/>
      <c r="AA182" s="1176">
        <v>0</v>
      </c>
    </row>
    <row r="183" spans="1:27" hidden="1" outlineLevel="1" x14ac:dyDescent="0.3">
      <c r="A183" s="1172"/>
      <c r="B183" s="1172" t="s">
        <v>500</v>
      </c>
      <c r="C183" s="1172"/>
      <c r="D183" s="1172"/>
      <c r="E183" s="1172"/>
      <c r="F183" s="1172"/>
      <c r="G183" s="1172" t="s">
        <v>871</v>
      </c>
      <c r="H183" s="1172"/>
      <c r="I183" s="1173">
        <v>44688</v>
      </c>
      <c r="J183" s="1172"/>
      <c r="K183" s="1172" t="s">
        <v>1537</v>
      </c>
      <c r="L183" s="1172"/>
      <c r="M183" s="1177"/>
      <c r="N183" s="1172"/>
      <c r="O183" s="1172" t="s">
        <v>1416</v>
      </c>
      <c r="P183" s="1172"/>
      <c r="Q183" s="1172"/>
      <c r="R183" s="1172"/>
      <c r="S183" s="1175"/>
      <c r="T183" s="1172"/>
      <c r="U183" s="1172" t="s">
        <v>1422</v>
      </c>
      <c r="V183" s="1172"/>
      <c r="W183" s="1176">
        <v>0</v>
      </c>
      <c r="X183" s="1172"/>
      <c r="Y183" s="1176"/>
      <c r="Z183" s="1172"/>
      <c r="AA183" s="1176">
        <v>0</v>
      </c>
    </row>
    <row r="184" spans="1:27" hidden="1" outlineLevel="1" x14ac:dyDescent="0.3">
      <c r="A184" s="1172"/>
      <c r="B184" s="1172" t="s">
        <v>500</v>
      </c>
      <c r="C184" s="1172"/>
      <c r="D184" s="1172"/>
      <c r="E184" s="1172"/>
      <c r="F184" s="1172"/>
      <c r="G184" s="1172" t="s">
        <v>871</v>
      </c>
      <c r="H184" s="1172"/>
      <c r="I184" s="1173">
        <v>44713</v>
      </c>
      <c r="J184" s="1172"/>
      <c r="K184" s="1172"/>
      <c r="L184" s="1172"/>
      <c r="M184" s="1177"/>
      <c r="N184" s="1172"/>
      <c r="O184" s="1172" t="s">
        <v>1411</v>
      </c>
      <c r="P184" s="1172"/>
      <c r="Q184" s="1172"/>
      <c r="R184" s="1172"/>
      <c r="S184" s="1175"/>
      <c r="T184" s="1172"/>
      <c r="U184" s="1172" t="s">
        <v>1422</v>
      </c>
      <c r="V184" s="1172"/>
      <c r="W184" s="1176"/>
      <c r="X184" s="1172"/>
      <c r="Y184" s="1176">
        <v>105</v>
      </c>
      <c r="Z184" s="1172"/>
      <c r="AA184" s="1176">
        <v>-105</v>
      </c>
    </row>
    <row r="185" spans="1:27" hidden="1" outlineLevel="1" x14ac:dyDescent="0.3">
      <c r="A185" s="1172"/>
      <c r="B185" s="1172" t="s">
        <v>500</v>
      </c>
      <c r="C185" s="1172"/>
      <c r="D185" s="1172"/>
      <c r="E185" s="1172"/>
      <c r="F185" s="1172"/>
      <c r="G185" s="1172" t="s">
        <v>1409</v>
      </c>
      <c r="H185" s="1172"/>
      <c r="I185" s="1173">
        <v>44715</v>
      </c>
      <c r="J185" s="1172"/>
      <c r="K185" s="1172" t="s">
        <v>251</v>
      </c>
      <c r="L185" s="1172"/>
      <c r="M185" s="1177"/>
      <c r="N185" s="1172"/>
      <c r="O185" s="1172" t="s">
        <v>1411</v>
      </c>
      <c r="P185" s="1172"/>
      <c r="Q185" s="1172"/>
      <c r="R185" s="1172"/>
      <c r="S185" s="1175"/>
      <c r="T185" s="1172"/>
      <c r="U185" s="1172" t="s">
        <v>1394</v>
      </c>
      <c r="V185" s="1172"/>
      <c r="W185" s="1176">
        <v>105</v>
      </c>
      <c r="X185" s="1172"/>
      <c r="Y185" s="1176"/>
      <c r="Z185" s="1172"/>
      <c r="AA185" s="1176">
        <v>0</v>
      </c>
    </row>
    <row r="186" spans="1:27" hidden="1" outlineLevel="1" x14ac:dyDescent="0.3">
      <c r="A186" s="1172"/>
      <c r="B186" s="1172" t="s">
        <v>500</v>
      </c>
      <c r="C186" s="1172"/>
      <c r="D186" s="1172"/>
      <c r="E186" s="1172"/>
      <c r="F186" s="1172"/>
      <c r="G186" s="1172" t="s">
        <v>871</v>
      </c>
      <c r="H186" s="1172"/>
      <c r="I186" s="1173">
        <v>44719</v>
      </c>
      <c r="J186" s="1172"/>
      <c r="K186" s="1172" t="s">
        <v>1538</v>
      </c>
      <c r="L186" s="1172"/>
      <c r="M186" s="1177"/>
      <c r="N186" s="1172"/>
      <c r="O186" s="1172" t="s">
        <v>1416</v>
      </c>
      <c r="P186" s="1172"/>
      <c r="Q186" s="1172"/>
      <c r="R186" s="1172"/>
      <c r="S186" s="1175"/>
      <c r="T186" s="1172"/>
      <c r="U186" s="1172" t="s">
        <v>1422</v>
      </c>
      <c r="V186" s="1172"/>
      <c r="W186" s="1176">
        <v>0</v>
      </c>
      <c r="X186" s="1172"/>
      <c r="Y186" s="1176"/>
      <c r="Z186" s="1172"/>
      <c r="AA186" s="1176">
        <v>0</v>
      </c>
    </row>
    <row r="187" spans="1:27" hidden="1" outlineLevel="1" x14ac:dyDescent="0.3">
      <c r="A187" s="1172"/>
      <c r="B187" s="1172" t="s">
        <v>500</v>
      </c>
      <c r="C187" s="1172"/>
      <c r="D187" s="1172"/>
      <c r="E187" s="1172"/>
      <c r="F187" s="1172"/>
      <c r="G187" s="1172" t="s">
        <v>1409</v>
      </c>
      <c r="H187" s="1172"/>
      <c r="I187" s="1173">
        <v>44742</v>
      </c>
      <c r="J187" s="1172"/>
      <c r="K187" s="1172" t="s">
        <v>251</v>
      </c>
      <c r="L187" s="1172"/>
      <c r="M187" s="1177"/>
      <c r="N187" s="1172"/>
      <c r="O187" s="1172" t="s">
        <v>1411</v>
      </c>
      <c r="P187" s="1172"/>
      <c r="Q187" s="1172"/>
      <c r="R187" s="1172"/>
      <c r="S187" s="1175"/>
      <c r="T187" s="1172"/>
      <c r="U187" s="1172" t="s">
        <v>1394</v>
      </c>
      <c r="V187" s="1172"/>
      <c r="W187" s="1176">
        <v>105</v>
      </c>
      <c r="X187" s="1172"/>
      <c r="Y187" s="1176"/>
      <c r="Z187" s="1172"/>
      <c r="AA187" s="1176">
        <v>105</v>
      </c>
    </row>
    <row r="188" spans="1:27" hidden="1" outlineLevel="1" x14ac:dyDescent="0.3">
      <c r="A188" s="1172"/>
      <c r="B188" s="1172" t="s">
        <v>500</v>
      </c>
      <c r="C188" s="1172"/>
      <c r="D188" s="1172"/>
      <c r="E188" s="1172"/>
      <c r="F188" s="1172"/>
      <c r="G188" s="1172" t="s">
        <v>871</v>
      </c>
      <c r="H188" s="1172"/>
      <c r="I188" s="1173">
        <v>44743</v>
      </c>
      <c r="J188" s="1172"/>
      <c r="K188" s="1172" t="s">
        <v>1539</v>
      </c>
      <c r="L188" s="1172"/>
      <c r="M188" s="1177"/>
      <c r="N188" s="1172"/>
      <c r="O188" s="1172" t="s">
        <v>1411</v>
      </c>
      <c r="P188" s="1172"/>
      <c r="Q188" s="1172"/>
      <c r="R188" s="1172"/>
      <c r="S188" s="1175"/>
      <c r="T188" s="1172"/>
      <c r="U188" s="1172" t="s">
        <v>1422</v>
      </c>
      <c r="V188" s="1172"/>
      <c r="W188" s="1176"/>
      <c r="X188" s="1172"/>
      <c r="Y188" s="1176">
        <v>105</v>
      </c>
      <c r="Z188" s="1172"/>
      <c r="AA188" s="1176">
        <v>0</v>
      </c>
    </row>
    <row r="189" spans="1:27" hidden="1" outlineLevel="1" x14ac:dyDescent="0.3">
      <c r="A189" s="1172"/>
      <c r="B189" s="1172" t="s">
        <v>500</v>
      </c>
      <c r="C189" s="1172"/>
      <c r="D189" s="1172"/>
      <c r="E189" s="1172"/>
      <c r="F189" s="1172"/>
      <c r="G189" s="1172" t="s">
        <v>871</v>
      </c>
      <c r="H189" s="1172"/>
      <c r="I189" s="1173">
        <v>44749</v>
      </c>
      <c r="J189" s="1172"/>
      <c r="K189" s="1172" t="s">
        <v>1540</v>
      </c>
      <c r="L189" s="1172"/>
      <c r="M189" s="1177"/>
      <c r="N189" s="1172"/>
      <c r="O189" s="1172" t="s">
        <v>1416</v>
      </c>
      <c r="P189" s="1172"/>
      <c r="Q189" s="1172"/>
      <c r="R189" s="1172"/>
      <c r="S189" s="1175"/>
      <c r="T189" s="1172"/>
      <c r="U189" s="1172" t="s">
        <v>1422</v>
      </c>
      <c r="V189" s="1172"/>
      <c r="W189" s="1176">
        <v>0</v>
      </c>
      <c r="X189" s="1172"/>
      <c r="Y189" s="1176"/>
      <c r="Z189" s="1172"/>
      <c r="AA189" s="1176">
        <v>0</v>
      </c>
    </row>
    <row r="190" spans="1:27" hidden="1" outlineLevel="1" x14ac:dyDescent="0.3">
      <c r="A190" s="1172"/>
      <c r="B190" s="1172" t="s">
        <v>500</v>
      </c>
      <c r="C190" s="1172"/>
      <c r="D190" s="1172"/>
      <c r="E190" s="1172"/>
      <c r="F190" s="1172"/>
      <c r="G190" s="1172" t="s">
        <v>871</v>
      </c>
      <c r="H190" s="1172"/>
      <c r="I190" s="1173">
        <v>44774</v>
      </c>
      <c r="J190" s="1172"/>
      <c r="K190" s="1172" t="s">
        <v>1541</v>
      </c>
      <c r="L190" s="1172"/>
      <c r="M190" s="1177"/>
      <c r="N190" s="1172"/>
      <c r="O190" s="1172" t="s">
        <v>1411</v>
      </c>
      <c r="P190" s="1172"/>
      <c r="Q190" s="1172"/>
      <c r="R190" s="1172"/>
      <c r="S190" s="1175"/>
      <c r="T190" s="1172"/>
      <c r="U190" s="1172" t="s">
        <v>1422</v>
      </c>
      <c r="V190" s="1172"/>
      <c r="W190" s="1176"/>
      <c r="X190" s="1172"/>
      <c r="Y190" s="1176">
        <v>105</v>
      </c>
      <c r="Z190" s="1172"/>
      <c r="AA190" s="1176">
        <v>-105</v>
      </c>
    </row>
    <row r="191" spans="1:27" hidden="1" outlineLevel="1" x14ac:dyDescent="0.3">
      <c r="A191" s="1172"/>
      <c r="B191" s="1172" t="s">
        <v>500</v>
      </c>
      <c r="C191" s="1172"/>
      <c r="D191" s="1172"/>
      <c r="E191" s="1172"/>
      <c r="F191" s="1172"/>
      <c r="G191" s="1172" t="s">
        <v>1409</v>
      </c>
      <c r="H191" s="1172"/>
      <c r="I191" s="1173">
        <v>44776</v>
      </c>
      <c r="J191" s="1172"/>
      <c r="K191" s="1172" t="s">
        <v>251</v>
      </c>
      <c r="L191" s="1172"/>
      <c r="M191" s="1177"/>
      <c r="N191" s="1172"/>
      <c r="O191" s="1172" t="s">
        <v>1411</v>
      </c>
      <c r="P191" s="1172"/>
      <c r="Q191" s="1172"/>
      <c r="R191" s="1172"/>
      <c r="S191" s="1175"/>
      <c r="T191" s="1172"/>
      <c r="U191" s="1172" t="s">
        <v>1394</v>
      </c>
      <c r="V191" s="1172"/>
      <c r="W191" s="1176">
        <v>105</v>
      </c>
      <c r="X191" s="1172"/>
      <c r="Y191" s="1176"/>
      <c r="Z191" s="1172"/>
      <c r="AA191" s="1176">
        <v>0</v>
      </c>
    </row>
    <row r="192" spans="1:27" hidden="1" outlineLevel="1" x14ac:dyDescent="0.3">
      <c r="A192" s="1172"/>
      <c r="B192" s="1185" t="s">
        <v>500</v>
      </c>
      <c r="C192" s="1185"/>
      <c r="D192" s="1185"/>
      <c r="E192" s="1185"/>
      <c r="F192" s="1185"/>
      <c r="G192" s="1185" t="s">
        <v>871</v>
      </c>
      <c r="H192" s="1185"/>
      <c r="I192" s="1186">
        <v>44782</v>
      </c>
      <c r="J192" s="1185"/>
      <c r="K192" s="1185" t="s">
        <v>1542</v>
      </c>
      <c r="L192" s="1185"/>
      <c r="M192" s="1187"/>
      <c r="N192" s="1185"/>
      <c r="O192" s="1185" t="s">
        <v>1494</v>
      </c>
      <c r="P192" s="1185"/>
      <c r="Q192" s="1185"/>
      <c r="R192" s="1185"/>
      <c r="S192" s="1188"/>
      <c r="T192" s="1185"/>
      <c r="U192" s="1185" t="s">
        <v>1422</v>
      </c>
      <c r="V192" s="1185"/>
      <c r="W192" s="1189"/>
      <c r="X192" s="1185"/>
      <c r="Y192" s="1189">
        <v>19884.48</v>
      </c>
      <c r="Z192" s="1185"/>
      <c r="AA192" s="1189">
        <v>-19884.48</v>
      </c>
    </row>
    <row r="193" spans="1:27" hidden="1" outlineLevel="1" x14ac:dyDescent="0.3">
      <c r="A193" s="1172"/>
      <c r="B193" s="1172" t="s">
        <v>500</v>
      </c>
      <c r="C193" s="1172"/>
      <c r="D193" s="1172"/>
      <c r="E193" s="1172"/>
      <c r="F193" s="1172"/>
      <c r="G193" s="1172" t="s">
        <v>871</v>
      </c>
      <c r="H193" s="1172"/>
      <c r="I193" s="1173">
        <v>44804</v>
      </c>
      <c r="J193" s="1172"/>
      <c r="K193" s="1172" t="s">
        <v>1543</v>
      </c>
      <c r="L193" s="1172"/>
      <c r="M193" s="1177"/>
      <c r="N193" s="1172"/>
      <c r="O193" s="1172" t="s">
        <v>1412</v>
      </c>
      <c r="P193" s="1172"/>
      <c r="Q193" s="1172"/>
      <c r="R193" s="1172"/>
      <c r="S193" s="1175"/>
      <c r="T193" s="1172"/>
      <c r="U193" s="1172" t="s">
        <v>1544</v>
      </c>
      <c r="V193" s="1172"/>
      <c r="W193" s="1176"/>
      <c r="X193" s="1172"/>
      <c r="Y193" s="1176">
        <v>10495.5</v>
      </c>
      <c r="Z193" s="1172"/>
      <c r="AA193" s="1176">
        <v>-30379.98</v>
      </c>
    </row>
    <row r="194" spans="1:27" hidden="1" outlineLevel="1" x14ac:dyDescent="0.3">
      <c r="A194" s="1172"/>
      <c r="B194" s="1172" t="s">
        <v>500</v>
      </c>
      <c r="C194" s="1172"/>
      <c r="D194" s="1172"/>
      <c r="E194" s="1172"/>
      <c r="F194" s="1172"/>
      <c r="G194" s="1172" t="s">
        <v>871</v>
      </c>
      <c r="H194" s="1172"/>
      <c r="I194" s="1173">
        <v>44805</v>
      </c>
      <c r="J194" s="1172"/>
      <c r="K194" s="1172" t="s">
        <v>1545</v>
      </c>
      <c r="L194" s="1172"/>
      <c r="M194" s="1177"/>
      <c r="N194" s="1172"/>
      <c r="O194" s="1172" t="s">
        <v>1411</v>
      </c>
      <c r="P194" s="1172"/>
      <c r="Q194" s="1172"/>
      <c r="R194" s="1172"/>
      <c r="S194" s="1175"/>
      <c r="T194" s="1172"/>
      <c r="U194" s="1172" t="s">
        <v>1422</v>
      </c>
      <c r="V194" s="1172"/>
      <c r="W194" s="1176"/>
      <c r="X194" s="1172"/>
      <c r="Y194" s="1176">
        <v>105</v>
      </c>
      <c r="Z194" s="1172"/>
      <c r="AA194" s="1176">
        <v>-30484.98</v>
      </c>
    </row>
    <row r="195" spans="1:27" hidden="1" outlineLevel="1" x14ac:dyDescent="0.3">
      <c r="A195" s="1172"/>
      <c r="B195" s="1172" t="s">
        <v>500</v>
      </c>
      <c r="C195" s="1172"/>
      <c r="D195" s="1172"/>
      <c r="E195" s="1172"/>
      <c r="F195" s="1172"/>
      <c r="G195" s="1172" t="s">
        <v>1409</v>
      </c>
      <c r="H195" s="1172"/>
      <c r="I195" s="1173">
        <v>44810</v>
      </c>
      <c r="J195" s="1172"/>
      <c r="K195" s="1172" t="s">
        <v>251</v>
      </c>
      <c r="L195" s="1172"/>
      <c r="M195" s="1177"/>
      <c r="N195" s="1172"/>
      <c r="O195" s="1172" t="s">
        <v>1411</v>
      </c>
      <c r="P195" s="1172"/>
      <c r="Q195" s="1172"/>
      <c r="R195" s="1172"/>
      <c r="S195" s="1175"/>
      <c r="T195" s="1172"/>
      <c r="U195" s="1172" t="s">
        <v>1394</v>
      </c>
      <c r="V195" s="1172"/>
      <c r="W195" s="1176">
        <v>105</v>
      </c>
      <c r="X195" s="1172"/>
      <c r="Y195" s="1176"/>
      <c r="Z195" s="1172"/>
      <c r="AA195" s="1176">
        <v>-30379.98</v>
      </c>
    </row>
    <row r="196" spans="1:27" hidden="1" outlineLevel="1" x14ac:dyDescent="0.3">
      <c r="A196" s="1172"/>
      <c r="B196" s="1172" t="s">
        <v>500</v>
      </c>
      <c r="C196" s="1172"/>
      <c r="D196" s="1172"/>
      <c r="E196" s="1172"/>
      <c r="F196" s="1172"/>
      <c r="G196" s="1172" t="s">
        <v>1409</v>
      </c>
      <c r="H196" s="1172"/>
      <c r="I196" s="1173">
        <v>44810</v>
      </c>
      <c r="J196" s="1172"/>
      <c r="K196" s="1172" t="s">
        <v>251</v>
      </c>
      <c r="L196" s="1172"/>
      <c r="M196" s="1177"/>
      <c r="N196" s="1172"/>
      <c r="O196" s="1172" t="s">
        <v>1412</v>
      </c>
      <c r="P196" s="1172"/>
      <c r="Q196" s="1172"/>
      <c r="R196" s="1172"/>
      <c r="S196" s="1175"/>
      <c r="T196" s="1172"/>
      <c r="U196" s="1172" t="s">
        <v>1394</v>
      </c>
      <c r="V196" s="1172"/>
      <c r="W196" s="1176">
        <v>10495.51</v>
      </c>
      <c r="X196" s="1172"/>
      <c r="Y196" s="1176"/>
      <c r="Z196" s="1172"/>
      <c r="AA196" s="1176">
        <v>-19884.47</v>
      </c>
    </row>
    <row r="197" spans="1:27" hidden="1" outlineLevel="1" x14ac:dyDescent="0.3">
      <c r="A197" s="1172"/>
      <c r="B197" s="1172" t="s">
        <v>500</v>
      </c>
      <c r="C197" s="1172"/>
      <c r="D197" s="1172"/>
      <c r="E197" s="1172"/>
      <c r="F197" s="1172"/>
      <c r="G197" s="1172" t="s">
        <v>871</v>
      </c>
      <c r="H197" s="1172"/>
      <c r="I197" s="1173">
        <v>44835</v>
      </c>
      <c r="J197" s="1172"/>
      <c r="K197" s="1172" t="s">
        <v>1546</v>
      </c>
      <c r="L197" s="1172"/>
      <c r="M197" s="1177"/>
      <c r="N197" s="1172"/>
      <c r="O197" s="1172" t="s">
        <v>1411</v>
      </c>
      <c r="P197" s="1172"/>
      <c r="Q197" s="1172"/>
      <c r="R197" s="1172"/>
      <c r="S197" s="1175"/>
      <c r="T197" s="1172"/>
      <c r="U197" s="1172" t="s">
        <v>1422</v>
      </c>
      <c r="V197" s="1172"/>
      <c r="W197" s="1176"/>
      <c r="X197" s="1172"/>
      <c r="Y197" s="1176">
        <v>105</v>
      </c>
      <c r="Z197" s="1172"/>
      <c r="AA197" s="1176">
        <v>-19989.47</v>
      </c>
    </row>
    <row r="198" spans="1:27" hidden="1" outlineLevel="1" x14ac:dyDescent="0.3">
      <c r="A198" s="1172"/>
      <c r="B198" s="1172" t="s">
        <v>500</v>
      </c>
      <c r="C198" s="1172"/>
      <c r="D198" s="1172"/>
      <c r="E198" s="1172"/>
      <c r="F198" s="1172"/>
      <c r="G198" s="1172" t="s">
        <v>1409</v>
      </c>
      <c r="H198" s="1172"/>
      <c r="I198" s="1173">
        <v>44840</v>
      </c>
      <c r="J198" s="1172"/>
      <c r="K198" s="1172" t="s">
        <v>251</v>
      </c>
      <c r="L198" s="1172"/>
      <c r="M198" s="1177"/>
      <c r="N198" s="1172"/>
      <c r="O198" s="1172" t="s">
        <v>1411</v>
      </c>
      <c r="P198" s="1172"/>
      <c r="Q198" s="1172"/>
      <c r="R198" s="1172"/>
      <c r="S198" s="1175"/>
      <c r="T198" s="1172"/>
      <c r="U198" s="1172" t="s">
        <v>1394</v>
      </c>
      <c r="V198" s="1172"/>
      <c r="W198" s="1176">
        <v>105</v>
      </c>
      <c r="X198" s="1172"/>
      <c r="Y198" s="1176"/>
      <c r="Z198" s="1172"/>
      <c r="AA198" s="1176">
        <v>-19884.47</v>
      </c>
    </row>
    <row r="199" spans="1:27" hidden="1" outlineLevel="1" x14ac:dyDescent="0.3">
      <c r="A199" s="1172"/>
      <c r="B199" s="1172" t="s">
        <v>500</v>
      </c>
      <c r="C199" s="1172"/>
      <c r="D199" s="1172"/>
      <c r="E199" s="1172"/>
      <c r="F199" s="1172"/>
      <c r="G199" s="1172" t="s">
        <v>871</v>
      </c>
      <c r="H199" s="1172"/>
      <c r="I199" s="1173">
        <v>44865</v>
      </c>
      <c r="J199" s="1172"/>
      <c r="K199" s="1172" t="s">
        <v>1547</v>
      </c>
      <c r="L199" s="1172"/>
      <c r="M199" s="1177"/>
      <c r="N199" s="1172"/>
      <c r="O199" s="1172" t="s">
        <v>1437</v>
      </c>
      <c r="P199" s="1172"/>
      <c r="Q199" s="1172"/>
      <c r="R199" s="1172"/>
      <c r="S199" s="1175"/>
      <c r="T199" s="1172"/>
      <c r="U199" s="1172" t="s">
        <v>1422</v>
      </c>
      <c r="V199" s="1172"/>
      <c r="W199" s="1176"/>
      <c r="X199" s="1172"/>
      <c r="Y199" s="1176">
        <v>1575</v>
      </c>
      <c r="Z199" s="1172"/>
      <c r="AA199" s="1176">
        <v>-21459.47</v>
      </c>
    </row>
    <row r="200" spans="1:27" hidden="1" outlineLevel="1" x14ac:dyDescent="0.3">
      <c r="A200" s="1172"/>
      <c r="B200" s="1172" t="s">
        <v>500</v>
      </c>
      <c r="C200" s="1172"/>
      <c r="D200" s="1172"/>
      <c r="E200" s="1172"/>
      <c r="F200" s="1172"/>
      <c r="G200" s="1172" t="s">
        <v>871</v>
      </c>
      <c r="H200" s="1172"/>
      <c r="I200" s="1173">
        <v>44865</v>
      </c>
      <c r="J200" s="1172"/>
      <c r="K200" s="1172" t="s">
        <v>1548</v>
      </c>
      <c r="L200" s="1172"/>
      <c r="M200" s="1177"/>
      <c r="N200" s="1172"/>
      <c r="O200" s="1172" t="s">
        <v>1494</v>
      </c>
      <c r="P200" s="1172"/>
      <c r="Q200" s="1172"/>
      <c r="R200" s="1172"/>
      <c r="S200" s="1175"/>
      <c r="T200" s="1172"/>
      <c r="U200" s="1172" t="s">
        <v>1422</v>
      </c>
      <c r="V200" s="1172"/>
      <c r="W200" s="1176"/>
      <c r="X200" s="1172"/>
      <c r="Y200" s="1176">
        <v>2991.52</v>
      </c>
      <c r="Z200" s="1172"/>
      <c r="AA200" s="1176">
        <v>-24450.99</v>
      </c>
    </row>
    <row r="201" spans="1:27" hidden="1" outlineLevel="1" x14ac:dyDescent="0.3">
      <c r="A201" s="1172"/>
      <c r="B201" s="1172" t="s">
        <v>500</v>
      </c>
      <c r="C201" s="1172"/>
      <c r="D201" s="1172"/>
      <c r="E201" s="1172"/>
      <c r="F201" s="1172"/>
      <c r="G201" s="1172" t="s">
        <v>871</v>
      </c>
      <c r="H201" s="1172"/>
      <c r="I201" s="1173">
        <v>44865</v>
      </c>
      <c r="J201" s="1172"/>
      <c r="K201" s="1172" t="s">
        <v>1549</v>
      </c>
      <c r="L201" s="1172"/>
      <c r="M201" s="1177"/>
      <c r="N201" s="1172"/>
      <c r="O201" s="1172" t="s">
        <v>1486</v>
      </c>
      <c r="P201" s="1172"/>
      <c r="Q201" s="1172"/>
      <c r="R201" s="1172"/>
      <c r="S201" s="1175"/>
      <c r="T201" s="1172"/>
      <c r="U201" s="1172" t="s">
        <v>1422</v>
      </c>
      <c r="V201" s="1172"/>
      <c r="W201" s="1176"/>
      <c r="X201" s="1172"/>
      <c r="Y201" s="1176">
        <v>2625</v>
      </c>
      <c r="Z201" s="1172"/>
      <c r="AA201" s="1176">
        <v>-27075.99</v>
      </c>
    </row>
    <row r="202" spans="1:27" hidden="1" outlineLevel="1" x14ac:dyDescent="0.3">
      <c r="A202" s="1172"/>
      <c r="B202" s="1172" t="s">
        <v>500</v>
      </c>
      <c r="C202" s="1172"/>
      <c r="D202" s="1172"/>
      <c r="E202" s="1172"/>
      <c r="F202" s="1172"/>
      <c r="G202" s="1172" t="s">
        <v>871</v>
      </c>
      <c r="H202" s="1172"/>
      <c r="I202" s="1173">
        <v>44866</v>
      </c>
      <c r="J202" s="1172"/>
      <c r="K202" s="1172" t="s">
        <v>1550</v>
      </c>
      <c r="L202" s="1172"/>
      <c r="M202" s="1177"/>
      <c r="N202" s="1172"/>
      <c r="O202" s="1172" t="s">
        <v>1411</v>
      </c>
      <c r="P202" s="1172"/>
      <c r="Q202" s="1172"/>
      <c r="R202" s="1172"/>
      <c r="S202" s="1175"/>
      <c r="T202" s="1172"/>
      <c r="U202" s="1172" t="s">
        <v>1422</v>
      </c>
      <c r="V202" s="1172"/>
      <c r="W202" s="1176"/>
      <c r="X202" s="1172"/>
      <c r="Y202" s="1176">
        <v>105</v>
      </c>
      <c r="Z202" s="1172"/>
      <c r="AA202" s="1176">
        <v>-27180.99</v>
      </c>
    </row>
    <row r="203" spans="1:27" hidden="1" outlineLevel="1" x14ac:dyDescent="0.3">
      <c r="A203" s="1172"/>
      <c r="B203" s="1172" t="s">
        <v>500</v>
      </c>
      <c r="C203" s="1172"/>
      <c r="D203" s="1172"/>
      <c r="E203" s="1172"/>
      <c r="F203" s="1172"/>
      <c r="G203" s="1172" t="s">
        <v>1409</v>
      </c>
      <c r="H203" s="1172"/>
      <c r="I203" s="1173">
        <v>44866</v>
      </c>
      <c r="J203" s="1172"/>
      <c r="K203" s="1172" t="s">
        <v>251</v>
      </c>
      <c r="L203" s="1172"/>
      <c r="M203" s="1177"/>
      <c r="N203" s="1172"/>
      <c r="O203" s="1172" t="s">
        <v>1437</v>
      </c>
      <c r="P203" s="1172"/>
      <c r="Q203" s="1172"/>
      <c r="R203" s="1172"/>
      <c r="S203" s="1175"/>
      <c r="T203" s="1172"/>
      <c r="U203" s="1172" t="s">
        <v>1394</v>
      </c>
      <c r="V203" s="1172"/>
      <c r="W203" s="1176">
        <v>1575</v>
      </c>
      <c r="X203" s="1172"/>
      <c r="Y203" s="1176"/>
      <c r="Z203" s="1172"/>
      <c r="AA203" s="1176">
        <v>-25605.99</v>
      </c>
    </row>
    <row r="204" spans="1:27" hidden="1" outlineLevel="1" x14ac:dyDescent="0.3">
      <c r="A204" s="1172"/>
      <c r="B204" s="1172" t="s">
        <v>500</v>
      </c>
      <c r="C204" s="1172"/>
      <c r="D204" s="1172"/>
      <c r="E204" s="1172"/>
      <c r="F204" s="1172"/>
      <c r="G204" s="1172" t="s">
        <v>1409</v>
      </c>
      <c r="H204" s="1172"/>
      <c r="I204" s="1173">
        <v>44866</v>
      </c>
      <c r="J204" s="1172"/>
      <c r="K204" s="1172" t="s">
        <v>251</v>
      </c>
      <c r="L204" s="1172"/>
      <c r="M204" s="1177"/>
      <c r="N204" s="1172"/>
      <c r="O204" s="1172" t="s">
        <v>1411</v>
      </c>
      <c r="P204" s="1172"/>
      <c r="Q204" s="1172"/>
      <c r="R204" s="1172"/>
      <c r="S204" s="1175"/>
      <c r="T204" s="1172"/>
      <c r="U204" s="1172" t="s">
        <v>1394</v>
      </c>
      <c r="V204" s="1172"/>
      <c r="W204" s="1176">
        <v>105</v>
      </c>
      <c r="X204" s="1172"/>
      <c r="Y204" s="1176"/>
      <c r="Z204" s="1172"/>
      <c r="AA204" s="1176">
        <v>-25500.99</v>
      </c>
    </row>
    <row r="205" spans="1:27" hidden="1" outlineLevel="1" x14ac:dyDescent="0.3">
      <c r="A205" s="1172"/>
      <c r="B205" s="1172" t="s">
        <v>500</v>
      </c>
      <c r="C205" s="1172"/>
      <c r="D205" s="1172"/>
      <c r="E205" s="1172"/>
      <c r="F205" s="1172"/>
      <c r="G205" s="1172" t="s">
        <v>1409</v>
      </c>
      <c r="H205" s="1172"/>
      <c r="I205" s="1173">
        <v>44874</v>
      </c>
      <c r="J205" s="1172"/>
      <c r="K205" s="1172" t="s">
        <v>251</v>
      </c>
      <c r="L205" s="1172"/>
      <c r="M205" s="1177"/>
      <c r="N205" s="1172"/>
      <c r="O205" s="1172" t="s">
        <v>1486</v>
      </c>
      <c r="P205" s="1172"/>
      <c r="Q205" s="1172"/>
      <c r="R205" s="1172"/>
      <c r="S205" s="1175"/>
      <c r="T205" s="1172"/>
      <c r="U205" s="1172" t="s">
        <v>1394</v>
      </c>
      <c r="V205" s="1172"/>
      <c r="W205" s="1176">
        <v>2625</v>
      </c>
      <c r="X205" s="1172"/>
      <c r="Y205" s="1176"/>
      <c r="Z205" s="1172"/>
      <c r="AA205" s="1176">
        <v>-22875.99</v>
      </c>
    </row>
    <row r="206" spans="1:27" hidden="1" outlineLevel="1" x14ac:dyDescent="0.3">
      <c r="A206" s="1172"/>
      <c r="B206" s="1172" t="s">
        <v>500</v>
      </c>
      <c r="C206" s="1172"/>
      <c r="D206" s="1172"/>
      <c r="E206" s="1172"/>
      <c r="F206" s="1172"/>
      <c r="G206" s="1172" t="s">
        <v>871</v>
      </c>
      <c r="H206" s="1172"/>
      <c r="I206" s="1173">
        <v>44879</v>
      </c>
      <c r="J206" s="1172"/>
      <c r="K206" s="1172" t="s">
        <v>1551</v>
      </c>
      <c r="L206" s="1172"/>
      <c r="M206" s="1177"/>
      <c r="N206" s="1172"/>
      <c r="O206" s="1172" t="s">
        <v>1487</v>
      </c>
      <c r="P206" s="1172"/>
      <c r="Q206" s="1172"/>
      <c r="R206" s="1172"/>
      <c r="S206" s="1175"/>
      <c r="T206" s="1172"/>
      <c r="U206" s="1172" t="s">
        <v>1422</v>
      </c>
      <c r="V206" s="1172"/>
      <c r="W206" s="1176"/>
      <c r="X206" s="1172"/>
      <c r="Y206" s="1176">
        <v>7600.18</v>
      </c>
      <c r="Z206" s="1172"/>
      <c r="AA206" s="1176">
        <v>-30476.17</v>
      </c>
    </row>
    <row r="207" spans="1:27" hidden="1" outlineLevel="1" x14ac:dyDescent="0.3">
      <c r="A207" s="1172"/>
      <c r="B207" s="1172" t="s">
        <v>500</v>
      </c>
      <c r="C207" s="1172"/>
      <c r="D207" s="1172"/>
      <c r="E207" s="1172"/>
      <c r="F207" s="1172"/>
      <c r="G207" s="1172" t="s">
        <v>871</v>
      </c>
      <c r="H207" s="1172"/>
      <c r="I207" s="1173">
        <v>44879</v>
      </c>
      <c r="J207" s="1172"/>
      <c r="K207" s="1172" t="s">
        <v>1552</v>
      </c>
      <c r="L207" s="1172"/>
      <c r="M207" s="1177"/>
      <c r="N207" s="1172"/>
      <c r="O207" s="1172" t="s">
        <v>1487</v>
      </c>
      <c r="P207" s="1172"/>
      <c r="Q207" s="1172"/>
      <c r="R207" s="1172"/>
      <c r="S207" s="1175"/>
      <c r="T207" s="1172"/>
      <c r="U207" s="1172" t="s">
        <v>1422</v>
      </c>
      <c r="V207" s="1172"/>
      <c r="W207" s="1176"/>
      <c r="X207" s="1172"/>
      <c r="Y207" s="1176">
        <v>24046.37</v>
      </c>
      <c r="Z207" s="1172"/>
      <c r="AA207" s="1176">
        <v>-54522.54</v>
      </c>
    </row>
    <row r="208" spans="1:27" hidden="1" outlineLevel="1" x14ac:dyDescent="0.3">
      <c r="A208" s="1172"/>
      <c r="B208" s="1172" t="s">
        <v>500</v>
      </c>
      <c r="C208" s="1172"/>
      <c r="D208" s="1172"/>
      <c r="E208" s="1172"/>
      <c r="F208" s="1172"/>
      <c r="G208" s="1172" t="s">
        <v>871</v>
      </c>
      <c r="H208" s="1172"/>
      <c r="I208" s="1173">
        <v>44879</v>
      </c>
      <c r="J208" s="1172"/>
      <c r="K208" s="1172" t="s">
        <v>1553</v>
      </c>
      <c r="L208" s="1172"/>
      <c r="M208" s="1177"/>
      <c r="N208" s="1172"/>
      <c r="O208" s="1172" t="s">
        <v>1487</v>
      </c>
      <c r="P208" s="1172"/>
      <c r="Q208" s="1172"/>
      <c r="R208" s="1172"/>
      <c r="S208" s="1175"/>
      <c r="T208" s="1172"/>
      <c r="U208" s="1172" t="s">
        <v>1422</v>
      </c>
      <c r="V208" s="1172"/>
      <c r="W208" s="1176"/>
      <c r="X208" s="1172"/>
      <c r="Y208" s="1176">
        <v>15750</v>
      </c>
      <c r="Z208" s="1172"/>
      <c r="AA208" s="1176">
        <v>-70272.539999999994</v>
      </c>
    </row>
    <row r="209" spans="1:27" hidden="1" outlineLevel="1" x14ac:dyDescent="0.3">
      <c r="A209" s="1172"/>
      <c r="B209" s="1172" t="s">
        <v>500</v>
      </c>
      <c r="C209" s="1172"/>
      <c r="D209" s="1172"/>
      <c r="E209" s="1172"/>
      <c r="F209" s="1172"/>
      <c r="G209" s="1172" t="s">
        <v>871</v>
      </c>
      <c r="H209" s="1172"/>
      <c r="I209" s="1173">
        <v>44880</v>
      </c>
      <c r="J209" s="1172"/>
      <c r="K209" s="1172" t="s">
        <v>1554</v>
      </c>
      <c r="L209" s="1172"/>
      <c r="M209" s="1177"/>
      <c r="N209" s="1172"/>
      <c r="O209" s="1172" t="s">
        <v>1487</v>
      </c>
      <c r="P209" s="1172"/>
      <c r="Q209" s="1172"/>
      <c r="R209" s="1172"/>
      <c r="S209" s="1175"/>
      <c r="T209" s="1172"/>
      <c r="U209" s="1172" t="s">
        <v>1422</v>
      </c>
      <c r="V209" s="1172"/>
      <c r="W209" s="1176"/>
      <c r="X209" s="1172"/>
      <c r="Y209" s="1176">
        <v>787.5</v>
      </c>
      <c r="Z209" s="1172"/>
      <c r="AA209" s="1176">
        <v>-71060.039999999994</v>
      </c>
    </row>
    <row r="210" spans="1:27" hidden="1" outlineLevel="1" x14ac:dyDescent="0.3">
      <c r="A210" s="1172"/>
      <c r="B210" s="1172" t="s">
        <v>500</v>
      </c>
      <c r="C210" s="1172"/>
      <c r="D210" s="1172"/>
      <c r="E210" s="1172"/>
      <c r="F210" s="1172"/>
      <c r="G210" s="1172" t="s">
        <v>871</v>
      </c>
      <c r="H210" s="1172"/>
      <c r="I210" s="1173">
        <v>44880</v>
      </c>
      <c r="J210" s="1172"/>
      <c r="K210" s="1172" t="s">
        <v>1555</v>
      </c>
      <c r="L210" s="1172"/>
      <c r="M210" s="1177"/>
      <c r="N210" s="1172"/>
      <c r="O210" s="1172" t="s">
        <v>1487</v>
      </c>
      <c r="P210" s="1172"/>
      <c r="Q210" s="1172"/>
      <c r="R210" s="1172"/>
      <c r="S210" s="1175"/>
      <c r="T210" s="1172"/>
      <c r="U210" s="1172" t="s">
        <v>1422</v>
      </c>
      <c r="V210" s="1172"/>
      <c r="W210" s="1176"/>
      <c r="X210" s="1172"/>
      <c r="Y210" s="1176">
        <v>2867.26</v>
      </c>
      <c r="Z210" s="1172"/>
      <c r="AA210" s="1176">
        <v>-73927.3</v>
      </c>
    </row>
    <row r="211" spans="1:27" hidden="1" outlineLevel="1" x14ac:dyDescent="0.3">
      <c r="A211" s="1172"/>
      <c r="B211" s="1172" t="s">
        <v>500</v>
      </c>
      <c r="C211" s="1172"/>
      <c r="D211" s="1172"/>
      <c r="E211" s="1172"/>
      <c r="F211" s="1172"/>
      <c r="G211" s="1172" t="s">
        <v>871</v>
      </c>
      <c r="H211" s="1172"/>
      <c r="I211" s="1173">
        <v>44880</v>
      </c>
      <c r="J211" s="1172"/>
      <c r="K211" s="1172" t="s">
        <v>1556</v>
      </c>
      <c r="L211" s="1172"/>
      <c r="M211" s="1177"/>
      <c r="N211" s="1172"/>
      <c r="O211" s="1172" t="s">
        <v>1487</v>
      </c>
      <c r="P211" s="1172"/>
      <c r="Q211" s="1172"/>
      <c r="R211" s="1172"/>
      <c r="S211" s="1175"/>
      <c r="T211" s="1172"/>
      <c r="U211" s="1172" t="s">
        <v>1422</v>
      </c>
      <c r="V211" s="1172"/>
      <c r="W211" s="1176"/>
      <c r="X211" s="1172"/>
      <c r="Y211" s="1176">
        <v>7875</v>
      </c>
      <c r="Z211" s="1172"/>
      <c r="AA211" s="1176">
        <v>-81802.3</v>
      </c>
    </row>
    <row r="212" spans="1:27" hidden="1" outlineLevel="1" x14ac:dyDescent="0.3">
      <c r="A212" s="1172"/>
      <c r="B212" s="1172" t="s">
        <v>500</v>
      </c>
      <c r="C212" s="1172"/>
      <c r="D212" s="1172"/>
      <c r="E212" s="1172"/>
      <c r="F212" s="1172"/>
      <c r="G212" s="1172" t="s">
        <v>1409</v>
      </c>
      <c r="H212" s="1172"/>
      <c r="I212" s="1173">
        <v>44880</v>
      </c>
      <c r="J212" s="1172"/>
      <c r="K212" s="1172" t="s">
        <v>251</v>
      </c>
      <c r="L212" s="1172"/>
      <c r="M212" s="1177"/>
      <c r="N212" s="1172"/>
      <c r="O212" s="1172" t="s">
        <v>1487</v>
      </c>
      <c r="P212" s="1172"/>
      <c r="Q212" s="1172"/>
      <c r="R212" s="1172"/>
      <c r="S212" s="1175"/>
      <c r="T212" s="1172"/>
      <c r="U212" s="1172" t="s">
        <v>1394</v>
      </c>
      <c r="V212" s="1172"/>
      <c r="W212" s="1176">
        <v>58926.31</v>
      </c>
      <c r="X212" s="1172"/>
      <c r="Y212" s="1176"/>
      <c r="Z212" s="1172"/>
      <c r="AA212" s="1176">
        <v>-22875.99</v>
      </c>
    </row>
    <row r="213" spans="1:27" hidden="1" outlineLevel="1" x14ac:dyDescent="0.3">
      <c r="A213" s="1172"/>
      <c r="B213" s="1172" t="s">
        <v>500</v>
      </c>
      <c r="C213" s="1172"/>
      <c r="D213" s="1172"/>
      <c r="E213" s="1172"/>
      <c r="F213" s="1172"/>
      <c r="G213" s="1172" t="s">
        <v>871</v>
      </c>
      <c r="H213" s="1172"/>
      <c r="I213" s="1173">
        <v>44881</v>
      </c>
      <c r="J213" s="1172"/>
      <c r="K213" s="1172" t="s">
        <v>1557</v>
      </c>
      <c r="L213" s="1172"/>
      <c r="M213" s="1177"/>
      <c r="N213" s="1172"/>
      <c r="O213" s="1172" t="s">
        <v>1487</v>
      </c>
      <c r="P213" s="1172"/>
      <c r="Q213" s="1172"/>
      <c r="R213" s="1172"/>
      <c r="S213" s="1175"/>
      <c r="T213" s="1172"/>
      <c r="U213" s="1172" t="s">
        <v>1422</v>
      </c>
      <c r="V213" s="1172"/>
      <c r="W213" s="1176"/>
      <c r="X213" s="1172"/>
      <c r="Y213" s="1176">
        <v>183.09</v>
      </c>
      <c r="Z213" s="1172"/>
      <c r="AA213" s="1176">
        <v>-23059.08</v>
      </c>
    </row>
    <row r="214" spans="1:27" hidden="1" outlineLevel="1" x14ac:dyDescent="0.3">
      <c r="A214" s="1172"/>
      <c r="B214" s="1172" t="s">
        <v>500</v>
      </c>
      <c r="C214" s="1172"/>
      <c r="D214" s="1172"/>
      <c r="E214" s="1172"/>
      <c r="F214" s="1172"/>
      <c r="G214" s="1172" t="s">
        <v>1409</v>
      </c>
      <c r="H214" s="1172"/>
      <c r="I214" s="1173">
        <v>44881</v>
      </c>
      <c r="J214" s="1172"/>
      <c r="K214" s="1172" t="s">
        <v>251</v>
      </c>
      <c r="L214" s="1172"/>
      <c r="M214" s="1177"/>
      <c r="N214" s="1172"/>
      <c r="O214" s="1172" t="s">
        <v>1487</v>
      </c>
      <c r="P214" s="1172"/>
      <c r="Q214" s="1172"/>
      <c r="R214" s="1172"/>
      <c r="S214" s="1175"/>
      <c r="T214" s="1172"/>
      <c r="U214" s="1172" t="s">
        <v>1394</v>
      </c>
      <c r="V214" s="1172"/>
      <c r="W214" s="1176">
        <v>183.09</v>
      </c>
      <c r="X214" s="1172"/>
      <c r="Y214" s="1176"/>
      <c r="Z214" s="1172"/>
      <c r="AA214" s="1176">
        <v>-22875.99</v>
      </c>
    </row>
    <row r="215" spans="1:27" hidden="1" outlineLevel="1" x14ac:dyDescent="0.3">
      <c r="A215" s="1172"/>
      <c r="B215" s="1172" t="s">
        <v>500</v>
      </c>
      <c r="C215" s="1172"/>
      <c r="D215" s="1172"/>
      <c r="E215" s="1172"/>
      <c r="F215" s="1172"/>
      <c r="G215" s="1172" t="s">
        <v>871</v>
      </c>
      <c r="H215" s="1172"/>
      <c r="I215" s="1173">
        <v>44887</v>
      </c>
      <c r="J215" s="1172"/>
      <c r="K215" s="1172" t="s">
        <v>1558</v>
      </c>
      <c r="L215" s="1172"/>
      <c r="M215" s="1177"/>
      <c r="N215" s="1172"/>
      <c r="O215" s="1172" t="s">
        <v>1494</v>
      </c>
      <c r="P215" s="1172"/>
      <c r="Q215" s="1172"/>
      <c r="R215" s="1172"/>
      <c r="S215" s="1175"/>
      <c r="T215" s="1172"/>
      <c r="U215" s="1172" t="s">
        <v>1422</v>
      </c>
      <c r="V215" s="1172"/>
      <c r="W215" s="1176"/>
      <c r="X215" s="1172"/>
      <c r="Y215" s="1176">
        <v>130.36000000000001</v>
      </c>
      <c r="Z215" s="1172"/>
      <c r="AA215" s="1176">
        <v>-23006.35</v>
      </c>
    </row>
    <row r="216" spans="1:27" hidden="1" outlineLevel="1" x14ac:dyDescent="0.3">
      <c r="A216" s="1172"/>
      <c r="B216" s="1172" t="s">
        <v>500</v>
      </c>
      <c r="C216" s="1172"/>
      <c r="D216" s="1172"/>
      <c r="E216" s="1172"/>
      <c r="F216" s="1172"/>
      <c r="G216" s="1172" t="s">
        <v>871</v>
      </c>
      <c r="H216" s="1172"/>
      <c r="I216" s="1173">
        <v>44887</v>
      </c>
      <c r="J216" s="1172"/>
      <c r="K216" s="1172" t="s">
        <v>1559</v>
      </c>
      <c r="L216" s="1172"/>
      <c r="M216" s="1177"/>
      <c r="N216" s="1172"/>
      <c r="O216" s="1172" t="s">
        <v>1494</v>
      </c>
      <c r="P216" s="1172"/>
      <c r="Q216" s="1172"/>
      <c r="R216" s="1172"/>
      <c r="S216" s="1175"/>
      <c r="T216" s="1172"/>
      <c r="U216" s="1172" t="s">
        <v>1422</v>
      </c>
      <c r="V216" s="1172"/>
      <c r="W216" s="1176"/>
      <c r="X216" s="1172"/>
      <c r="Y216" s="1176">
        <v>184.24</v>
      </c>
      <c r="Z216" s="1172"/>
      <c r="AA216" s="1176">
        <v>-23190.59</v>
      </c>
    </row>
    <row r="217" spans="1:27" hidden="1" outlineLevel="1" x14ac:dyDescent="0.3">
      <c r="A217" s="1172"/>
      <c r="B217" s="1172" t="s">
        <v>500</v>
      </c>
      <c r="C217" s="1172"/>
      <c r="D217" s="1172"/>
      <c r="E217" s="1172"/>
      <c r="F217" s="1172"/>
      <c r="G217" s="1172" t="s">
        <v>871</v>
      </c>
      <c r="H217" s="1172"/>
      <c r="I217" s="1173">
        <v>44887</v>
      </c>
      <c r="J217" s="1172"/>
      <c r="K217" s="1172" t="s">
        <v>1560</v>
      </c>
      <c r="L217" s="1172"/>
      <c r="M217" s="1177"/>
      <c r="N217" s="1172"/>
      <c r="O217" s="1172" t="s">
        <v>1494</v>
      </c>
      <c r="P217" s="1172"/>
      <c r="Q217" s="1172"/>
      <c r="R217" s="1172"/>
      <c r="S217" s="1175"/>
      <c r="T217" s="1172"/>
      <c r="U217" s="1172" t="s">
        <v>1422</v>
      </c>
      <c r="V217" s="1172"/>
      <c r="W217" s="1176"/>
      <c r="X217" s="1172"/>
      <c r="Y217" s="1176">
        <v>2048.48</v>
      </c>
      <c r="Z217" s="1172"/>
      <c r="AA217" s="1176">
        <v>-25239.07</v>
      </c>
    </row>
    <row r="218" spans="1:27" hidden="1" outlineLevel="1" x14ac:dyDescent="0.3">
      <c r="A218" s="1172"/>
      <c r="B218" s="1172" t="s">
        <v>500</v>
      </c>
      <c r="C218" s="1172"/>
      <c r="D218" s="1172"/>
      <c r="E218" s="1172"/>
      <c r="F218" s="1172"/>
      <c r="G218" s="1172" t="s">
        <v>1409</v>
      </c>
      <c r="H218" s="1172"/>
      <c r="I218" s="1173">
        <v>44890</v>
      </c>
      <c r="J218" s="1172"/>
      <c r="K218" s="1172" t="s">
        <v>251</v>
      </c>
      <c r="L218" s="1172"/>
      <c r="M218" s="1177"/>
      <c r="N218" s="1172"/>
      <c r="O218" s="1172" t="s">
        <v>1494</v>
      </c>
      <c r="P218" s="1172"/>
      <c r="Q218" s="1172"/>
      <c r="R218" s="1172"/>
      <c r="S218" s="1175"/>
      <c r="T218" s="1172"/>
      <c r="U218" s="1172" t="s">
        <v>1394</v>
      </c>
      <c r="V218" s="1172"/>
      <c r="W218" s="1176">
        <v>25239.08</v>
      </c>
      <c r="X218" s="1172"/>
      <c r="Y218" s="1176"/>
      <c r="Z218" s="1172"/>
      <c r="AA218" s="1176">
        <v>0.01</v>
      </c>
    </row>
    <row r="219" spans="1:27" hidden="1" outlineLevel="1" x14ac:dyDescent="0.3">
      <c r="A219" s="1172"/>
      <c r="B219" s="1172" t="s">
        <v>500</v>
      </c>
      <c r="C219" s="1172"/>
      <c r="D219" s="1172"/>
      <c r="E219" s="1172"/>
      <c r="F219" s="1172"/>
      <c r="G219" s="1172" t="s">
        <v>871</v>
      </c>
      <c r="H219" s="1172"/>
      <c r="I219" s="1173">
        <v>44895</v>
      </c>
      <c r="J219" s="1172"/>
      <c r="K219" s="1172" t="s">
        <v>1561</v>
      </c>
      <c r="L219" s="1172"/>
      <c r="M219" s="1177"/>
      <c r="N219" s="1172"/>
      <c r="O219" s="1172" t="s">
        <v>1437</v>
      </c>
      <c r="P219" s="1172"/>
      <c r="Q219" s="1172"/>
      <c r="R219" s="1172"/>
      <c r="S219" s="1175"/>
      <c r="T219" s="1172"/>
      <c r="U219" s="1172" t="s">
        <v>1422</v>
      </c>
      <c r="V219" s="1172"/>
      <c r="W219" s="1176"/>
      <c r="X219" s="1172"/>
      <c r="Y219" s="1176">
        <v>2100</v>
      </c>
      <c r="Z219" s="1172"/>
      <c r="AA219" s="1176">
        <v>-2099.9899999999998</v>
      </c>
    </row>
    <row r="220" spans="1:27" hidden="1" outlineLevel="1" x14ac:dyDescent="0.3">
      <c r="A220" s="1172"/>
      <c r="B220" s="1172" t="s">
        <v>500</v>
      </c>
      <c r="C220" s="1172"/>
      <c r="D220" s="1172"/>
      <c r="E220" s="1172"/>
      <c r="F220" s="1172"/>
      <c r="G220" s="1172" t="s">
        <v>871</v>
      </c>
      <c r="H220" s="1172"/>
      <c r="I220" s="1173">
        <v>44896</v>
      </c>
      <c r="J220" s="1172"/>
      <c r="K220" s="1172" t="s">
        <v>1562</v>
      </c>
      <c r="L220" s="1172"/>
      <c r="M220" s="1177"/>
      <c r="N220" s="1172"/>
      <c r="O220" s="1172" t="s">
        <v>1411</v>
      </c>
      <c r="P220" s="1172"/>
      <c r="Q220" s="1172"/>
      <c r="R220" s="1172"/>
      <c r="S220" s="1175"/>
      <c r="T220" s="1172"/>
      <c r="U220" s="1172" t="s">
        <v>1422</v>
      </c>
      <c r="V220" s="1172"/>
      <c r="W220" s="1176"/>
      <c r="X220" s="1172"/>
      <c r="Y220" s="1176">
        <v>105</v>
      </c>
      <c r="Z220" s="1172"/>
      <c r="AA220" s="1176">
        <v>-2204.9899999999998</v>
      </c>
    </row>
    <row r="221" spans="1:27" hidden="1" outlineLevel="1" x14ac:dyDescent="0.3">
      <c r="A221" s="1172"/>
      <c r="B221" s="1172" t="s">
        <v>500</v>
      </c>
      <c r="C221" s="1172"/>
      <c r="D221" s="1172"/>
      <c r="E221" s="1172"/>
      <c r="F221" s="1172"/>
      <c r="G221" s="1172" t="s">
        <v>1409</v>
      </c>
      <c r="H221" s="1172"/>
      <c r="I221" s="1173">
        <v>44900</v>
      </c>
      <c r="J221" s="1172"/>
      <c r="K221" s="1172" t="s">
        <v>251</v>
      </c>
      <c r="L221" s="1172"/>
      <c r="M221" s="1177"/>
      <c r="N221" s="1172"/>
      <c r="O221" s="1172" t="s">
        <v>1411</v>
      </c>
      <c r="P221" s="1172"/>
      <c r="Q221" s="1172"/>
      <c r="R221" s="1172"/>
      <c r="S221" s="1175"/>
      <c r="T221" s="1172"/>
      <c r="U221" s="1172" t="s">
        <v>1394</v>
      </c>
      <c r="V221" s="1172"/>
      <c r="W221" s="1176">
        <v>105</v>
      </c>
      <c r="X221" s="1172"/>
      <c r="Y221" s="1176"/>
      <c r="Z221" s="1172"/>
      <c r="AA221" s="1176">
        <v>-2099.9899999999998</v>
      </c>
    </row>
    <row r="222" spans="1:27" hidden="1" outlineLevel="1" x14ac:dyDescent="0.3">
      <c r="A222" s="1172"/>
      <c r="B222" s="1172" t="s">
        <v>500</v>
      </c>
      <c r="C222" s="1172"/>
      <c r="D222" s="1172"/>
      <c r="E222" s="1172"/>
      <c r="F222" s="1172"/>
      <c r="G222" s="1172" t="s">
        <v>1409</v>
      </c>
      <c r="H222" s="1172"/>
      <c r="I222" s="1173">
        <v>44900</v>
      </c>
      <c r="J222" s="1172"/>
      <c r="K222" s="1172" t="s">
        <v>251</v>
      </c>
      <c r="L222" s="1172"/>
      <c r="M222" s="1177"/>
      <c r="N222" s="1172"/>
      <c r="O222" s="1172" t="s">
        <v>1437</v>
      </c>
      <c r="P222" s="1172"/>
      <c r="Q222" s="1172"/>
      <c r="R222" s="1172"/>
      <c r="S222" s="1175"/>
      <c r="T222" s="1172"/>
      <c r="U222" s="1172" t="s">
        <v>1394</v>
      </c>
      <c r="V222" s="1172"/>
      <c r="W222" s="1176">
        <v>2100</v>
      </c>
      <c r="X222" s="1172"/>
      <c r="Y222" s="1176"/>
      <c r="Z222" s="1172"/>
      <c r="AA222" s="1176">
        <v>0.01</v>
      </c>
    </row>
    <row r="223" spans="1:27" ht="15" hidden="1" outlineLevel="1" thickBot="1" x14ac:dyDescent="0.35">
      <c r="A223" s="1172"/>
      <c r="B223" s="1172" t="s">
        <v>500</v>
      </c>
      <c r="C223" s="1172"/>
      <c r="D223" s="1172"/>
      <c r="E223" s="1172"/>
      <c r="F223" s="1172"/>
      <c r="G223" s="1172" t="s">
        <v>871</v>
      </c>
      <c r="H223" s="1172"/>
      <c r="I223" s="1173">
        <v>44926</v>
      </c>
      <c r="J223" s="1172"/>
      <c r="K223" s="1172" t="s">
        <v>1563</v>
      </c>
      <c r="L223" s="1172"/>
      <c r="M223" s="1177"/>
      <c r="N223" s="1172"/>
      <c r="O223" s="1172" t="s">
        <v>1437</v>
      </c>
      <c r="P223" s="1172"/>
      <c r="Q223" s="1172"/>
      <c r="R223" s="1172"/>
      <c r="S223" s="1175"/>
      <c r="T223" s="1172"/>
      <c r="U223" s="1172" t="s">
        <v>1422</v>
      </c>
      <c r="V223" s="1172"/>
      <c r="W223" s="1182"/>
      <c r="X223" s="1172"/>
      <c r="Y223" s="1182">
        <v>1837.5</v>
      </c>
      <c r="Z223" s="1172"/>
      <c r="AA223" s="1182">
        <v>-1837.49</v>
      </c>
    </row>
    <row r="224" spans="1:27" collapsed="1" x14ac:dyDescent="0.3">
      <c r="A224" s="1172"/>
      <c r="B224" s="1172" t="s">
        <v>1564</v>
      </c>
      <c r="C224" s="1172"/>
      <c r="D224" s="1172"/>
      <c r="E224" s="1172"/>
      <c r="F224" s="1172"/>
      <c r="G224" s="1172"/>
      <c r="H224" s="1172"/>
      <c r="I224" s="1173"/>
      <c r="J224" s="1172"/>
      <c r="K224" s="1172"/>
      <c r="L224" s="1172"/>
      <c r="M224" s="1177"/>
      <c r="N224" s="1172"/>
      <c r="O224" s="1172"/>
      <c r="P224" s="1172"/>
      <c r="Q224" s="1172"/>
      <c r="R224" s="1172"/>
      <c r="S224" s="1172"/>
      <c r="T224" s="1172"/>
      <c r="U224" s="1172"/>
      <c r="V224" s="1172"/>
      <c r="W224" s="1176">
        <f>ROUND(SUM(W115:W223),5)</f>
        <v>164656.29999999999</v>
      </c>
      <c r="X224" s="1172"/>
      <c r="Y224" s="1176">
        <f>ROUND(SUM(Y115:Y223),5)</f>
        <v>166493.79</v>
      </c>
      <c r="Z224" s="1172"/>
      <c r="AA224" s="1176">
        <f>AA223</f>
        <v>-1837.49</v>
      </c>
    </row>
    <row r="225" spans="1:27" x14ac:dyDescent="0.3">
      <c r="A225" s="1168"/>
      <c r="B225" s="1168" t="s">
        <v>1565</v>
      </c>
      <c r="C225" s="1168"/>
      <c r="D225" s="1168"/>
      <c r="E225" s="1168"/>
      <c r="F225" s="1168"/>
      <c r="G225" s="1168"/>
      <c r="H225" s="1168"/>
      <c r="I225" s="1169"/>
      <c r="J225" s="1168"/>
      <c r="K225" s="1168"/>
      <c r="L225" s="1168"/>
      <c r="M225" s="1170"/>
      <c r="N225" s="1168"/>
      <c r="O225" s="1168"/>
      <c r="P225" s="1168"/>
      <c r="Q225" s="1168"/>
      <c r="R225" s="1168"/>
      <c r="S225" s="1168"/>
      <c r="T225" s="1168"/>
      <c r="U225" s="1168"/>
      <c r="V225" s="1168"/>
      <c r="W225" s="1171"/>
      <c r="X225" s="1168"/>
      <c r="Y225" s="1171"/>
      <c r="Z225" s="1168"/>
      <c r="AA225" s="1171"/>
    </row>
    <row r="226" spans="1:27" x14ac:dyDescent="0.3">
      <c r="A226" s="1168"/>
      <c r="B226" s="1168"/>
      <c r="C226" s="1168" t="s">
        <v>1566</v>
      </c>
      <c r="D226" s="1168"/>
      <c r="E226" s="1168"/>
      <c r="F226" s="1168"/>
      <c r="G226" s="1168"/>
      <c r="H226" s="1168"/>
      <c r="I226" s="1169"/>
      <c r="J226" s="1168"/>
      <c r="K226" s="1168"/>
      <c r="L226" s="1168"/>
      <c r="M226" s="1170"/>
      <c r="N226" s="1168"/>
      <c r="O226" s="1168"/>
      <c r="P226" s="1168"/>
      <c r="Q226" s="1168"/>
      <c r="R226" s="1168"/>
      <c r="S226" s="1168"/>
      <c r="T226" s="1168"/>
      <c r="U226" s="1168"/>
      <c r="V226" s="1168"/>
      <c r="W226" s="1171"/>
      <c r="X226" s="1168"/>
      <c r="Y226" s="1171"/>
      <c r="Z226" s="1168"/>
      <c r="AA226" s="1171"/>
    </row>
    <row r="227" spans="1:27" ht="15" thickBot="1" x14ac:dyDescent="0.35">
      <c r="A227" s="1184"/>
      <c r="B227" s="1184"/>
      <c r="C227" s="1184"/>
      <c r="D227" s="1184"/>
      <c r="E227" s="1172"/>
      <c r="F227" s="1172"/>
      <c r="G227" s="1172" t="s">
        <v>1395</v>
      </c>
      <c r="H227" s="1172"/>
      <c r="I227" s="1173">
        <v>44316</v>
      </c>
      <c r="J227" s="1172"/>
      <c r="K227" s="1172" t="s">
        <v>1567</v>
      </c>
      <c r="L227" s="1172"/>
      <c r="M227" s="1174" t="s">
        <v>1397</v>
      </c>
      <c r="N227" s="1172"/>
      <c r="O227" s="1172"/>
      <c r="P227" s="1172"/>
      <c r="Q227" s="1172" t="s">
        <v>1568</v>
      </c>
      <c r="R227" s="1172"/>
      <c r="S227" s="1175"/>
      <c r="T227" s="1172"/>
      <c r="U227" s="1172" t="s">
        <v>1569</v>
      </c>
      <c r="V227" s="1172"/>
      <c r="W227" s="1176"/>
      <c r="X227" s="1172"/>
      <c r="Y227" s="1176">
        <v>5000</v>
      </c>
      <c r="Z227" s="1172"/>
      <c r="AA227" s="1176">
        <v>-5000</v>
      </c>
    </row>
    <row r="228" spans="1:27" ht="15" thickBot="1" x14ac:dyDescent="0.35">
      <c r="A228" s="1172"/>
      <c r="B228" s="1172"/>
      <c r="C228" s="1172" t="s">
        <v>1570</v>
      </c>
      <c r="D228" s="1172"/>
      <c r="E228" s="1172"/>
      <c r="F228" s="1172"/>
      <c r="G228" s="1172"/>
      <c r="H228" s="1172"/>
      <c r="I228" s="1173"/>
      <c r="J228" s="1172"/>
      <c r="K228" s="1172"/>
      <c r="L228" s="1172"/>
      <c r="M228" s="1177"/>
      <c r="N228" s="1172"/>
      <c r="O228" s="1172"/>
      <c r="P228" s="1172"/>
      <c r="Q228" s="1172"/>
      <c r="R228" s="1172"/>
      <c r="S228" s="1172"/>
      <c r="T228" s="1172"/>
      <c r="U228" s="1172"/>
      <c r="V228" s="1172"/>
      <c r="W228" s="1183">
        <f>ROUND(SUM(W226:W227),5)</f>
        <v>0</v>
      </c>
      <c r="X228" s="1172"/>
      <c r="Y228" s="1183">
        <f>ROUND(SUM(Y226:Y227),5)</f>
        <v>5000</v>
      </c>
      <c r="Z228" s="1172"/>
      <c r="AA228" s="1183">
        <f>AA227</f>
        <v>-5000</v>
      </c>
    </row>
    <row r="229" spans="1:27" x14ac:dyDescent="0.3">
      <c r="A229" s="1172"/>
      <c r="B229" s="1172" t="s">
        <v>1571</v>
      </c>
      <c r="C229" s="1172"/>
      <c r="D229" s="1172"/>
      <c r="E229" s="1172"/>
      <c r="F229" s="1172"/>
      <c r="G229" s="1172"/>
      <c r="H229" s="1172"/>
      <c r="I229" s="1173"/>
      <c r="J229" s="1172"/>
      <c r="K229" s="1172"/>
      <c r="L229" s="1172"/>
      <c r="M229" s="1177"/>
      <c r="N229" s="1172"/>
      <c r="O229" s="1172"/>
      <c r="P229" s="1172"/>
      <c r="Q229" s="1172"/>
      <c r="R229" s="1172"/>
      <c r="S229" s="1172"/>
      <c r="T229" s="1172"/>
      <c r="U229" s="1172"/>
      <c r="V229" s="1172"/>
      <c r="W229" s="1176">
        <f>W228</f>
        <v>0</v>
      </c>
      <c r="X229" s="1172"/>
      <c r="Y229" s="1176">
        <f>Y228</f>
        <v>5000</v>
      </c>
      <c r="Z229" s="1172"/>
      <c r="AA229" s="1176">
        <f>AA228</f>
        <v>-5000</v>
      </c>
    </row>
    <row r="230" spans="1:27" x14ac:dyDescent="0.3">
      <c r="A230" s="1168"/>
      <c r="B230" s="1168" t="s">
        <v>1572</v>
      </c>
      <c r="C230" s="1168"/>
      <c r="D230" s="1168"/>
      <c r="E230" s="1168"/>
      <c r="F230" s="1168"/>
      <c r="G230" s="1168"/>
      <c r="H230" s="1168"/>
      <c r="I230" s="1169"/>
      <c r="J230" s="1168"/>
      <c r="K230" s="1168"/>
      <c r="L230" s="1168"/>
      <c r="M230" s="1170"/>
      <c r="N230" s="1168"/>
      <c r="O230" s="1168"/>
      <c r="P230" s="1168"/>
      <c r="Q230" s="1168"/>
      <c r="R230" s="1168"/>
      <c r="S230" s="1168"/>
      <c r="T230" s="1168"/>
      <c r="U230" s="1168"/>
      <c r="V230" s="1168"/>
      <c r="W230" s="1171"/>
      <c r="X230" s="1168"/>
      <c r="Y230" s="1171"/>
      <c r="Z230" s="1168"/>
      <c r="AA230" s="1171"/>
    </row>
    <row r="231" spans="1:27" x14ac:dyDescent="0.3">
      <c r="A231" s="1168"/>
      <c r="B231" s="1168"/>
      <c r="C231" s="1168" t="s">
        <v>1489</v>
      </c>
      <c r="D231" s="1168"/>
      <c r="E231" s="1168"/>
      <c r="F231" s="1168"/>
      <c r="G231" s="1168"/>
      <c r="H231" s="1168"/>
      <c r="I231" s="1169"/>
      <c r="J231" s="1168"/>
      <c r="K231" s="1168"/>
      <c r="L231" s="1168"/>
      <c r="M231" s="1170"/>
      <c r="N231" s="1168"/>
      <c r="O231" s="1168"/>
      <c r="P231" s="1168"/>
      <c r="Q231" s="1168"/>
      <c r="R231" s="1168"/>
      <c r="S231" s="1168"/>
      <c r="T231" s="1168"/>
      <c r="U231" s="1168"/>
      <c r="V231" s="1168"/>
      <c r="W231" s="1171"/>
      <c r="X231" s="1168"/>
      <c r="Y231" s="1171"/>
      <c r="Z231" s="1168"/>
      <c r="AA231" s="1171"/>
    </row>
    <row r="232" spans="1:27" hidden="1" outlineLevel="1" x14ac:dyDescent="0.3">
      <c r="A232" s="1172"/>
      <c r="B232" s="1172"/>
      <c r="C232" s="1172"/>
      <c r="D232" s="1172"/>
      <c r="E232" s="1172"/>
      <c r="F232" s="1172"/>
      <c r="G232" s="1172" t="s">
        <v>871</v>
      </c>
      <c r="H232" s="1172"/>
      <c r="I232" s="1173">
        <v>44879</v>
      </c>
      <c r="J232" s="1172"/>
      <c r="K232" s="1172" t="s">
        <v>1551</v>
      </c>
      <c r="L232" s="1172"/>
      <c r="M232" s="1177"/>
      <c r="N232" s="1172"/>
      <c r="O232" s="1172" t="s">
        <v>1487</v>
      </c>
      <c r="P232" s="1172"/>
      <c r="Q232" s="1172" t="s">
        <v>1573</v>
      </c>
      <c r="R232" s="1172"/>
      <c r="S232" s="1175"/>
      <c r="T232" s="1172"/>
      <c r="U232" s="1172" t="s">
        <v>500</v>
      </c>
      <c r="V232" s="1172"/>
      <c r="W232" s="1176">
        <v>7220.08</v>
      </c>
      <c r="X232" s="1172"/>
      <c r="Y232" s="1176"/>
      <c r="Z232" s="1172"/>
      <c r="AA232" s="1176">
        <v>7220.08</v>
      </c>
    </row>
    <row r="233" spans="1:27" hidden="1" outlineLevel="1" x14ac:dyDescent="0.3">
      <c r="A233" s="1172"/>
      <c r="B233" s="1172"/>
      <c r="C233" s="1172"/>
      <c r="D233" s="1172"/>
      <c r="E233" s="1172"/>
      <c r="F233" s="1172"/>
      <c r="G233" s="1172" t="s">
        <v>871</v>
      </c>
      <c r="H233" s="1172"/>
      <c r="I233" s="1173">
        <v>44879</v>
      </c>
      <c r="J233" s="1172"/>
      <c r="K233" s="1172" t="s">
        <v>1552</v>
      </c>
      <c r="L233" s="1172"/>
      <c r="M233" s="1177"/>
      <c r="N233" s="1172"/>
      <c r="O233" s="1172" t="s">
        <v>1487</v>
      </c>
      <c r="P233" s="1172"/>
      <c r="Q233" s="1172" t="s">
        <v>1574</v>
      </c>
      <c r="R233" s="1172"/>
      <c r="S233" s="1175"/>
      <c r="T233" s="1172"/>
      <c r="U233" s="1172" t="s">
        <v>500</v>
      </c>
      <c r="V233" s="1172"/>
      <c r="W233" s="1176">
        <v>23296.37</v>
      </c>
      <c r="X233" s="1172"/>
      <c r="Y233" s="1176"/>
      <c r="Z233" s="1172"/>
      <c r="AA233" s="1176">
        <v>30516.45</v>
      </c>
    </row>
    <row r="234" spans="1:27" hidden="1" outlineLevel="1" x14ac:dyDescent="0.3">
      <c r="A234" s="1172"/>
      <c r="B234" s="1172"/>
      <c r="C234" s="1172"/>
      <c r="D234" s="1172"/>
      <c r="E234" s="1172"/>
      <c r="F234" s="1172"/>
      <c r="G234" s="1172" t="s">
        <v>871</v>
      </c>
      <c r="H234" s="1172"/>
      <c r="I234" s="1173">
        <v>44879</v>
      </c>
      <c r="J234" s="1172"/>
      <c r="K234" s="1172" t="s">
        <v>1553</v>
      </c>
      <c r="L234" s="1172"/>
      <c r="M234" s="1177"/>
      <c r="N234" s="1172"/>
      <c r="O234" s="1172" t="s">
        <v>1487</v>
      </c>
      <c r="P234" s="1172"/>
      <c r="Q234" s="1172" t="s">
        <v>1574</v>
      </c>
      <c r="R234" s="1172"/>
      <c r="S234" s="1175"/>
      <c r="T234" s="1172"/>
      <c r="U234" s="1172" t="s">
        <v>500</v>
      </c>
      <c r="V234" s="1172"/>
      <c r="W234" s="1176">
        <v>15000</v>
      </c>
      <c r="X234" s="1172"/>
      <c r="Y234" s="1176"/>
      <c r="Z234" s="1172"/>
      <c r="AA234" s="1176">
        <v>45516.45</v>
      </c>
    </row>
    <row r="235" spans="1:27" hidden="1" outlineLevel="1" x14ac:dyDescent="0.3">
      <c r="A235" s="1172"/>
      <c r="B235" s="1172"/>
      <c r="C235" s="1172"/>
      <c r="D235" s="1172"/>
      <c r="E235" s="1172"/>
      <c r="F235" s="1172"/>
      <c r="G235" s="1172" t="s">
        <v>871</v>
      </c>
      <c r="H235" s="1172"/>
      <c r="I235" s="1173">
        <v>44880</v>
      </c>
      <c r="J235" s="1172"/>
      <c r="K235" s="1172" t="s">
        <v>1554</v>
      </c>
      <c r="L235" s="1172"/>
      <c r="M235" s="1177"/>
      <c r="N235" s="1172"/>
      <c r="O235" s="1172" t="s">
        <v>1487</v>
      </c>
      <c r="P235" s="1172"/>
      <c r="Q235" s="1172" t="s">
        <v>1575</v>
      </c>
      <c r="R235" s="1172"/>
      <c r="S235" s="1175"/>
      <c r="T235" s="1172"/>
      <c r="U235" s="1172" t="s">
        <v>500</v>
      </c>
      <c r="V235" s="1172"/>
      <c r="W235" s="1176">
        <v>750</v>
      </c>
      <c r="X235" s="1172"/>
      <c r="Y235" s="1176"/>
      <c r="Z235" s="1172"/>
      <c r="AA235" s="1176">
        <v>46266.45</v>
      </c>
    </row>
    <row r="236" spans="1:27" hidden="1" outlineLevel="1" x14ac:dyDescent="0.3">
      <c r="A236" s="1172"/>
      <c r="B236" s="1172"/>
      <c r="C236" s="1172"/>
      <c r="D236" s="1172"/>
      <c r="E236" s="1172"/>
      <c r="F236" s="1172"/>
      <c r="G236" s="1172" t="s">
        <v>871</v>
      </c>
      <c r="H236" s="1172"/>
      <c r="I236" s="1173">
        <v>44880</v>
      </c>
      <c r="J236" s="1172"/>
      <c r="K236" s="1172" t="s">
        <v>1555</v>
      </c>
      <c r="L236" s="1172"/>
      <c r="M236" s="1177"/>
      <c r="N236" s="1172"/>
      <c r="O236" s="1172" t="s">
        <v>1487</v>
      </c>
      <c r="P236" s="1172"/>
      <c r="Q236" s="1172" t="s">
        <v>1576</v>
      </c>
      <c r="R236" s="1172"/>
      <c r="S236" s="1175"/>
      <c r="T236" s="1172"/>
      <c r="U236" s="1172" t="s">
        <v>500</v>
      </c>
      <c r="V236" s="1172"/>
      <c r="W236" s="1176">
        <v>2867.26</v>
      </c>
      <c r="X236" s="1172"/>
      <c r="Y236" s="1176"/>
      <c r="Z236" s="1172"/>
      <c r="AA236" s="1176">
        <v>49133.71</v>
      </c>
    </row>
    <row r="237" spans="1:27" hidden="1" outlineLevel="1" x14ac:dyDescent="0.3">
      <c r="A237" s="1172"/>
      <c r="B237" s="1172"/>
      <c r="C237" s="1172"/>
      <c r="D237" s="1172"/>
      <c r="E237" s="1172"/>
      <c r="F237" s="1172"/>
      <c r="G237" s="1172" t="s">
        <v>871</v>
      </c>
      <c r="H237" s="1172"/>
      <c r="I237" s="1173">
        <v>44880</v>
      </c>
      <c r="J237" s="1172"/>
      <c r="K237" s="1172" t="s">
        <v>1556</v>
      </c>
      <c r="L237" s="1172"/>
      <c r="M237" s="1177"/>
      <c r="N237" s="1172"/>
      <c r="O237" s="1172" t="s">
        <v>1487</v>
      </c>
      <c r="P237" s="1172"/>
      <c r="Q237" s="1172" t="s">
        <v>1577</v>
      </c>
      <c r="R237" s="1172"/>
      <c r="S237" s="1175"/>
      <c r="T237" s="1172"/>
      <c r="U237" s="1172" t="s">
        <v>500</v>
      </c>
      <c r="V237" s="1172"/>
      <c r="W237" s="1176">
        <v>7500</v>
      </c>
      <c r="X237" s="1172"/>
      <c r="Y237" s="1176"/>
      <c r="Z237" s="1172"/>
      <c r="AA237" s="1176">
        <v>56633.71</v>
      </c>
    </row>
    <row r="238" spans="1:27" hidden="1" outlineLevel="1" x14ac:dyDescent="0.3">
      <c r="A238" s="1172"/>
      <c r="B238" s="1172"/>
      <c r="C238" s="1172"/>
      <c r="D238" s="1172"/>
      <c r="E238" s="1172"/>
      <c r="F238" s="1172"/>
      <c r="G238" s="1172" t="s">
        <v>1395</v>
      </c>
      <c r="H238" s="1172"/>
      <c r="I238" s="1173">
        <v>44880</v>
      </c>
      <c r="J238" s="1172"/>
      <c r="K238" s="1172" t="s">
        <v>1488</v>
      </c>
      <c r="L238" s="1172"/>
      <c r="M238" s="1174" t="s">
        <v>1397</v>
      </c>
      <c r="N238" s="1172"/>
      <c r="O238" s="1172"/>
      <c r="P238" s="1172"/>
      <c r="Q238" s="1172"/>
      <c r="R238" s="1172"/>
      <c r="S238" s="1175"/>
      <c r="T238" s="1172"/>
      <c r="U238" s="1172" t="s">
        <v>1394</v>
      </c>
      <c r="V238" s="1172"/>
      <c r="W238" s="1176"/>
      <c r="X238" s="1172"/>
      <c r="Y238" s="1176">
        <v>248750</v>
      </c>
      <c r="Z238" s="1172"/>
      <c r="AA238" s="1176">
        <v>-192116.29</v>
      </c>
    </row>
    <row r="239" spans="1:27" hidden="1" outlineLevel="1" x14ac:dyDescent="0.3">
      <c r="A239" s="1172"/>
      <c r="B239" s="1172"/>
      <c r="C239" s="1172"/>
      <c r="D239" s="1172"/>
      <c r="E239" s="1172"/>
      <c r="F239" s="1172"/>
      <c r="G239" s="1172" t="s">
        <v>871</v>
      </c>
      <c r="H239" s="1172"/>
      <c r="I239" s="1173">
        <v>44881</v>
      </c>
      <c r="J239" s="1172"/>
      <c r="K239" s="1172" t="s">
        <v>1557</v>
      </c>
      <c r="L239" s="1172"/>
      <c r="M239" s="1177"/>
      <c r="N239" s="1172"/>
      <c r="O239" s="1172" t="s">
        <v>1487</v>
      </c>
      <c r="P239" s="1172"/>
      <c r="Q239" s="1172" t="s">
        <v>1578</v>
      </c>
      <c r="R239" s="1172"/>
      <c r="S239" s="1175"/>
      <c r="T239" s="1172"/>
      <c r="U239" s="1172" t="s">
        <v>500</v>
      </c>
      <c r="V239" s="1172"/>
      <c r="W239" s="1176">
        <v>183.09</v>
      </c>
      <c r="X239" s="1172"/>
      <c r="Y239" s="1176"/>
      <c r="Z239" s="1172"/>
      <c r="AA239" s="1176">
        <v>-191933.2</v>
      </c>
    </row>
    <row r="240" spans="1:27" hidden="1" outlineLevel="1" x14ac:dyDescent="0.3">
      <c r="A240" s="1172"/>
      <c r="B240" s="1172"/>
      <c r="C240" s="1172"/>
      <c r="D240" s="1172"/>
      <c r="E240" s="1172"/>
      <c r="F240" s="1172"/>
      <c r="G240" s="1172" t="s">
        <v>1395</v>
      </c>
      <c r="H240" s="1172"/>
      <c r="I240" s="1173">
        <v>44881</v>
      </c>
      <c r="J240" s="1172"/>
      <c r="K240" s="1172" t="s">
        <v>1490</v>
      </c>
      <c r="L240" s="1172"/>
      <c r="M240" s="1174" t="s">
        <v>1397</v>
      </c>
      <c r="N240" s="1172"/>
      <c r="O240" s="1172"/>
      <c r="P240" s="1172"/>
      <c r="Q240" s="1172" t="s">
        <v>1491</v>
      </c>
      <c r="R240" s="1172"/>
      <c r="S240" s="1175"/>
      <c r="T240" s="1172"/>
      <c r="U240" s="1172" t="s">
        <v>1394</v>
      </c>
      <c r="V240" s="1172"/>
      <c r="W240" s="1176"/>
      <c r="X240" s="1172"/>
      <c r="Y240" s="1176">
        <v>7600.18</v>
      </c>
      <c r="Z240" s="1172"/>
      <c r="AA240" s="1176">
        <v>-199533.38</v>
      </c>
    </row>
    <row r="241" spans="1:27" hidden="1" outlineLevel="1" x14ac:dyDescent="0.3">
      <c r="A241" s="1172"/>
      <c r="B241" s="1172"/>
      <c r="C241" s="1172"/>
      <c r="D241" s="1172"/>
      <c r="E241" s="1172"/>
      <c r="F241" s="1172"/>
      <c r="G241" s="1172" t="s">
        <v>1395</v>
      </c>
      <c r="H241" s="1172"/>
      <c r="I241" s="1173">
        <v>44881</v>
      </c>
      <c r="J241" s="1172"/>
      <c r="K241" s="1172" t="s">
        <v>1492</v>
      </c>
      <c r="L241" s="1172"/>
      <c r="M241" s="1174" t="s">
        <v>1397</v>
      </c>
      <c r="N241" s="1172"/>
      <c r="O241" s="1172"/>
      <c r="P241" s="1172"/>
      <c r="Q241" s="1172"/>
      <c r="R241" s="1172"/>
      <c r="S241" s="1175"/>
      <c r="T241" s="1172"/>
      <c r="U241" s="1172" t="s">
        <v>1394</v>
      </c>
      <c r="V241" s="1172"/>
      <c r="W241" s="1176"/>
      <c r="X241" s="1172"/>
      <c r="Y241" s="1176">
        <v>606.89</v>
      </c>
      <c r="Z241" s="1172"/>
      <c r="AA241" s="1176">
        <v>-200140.27</v>
      </c>
    </row>
    <row r="242" spans="1:27" ht="15" hidden="1" outlineLevel="1" thickBot="1" x14ac:dyDescent="0.35">
      <c r="A242" s="1172"/>
      <c r="B242" s="1172"/>
      <c r="C242" s="1172"/>
      <c r="D242" s="1172"/>
      <c r="E242" s="1172"/>
      <c r="F242" s="1172"/>
      <c r="G242" s="1172" t="s">
        <v>1395</v>
      </c>
      <c r="H242" s="1172"/>
      <c r="I242" s="1173">
        <v>44881</v>
      </c>
      <c r="J242" s="1172"/>
      <c r="K242" s="1172" t="s">
        <v>1493</v>
      </c>
      <c r="L242" s="1172"/>
      <c r="M242" s="1174" t="s">
        <v>1397</v>
      </c>
      <c r="N242" s="1172"/>
      <c r="O242" s="1172"/>
      <c r="P242" s="1172"/>
      <c r="Q242" s="1172"/>
      <c r="R242" s="1172"/>
      <c r="S242" s="1175"/>
      <c r="T242" s="1172"/>
      <c r="U242" s="1172" t="s">
        <v>1394</v>
      </c>
      <c r="V242" s="1172"/>
      <c r="W242" s="1182"/>
      <c r="X242" s="1172"/>
      <c r="Y242" s="1182">
        <v>10000</v>
      </c>
      <c r="Z242" s="1172"/>
      <c r="AA242" s="1182">
        <v>-210140.27</v>
      </c>
    </row>
    <row r="243" spans="1:27" collapsed="1" x14ac:dyDescent="0.3">
      <c r="A243" s="1172"/>
      <c r="B243" s="1172"/>
      <c r="C243" s="1172" t="s">
        <v>1579</v>
      </c>
      <c r="D243" s="1172"/>
      <c r="E243" s="1172"/>
      <c r="F243" s="1172"/>
      <c r="G243" s="1172"/>
      <c r="H243" s="1172"/>
      <c r="I243" s="1173"/>
      <c r="J243" s="1172"/>
      <c r="K243" s="1172"/>
      <c r="L243" s="1172"/>
      <c r="M243" s="1177"/>
      <c r="N243" s="1172"/>
      <c r="O243" s="1172"/>
      <c r="P243" s="1172"/>
      <c r="Q243" s="1172"/>
      <c r="R243" s="1172"/>
      <c r="S243" s="1172"/>
      <c r="T243" s="1172"/>
      <c r="U243" s="1172"/>
      <c r="V243" s="1172"/>
      <c r="W243" s="1176">
        <f>ROUND(SUM(W231:W242),5)</f>
        <v>56816.800000000003</v>
      </c>
      <c r="X243" s="1172"/>
      <c r="Y243" s="1176">
        <f>ROUND(SUM(Y231:Y242),5)</f>
        <v>266957.07</v>
      </c>
      <c r="Z243" s="1172"/>
      <c r="AA243" s="1176">
        <f>AA242</f>
        <v>-210140.27</v>
      </c>
    </row>
    <row r="244" spans="1:27" x14ac:dyDescent="0.3">
      <c r="A244" s="1168"/>
      <c r="B244" s="1168"/>
      <c r="C244" s="1168" t="s">
        <v>1456</v>
      </c>
      <c r="D244" s="1168"/>
      <c r="E244" s="1168"/>
      <c r="F244" s="1168"/>
      <c r="G244" s="1168"/>
      <c r="H244" s="1168"/>
      <c r="I244" s="1169"/>
      <c r="J244" s="1168"/>
      <c r="K244" s="1168"/>
      <c r="L244" s="1168"/>
      <c r="M244" s="1170"/>
      <c r="N244" s="1168"/>
      <c r="O244" s="1168"/>
      <c r="P244" s="1168"/>
      <c r="Q244" s="1168"/>
      <c r="R244" s="1168"/>
      <c r="S244" s="1168"/>
      <c r="T244" s="1168"/>
      <c r="U244" s="1168"/>
      <c r="V244" s="1168"/>
      <c r="W244" s="1171"/>
      <c r="X244" s="1168"/>
      <c r="Y244" s="1171"/>
      <c r="Z244" s="1168"/>
      <c r="AA244" s="1171"/>
    </row>
    <row r="245" spans="1:27" hidden="1" outlineLevel="1" x14ac:dyDescent="0.3">
      <c r="A245" s="1172"/>
      <c r="B245" s="1172"/>
      <c r="C245" s="1172"/>
      <c r="D245" s="1172"/>
      <c r="E245" s="1172"/>
      <c r="F245" s="1172"/>
      <c r="G245" s="1172" t="s">
        <v>1395</v>
      </c>
      <c r="H245" s="1172"/>
      <c r="I245" s="1173">
        <v>44505</v>
      </c>
      <c r="J245" s="1172"/>
      <c r="K245" s="1172" t="s">
        <v>1454</v>
      </c>
      <c r="L245" s="1172"/>
      <c r="M245" s="1174" t="s">
        <v>1397</v>
      </c>
      <c r="N245" s="1172"/>
      <c r="O245" s="1172"/>
      <c r="P245" s="1172"/>
      <c r="Q245" s="1172" t="s">
        <v>1455</v>
      </c>
      <c r="R245" s="1172"/>
      <c r="S245" s="1175"/>
      <c r="T245" s="1172"/>
      <c r="U245" s="1172" t="s">
        <v>1394</v>
      </c>
      <c r="V245" s="1172"/>
      <c r="W245" s="1176">
        <v>1000</v>
      </c>
      <c r="X245" s="1172"/>
      <c r="Y245" s="1176"/>
      <c r="Z245" s="1172"/>
      <c r="AA245" s="1176">
        <v>1000</v>
      </c>
    </row>
    <row r="246" spans="1:27" hidden="1" outlineLevel="1" x14ac:dyDescent="0.3">
      <c r="A246" s="1172"/>
      <c r="B246" s="1172"/>
      <c r="C246" s="1172"/>
      <c r="D246" s="1172"/>
      <c r="E246" s="1172"/>
      <c r="F246" s="1172"/>
      <c r="G246" s="1172" t="s">
        <v>1395</v>
      </c>
      <c r="H246" s="1172"/>
      <c r="I246" s="1173">
        <v>44519</v>
      </c>
      <c r="J246" s="1172"/>
      <c r="K246" s="1172" t="s">
        <v>1470</v>
      </c>
      <c r="L246" s="1172"/>
      <c r="M246" s="1174" t="s">
        <v>1397</v>
      </c>
      <c r="N246" s="1172"/>
      <c r="O246" s="1172"/>
      <c r="P246" s="1172"/>
      <c r="Q246" s="1172" t="s">
        <v>1455</v>
      </c>
      <c r="R246" s="1172"/>
      <c r="S246" s="1175"/>
      <c r="T246" s="1172"/>
      <c r="U246" s="1172" t="s">
        <v>1394</v>
      </c>
      <c r="V246" s="1172"/>
      <c r="W246" s="1176">
        <v>1000</v>
      </c>
      <c r="X246" s="1172"/>
      <c r="Y246" s="1176"/>
      <c r="Z246" s="1172"/>
      <c r="AA246" s="1176">
        <v>2000</v>
      </c>
    </row>
    <row r="247" spans="1:27" hidden="1" outlineLevel="1" x14ac:dyDescent="0.3">
      <c r="A247" s="1172"/>
      <c r="B247" s="1172"/>
      <c r="C247" s="1172"/>
      <c r="D247" s="1172"/>
      <c r="E247" s="1172"/>
      <c r="F247" s="1172"/>
      <c r="G247" s="1172" t="s">
        <v>1395</v>
      </c>
      <c r="H247" s="1172"/>
      <c r="I247" s="1173">
        <v>44530</v>
      </c>
      <c r="J247" s="1172"/>
      <c r="K247" s="1172" t="s">
        <v>1472</v>
      </c>
      <c r="L247" s="1172"/>
      <c r="M247" s="1174" t="s">
        <v>1397</v>
      </c>
      <c r="N247" s="1172"/>
      <c r="O247" s="1172"/>
      <c r="P247" s="1172"/>
      <c r="Q247" s="1172" t="s">
        <v>1473</v>
      </c>
      <c r="R247" s="1172"/>
      <c r="S247" s="1175"/>
      <c r="T247" s="1172"/>
      <c r="U247" s="1172" t="s">
        <v>1394</v>
      </c>
      <c r="V247" s="1172"/>
      <c r="W247" s="1176"/>
      <c r="X247" s="1172"/>
      <c r="Y247" s="1176">
        <v>2500</v>
      </c>
      <c r="Z247" s="1172"/>
      <c r="AA247" s="1176">
        <v>-500</v>
      </c>
    </row>
    <row r="248" spans="1:27" ht="15" hidden="1" outlineLevel="1" thickBot="1" x14ac:dyDescent="0.35">
      <c r="A248" s="1172"/>
      <c r="B248" s="1172"/>
      <c r="C248" s="1172"/>
      <c r="D248" s="1172"/>
      <c r="E248" s="1172"/>
      <c r="F248" s="1172"/>
      <c r="G248" s="1172" t="s">
        <v>1395</v>
      </c>
      <c r="H248" s="1172"/>
      <c r="I248" s="1173">
        <v>44538</v>
      </c>
      <c r="J248" s="1172"/>
      <c r="K248" s="1172" t="s">
        <v>1477</v>
      </c>
      <c r="L248" s="1172"/>
      <c r="M248" s="1174" t="s">
        <v>1397</v>
      </c>
      <c r="N248" s="1172"/>
      <c r="O248" s="1172"/>
      <c r="P248" s="1172"/>
      <c r="Q248" s="1172" t="s">
        <v>1455</v>
      </c>
      <c r="R248" s="1172"/>
      <c r="S248" s="1175"/>
      <c r="T248" s="1172"/>
      <c r="U248" s="1172" t="s">
        <v>1394</v>
      </c>
      <c r="V248" s="1172"/>
      <c r="W248" s="1182">
        <v>5000</v>
      </c>
      <c r="X248" s="1172"/>
      <c r="Y248" s="1182"/>
      <c r="Z248" s="1172"/>
      <c r="AA248" s="1182">
        <v>4500</v>
      </c>
    </row>
    <row r="249" spans="1:27" collapsed="1" x14ac:dyDescent="0.3">
      <c r="A249" s="1172"/>
      <c r="B249" s="1172"/>
      <c r="C249" s="1172" t="s">
        <v>1580</v>
      </c>
      <c r="D249" s="1172"/>
      <c r="E249" s="1172"/>
      <c r="F249" s="1172"/>
      <c r="G249" s="1172"/>
      <c r="H249" s="1172"/>
      <c r="I249" s="1173"/>
      <c r="J249" s="1172"/>
      <c r="K249" s="1172"/>
      <c r="L249" s="1172"/>
      <c r="M249" s="1177"/>
      <c r="N249" s="1172"/>
      <c r="O249" s="1172"/>
      <c r="P249" s="1172"/>
      <c r="Q249" s="1172"/>
      <c r="R249" s="1172"/>
      <c r="S249" s="1172"/>
      <c r="T249" s="1172"/>
      <c r="U249" s="1172"/>
      <c r="V249" s="1172"/>
      <c r="W249" s="1176">
        <f>ROUND(SUM(W244:W248),5)</f>
        <v>7000</v>
      </c>
      <c r="X249" s="1172"/>
      <c r="Y249" s="1176">
        <f>ROUND(SUM(Y244:Y248),5)</f>
        <v>2500</v>
      </c>
      <c r="Z249" s="1172"/>
      <c r="AA249" s="1176">
        <f>AA248</f>
        <v>4500</v>
      </c>
    </row>
    <row r="250" spans="1:27" ht="15" thickBot="1" x14ac:dyDescent="0.35">
      <c r="A250" s="1168"/>
      <c r="B250" s="1168"/>
      <c r="C250" s="1168" t="s">
        <v>1419</v>
      </c>
      <c r="D250" s="1168"/>
      <c r="E250" s="1168"/>
      <c r="F250" s="1168"/>
      <c r="G250" s="1168"/>
      <c r="H250" s="1168"/>
      <c r="I250" s="1169"/>
      <c r="J250" s="1168"/>
      <c r="K250" s="1168"/>
      <c r="L250" s="1168"/>
      <c r="M250" s="1170"/>
      <c r="N250" s="1168"/>
      <c r="O250" s="1168"/>
      <c r="P250" s="1168"/>
      <c r="Q250" s="1168"/>
      <c r="R250" s="1168"/>
      <c r="S250" s="1168"/>
      <c r="T250" s="1168"/>
      <c r="U250" s="1168"/>
      <c r="V250" s="1168"/>
      <c r="W250" s="1171"/>
      <c r="X250" s="1168"/>
      <c r="Y250" s="1171"/>
      <c r="Z250" s="1168"/>
      <c r="AA250" s="1171"/>
    </row>
    <row r="251" spans="1:27" ht="15" hidden="1" outlineLevel="1" thickBot="1" x14ac:dyDescent="0.35">
      <c r="A251" s="1172"/>
      <c r="B251" s="1172"/>
      <c r="C251" s="1172"/>
      <c r="D251" s="1172"/>
      <c r="E251" s="1172"/>
      <c r="F251" s="1172"/>
      <c r="G251" s="1172" t="s">
        <v>871</v>
      </c>
      <c r="H251" s="1172"/>
      <c r="I251" s="1173">
        <v>44334</v>
      </c>
      <c r="J251" s="1172"/>
      <c r="K251" s="1172"/>
      <c r="L251" s="1172"/>
      <c r="M251" s="1177"/>
      <c r="N251" s="1172"/>
      <c r="O251" s="1172" t="s">
        <v>1505</v>
      </c>
      <c r="P251" s="1172"/>
      <c r="Q251" s="1172"/>
      <c r="R251" s="1172"/>
      <c r="S251" s="1175"/>
      <c r="T251" s="1172"/>
      <c r="U251" s="1172" t="s">
        <v>500</v>
      </c>
      <c r="V251" s="1172"/>
      <c r="W251" s="1176"/>
      <c r="X251" s="1172"/>
      <c r="Y251" s="1176">
        <v>20.86</v>
      </c>
      <c r="Z251" s="1172"/>
      <c r="AA251" s="1176">
        <v>-20.86</v>
      </c>
    </row>
    <row r="252" spans="1:27" ht="15" hidden="1" outlineLevel="1" thickBot="1" x14ac:dyDescent="0.35">
      <c r="A252" s="1172"/>
      <c r="B252" s="1172"/>
      <c r="C252" s="1172"/>
      <c r="D252" s="1172"/>
      <c r="E252" s="1172"/>
      <c r="F252" s="1172"/>
      <c r="G252" s="1172" t="s">
        <v>871</v>
      </c>
      <c r="H252" s="1172"/>
      <c r="I252" s="1173">
        <v>44414</v>
      </c>
      <c r="J252" s="1172"/>
      <c r="K252" s="1172" t="s">
        <v>1513</v>
      </c>
      <c r="L252" s="1172"/>
      <c r="M252" s="1177"/>
      <c r="N252" s="1172"/>
      <c r="O252" s="1172" t="s">
        <v>1416</v>
      </c>
      <c r="P252" s="1172"/>
      <c r="Q252" s="1172" t="s">
        <v>1581</v>
      </c>
      <c r="R252" s="1172"/>
      <c r="S252" s="1175"/>
      <c r="T252" s="1172"/>
      <c r="U252" s="1172" t="s">
        <v>500</v>
      </c>
      <c r="V252" s="1172"/>
      <c r="W252" s="1176"/>
      <c r="X252" s="1172"/>
      <c r="Y252" s="1176">
        <v>1368.02</v>
      </c>
      <c r="Z252" s="1172"/>
      <c r="AA252" s="1176">
        <v>-1388.88</v>
      </c>
    </row>
    <row r="253" spans="1:27" ht="15" hidden="1" outlineLevel="1" thickBot="1" x14ac:dyDescent="0.35">
      <c r="A253" s="1172"/>
      <c r="B253" s="1172"/>
      <c r="C253" s="1172"/>
      <c r="D253" s="1172"/>
      <c r="E253" s="1172"/>
      <c r="F253" s="1172"/>
      <c r="G253" s="1172" t="s">
        <v>871</v>
      </c>
      <c r="H253" s="1172"/>
      <c r="I253" s="1173">
        <v>44415</v>
      </c>
      <c r="J253" s="1172"/>
      <c r="K253" s="1172" t="s">
        <v>1515</v>
      </c>
      <c r="L253" s="1172"/>
      <c r="M253" s="1177"/>
      <c r="N253" s="1172"/>
      <c r="O253" s="1172" t="s">
        <v>1416</v>
      </c>
      <c r="P253" s="1172"/>
      <c r="Q253" s="1172" t="s">
        <v>1516</v>
      </c>
      <c r="R253" s="1172"/>
      <c r="S253" s="1175"/>
      <c r="T253" s="1172"/>
      <c r="U253" s="1172" t="s">
        <v>500</v>
      </c>
      <c r="V253" s="1172"/>
      <c r="W253" s="1176"/>
      <c r="X253" s="1172"/>
      <c r="Y253" s="1176">
        <v>786.62</v>
      </c>
      <c r="Z253" s="1172"/>
      <c r="AA253" s="1176">
        <v>-2175.5</v>
      </c>
    </row>
    <row r="254" spans="1:27" ht="15" hidden="1" outlineLevel="1" thickBot="1" x14ac:dyDescent="0.35">
      <c r="A254" s="1172"/>
      <c r="B254" s="1172"/>
      <c r="C254" s="1172"/>
      <c r="D254" s="1172"/>
      <c r="E254" s="1172"/>
      <c r="F254" s="1172"/>
      <c r="G254" s="1172" t="s">
        <v>1395</v>
      </c>
      <c r="H254" s="1172"/>
      <c r="I254" s="1173">
        <v>44434</v>
      </c>
      <c r="J254" s="1172"/>
      <c r="K254" s="1172" t="s">
        <v>1417</v>
      </c>
      <c r="L254" s="1172"/>
      <c r="M254" s="1174" t="s">
        <v>1397</v>
      </c>
      <c r="N254" s="1172"/>
      <c r="O254" s="1172"/>
      <c r="P254" s="1172"/>
      <c r="Q254" s="1172" t="s">
        <v>1418</v>
      </c>
      <c r="R254" s="1172"/>
      <c r="S254" s="1175"/>
      <c r="T254" s="1172"/>
      <c r="U254" s="1172" t="s">
        <v>1394</v>
      </c>
      <c r="V254" s="1172"/>
      <c r="W254" s="1176">
        <v>100</v>
      </c>
      <c r="X254" s="1172"/>
      <c r="Y254" s="1176"/>
      <c r="Z254" s="1172"/>
      <c r="AA254" s="1176">
        <v>-2075.5</v>
      </c>
    </row>
    <row r="255" spans="1:27" ht="15" hidden="1" outlineLevel="1" thickBot="1" x14ac:dyDescent="0.35">
      <c r="A255" s="1172"/>
      <c r="B255" s="1172"/>
      <c r="C255" s="1172"/>
      <c r="D255" s="1172"/>
      <c r="E255" s="1172"/>
      <c r="F255" s="1172"/>
      <c r="G255" s="1172" t="s">
        <v>871</v>
      </c>
      <c r="H255" s="1172"/>
      <c r="I255" s="1173">
        <v>44446</v>
      </c>
      <c r="J255" s="1172"/>
      <c r="K255" s="1172" t="s">
        <v>1518</v>
      </c>
      <c r="L255" s="1172"/>
      <c r="M255" s="1177"/>
      <c r="N255" s="1172"/>
      <c r="O255" s="1172" t="s">
        <v>1416</v>
      </c>
      <c r="P255" s="1172"/>
      <c r="Q255" s="1172"/>
      <c r="R255" s="1172"/>
      <c r="S255" s="1175"/>
      <c r="T255" s="1172"/>
      <c r="U255" s="1172" t="s">
        <v>500</v>
      </c>
      <c r="V255" s="1172"/>
      <c r="W255" s="1176"/>
      <c r="X255" s="1172"/>
      <c r="Y255" s="1176">
        <v>749.39</v>
      </c>
      <c r="Z255" s="1172"/>
      <c r="AA255" s="1176">
        <v>-2824.89</v>
      </c>
    </row>
    <row r="256" spans="1:27" ht="15" hidden="1" outlineLevel="1" thickBot="1" x14ac:dyDescent="0.35">
      <c r="A256" s="1172"/>
      <c r="B256" s="1172"/>
      <c r="C256" s="1172"/>
      <c r="D256" s="1172"/>
      <c r="E256" s="1172"/>
      <c r="F256" s="1172"/>
      <c r="G256" s="1172" t="s">
        <v>871</v>
      </c>
      <c r="H256" s="1172"/>
      <c r="I256" s="1173">
        <v>44476</v>
      </c>
      <c r="J256" s="1172"/>
      <c r="K256" s="1172" t="s">
        <v>1519</v>
      </c>
      <c r="L256" s="1172"/>
      <c r="M256" s="1177"/>
      <c r="N256" s="1172"/>
      <c r="O256" s="1172" t="s">
        <v>1416</v>
      </c>
      <c r="P256" s="1172"/>
      <c r="Q256" s="1172"/>
      <c r="R256" s="1172"/>
      <c r="S256" s="1175"/>
      <c r="T256" s="1172"/>
      <c r="U256" s="1172" t="s">
        <v>500</v>
      </c>
      <c r="V256" s="1172"/>
      <c r="W256" s="1176"/>
      <c r="X256" s="1172"/>
      <c r="Y256" s="1176">
        <v>1126.97</v>
      </c>
      <c r="Z256" s="1172"/>
      <c r="AA256" s="1176">
        <v>-3951.86</v>
      </c>
    </row>
    <row r="257" spans="1:27" ht="15" hidden="1" outlineLevel="1" thickBot="1" x14ac:dyDescent="0.35">
      <c r="A257" s="1172"/>
      <c r="B257" s="1172"/>
      <c r="C257" s="1172"/>
      <c r="D257" s="1172"/>
      <c r="E257" s="1172"/>
      <c r="F257" s="1172"/>
      <c r="G257" s="1172" t="s">
        <v>871</v>
      </c>
      <c r="H257" s="1172"/>
      <c r="I257" s="1173">
        <v>44507</v>
      </c>
      <c r="J257" s="1172"/>
      <c r="K257" s="1172" t="s">
        <v>1522</v>
      </c>
      <c r="L257" s="1172"/>
      <c r="M257" s="1177"/>
      <c r="N257" s="1172"/>
      <c r="O257" s="1172" t="s">
        <v>1416</v>
      </c>
      <c r="P257" s="1172"/>
      <c r="Q257" s="1172"/>
      <c r="R257" s="1172"/>
      <c r="S257" s="1175"/>
      <c r="T257" s="1172"/>
      <c r="U257" s="1172" t="s">
        <v>500</v>
      </c>
      <c r="V257" s="1172"/>
      <c r="W257" s="1176"/>
      <c r="X257" s="1172"/>
      <c r="Y257" s="1176">
        <v>1596.95</v>
      </c>
      <c r="Z257" s="1172"/>
      <c r="AA257" s="1176">
        <v>-5548.81</v>
      </c>
    </row>
    <row r="258" spans="1:27" ht="15" hidden="1" outlineLevel="1" thickBot="1" x14ac:dyDescent="0.35">
      <c r="A258" s="1172"/>
      <c r="B258" s="1172"/>
      <c r="C258" s="1172"/>
      <c r="D258" s="1172"/>
      <c r="E258" s="1172"/>
      <c r="F258" s="1172"/>
      <c r="G258" s="1172" t="s">
        <v>1395</v>
      </c>
      <c r="H258" s="1172"/>
      <c r="I258" s="1173">
        <v>44508</v>
      </c>
      <c r="J258" s="1172"/>
      <c r="K258" s="1172" t="s">
        <v>1458</v>
      </c>
      <c r="L258" s="1172"/>
      <c r="M258" s="1174" t="s">
        <v>1397</v>
      </c>
      <c r="N258" s="1172"/>
      <c r="O258" s="1172"/>
      <c r="P258" s="1172"/>
      <c r="Q258" s="1172" t="s">
        <v>1459</v>
      </c>
      <c r="R258" s="1172"/>
      <c r="S258" s="1175"/>
      <c r="T258" s="1172"/>
      <c r="U258" s="1172" t="s">
        <v>1394</v>
      </c>
      <c r="V258" s="1172"/>
      <c r="W258" s="1176">
        <v>10500</v>
      </c>
      <c r="X258" s="1172"/>
      <c r="Y258" s="1176"/>
      <c r="Z258" s="1172"/>
      <c r="AA258" s="1176">
        <v>4951.1899999999996</v>
      </c>
    </row>
    <row r="259" spans="1:27" ht="15" hidden="1" outlineLevel="1" thickBot="1" x14ac:dyDescent="0.35">
      <c r="A259" s="1172"/>
      <c r="B259" s="1172"/>
      <c r="C259" s="1172"/>
      <c r="D259" s="1172"/>
      <c r="E259" s="1172"/>
      <c r="F259" s="1172"/>
      <c r="G259" s="1172" t="s">
        <v>871</v>
      </c>
      <c r="H259" s="1172"/>
      <c r="I259" s="1173">
        <v>44534</v>
      </c>
      <c r="J259" s="1172"/>
      <c r="K259" s="1172" t="s">
        <v>1526</v>
      </c>
      <c r="L259" s="1172"/>
      <c r="M259" s="1177"/>
      <c r="N259" s="1172"/>
      <c r="O259" s="1172" t="s">
        <v>1416</v>
      </c>
      <c r="P259" s="1172"/>
      <c r="Q259" s="1172"/>
      <c r="R259" s="1172"/>
      <c r="S259" s="1175"/>
      <c r="T259" s="1172"/>
      <c r="U259" s="1172" t="s">
        <v>500</v>
      </c>
      <c r="V259" s="1172"/>
      <c r="W259" s="1176"/>
      <c r="X259" s="1172"/>
      <c r="Y259" s="1176">
        <v>1359.75</v>
      </c>
      <c r="Z259" s="1172"/>
      <c r="AA259" s="1176">
        <v>3591.44</v>
      </c>
    </row>
    <row r="260" spans="1:27" ht="15" hidden="1" outlineLevel="1" thickBot="1" x14ac:dyDescent="0.35">
      <c r="A260" s="1172"/>
      <c r="B260" s="1172"/>
      <c r="C260" s="1172"/>
      <c r="D260" s="1172"/>
      <c r="E260" s="1172"/>
      <c r="F260" s="1172"/>
      <c r="G260" s="1172" t="s">
        <v>871</v>
      </c>
      <c r="H260" s="1172"/>
      <c r="I260" s="1173">
        <v>44568</v>
      </c>
      <c r="J260" s="1172"/>
      <c r="K260" s="1172" t="s">
        <v>1529</v>
      </c>
      <c r="L260" s="1172"/>
      <c r="M260" s="1177"/>
      <c r="N260" s="1172"/>
      <c r="O260" s="1172" t="s">
        <v>1416</v>
      </c>
      <c r="P260" s="1172"/>
      <c r="Q260" s="1172"/>
      <c r="R260" s="1172"/>
      <c r="S260" s="1175"/>
      <c r="T260" s="1172"/>
      <c r="U260" s="1172" t="s">
        <v>500</v>
      </c>
      <c r="V260" s="1172"/>
      <c r="W260" s="1176"/>
      <c r="X260" s="1172"/>
      <c r="Y260" s="1176">
        <v>682.94</v>
      </c>
      <c r="Z260" s="1172"/>
      <c r="AA260" s="1176">
        <v>2908.5</v>
      </c>
    </row>
    <row r="261" spans="1:27" ht="15" hidden="1" outlineLevel="1" thickBot="1" x14ac:dyDescent="0.35">
      <c r="A261" s="1172"/>
      <c r="B261" s="1172"/>
      <c r="C261" s="1172"/>
      <c r="D261" s="1172"/>
      <c r="E261" s="1172"/>
      <c r="F261" s="1172"/>
      <c r="G261" s="1172" t="s">
        <v>871</v>
      </c>
      <c r="H261" s="1172"/>
      <c r="I261" s="1173">
        <v>44599</v>
      </c>
      <c r="J261" s="1172"/>
      <c r="K261" s="1172" t="s">
        <v>1531</v>
      </c>
      <c r="L261" s="1172"/>
      <c r="M261" s="1177"/>
      <c r="N261" s="1172"/>
      <c r="O261" s="1172" t="s">
        <v>1416</v>
      </c>
      <c r="P261" s="1172"/>
      <c r="Q261" s="1172"/>
      <c r="R261" s="1172"/>
      <c r="S261" s="1175"/>
      <c r="T261" s="1172"/>
      <c r="U261" s="1172" t="s">
        <v>500</v>
      </c>
      <c r="V261" s="1172"/>
      <c r="W261" s="1176"/>
      <c r="X261" s="1172"/>
      <c r="Y261" s="1176">
        <v>688.1</v>
      </c>
      <c r="Z261" s="1172"/>
      <c r="AA261" s="1176">
        <v>2220.4</v>
      </c>
    </row>
    <row r="262" spans="1:27" ht="15" hidden="1" outlineLevel="1" thickBot="1" x14ac:dyDescent="0.35">
      <c r="A262" s="1172"/>
      <c r="B262" s="1172"/>
      <c r="C262" s="1172"/>
      <c r="D262" s="1172"/>
      <c r="E262" s="1172"/>
      <c r="F262" s="1172"/>
      <c r="G262" s="1172" t="s">
        <v>871</v>
      </c>
      <c r="H262" s="1172"/>
      <c r="I262" s="1173">
        <v>44627</v>
      </c>
      <c r="J262" s="1172"/>
      <c r="K262" s="1172" t="s">
        <v>1533</v>
      </c>
      <c r="L262" s="1172"/>
      <c r="M262" s="1177"/>
      <c r="N262" s="1172"/>
      <c r="O262" s="1172" t="s">
        <v>1416</v>
      </c>
      <c r="P262" s="1172"/>
      <c r="Q262" s="1172"/>
      <c r="R262" s="1172"/>
      <c r="S262" s="1175"/>
      <c r="T262" s="1172"/>
      <c r="U262" s="1172" t="s">
        <v>500</v>
      </c>
      <c r="V262" s="1172"/>
      <c r="W262" s="1176"/>
      <c r="X262" s="1172"/>
      <c r="Y262" s="1176">
        <v>690.09</v>
      </c>
      <c r="Z262" s="1172"/>
      <c r="AA262" s="1176">
        <v>1530.31</v>
      </c>
    </row>
    <row r="263" spans="1:27" ht="15" hidden="1" outlineLevel="1" thickBot="1" x14ac:dyDescent="0.35">
      <c r="A263" s="1172"/>
      <c r="B263" s="1172"/>
      <c r="C263" s="1172"/>
      <c r="D263" s="1172"/>
      <c r="E263" s="1172"/>
      <c r="F263" s="1172"/>
      <c r="G263" s="1172" t="s">
        <v>871</v>
      </c>
      <c r="H263" s="1172"/>
      <c r="I263" s="1173">
        <v>44658</v>
      </c>
      <c r="J263" s="1172"/>
      <c r="K263" s="1172" t="s">
        <v>1535</v>
      </c>
      <c r="L263" s="1172"/>
      <c r="M263" s="1177"/>
      <c r="N263" s="1172"/>
      <c r="O263" s="1172" t="s">
        <v>1416</v>
      </c>
      <c r="P263" s="1172"/>
      <c r="Q263" s="1172"/>
      <c r="R263" s="1172"/>
      <c r="S263" s="1175"/>
      <c r="T263" s="1172"/>
      <c r="U263" s="1172" t="s">
        <v>500</v>
      </c>
      <c r="V263" s="1172"/>
      <c r="W263" s="1176"/>
      <c r="X263" s="1172"/>
      <c r="Y263" s="1176">
        <v>760.3</v>
      </c>
      <c r="Z263" s="1172"/>
      <c r="AA263" s="1176">
        <v>770.01</v>
      </c>
    </row>
    <row r="264" spans="1:27" ht="15" hidden="1" outlineLevel="1" thickBot="1" x14ac:dyDescent="0.35">
      <c r="A264" s="1172"/>
      <c r="B264" s="1172"/>
      <c r="C264" s="1172"/>
      <c r="D264" s="1172"/>
      <c r="E264" s="1172"/>
      <c r="F264" s="1172"/>
      <c r="G264" s="1172" t="s">
        <v>871</v>
      </c>
      <c r="H264" s="1172"/>
      <c r="I264" s="1173">
        <v>44688</v>
      </c>
      <c r="J264" s="1172"/>
      <c r="K264" s="1172" t="s">
        <v>1537</v>
      </c>
      <c r="L264" s="1172"/>
      <c r="M264" s="1177"/>
      <c r="N264" s="1172"/>
      <c r="O264" s="1172" t="s">
        <v>1416</v>
      </c>
      <c r="P264" s="1172"/>
      <c r="Q264" s="1172"/>
      <c r="R264" s="1172"/>
      <c r="S264" s="1175"/>
      <c r="T264" s="1172"/>
      <c r="U264" s="1172" t="s">
        <v>500</v>
      </c>
      <c r="V264" s="1172"/>
      <c r="W264" s="1176"/>
      <c r="X264" s="1172"/>
      <c r="Y264" s="1176">
        <v>695.26</v>
      </c>
      <c r="Z264" s="1172"/>
      <c r="AA264" s="1176">
        <v>74.75</v>
      </c>
    </row>
    <row r="265" spans="1:27" ht="15" hidden="1" outlineLevel="1" thickBot="1" x14ac:dyDescent="0.35">
      <c r="A265" s="1172"/>
      <c r="B265" s="1172"/>
      <c r="C265" s="1172"/>
      <c r="D265" s="1172"/>
      <c r="E265" s="1172"/>
      <c r="F265" s="1172"/>
      <c r="G265" s="1172" t="s">
        <v>871</v>
      </c>
      <c r="H265" s="1172"/>
      <c r="I265" s="1173">
        <v>44719</v>
      </c>
      <c r="J265" s="1172"/>
      <c r="K265" s="1172" t="s">
        <v>1538</v>
      </c>
      <c r="L265" s="1172"/>
      <c r="M265" s="1177"/>
      <c r="N265" s="1172"/>
      <c r="O265" s="1172" t="s">
        <v>1416</v>
      </c>
      <c r="P265" s="1172"/>
      <c r="Q265" s="1172"/>
      <c r="R265" s="1172"/>
      <c r="S265" s="1175"/>
      <c r="T265" s="1172"/>
      <c r="U265" s="1172" t="s">
        <v>500</v>
      </c>
      <c r="V265" s="1172"/>
      <c r="W265" s="1176"/>
      <c r="X265" s="1172"/>
      <c r="Y265" s="1176">
        <v>679.22</v>
      </c>
      <c r="Z265" s="1172"/>
      <c r="AA265" s="1176">
        <v>-604.47</v>
      </c>
    </row>
    <row r="266" spans="1:27" ht="15" hidden="1" outlineLevel="1" thickBot="1" x14ac:dyDescent="0.35">
      <c r="A266" s="1172"/>
      <c r="B266" s="1172"/>
      <c r="C266" s="1172"/>
      <c r="D266" s="1172"/>
      <c r="E266" s="1172"/>
      <c r="F266" s="1172"/>
      <c r="G266" s="1172" t="s">
        <v>871</v>
      </c>
      <c r="H266" s="1172"/>
      <c r="I266" s="1173">
        <v>44749</v>
      </c>
      <c r="J266" s="1172"/>
      <c r="K266" s="1172" t="s">
        <v>1540</v>
      </c>
      <c r="L266" s="1172"/>
      <c r="M266" s="1177"/>
      <c r="N266" s="1172"/>
      <c r="O266" s="1172" t="s">
        <v>1416</v>
      </c>
      <c r="P266" s="1172"/>
      <c r="Q266" s="1172"/>
      <c r="R266" s="1172"/>
      <c r="S266" s="1175"/>
      <c r="T266" s="1172"/>
      <c r="U266" s="1172" t="s">
        <v>500</v>
      </c>
      <c r="V266" s="1172"/>
      <c r="W266" s="1176"/>
      <c r="X266" s="1172"/>
      <c r="Y266" s="1176">
        <v>745.7</v>
      </c>
      <c r="Z266" s="1172"/>
      <c r="AA266" s="1176">
        <v>-1350.17</v>
      </c>
    </row>
    <row r="267" spans="1:27" ht="15" collapsed="1" thickBot="1" x14ac:dyDescent="0.35">
      <c r="A267" s="1172"/>
      <c r="B267" s="1172"/>
      <c r="C267" s="1172" t="s">
        <v>1582</v>
      </c>
      <c r="D267" s="1172"/>
      <c r="E267" s="1172"/>
      <c r="F267" s="1172"/>
      <c r="G267" s="1172"/>
      <c r="H267" s="1172"/>
      <c r="I267" s="1173"/>
      <c r="J267" s="1172"/>
      <c r="K267" s="1172"/>
      <c r="L267" s="1172"/>
      <c r="M267" s="1177"/>
      <c r="N267" s="1172"/>
      <c r="O267" s="1172"/>
      <c r="P267" s="1172"/>
      <c r="Q267" s="1172"/>
      <c r="R267" s="1172"/>
      <c r="S267" s="1172"/>
      <c r="T267" s="1172"/>
      <c r="U267" s="1172"/>
      <c r="V267" s="1172"/>
      <c r="W267" s="1183">
        <f>ROUND(SUM(W250:W266),5)</f>
        <v>10600</v>
      </c>
      <c r="X267" s="1172"/>
      <c r="Y267" s="1183">
        <f>ROUND(SUM(Y250:Y266),5)</f>
        <v>11950.17</v>
      </c>
      <c r="Z267" s="1172"/>
      <c r="AA267" s="1183">
        <f>AA266</f>
        <v>-1350.17</v>
      </c>
    </row>
    <row r="268" spans="1:27" x14ac:dyDescent="0.3">
      <c r="A268" s="1172"/>
      <c r="B268" s="1172" t="s">
        <v>1583</v>
      </c>
      <c r="C268" s="1172"/>
      <c r="D268" s="1172"/>
      <c r="E268" s="1172"/>
      <c r="F268" s="1172"/>
      <c r="G268" s="1172"/>
      <c r="H268" s="1172"/>
      <c r="I268" s="1173"/>
      <c r="J268" s="1172"/>
      <c r="K268" s="1172"/>
      <c r="L268" s="1172"/>
      <c r="M268" s="1177"/>
      <c r="N268" s="1172"/>
      <c r="O268" s="1172"/>
      <c r="P268" s="1172"/>
      <c r="Q268" s="1172"/>
      <c r="R268" s="1172"/>
      <c r="S268" s="1172"/>
      <c r="T268" s="1172"/>
      <c r="U268" s="1172"/>
      <c r="V268" s="1172"/>
      <c r="W268" s="1176">
        <f>ROUND(W243+W249+W267,5)</f>
        <v>74416.800000000003</v>
      </c>
      <c r="X268" s="1172"/>
      <c r="Y268" s="1176">
        <f>ROUND(Y243+Y249+Y267,5)</f>
        <v>281407.24</v>
      </c>
      <c r="Z268" s="1172"/>
      <c r="AA268" s="1176">
        <f>ROUND(AA243+AA249+AA267,5)</f>
        <v>-206990.44</v>
      </c>
    </row>
    <row r="269" spans="1:27" x14ac:dyDescent="0.3">
      <c r="A269" s="1168"/>
      <c r="B269" s="1168" t="s">
        <v>1584</v>
      </c>
      <c r="C269" s="1168"/>
      <c r="D269" s="1168"/>
      <c r="E269" s="1168"/>
      <c r="F269" s="1168"/>
      <c r="G269" s="1168"/>
      <c r="H269" s="1168"/>
      <c r="I269" s="1169"/>
      <c r="J269" s="1168"/>
      <c r="K269" s="1168"/>
      <c r="L269" s="1168"/>
      <c r="M269" s="1170"/>
      <c r="N269" s="1168"/>
      <c r="O269" s="1168"/>
      <c r="P269" s="1168"/>
      <c r="Q269" s="1168"/>
      <c r="R269" s="1168"/>
      <c r="S269" s="1168"/>
      <c r="T269" s="1168"/>
      <c r="U269" s="1168"/>
      <c r="V269" s="1168"/>
      <c r="W269" s="1171"/>
      <c r="X269" s="1168"/>
      <c r="Y269" s="1171"/>
      <c r="Z269" s="1168"/>
      <c r="AA269" s="1171"/>
    </row>
    <row r="270" spans="1:27" ht="15" thickBot="1" x14ac:dyDescent="0.35">
      <c r="A270" s="1168"/>
      <c r="B270" s="1168"/>
      <c r="C270" s="1168" t="s">
        <v>1585</v>
      </c>
      <c r="D270" s="1168"/>
      <c r="E270" s="1168"/>
      <c r="F270" s="1168"/>
      <c r="G270" s="1168"/>
      <c r="H270" s="1168"/>
      <c r="I270" s="1169"/>
      <c r="J270" s="1168"/>
      <c r="K270" s="1168"/>
      <c r="L270" s="1168"/>
      <c r="M270" s="1170"/>
      <c r="N270" s="1168"/>
      <c r="O270" s="1168"/>
      <c r="P270" s="1168"/>
      <c r="Q270" s="1168"/>
      <c r="R270" s="1168"/>
      <c r="S270" s="1168"/>
      <c r="T270" s="1168"/>
      <c r="U270" s="1168"/>
      <c r="V270" s="1168"/>
      <c r="W270" s="1171"/>
      <c r="X270" s="1168"/>
      <c r="Y270" s="1171"/>
      <c r="Z270" s="1168"/>
      <c r="AA270" s="1171"/>
    </row>
    <row r="271" spans="1:27" ht="15" hidden="1" outlineLevel="1" thickBot="1" x14ac:dyDescent="0.35">
      <c r="A271" s="1172"/>
      <c r="B271" s="1172"/>
      <c r="C271" s="1172"/>
      <c r="D271" s="1172"/>
      <c r="E271" s="1172"/>
      <c r="F271" s="1172"/>
      <c r="G271" s="1172" t="s">
        <v>871</v>
      </c>
      <c r="H271" s="1172"/>
      <c r="I271" s="1173">
        <v>44286</v>
      </c>
      <c r="J271" s="1172"/>
      <c r="K271" s="1172" t="s">
        <v>1503</v>
      </c>
      <c r="L271" s="1172"/>
      <c r="M271" s="1177"/>
      <c r="N271" s="1172"/>
      <c r="O271" s="1172" t="s">
        <v>1411</v>
      </c>
      <c r="P271" s="1172"/>
      <c r="Q271" s="1172"/>
      <c r="R271" s="1172"/>
      <c r="S271" s="1175"/>
      <c r="T271" s="1172"/>
      <c r="U271" s="1172" t="s">
        <v>500</v>
      </c>
      <c r="V271" s="1172"/>
      <c r="W271" s="1176">
        <v>6.25</v>
      </c>
      <c r="X271" s="1172"/>
      <c r="Y271" s="1176"/>
      <c r="Z271" s="1172"/>
      <c r="AA271" s="1176">
        <v>6.25</v>
      </c>
    </row>
    <row r="272" spans="1:27" ht="15" hidden="1" outlineLevel="1" thickBot="1" x14ac:dyDescent="0.35">
      <c r="A272" s="1172"/>
      <c r="B272" s="1172"/>
      <c r="C272" s="1172"/>
      <c r="D272" s="1172"/>
      <c r="E272" s="1172"/>
      <c r="F272" s="1172"/>
      <c r="G272" s="1172" t="s">
        <v>871</v>
      </c>
      <c r="H272" s="1172"/>
      <c r="I272" s="1173">
        <v>44317</v>
      </c>
      <c r="J272" s="1172"/>
      <c r="K272" s="1172" t="s">
        <v>1504</v>
      </c>
      <c r="L272" s="1172"/>
      <c r="M272" s="1177"/>
      <c r="N272" s="1172"/>
      <c r="O272" s="1172" t="s">
        <v>1411</v>
      </c>
      <c r="P272" s="1172"/>
      <c r="Q272" s="1172"/>
      <c r="R272" s="1172"/>
      <c r="S272" s="1175"/>
      <c r="T272" s="1172"/>
      <c r="U272" s="1172" t="s">
        <v>500</v>
      </c>
      <c r="V272" s="1172"/>
      <c r="W272" s="1176">
        <v>5</v>
      </c>
      <c r="X272" s="1172"/>
      <c r="Y272" s="1176"/>
      <c r="Z272" s="1172"/>
      <c r="AA272" s="1176">
        <v>11.25</v>
      </c>
    </row>
    <row r="273" spans="1:27" ht="15" hidden="1" outlineLevel="1" thickBot="1" x14ac:dyDescent="0.35">
      <c r="A273" s="1172"/>
      <c r="B273" s="1172"/>
      <c r="C273" s="1172"/>
      <c r="D273" s="1172"/>
      <c r="E273" s="1172"/>
      <c r="F273" s="1172"/>
      <c r="G273" s="1172" t="s">
        <v>871</v>
      </c>
      <c r="H273" s="1172"/>
      <c r="I273" s="1173">
        <v>44317</v>
      </c>
      <c r="J273" s="1172"/>
      <c r="K273" s="1172" t="s">
        <v>1440</v>
      </c>
      <c r="L273" s="1172"/>
      <c r="M273" s="1177"/>
      <c r="N273" s="1172"/>
      <c r="O273" s="1172" t="s">
        <v>1413</v>
      </c>
      <c r="P273" s="1172"/>
      <c r="Q273" s="1172"/>
      <c r="R273" s="1172"/>
      <c r="S273" s="1175"/>
      <c r="T273" s="1172"/>
      <c r="U273" s="1172" t="s">
        <v>500</v>
      </c>
      <c r="V273" s="1172"/>
      <c r="W273" s="1176">
        <v>250</v>
      </c>
      <c r="X273" s="1172"/>
      <c r="Y273" s="1176"/>
      <c r="Z273" s="1172"/>
      <c r="AA273" s="1176">
        <v>261.25</v>
      </c>
    </row>
    <row r="274" spans="1:27" ht="15" hidden="1" outlineLevel="1" thickBot="1" x14ac:dyDescent="0.35">
      <c r="A274" s="1172"/>
      <c r="B274" s="1172"/>
      <c r="C274" s="1172"/>
      <c r="D274" s="1172"/>
      <c r="E274" s="1172"/>
      <c r="F274" s="1172"/>
      <c r="G274" s="1172" t="s">
        <v>871</v>
      </c>
      <c r="H274" s="1172"/>
      <c r="I274" s="1173">
        <v>44331</v>
      </c>
      <c r="J274" s="1172"/>
      <c r="K274" s="1172"/>
      <c r="L274" s="1172"/>
      <c r="M274" s="1177"/>
      <c r="N274" s="1172"/>
      <c r="O274" s="1172" t="s">
        <v>1410</v>
      </c>
      <c r="P274" s="1172"/>
      <c r="Q274" s="1172"/>
      <c r="R274" s="1172"/>
      <c r="S274" s="1175"/>
      <c r="T274" s="1172"/>
      <c r="U274" s="1172" t="s">
        <v>500</v>
      </c>
      <c r="V274" s="1172"/>
      <c r="W274" s="1176">
        <v>148.1</v>
      </c>
      <c r="X274" s="1172"/>
      <c r="Y274" s="1176"/>
      <c r="Z274" s="1172"/>
      <c r="AA274" s="1176">
        <v>409.35</v>
      </c>
    </row>
    <row r="275" spans="1:27" ht="15" hidden="1" outlineLevel="1" thickBot="1" x14ac:dyDescent="0.35">
      <c r="A275" s="1172"/>
      <c r="B275" s="1172"/>
      <c r="C275" s="1172"/>
      <c r="D275" s="1172"/>
      <c r="E275" s="1172"/>
      <c r="F275" s="1172"/>
      <c r="G275" s="1172" t="s">
        <v>871</v>
      </c>
      <c r="H275" s="1172"/>
      <c r="I275" s="1173">
        <v>44348</v>
      </c>
      <c r="J275" s="1172"/>
      <c r="K275" s="1172" t="s">
        <v>1506</v>
      </c>
      <c r="L275" s="1172"/>
      <c r="M275" s="1177"/>
      <c r="N275" s="1172"/>
      <c r="O275" s="1172" t="s">
        <v>1411</v>
      </c>
      <c r="P275" s="1172"/>
      <c r="Q275" s="1172"/>
      <c r="R275" s="1172"/>
      <c r="S275" s="1175"/>
      <c r="T275" s="1172"/>
      <c r="U275" s="1172" t="s">
        <v>500</v>
      </c>
      <c r="V275" s="1172"/>
      <c r="W275" s="1176">
        <v>5</v>
      </c>
      <c r="X275" s="1172"/>
      <c r="Y275" s="1176"/>
      <c r="Z275" s="1172"/>
      <c r="AA275" s="1176">
        <v>414.35</v>
      </c>
    </row>
    <row r="276" spans="1:27" ht="15" hidden="1" outlineLevel="1" thickBot="1" x14ac:dyDescent="0.35">
      <c r="A276" s="1172"/>
      <c r="B276" s="1172"/>
      <c r="C276" s="1172"/>
      <c r="D276" s="1172"/>
      <c r="E276" s="1172"/>
      <c r="F276" s="1172"/>
      <c r="G276" s="1172" t="s">
        <v>871</v>
      </c>
      <c r="H276" s="1172"/>
      <c r="I276" s="1173">
        <v>44348</v>
      </c>
      <c r="J276" s="1172"/>
      <c r="K276" s="1172" t="s">
        <v>1507</v>
      </c>
      <c r="L276" s="1172"/>
      <c r="M276" s="1177"/>
      <c r="N276" s="1172"/>
      <c r="O276" s="1172" t="s">
        <v>1411</v>
      </c>
      <c r="P276" s="1172"/>
      <c r="Q276" s="1172"/>
      <c r="R276" s="1172"/>
      <c r="S276" s="1175"/>
      <c r="T276" s="1172"/>
      <c r="U276" s="1172" t="s">
        <v>500</v>
      </c>
      <c r="V276" s="1172"/>
      <c r="W276" s="1176">
        <v>5</v>
      </c>
      <c r="X276" s="1172"/>
      <c r="Y276" s="1176"/>
      <c r="Z276" s="1172"/>
      <c r="AA276" s="1176">
        <v>419.35</v>
      </c>
    </row>
    <row r="277" spans="1:27" ht="15" hidden="1" outlineLevel="1" thickBot="1" x14ac:dyDescent="0.35">
      <c r="A277" s="1172"/>
      <c r="B277" s="1172"/>
      <c r="C277" s="1172"/>
      <c r="D277" s="1172"/>
      <c r="E277" s="1172"/>
      <c r="F277" s="1172"/>
      <c r="G277" s="1172" t="s">
        <v>871</v>
      </c>
      <c r="H277" s="1172"/>
      <c r="I277" s="1173">
        <v>44348</v>
      </c>
      <c r="J277" s="1172"/>
      <c r="K277" s="1172" t="s">
        <v>1441</v>
      </c>
      <c r="L277" s="1172"/>
      <c r="M277" s="1177"/>
      <c r="N277" s="1172"/>
      <c r="O277" s="1172" t="s">
        <v>1413</v>
      </c>
      <c r="P277" s="1172"/>
      <c r="Q277" s="1172"/>
      <c r="R277" s="1172"/>
      <c r="S277" s="1175"/>
      <c r="T277" s="1172"/>
      <c r="U277" s="1172" t="s">
        <v>500</v>
      </c>
      <c r="V277" s="1172"/>
      <c r="W277" s="1176">
        <v>250</v>
      </c>
      <c r="X277" s="1172"/>
      <c r="Y277" s="1176"/>
      <c r="Z277" s="1172"/>
      <c r="AA277" s="1176">
        <v>669.35</v>
      </c>
    </row>
    <row r="278" spans="1:27" ht="15" hidden="1" outlineLevel="1" thickBot="1" x14ac:dyDescent="0.35">
      <c r="A278" s="1172"/>
      <c r="B278" s="1172"/>
      <c r="C278" s="1172"/>
      <c r="D278" s="1172"/>
      <c r="E278" s="1172"/>
      <c r="F278" s="1172"/>
      <c r="G278" s="1172" t="s">
        <v>871</v>
      </c>
      <c r="H278" s="1172"/>
      <c r="I278" s="1173">
        <v>44348</v>
      </c>
      <c r="J278" s="1172"/>
      <c r="K278" s="1172"/>
      <c r="L278" s="1172"/>
      <c r="M278" s="1177"/>
      <c r="N278" s="1172"/>
      <c r="O278" s="1172" t="s">
        <v>1411</v>
      </c>
      <c r="P278" s="1172"/>
      <c r="Q278" s="1172"/>
      <c r="R278" s="1172"/>
      <c r="S278" s="1175"/>
      <c r="T278" s="1172"/>
      <c r="U278" s="1172" t="s">
        <v>500</v>
      </c>
      <c r="V278" s="1172"/>
      <c r="W278" s="1176">
        <v>6.25</v>
      </c>
      <c r="X278" s="1172"/>
      <c r="Y278" s="1176"/>
      <c r="Z278" s="1172"/>
      <c r="AA278" s="1176">
        <v>675.6</v>
      </c>
    </row>
    <row r="279" spans="1:27" ht="15" hidden="1" outlineLevel="1" thickBot="1" x14ac:dyDescent="0.35">
      <c r="A279" s="1172"/>
      <c r="B279" s="1172"/>
      <c r="C279" s="1172"/>
      <c r="D279" s="1172"/>
      <c r="E279" s="1172"/>
      <c r="F279" s="1172"/>
      <c r="G279" s="1172" t="s">
        <v>871</v>
      </c>
      <c r="H279" s="1172"/>
      <c r="I279" s="1173">
        <v>44357</v>
      </c>
      <c r="J279" s="1172"/>
      <c r="K279" s="1172" t="s">
        <v>1508</v>
      </c>
      <c r="L279" s="1172"/>
      <c r="M279" s="1177"/>
      <c r="N279" s="1172"/>
      <c r="O279" s="1172" t="s">
        <v>1412</v>
      </c>
      <c r="P279" s="1172"/>
      <c r="Q279" s="1172"/>
      <c r="R279" s="1172"/>
      <c r="S279" s="1175"/>
      <c r="T279" s="1172"/>
      <c r="U279" s="1172" t="s">
        <v>500</v>
      </c>
      <c r="V279" s="1172"/>
      <c r="W279" s="1176">
        <v>1000</v>
      </c>
      <c r="X279" s="1172"/>
      <c r="Y279" s="1176"/>
      <c r="Z279" s="1172"/>
      <c r="AA279" s="1176">
        <v>1675.6</v>
      </c>
    </row>
    <row r="280" spans="1:27" ht="15" hidden="1" outlineLevel="1" thickBot="1" x14ac:dyDescent="0.35">
      <c r="A280" s="1172"/>
      <c r="B280" s="1172"/>
      <c r="C280" s="1172"/>
      <c r="D280" s="1172"/>
      <c r="E280" s="1172"/>
      <c r="F280" s="1172"/>
      <c r="G280" s="1172" t="s">
        <v>871</v>
      </c>
      <c r="H280" s="1172"/>
      <c r="I280" s="1173">
        <v>44377</v>
      </c>
      <c r="J280" s="1172"/>
      <c r="K280" s="1172" t="s">
        <v>1509</v>
      </c>
      <c r="L280" s="1172"/>
      <c r="M280" s="1177"/>
      <c r="N280" s="1172"/>
      <c r="O280" s="1172" t="s">
        <v>1412</v>
      </c>
      <c r="P280" s="1172"/>
      <c r="Q280" s="1172"/>
      <c r="R280" s="1172"/>
      <c r="S280" s="1175"/>
      <c r="T280" s="1172"/>
      <c r="U280" s="1172" t="s">
        <v>500</v>
      </c>
      <c r="V280" s="1172"/>
      <c r="W280" s="1176">
        <v>0.97</v>
      </c>
      <c r="X280" s="1172"/>
      <c r="Y280" s="1176"/>
      <c r="Z280" s="1172"/>
      <c r="AA280" s="1176">
        <v>1676.57</v>
      </c>
    </row>
    <row r="281" spans="1:27" ht="15" hidden="1" outlineLevel="1" thickBot="1" x14ac:dyDescent="0.35">
      <c r="A281" s="1172"/>
      <c r="B281" s="1172"/>
      <c r="C281" s="1172"/>
      <c r="D281" s="1172"/>
      <c r="E281" s="1172"/>
      <c r="F281" s="1172"/>
      <c r="G281" s="1172" t="s">
        <v>871</v>
      </c>
      <c r="H281" s="1172"/>
      <c r="I281" s="1173">
        <v>44378</v>
      </c>
      <c r="J281" s="1172"/>
      <c r="K281" s="1172" t="s">
        <v>1510</v>
      </c>
      <c r="L281" s="1172"/>
      <c r="M281" s="1177"/>
      <c r="N281" s="1172"/>
      <c r="O281" s="1172" t="s">
        <v>1411</v>
      </c>
      <c r="P281" s="1172"/>
      <c r="Q281" s="1172"/>
      <c r="R281" s="1172"/>
      <c r="S281" s="1175"/>
      <c r="T281" s="1172"/>
      <c r="U281" s="1172" t="s">
        <v>500</v>
      </c>
      <c r="V281" s="1172"/>
      <c r="W281" s="1176">
        <v>5</v>
      </c>
      <c r="X281" s="1172"/>
      <c r="Y281" s="1176"/>
      <c r="Z281" s="1172"/>
      <c r="AA281" s="1176">
        <v>1681.57</v>
      </c>
    </row>
    <row r="282" spans="1:27" ht="15" hidden="1" outlineLevel="1" thickBot="1" x14ac:dyDescent="0.35">
      <c r="A282" s="1172"/>
      <c r="B282" s="1172"/>
      <c r="C282" s="1172"/>
      <c r="D282" s="1172"/>
      <c r="E282" s="1172"/>
      <c r="F282" s="1172"/>
      <c r="G282" s="1172" t="s">
        <v>871</v>
      </c>
      <c r="H282" s="1172"/>
      <c r="I282" s="1173">
        <v>44378</v>
      </c>
      <c r="J282" s="1172"/>
      <c r="K282" s="1172" t="s">
        <v>1442</v>
      </c>
      <c r="L282" s="1172"/>
      <c r="M282" s="1177"/>
      <c r="N282" s="1172"/>
      <c r="O282" s="1172" t="s">
        <v>1413</v>
      </c>
      <c r="P282" s="1172"/>
      <c r="Q282" s="1172"/>
      <c r="R282" s="1172"/>
      <c r="S282" s="1175"/>
      <c r="T282" s="1172"/>
      <c r="U282" s="1172" t="s">
        <v>500</v>
      </c>
      <c r="V282" s="1172"/>
      <c r="W282" s="1176">
        <v>250</v>
      </c>
      <c r="X282" s="1172"/>
      <c r="Y282" s="1176"/>
      <c r="Z282" s="1172"/>
      <c r="AA282" s="1176">
        <v>1931.57</v>
      </c>
    </row>
    <row r="283" spans="1:27" ht="15" hidden="1" outlineLevel="1" thickBot="1" x14ac:dyDescent="0.35">
      <c r="A283" s="1172"/>
      <c r="B283" s="1172"/>
      <c r="C283" s="1172"/>
      <c r="D283" s="1172"/>
      <c r="E283" s="1172"/>
      <c r="F283" s="1172"/>
      <c r="G283" s="1172" t="s">
        <v>871</v>
      </c>
      <c r="H283" s="1172"/>
      <c r="I283" s="1173">
        <v>44384</v>
      </c>
      <c r="J283" s="1172"/>
      <c r="K283" s="1172" t="s">
        <v>1511</v>
      </c>
      <c r="L283" s="1172"/>
      <c r="M283" s="1177"/>
      <c r="N283" s="1172"/>
      <c r="O283" s="1172" t="s">
        <v>1416</v>
      </c>
      <c r="P283" s="1172"/>
      <c r="Q283" s="1172"/>
      <c r="R283" s="1172"/>
      <c r="S283" s="1175"/>
      <c r="T283" s="1172"/>
      <c r="U283" s="1172" t="s">
        <v>500</v>
      </c>
      <c r="V283" s="1172"/>
      <c r="W283" s="1176">
        <v>61.5</v>
      </c>
      <c r="X283" s="1172"/>
      <c r="Y283" s="1176"/>
      <c r="Z283" s="1172"/>
      <c r="AA283" s="1176">
        <v>1993.07</v>
      </c>
    </row>
    <row r="284" spans="1:27" ht="15" hidden="1" outlineLevel="1" thickBot="1" x14ac:dyDescent="0.35">
      <c r="A284" s="1172"/>
      <c r="B284" s="1172"/>
      <c r="C284" s="1172"/>
      <c r="D284" s="1172"/>
      <c r="E284" s="1172"/>
      <c r="F284" s="1172"/>
      <c r="G284" s="1172" t="s">
        <v>871</v>
      </c>
      <c r="H284" s="1172"/>
      <c r="I284" s="1173">
        <v>44409</v>
      </c>
      <c r="J284" s="1172"/>
      <c r="K284" s="1172" t="s">
        <v>1512</v>
      </c>
      <c r="L284" s="1172"/>
      <c r="M284" s="1177"/>
      <c r="N284" s="1172"/>
      <c r="O284" s="1172" t="s">
        <v>1411</v>
      </c>
      <c r="P284" s="1172"/>
      <c r="Q284" s="1172"/>
      <c r="R284" s="1172"/>
      <c r="S284" s="1175"/>
      <c r="T284" s="1172"/>
      <c r="U284" s="1172" t="s">
        <v>500</v>
      </c>
      <c r="V284" s="1172"/>
      <c r="W284" s="1176">
        <v>5</v>
      </c>
      <c r="X284" s="1172"/>
      <c r="Y284" s="1176"/>
      <c r="Z284" s="1172"/>
      <c r="AA284" s="1176">
        <v>1998.07</v>
      </c>
    </row>
    <row r="285" spans="1:27" ht="15" hidden="1" outlineLevel="1" thickBot="1" x14ac:dyDescent="0.35">
      <c r="A285" s="1172"/>
      <c r="B285" s="1172"/>
      <c r="C285" s="1172"/>
      <c r="D285" s="1172"/>
      <c r="E285" s="1172"/>
      <c r="F285" s="1172"/>
      <c r="G285" s="1172" t="s">
        <v>871</v>
      </c>
      <c r="H285" s="1172"/>
      <c r="I285" s="1173">
        <v>44414</v>
      </c>
      <c r="J285" s="1172"/>
      <c r="K285" s="1172" t="s">
        <v>1513</v>
      </c>
      <c r="L285" s="1172"/>
      <c r="M285" s="1177"/>
      <c r="N285" s="1172"/>
      <c r="O285" s="1172" t="s">
        <v>1416</v>
      </c>
      <c r="P285" s="1172"/>
      <c r="Q285" s="1172" t="s">
        <v>1514</v>
      </c>
      <c r="R285" s="1172"/>
      <c r="S285" s="1175"/>
      <c r="T285" s="1172"/>
      <c r="U285" s="1172" t="s">
        <v>500</v>
      </c>
      <c r="V285" s="1172"/>
      <c r="W285" s="1176">
        <v>65.150000000000006</v>
      </c>
      <c r="X285" s="1172"/>
      <c r="Y285" s="1176"/>
      <c r="Z285" s="1172"/>
      <c r="AA285" s="1176">
        <v>2063.2199999999998</v>
      </c>
    </row>
    <row r="286" spans="1:27" ht="15" hidden="1" outlineLevel="1" thickBot="1" x14ac:dyDescent="0.35">
      <c r="A286" s="1172"/>
      <c r="B286" s="1172"/>
      <c r="C286" s="1172"/>
      <c r="D286" s="1172"/>
      <c r="E286" s="1172"/>
      <c r="F286" s="1172"/>
      <c r="G286" s="1172" t="s">
        <v>871</v>
      </c>
      <c r="H286" s="1172"/>
      <c r="I286" s="1173">
        <v>44415</v>
      </c>
      <c r="J286" s="1172"/>
      <c r="K286" s="1172" t="s">
        <v>1515</v>
      </c>
      <c r="L286" s="1172"/>
      <c r="M286" s="1177"/>
      <c r="N286" s="1172"/>
      <c r="O286" s="1172" t="s">
        <v>1416</v>
      </c>
      <c r="P286" s="1172"/>
      <c r="Q286" s="1172" t="s">
        <v>1516</v>
      </c>
      <c r="R286" s="1172"/>
      <c r="S286" s="1175"/>
      <c r="T286" s="1172"/>
      <c r="U286" s="1172" t="s">
        <v>500</v>
      </c>
      <c r="V286" s="1172"/>
      <c r="W286" s="1176">
        <v>37.46</v>
      </c>
      <c r="X286" s="1172"/>
      <c r="Y286" s="1176"/>
      <c r="Z286" s="1172"/>
      <c r="AA286" s="1176">
        <v>2100.6799999999998</v>
      </c>
    </row>
    <row r="287" spans="1:27" ht="15" hidden="1" outlineLevel="1" thickBot="1" x14ac:dyDescent="0.35">
      <c r="A287" s="1172"/>
      <c r="B287" s="1172"/>
      <c r="C287" s="1172"/>
      <c r="D287" s="1172"/>
      <c r="E287" s="1172"/>
      <c r="F287" s="1172"/>
      <c r="G287" s="1172" t="s">
        <v>871</v>
      </c>
      <c r="H287" s="1172"/>
      <c r="I287" s="1173">
        <v>44440</v>
      </c>
      <c r="J287" s="1172"/>
      <c r="K287" s="1172" t="s">
        <v>1517</v>
      </c>
      <c r="L287" s="1172"/>
      <c r="M287" s="1177"/>
      <c r="N287" s="1172"/>
      <c r="O287" s="1172" t="s">
        <v>1411</v>
      </c>
      <c r="P287" s="1172"/>
      <c r="Q287" s="1172"/>
      <c r="R287" s="1172"/>
      <c r="S287" s="1175"/>
      <c r="T287" s="1172"/>
      <c r="U287" s="1172" t="s">
        <v>500</v>
      </c>
      <c r="V287" s="1172"/>
      <c r="W287" s="1176">
        <v>5</v>
      </c>
      <c r="X287" s="1172"/>
      <c r="Y287" s="1176"/>
      <c r="Z287" s="1172"/>
      <c r="AA287" s="1176">
        <v>2105.6799999999998</v>
      </c>
    </row>
    <row r="288" spans="1:27" ht="15" hidden="1" outlineLevel="1" thickBot="1" x14ac:dyDescent="0.35">
      <c r="A288" s="1172"/>
      <c r="B288" s="1172"/>
      <c r="C288" s="1172"/>
      <c r="D288" s="1172"/>
      <c r="E288" s="1172"/>
      <c r="F288" s="1172"/>
      <c r="G288" s="1172" t="s">
        <v>871</v>
      </c>
      <c r="H288" s="1172"/>
      <c r="I288" s="1173">
        <v>44446</v>
      </c>
      <c r="J288" s="1172"/>
      <c r="K288" s="1172" t="s">
        <v>1518</v>
      </c>
      <c r="L288" s="1172"/>
      <c r="M288" s="1177"/>
      <c r="N288" s="1172"/>
      <c r="O288" s="1172" t="s">
        <v>1416</v>
      </c>
      <c r="P288" s="1172"/>
      <c r="Q288" s="1172"/>
      <c r="R288" s="1172"/>
      <c r="S288" s="1175"/>
      <c r="T288" s="1172"/>
      <c r="U288" s="1172" t="s">
        <v>500</v>
      </c>
      <c r="V288" s="1172"/>
      <c r="W288" s="1176">
        <v>35.69</v>
      </c>
      <c r="X288" s="1172"/>
      <c r="Y288" s="1176"/>
      <c r="Z288" s="1172"/>
      <c r="AA288" s="1176">
        <v>2141.37</v>
      </c>
    </row>
    <row r="289" spans="1:27" ht="15" hidden="1" outlineLevel="1" thickBot="1" x14ac:dyDescent="0.35">
      <c r="A289" s="1172"/>
      <c r="B289" s="1172"/>
      <c r="C289" s="1172"/>
      <c r="D289" s="1172"/>
      <c r="E289" s="1172"/>
      <c r="F289" s="1172"/>
      <c r="G289" s="1172" t="s">
        <v>871</v>
      </c>
      <c r="H289" s="1172"/>
      <c r="I289" s="1173">
        <v>44470</v>
      </c>
      <c r="J289" s="1172"/>
      <c r="K289" s="1172"/>
      <c r="L289" s="1172"/>
      <c r="M289" s="1177"/>
      <c r="N289" s="1172"/>
      <c r="O289" s="1172" t="s">
        <v>1437</v>
      </c>
      <c r="P289" s="1172"/>
      <c r="Q289" s="1172"/>
      <c r="R289" s="1172"/>
      <c r="S289" s="1175"/>
      <c r="T289" s="1172"/>
      <c r="U289" s="1172" t="s">
        <v>500</v>
      </c>
      <c r="V289" s="1172"/>
      <c r="W289" s="1176">
        <v>75</v>
      </c>
      <c r="X289" s="1172"/>
      <c r="Y289" s="1176"/>
      <c r="Z289" s="1172"/>
      <c r="AA289" s="1176">
        <v>2216.37</v>
      </c>
    </row>
    <row r="290" spans="1:27" ht="15" hidden="1" outlineLevel="1" thickBot="1" x14ac:dyDescent="0.35">
      <c r="A290" s="1172"/>
      <c r="B290" s="1172"/>
      <c r="C290" s="1172"/>
      <c r="D290" s="1172"/>
      <c r="E290" s="1172"/>
      <c r="F290" s="1172"/>
      <c r="G290" s="1172" t="s">
        <v>871</v>
      </c>
      <c r="H290" s="1172"/>
      <c r="I290" s="1173">
        <v>44476</v>
      </c>
      <c r="J290" s="1172"/>
      <c r="K290" s="1172" t="s">
        <v>1519</v>
      </c>
      <c r="L290" s="1172"/>
      <c r="M290" s="1177"/>
      <c r="N290" s="1172"/>
      <c r="O290" s="1172" t="s">
        <v>1416</v>
      </c>
      <c r="P290" s="1172"/>
      <c r="Q290" s="1172"/>
      <c r="R290" s="1172"/>
      <c r="S290" s="1175"/>
      <c r="T290" s="1172"/>
      <c r="U290" s="1172" t="s">
        <v>500</v>
      </c>
      <c r="V290" s="1172"/>
      <c r="W290" s="1176">
        <v>53.66</v>
      </c>
      <c r="X290" s="1172"/>
      <c r="Y290" s="1176"/>
      <c r="Z290" s="1172"/>
      <c r="AA290" s="1176">
        <v>2270.0300000000002</v>
      </c>
    </row>
    <row r="291" spans="1:27" ht="15" hidden="1" outlineLevel="1" thickBot="1" x14ac:dyDescent="0.35">
      <c r="A291" s="1172"/>
      <c r="B291" s="1172"/>
      <c r="C291" s="1172"/>
      <c r="D291" s="1172"/>
      <c r="E291" s="1172"/>
      <c r="F291" s="1172"/>
      <c r="G291" s="1172" t="s">
        <v>871</v>
      </c>
      <c r="H291" s="1172"/>
      <c r="I291" s="1173">
        <v>44501</v>
      </c>
      <c r="J291" s="1172"/>
      <c r="K291" s="1172" t="s">
        <v>1520</v>
      </c>
      <c r="L291" s="1172"/>
      <c r="M291" s="1177"/>
      <c r="N291" s="1172"/>
      <c r="O291" s="1172" t="s">
        <v>1411</v>
      </c>
      <c r="P291" s="1172"/>
      <c r="Q291" s="1172"/>
      <c r="R291" s="1172"/>
      <c r="S291" s="1175"/>
      <c r="T291" s="1172"/>
      <c r="U291" s="1172" t="s">
        <v>500</v>
      </c>
      <c r="V291" s="1172"/>
      <c r="W291" s="1176">
        <v>5</v>
      </c>
      <c r="X291" s="1172"/>
      <c r="Y291" s="1176"/>
      <c r="Z291" s="1172"/>
      <c r="AA291" s="1176">
        <v>2275.0300000000002</v>
      </c>
    </row>
    <row r="292" spans="1:27" ht="15" hidden="1" outlineLevel="1" thickBot="1" x14ac:dyDescent="0.35">
      <c r="A292" s="1172"/>
      <c r="B292" s="1172"/>
      <c r="C292" s="1172"/>
      <c r="D292" s="1172"/>
      <c r="E292" s="1172"/>
      <c r="F292" s="1172"/>
      <c r="G292" s="1172" t="s">
        <v>871</v>
      </c>
      <c r="H292" s="1172"/>
      <c r="I292" s="1173">
        <v>44501</v>
      </c>
      <c r="J292" s="1172"/>
      <c r="K292" s="1172" t="s">
        <v>1521</v>
      </c>
      <c r="L292" s="1172"/>
      <c r="M292" s="1177"/>
      <c r="N292" s="1172"/>
      <c r="O292" s="1172" t="s">
        <v>1437</v>
      </c>
      <c r="P292" s="1172"/>
      <c r="Q292" s="1172"/>
      <c r="R292" s="1172"/>
      <c r="S292" s="1175"/>
      <c r="T292" s="1172"/>
      <c r="U292" s="1172" t="s">
        <v>500</v>
      </c>
      <c r="V292" s="1172"/>
      <c r="W292" s="1176">
        <v>75</v>
      </c>
      <c r="X292" s="1172"/>
      <c r="Y292" s="1176"/>
      <c r="Z292" s="1172"/>
      <c r="AA292" s="1176">
        <v>2350.0300000000002</v>
      </c>
    </row>
    <row r="293" spans="1:27" ht="15" hidden="1" outlineLevel="1" thickBot="1" x14ac:dyDescent="0.35">
      <c r="A293" s="1172"/>
      <c r="B293" s="1172"/>
      <c r="C293" s="1172"/>
      <c r="D293" s="1172"/>
      <c r="E293" s="1172"/>
      <c r="F293" s="1172"/>
      <c r="G293" s="1172" t="s">
        <v>871</v>
      </c>
      <c r="H293" s="1172"/>
      <c r="I293" s="1173">
        <v>44507</v>
      </c>
      <c r="J293" s="1172"/>
      <c r="K293" s="1172" t="s">
        <v>1522</v>
      </c>
      <c r="L293" s="1172"/>
      <c r="M293" s="1177"/>
      <c r="N293" s="1172"/>
      <c r="O293" s="1172" t="s">
        <v>1416</v>
      </c>
      <c r="P293" s="1172"/>
      <c r="Q293" s="1172"/>
      <c r="R293" s="1172"/>
      <c r="S293" s="1175"/>
      <c r="T293" s="1172"/>
      <c r="U293" s="1172" t="s">
        <v>500</v>
      </c>
      <c r="V293" s="1172"/>
      <c r="W293" s="1176">
        <v>76.040000000000006</v>
      </c>
      <c r="X293" s="1172"/>
      <c r="Y293" s="1176"/>
      <c r="Z293" s="1172"/>
      <c r="AA293" s="1176">
        <v>2426.0700000000002</v>
      </c>
    </row>
    <row r="294" spans="1:27" ht="15" hidden="1" outlineLevel="1" thickBot="1" x14ac:dyDescent="0.35">
      <c r="A294" s="1172"/>
      <c r="B294" s="1172"/>
      <c r="C294" s="1172"/>
      <c r="D294" s="1172"/>
      <c r="E294" s="1172"/>
      <c r="F294" s="1172"/>
      <c r="G294" s="1172" t="s">
        <v>871</v>
      </c>
      <c r="H294" s="1172"/>
      <c r="I294" s="1173">
        <v>44508</v>
      </c>
      <c r="J294" s="1172"/>
      <c r="K294" s="1172" t="s">
        <v>1523</v>
      </c>
      <c r="L294" s="1172"/>
      <c r="M294" s="1177"/>
      <c r="N294" s="1172"/>
      <c r="O294" s="1172" t="s">
        <v>1437</v>
      </c>
      <c r="P294" s="1172"/>
      <c r="Q294" s="1172"/>
      <c r="R294" s="1172"/>
      <c r="S294" s="1175"/>
      <c r="T294" s="1172"/>
      <c r="U294" s="1172" t="s">
        <v>500</v>
      </c>
      <c r="V294" s="1172"/>
      <c r="W294" s="1176">
        <v>75</v>
      </c>
      <c r="X294" s="1172"/>
      <c r="Y294" s="1176"/>
      <c r="Z294" s="1172"/>
      <c r="AA294" s="1176">
        <v>2501.0700000000002</v>
      </c>
    </row>
    <row r="295" spans="1:27" ht="15" hidden="1" outlineLevel="1" thickBot="1" x14ac:dyDescent="0.35">
      <c r="A295" s="1172"/>
      <c r="B295" s="1172"/>
      <c r="C295" s="1172"/>
      <c r="D295" s="1172"/>
      <c r="E295" s="1172"/>
      <c r="F295" s="1172"/>
      <c r="G295" s="1172" t="s">
        <v>871</v>
      </c>
      <c r="H295" s="1172"/>
      <c r="I295" s="1173">
        <v>44531</v>
      </c>
      <c r="J295" s="1172"/>
      <c r="K295" s="1172" t="s">
        <v>1524</v>
      </c>
      <c r="L295" s="1172"/>
      <c r="M295" s="1177"/>
      <c r="N295" s="1172"/>
      <c r="O295" s="1172" t="s">
        <v>1411</v>
      </c>
      <c r="P295" s="1172"/>
      <c r="Q295" s="1172"/>
      <c r="R295" s="1172"/>
      <c r="S295" s="1175"/>
      <c r="T295" s="1172"/>
      <c r="U295" s="1172" t="s">
        <v>500</v>
      </c>
      <c r="V295" s="1172"/>
      <c r="W295" s="1176">
        <v>5</v>
      </c>
      <c r="X295" s="1172"/>
      <c r="Y295" s="1176"/>
      <c r="Z295" s="1172"/>
      <c r="AA295" s="1176">
        <v>2506.0700000000002</v>
      </c>
    </row>
    <row r="296" spans="1:27" ht="15" hidden="1" outlineLevel="1" thickBot="1" x14ac:dyDescent="0.35">
      <c r="A296" s="1172"/>
      <c r="B296" s="1172"/>
      <c r="C296" s="1172"/>
      <c r="D296" s="1172"/>
      <c r="E296" s="1172"/>
      <c r="F296" s="1172"/>
      <c r="G296" s="1172" t="s">
        <v>871</v>
      </c>
      <c r="H296" s="1172"/>
      <c r="I296" s="1173">
        <v>44534</v>
      </c>
      <c r="J296" s="1172"/>
      <c r="K296" s="1172" t="s">
        <v>1525</v>
      </c>
      <c r="L296" s="1172"/>
      <c r="M296" s="1177"/>
      <c r="N296" s="1172"/>
      <c r="O296" s="1172" t="s">
        <v>1476</v>
      </c>
      <c r="P296" s="1172"/>
      <c r="Q296" s="1172"/>
      <c r="R296" s="1172"/>
      <c r="S296" s="1175"/>
      <c r="T296" s="1172"/>
      <c r="U296" s="1172" t="s">
        <v>500</v>
      </c>
      <c r="V296" s="1172"/>
      <c r="W296" s="1176">
        <v>250</v>
      </c>
      <c r="X296" s="1172"/>
      <c r="Y296" s="1176"/>
      <c r="Z296" s="1172"/>
      <c r="AA296" s="1176">
        <v>2756.07</v>
      </c>
    </row>
    <row r="297" spans="1:27" ht="15" hidden="1" outlineLevel="1" thickBot="1" x14ac:dyDescent="0.35">
      <c r="A297" s="1172"/>
      <c r="B297" s="1172"/>
      <c r="C297" s="1172"/>
      <c r="D297" s="1172"/>
      <c r="E297" s="1172"/>
      <c r="F297" s="1172"/>
      <c r="G297" s="1172" t="s">
        <v>871</v>
      </c>
      <c r="H297" s="1172"/>
      <c r="I297" s="1173">
        <v>44534</v>
      </c>
      <c r="J297" s="1172"/>
      <c r="K297" s="1172" t="s">
        <v>1526</v>
      </c>
      <c r="L297" s="1172"/>
      <c r="M297" s="1177"/>
      <c r="N297" s="1172"/>
      <c r="O297" s="1172" t="s">
        <v>1416</v>
      </c>
      <c r="P297" s="1172"/>
      <c r="Q297" s="1172"/>
      <c r="R297" s="1172"/>
      <c r="S297" s="1175"/>
      <c r="T297" s="1172"/>
      <c r="U297" s="1172" t="s">
        <v>500</v>
      </c>
      <c r="V297" s="1172"/>
      <c r="W297" s="1176">
        <v>64.75</v>
      </c>
      <c r="X297" s="1172"/>
      <c r="Y297" s="1176"/>
      <c r="Z297" s="1172"/>
      <c r="AA297" s="1176">
        <v>2820.82</v>
      </c>
    </row>
    <row r="298" spans="1:27" ht="15" hidden="1" outlineLevel="1" thickBot="1" x14ac:dyDescent="0.35">
      <c r="A298" s="1172"/>
      <c r="B298" s="1172"/>
      <c r="C298" s="1172"/>
      <c r="D298" s="1172"/>
      <c r="E298" s="1172"/>
      <c r="F298" s="1172"/>
      <c r="G298" s="1172" t="s">
        <v>871</v>
      </c>
      <c r="H298" s="1172"/>
      <c r="I298" s="1173">
        <v>44562</v>
      </c>
      <c r="J298" s="1172"/>
      <c r="K298" s="1172" t="s">
        <v>1527</v>
      </c>
      <c r="L298" s="1172"/>
      <c r="M298" s="1177"/>
      <c r="N298" s="1172"/>
      <c r="O298" s="1172" t="s">
        <v>1411</v>
      </c>
      <c r="P298" s="1172"/>
      <c r="Q298" s="1172"/>
      <c r="R298" s="1172"/>
      <c r="S298" s="1175"/>
      <c r="T298" s="1172"/>
      <c r="U298" s="1172" t="s">
        <v>500</v>
      </c>
      <c r="V298" s="1172"/>
      <c r="W298" s="1176">
        <v>5</v>
      </c>
      <c r="X298" s="1172"/>
      <c r="Y298" s="1176"/>
      <c r="Z298" s="1172"/>
      <c r="AA298" s="1176">
        <v>2825.82</v>
      </c>
    </row>
    <row r="299" spans="1:27" ht="15" hidden="1" outlineLevel="1" thickBot="1" x14ac:dyDescent="0.35">
      <c r="A299" s="1172"/>
      <c r="B299" s="1172"/>
      <c r="C299" s="1172"/>
      <c r="D299" s="1172"/>
      <c r="E299" s="1172"/>
      <c r="F299" s="1172"/>
      <c r="G299" s="1172" t="s">
        <v>871</v>
      </c>
      <c r="H299" s="1172"/>
      <c r="I299" s="1173">
        <v>44563</v>
      </c>
      <c r="J299" s="1172"/>
      <c r="K299" s="1172" t="s">
        <v>1528</v>
      </c>
      <c r="L299" s="1172"/>
      <c r="M299" s="1177"/>
      <c r="N299" s="1172"/>
      <c r="O299" s="1172" t="s">
        <v>1437</v>
      </c>
      <c r="P299" s="1172"/>
      <c r="Q299" s="1172"/>
      <c r="R299" s="1172"/>
      <c r="S299" s="1175"/>
      <c r="T299" s="1172"/>
      <c r="U299" s="1172" t="s">
        <v>500</v>
      </c>
      <c r="V299" s="1172"/>
      <c r="W299" s="1176">
        <v>75</v>
      </c>
      <c r="X299" s="1172"/>
      <c r="Y299" s="1176"/>
      <c r="Z299" s="1172"/>
      <c r="AA299" s="1176">
        <v>2900.82</v>
      </c>
    </row>
    <row r="300" spans="1:27" ht="15" hidden="1" outlineLevel="1" thickBot="1" x14ac:dyDescent="0.35">
      <c r="A300" s="1172"/>
      <c r="B300" s="1172"/>
      <c r="C300" s="1172"/>
      <c r="D300" s="1172"/>
      <c r="E300" s="1172"/>
      <c r="F300" s="1172"/>
      <c r="G300" s="1172" t="s">
        <v>871</v>
      </c>
      <c r="H300" s="1172"/>
      <c r="I300" s="1173">
        <v>44568</v>
      </c>
      <c r="J300" s="1172"/>
      <c r="K300" s="1172" t="s">
        <v>1529</v>
      </c>
      <c r="L300" s="1172"/>
      <c r="M300" s="1177"/>
      <c r="N300" s="1172"/>
      <c r="O300" s="1172" t="s">
        <v>1416</v>
      </c>
      <c r="P300" s="1172"/>
      <c r="Q300" s="1172"/>
      <c r="R300" s="1172"/>
      <c r="S300" s="1175"/>
      <c r="T300" s="1172"/>
      <c r="U300" s="1172" t="s">
        <v>500</v>
      </c>
      <c r="V300" s="1172"/>
      <c r="W300" s="1176">
        <v>32.5</v>
      </c>
      <c r="X300" s="1172"/>
      <c r="Y300" s="1176"/>
      <c r="Z300" s="1172"/>
      <c r="AA300" s="1176">
        <v>2933.32</v>
      </c>
    </row>
    <row r="301" spans="1:27" ht="15" hidden="1" outlineLevel="1" thickBot="1" x14ac:dyDescent="0.35">
      <c r="A301" s="1172"/>
      <c r="B301" s="1172"/>
      <c r="C301" s="1172"/>
      <c r="D301" s="1172"/>
      <c r="E301" s="1172"/>
      <c r="F301" s="1172"/>
      <c r="G301" s="1172" t="s">
        <v>871</v>
      </c>
      <c r="H301" s="1172"/>
      <c r="I301" s="1173">
        <v>44593</v>
      </c>
      <c r="J301" s="1172"/>
      <c r="K301" s="1172" t="s">
        <v>1530</v>
      </c>
      <c r="L301" s="1172"/>
      <c r="M301" s="1177"/>
      <c r="N301" s="1172"/>
      <c r="O301" s="1172" t="s">
        <v>1411</v>
      </c>
      <c r="P301" s="1172"/>
      <c r="Q301" s="1172"/>
      <c r="R301" s="1172"/>
      <c r="S301" s="1175"/>
      <c r="T301" s="1172"/>
      <c r="U301" s="1172" t="s">
        <v>500</v>
      </c>
      <c r="V301" s="1172"/>
      <c r="W301" s="1176">
        <v>5</v>
      </c>
      <c r="X301" s="1172"/>
      <c r="Y301" s="1176"/>
      <c r="Z301" s="1172"/>
      <c r="AA301" s="1176">
        <v>2938.32</v>
      </c>
    </row>
    <row r="302" spans="1:27" ht="15" hidden="1" outlineLevel="1" thickBot="1" x14ac:dyDescent="0.35">
      <c r="A302" s="1172"/>
      <c r="B302" s="1172"/>
      <c r="C302" s="1172"/>
      <c r="D302" s="1172"/>
      <c r="E302" s="1172"/>
      <c r="F302" s="1172"/>
      <c r="G302" s="1172" t="s">
        <v>871</v>
      </c>
      <c r="H302" s="1172"/>
      <c r="I302" s="1173">
        <v>44599</v>
      </c>
      <c r="J302" s="1172"/>
      <c r="K302" s="1172" t="s">
        <v>1531</v>
      </c>
      <c r="L302" s="1172"/>
      <c r="M302" s="1177"/>
      <c r="N302" s="1172"/>
      <c r="O302" s="1172" t="s">
        <v>1416</v>
      </c>
      <c r="P302" s="1172"/>
      <c r="Q302" s="1172"/>
      <c r="R302" s="1172"/>
      <c r="S302" s="1175"/>
      <c r="T302" s="1172"/>
      <c r="U302" s="1172" t="s">
        <v>500</v>
      </c>
      <c r="V302" s="1172"/>
      <c r="W302" s="1176">
        <v>32.770000000000003</v>
      </c>
      <c r="X302" s="1172"/>
      <c r="Y302" s="1176"/>
      <c r="Z302" s="1172"/>
      <c r="AA302" s="1176">
        <v>2971.09</v>
      </c>
    </row>
    <row r="303" spans="1:27" ht="15" hidden="1" outlineLevel="1" thickBot="1" x14ac:dyDescent="0.35">
      <c r="A303" s="1172"/>
      <c r="B303" s="1172"/>
      <c r="C303" s="1172"/>
      <c r="D303" s="1172"/>
      <c r="E303" s="1172"/>
      <c r="F303" s="1172"/>
      <c r="G303" s="1172" t="s">
        <v>871</v>
      </c>
      <c r="H303" s="1172"/>
      <c r="I303" s="1173">
        <v>44621</v>
      </c>
      <c r="J303" s="1172"/>
      <c r="K303" s="1172" t="s">
        <v>1532</v>
      </c>
      <c r="L303" s="1172"/>
      <c r="M303" s="1177"/>
      <c r="N303" s="1172"/>
      <c r="O303" s="1172" t="s">
        <v>1411</v>
      </c>
      <c r="P303" s="1172"/>
      <c r="Q303" s="1172"/>
      <c r="R303" s="1172"/>
      <c r="S303" s="1175"/>
      <c r="T303" s="1172"/>
      <c r="U303" s="1172" t="s">
        <v>500</v>
      </c>
      <c r="V303" s="1172"/>
      <c r="W303" s="1176">
        <v>5</v>
      </c>
      <c r="X303" s="1172"/>
      <c r="Y303" s="1176"/>
      <c r="Z303" s="1172"/>
      <c r="AA303" s="1176">
        <v>2976.09</v>
      </c>
    </row>
    <row r="304" spans="1:27" ht="15" hidden="1" outlineLevel="1" thickBot="1" x14ac:dyDescent="0.35">
      <c r="A304" s="1172"/>
      <c r="B304" s="1172"/>
      <c r="C304" s="1172"/>
      <c r="D304" s="1172"/>
      <c r="E304" s="1172"/>
      <c r="F304" s="1172"/>
      <c r="G304" s="1172" t="s">
        <v>871</v>
      </c>
      <c r="H304" s="1172"/>
      <c r="I304" s="1173">
        <v>44627</v>
      </c>
      <c r="J304" s="1172"/>
      <c r="K304" s="1172" t="s">
        <v>1533</v>
      </c>
      <c r="L304" s="1172"/>
      <c r="M304" s="1177"/>
      <c r="N304" s="1172"/>
      <c r="O304" s="1172" t="s">
        <v>1416</v>
      </c>
      <c r="P304" s="1172"/>
      <c r="Q304" s="1172"/>
      <c r="R304" s="1172"/>
      <c r="S304" s="1175"/>
      <c r="T304" s="1172"/>
      <c r="U304" s="1172" t="s">
        <v>500</v>
      </c>
      <c r="V304" s="1172"/>
      <c r="W304" s="1176">
        <v>32.86</v>
      </c>
      <c r="X304" s="1172"/>
      <c r="Y304" s="1176"/>
      <c r="Z304" s="1172"/>
      <c r="AA304" s="1176">
        <v>3008.95</v>
      </c>
    </row>
    <row r="305" spans="1:27" ht="15" hidden="1" outlineLevel="1" thickBot="1" x14ac:dyDescent="0.35">
      <c r="A305" s="1172"/>
      <c r="B305" s="1172"/>
      <c r="C305" s="1172"/>
      <c r="D305" s="1172"/>
      <c r="E305" s="1172"/>
      <c r="F305" s="1172"/>
      <c r="G305" s="1172" t="s">
        <v>871</v>
      </c>
      <c r="H305" s="1172"/>
      <c r="I305" s="1173">
        <v>44652</v>
      </c>
      <c r="J305" s="1172"/>
      <c r="K305" s="1172" t="s">
        <v>1534</v>
      </c>
      <c r="L305" s="1172"/>
      <c r="M305" s="1177"/>
      <c r="N305" s="1172"/>
      <c r="O305" s="1172" t="s">
        <v>1411</v>
      </c>
      <c r="P305" s="1172"/>
      <c r="Q305" s="1172"/>
      <c r="R305" s="1172"/>
      <c r="S305" s="1175"/>
      <c r="T305" s="1172"/>
      <c r="U305" s="1172" t="s">
        <v>500</v>
      </c>
      <c r="V305" s="1172"/>
      <c r="W305" s="1176">
        <v>5</v>
      </c>
      <c r="X305" s="1172"/>
      <c r="Y305" s="1176"/>
      <c r="Z305" s="1172"/>
      <c r="AA305" s="1176">
        <v>3013.95</v>
      </c>
    </row>
    <row r="306" spans="1:27" ht="15" hidden="1" outlineLevel="1" thickBot="1" x14ac:dyDescent="0.35">
      <c r="A306" s="1172"/>
      <c r="B306" s="1172"/>
      <c r="C306" s="1172"/>
      <c r="D306" s="1172"/>
      <c r="E306" s="1172"/>
      <c r="F306" s="1172"/>
      <c r="G306" s="1172" t="s">
        <v>871</v>
      </c>
      <c r="H306" s="1172"/>
      <c r="I306" s="1173">
        <v>44658</v>
      </c>
      <c r="J306" s="1172"/>
      <c r="K306" s="1172" t="s">
        <v>1535</v>
      </c>
      <c r="L306" s="1172"/>
      <c r="M306" s="1177"/>
      <c r="N306" s="1172"/>
      <c r="O306" s="1172" t="s">
        <v>1416</v>
      </c>
      <c r="P306" s="1172"/>
      <c r="Q306" s="1172"/>
      <c r="R306" s="1172"/>
      <c r="S306" s="1175"/>
      <c r="T306" s="1172"/>
      <c r="U306" s="1172" t="s">
        <v>500</v>
      </c>
      <c r="V306" s="1172"/>
      <c r="W306" s="1176">
        <v>36.200000000000003</v>
      </c>
      <c r="X306" s="1172"/>
      <c r="Y306" s="1176"/>
      <c r="Z306" s="1172"/>
      <c r="AA306" s="1176">
        <v>3050.15</v>
      </c>
    </row>
    <row r="307" spans="1:27" ht="15" hidden="1" outlineLevel="1" thickBot="1" x14ac:dyDescent="0.35">
      <c r="A307" s="1172"/>
      <c r="B307" s="1172"/>
      <c r="C307" s="1172"/>
      <c r="D307" s="1172"/>
      <c r="E307" s="1172"/>
      <c r="F307" s="1172"/>
      <c r="G307" s="1172" t="s">
        <v>871</v>
      </c>
      <c r="H307" s="1172"/>
      <c r="I307" s="1173">
        <v>44682</v>
      </c>
      <c r="J307" s="1172"/>
      <c r="K307" s="1172" t="s">
        <v>1536</v>
      </c>
      <c r="L307" s="1172"/>
      <c r="M307" s="1177"/>
      <c r="N307" s="1172"/>
      <c r="O307" s="1172" t="s">
        <v>1411</v>
      </c>
      <c r="P307" s="1172"/>
      <c r="Q307" s="1172"/>
      <c r="R307" s="1172"/>
      <c r="S307" s="1175"/>
      <c r="T307" s="1172"/>
      <c r="U307" s="1172" t="s">
        <v>500</v>
      </c>
      <c r="V307" s="1172"/>
      <c r="W307" s="1176">
        <v>5</v>
      </c>
      <c r="X307" s="1172"/>
      <c r="Y307" s="1176"/>
      <c r="Z307" s="1172"/>
      <c r="AA307" s="1176">
        <v>3055.15</v>
      </c>
    </row>
    <row r="308" spans="1:27" ht="15" hidden="1" outlineLevel="1" thickBot="1" x14ac:dyDescent="0.35">
      <c r="A308" s="1172"/>
      <c r="B308" s="1172"/>
      <c r="C308" s="1172"/>
      <c r="D308" s="1172"/>
      <c r="E308" s="1172"/>
      <c r="F308" s="1172"/>
      <c r="G308" s="1172" t="s">
        <v>871</v>
      </c>
      <c r="H308" s="1172"/>
      <c r="I308" s="1173">
        <v>44688</v>
      </c>
      <c r="J308" s="1172"/>
      <c r="K308" s="1172" t="s">
        <v>1537</v>
      </c>
      <c r="L308" s="1172"/>
      <c r="M308" s="1177"/>
      <c r="N308" s="1172"/>
      <c r="O308" s="1172" t="s">
        <v>1416</v>
      </c>
      <c r="P308" s="1172"/>
      <c r="Q308" s="1172"/>
      <c r="R308" s="1172"/>
      <c r="S308" s="1175"/>
      <c r="T308" s="1172"/>
      <c r="U308" s="1172" t="s">
        <v>500</v>
      </c>
      <c r="V308" s="1172"/>
      <c r="W308" s="1176">
        <v>33.11</v>
      </c>
      <c r="X308" s="1172"/>
      <c r="Y308" s="1176"/>
      <c r="Z308" s="1172"/>
      <c r="AA308" s="1176">
        <v>3088.26</v>
      </c>
    </row>
    <row r="309" spans="1:27" ht="15" hidden="1" outlineLevel="1" thickBot="1" x14ac:dyDescent="0.35">
      <c r="A309" s="1172"/>
      <c r="B309" s="1172"/>
      <c r="C309" s="1172"/>
      <c r="D309" s="1172"/>
      <c r="E309" s="1172"/>
      <c r="F309" s="1172"/>
      <c r="G309" s="1172" t="s">
        <v>871</v>
      </c>
      <c r="H309" s="1172"/>
      <c r="I309" s="1173">
        <v>44713</v>
      </c>
      <c r="J309" s="1172"/>
      <c r="K309" s="1172"/>
      <c r="L309" s="1172"/>
      <c r="M309" s="1177"/>
      <c r="N309" s="1172"/>
      <c r="O309" s="1172" t="s">
        <v>1411</v>
      </c>
      <c r="P309" s="1172"/>
      <c r="Q309" s="1172"/>
      <c r="R309" s="1172"/>
      <c r="S309" s="1175"/>
      <c r="T309" s="1172"/>
      <c r="U309" s="1172" t="s">
        <v>500</v>
      </c>
      <c r="V309" s="1172"/>
      <c r="W309" s="1176">
        <v>5</v>
      </c>
      <c r="X309" s="1172"/>
      <c r="Y309" s="1176"/>
      <c r="Z309" s="1172"/>
      <c r="AA309" s="1176">
        <v>3093.26</v>
      </c>
    </row>
    <row r="310" spans="1:27" ht="15" hidden="1" outlineLevel="1" thickBot="1" x14ac:dyDescent="0.35">
      <c r="A310" s="1172"/>
      <c r="B310" s="1172"/>
      <c r="C310" s="1172"/>
      <c r="D310" s="1172"/>
      <c r="E310" s="1172"/>
      <c r="F310" s="1172"/>
      <c r="G310" s="1172" t="s">
        <v>871</v>
      </c>
      <c r="H310" s="1172"/>
      <c r="I310" s="1173">
        <v>44719</v>
      </c>
      <c r="J310" s="1172"/>
      <c r="K310" s="1172" t="s">
        <v>1538</v>
      </c>
      <c r="L310" s="1172"/>
      <c r="M310" s="1177"/>
      <c r="N310" s="1172"/>
      <c r="O310" s="1172" t="s">
        <v>1416</v>
      </c>
      <c r="P310" s="1172"/>
      <c r="Q310" s="1172"/>
      <c r="R310" s="1172"/>
      <c r="S310" s="1175"/>
      <c r="T310" s="1172"/>
      <c r="U310" s="1172" t="s">
        <v>500</v>
      </c>
      <c r="V310" s="1172"/>
      <c r="W310" s="1176">
        <v>32.340000000000003</v>
      </c>
      <c r="X310" s="1172"/>
      <c r="Y310" s="1176"/>
      <c r="Z310" s="1172"/>
      <c r="AA310" s="1176">
        <v>3125.6</v>
      </c>
    </row>
    <row r="311" spans="1:27" ht="15" hidden="1" outlineLevel="1" thickBot="1" x14ac:dyDescent="0.35">
      <c r="A311" s="1172"/>
      <c r="B311" s="1172"/>
      <c r="C311" s="1172"/>
      <c r="D311" s="1172"/>
      <c r="E311" s="1172"/>
      <c r="F311" s="1172"/>
      <c r="G311" s="1172" t="s">
        <v>871</v>
      </c>
      <c r="H311" s="1172"/>
      <c r="I311" s="1173">
        <v>44743</v>
      </c>
      <c r="J311" s="1172"/>
      <c r="K311" s="1172" t="s">
        <v>1539</v>
      </c>
      <c r="L311" s="1172"/>
      <c r="M311" s="1177"/>
      <c r="N311" s="1172"/>
      <c r="O311" s="1172" t="s">
        <v>1411</v>
      </c>
      <c r="P311" s="1172"/>
      <c r="Q311" s="1172"/>
      <c r="R311" s="1172"/>
      <c r="S311" s="1175"/>
      <c r="T311" s="1172"/>
      <c r="U311" s="1172" t="s">
        <v>500</v>
      </c>
      <c r="V311" s="1172"/>
      <c r="W311" s="1176">
        <v>5</v>
      </c>
      <c r="X311" s="1172"/>
      <c r="Y311" s="1176"/>
      <c r="Z311" s="1172"/>
      <c r="AA311" s="1176">
        <v>3130.6</v>
      </c>
    </row>
    <row r="312" spans="1:27" ht="15" hidden="1" outlineLevel="1" thickBot="1" x14ac:dyDescent="0.35">
      <c r="A312" s="1172"/>
      <c r="B312" s="1172"/>
      <c r="C312" s="1172"/>
      <c r="D312" s="1172"/>
      <c r="E312" s="1172"/>
      <c r="F312" s="1172"/>
      <c r="G312" s="1172" t="s">
        <v>871</v>
      </c>
      <c r="H312" s="1172"/>
      <c r="I312" s="1173">
        <v>44749</v>
      </c>
      <c r="J312" s="1172"/>
      <c r="K312" s="1172" t="s">
        <v>1540</v>
      </c>
      <c r="L312" s="1172"/>
      <c r="M312" s="1177"/>
      <c r="N312" s="1172"/>
      <c r="O312" s="1172" t="s">
        <v>1416</v>
      </c>
      <c r="P312" s="1172"/>
      <c r="Q312" s="1172"/>
      <c r="R312" s="1172"/>
      <c r="S312" s="1175"/>
      <c r="T312" s="1172"/>
      <c r="U312" s="1172" t="s">
        <v>500</v>
      </c>
      <c r="V312" s="1172"/>
      <c r="W312" s="1176">
        <v>35.51</v>
      </c>
      <c r="X312" s="1172"/>
      <c r="Y312" s="1176"/>
      <c r="Z312" s="1172"/>
      <c r="AA312" s="1176">
        <v>3166.11</v>
      </c>
    </row>
    <row r="313" spans="1:27" ht="15" hidden="1" outlineLevel="1" thickBot="1" x14ac:dyDescent="0.35">
      <c r="A313" s="1172"/>
      <c r="B313" s="1172"/>
      <c r="C313" s="1172"/>
      <c r="D313" s="1172"/>
      <c r="E313" s="1172"/>
      <c r="F313" s="1172"/>
      <c r="G313" s="1172" t="s">
        <v>871</v>
      </c>
      <c r="H313" s="1172"/>
      <c r="I313" s="1173">
        <v>44774</v>
      </c>
      <c r="J313" s="1172"/>
      <c r="K313" s="1172" t="s">
        <v>1541</v>
      </c>
      <c r="L313" s="1172"/>
      <c r="M313" s="1177"/>
      <c r="N313" s="1172"/>
      <c r="O313" s="1172" t="s">
        <v>1411</v>
      </c>
      <c r="P313" s="1172"/>
      <c r="Q313" s="1172"/>
      <c r="R313" s="1172"/>
      <c r="S313" s="1175"/>
      <c r="T313" s="1172"/>
      <c r="U313" s="1172" t="s">
        <v>500</v>
      </c>
      <c r="V313" s="1172"/>
      <c r="W313" s="1176">
        <v>5</v>
      </c>
      <c r="X313" s="1172"/>
      <c r="Y313" s="1176"/>
      <c r="Z313" s="1172"/>
      <c r="AA313" s="1176">
        <v>3171.11</v>
      </c>
    </row>
    <row r="314" spans="1:27" ht="15" hidden="1" outlineLevel="1" thickBot="1" x14ac:dyDescent="0.35">
      <c r="A314" s="1172"/>
      <c r="B314" s="1172"/>
      <c r="C314" s="1172"/>
      <c r="D314" s="1185"/>
      <c r="E314" s="1185"/>
      <c r="F314" s="1185"/>
      <c r="G314" s="1185" t="s">
        <v>871</v>
      </c>
      <c r="H314" s="1185"/>
      <c r="I314" s="1186">
        <v>44782</v>
      </c>
      <c r="J314" s="1185"/>
      <c r="K314" s="1185" t="s">
        <v>1542</v>
      </c>
      <c r="L314" s="1185"/>
      <c r="M314" s="1187"/>
      <c r="N314" s="1185"/>
      <c r="O314" s="1185" t="s">
        <v>1494</v>
      </c>
      <c r="P314" s="1185"/>
      <c r="Q314" s="1185"/>
      <c r="R314" s="1185"/>
      <c r="S314" s="1188"/>
      <c r="T314" s="1185"/>
      <c r="U314" s="1185" t="s">
        <v>500</v>
      </c>
      <c r="V314" s="1185"/>
      <c r="W314" s="1189">
        <v>887.7</v>
      </c>
      <c r="X314" s="1185"/>
      <c r="Y314" s="1189"/>
      <c r="Z314" s="1185"/>
      <c r="AA314" s="1189">
        <v>4058.81</v>
      </c>
    </row>
    <row r="315" spans="1:27" ht="15" hidden="1" outlineLevel="1" thickBot="1" x14ac:dyDescent="0.35">
      <c r="A315" s="1172"/>
      <c r="B315" s="1172"/>
      <c r="C315" s="1172"/>
      <c r="D315" s="1172"/>
      <c r="E315" s="1172"/>
      <c r="F315" s="1172"/>
      <c r="G315" s="1172" t="s">
        <v>871</v>
      </c>
      <c r="H315" s="1172"/>
      <c r="I315" s="1173">
        <v>44805</v>
      </c>
      <c r="J315" s="1172"/>
      <c r="K315" s="1172" t="s">
        <v>1545</v>
      </c>
      <c r="L315" s="1172"/>
      <c r="M315" s="1177"/>
      <c r="N315" s="1172"/>
      <c r="O315" s="1172" t="s">
        <v>1411</v>
      </c>
      <c r="P315" s="1172"/>
      <c r="Q315" s="1172"/>
      <c r="R315" s="1172"/>
      <c r="S315" s="1175"/>
      <c r="T315" s="1172"/>
      <c r="U315" s="1172" t="s">
        <v>500</v>
      </c>
      <c r="V315" s="1172"/>
      <c r="W315" s="1176">
        <v>5</v>
      </c>
      <c r="X315" s="1172"/>
      <c r="Y315" s="1176"/>
      <c r="Z315" s="1172"/>
      <c r="AA315" s="1176">
        <v>4063.81</v>
      </c>
    </row>
    <row r="316" spans="1:27" ht="15" hidden="1" outlineLevel="1" thickBot="1" x14ac:dyDescent="0.35">
      <c r="A316" s="1172"/>
      <c r="B316" s="1172"/>
      <c r="C316" s="1172"/>
      <c r="D316" s="1172"/>
      <c r="E316" s="1172"/>
      <c r="F316" s="1172"/>
      <c r="G316" s="1172" t="s">
        <v>871</v>
      </c>
      <c r="H316" s="1172"/>
      <c r="I316" s="1173">
        <v>44835</v>
      </c>
      <c r="J316" s="1172"/>
      <c r="K316" s="1172" t="s">
        <v>1546</v>
      </c>
      <c r="L316" s="1172"/>
      <c r="M316" s="1177"/>
      <c r="N316" s="1172"/>
      <c r="O316" s="1172" t="s">
        <v>1411</v>
      </c>
      <c r="P316" s="1172"/>
      <c r="Q316" s="1172"/>
      <c r="R316" s="1172"/>
      <c r="S316" s="1175"/>
      <c r="T316" s="1172"/>
      <c r="U316" s="1172" t="s">
        <v>500</v>
      </c>
      <c r="V316" s="1172"/>
      <c r="W316" s="1176">
        <v>5</v>
      </c>
      <c r="X316" s="1172"/>
      <c r="Y316" s="1176"/>
      <c r="Z316" s="1172"/>
      <c r="AA316" s="1176">
        <v>4068.81</v>
      </c>
    </row>
    <row r="317" spans="1:27" ht="15" hidden="1" outlineLevel="1" thickBot="1" x14ac:dyDescent="0.35">
      <c r="A317" s="1172"/>
      <c r="B317" s="1172"/>
      <c r="C317" s="1172"/>
      <c r="D317" s="1172"/>
      <c r="E317" s="1172"/>
      <c r="F317" s="1172"/>
      <c r="G317" s="1172" t="s">
        <v>871</v>
      </c>
      <c r="H317" s="1172"/>
      <c r="I317" s="1173">
        <v>44865</v>
      </c>
      <c r="J317" s="1172"/>
      <c r="K317" s="1172" t="s">
        <v>1547</v>
      </c>
      <c r="L317" s="1172"/>
      <c r="M317" s="1177"/>
      <c r="N317" s="1172"/>
      <c r="O317" s="1172" t="s">
        <v>1437</v>
      </c>
      <c r="P317" s="1172"/>
      <c r="Q317" s="1172"/>
      <c r="R317" s="1172"/>
      <c r="S317" s="1175"/>
      <c r="T317" s="1172"/>
      <c r="U317" s="1172" t="s">
        <v>500</v>
      </c>
      <c r="V317" s="1172"/>
      <c r="W317" s="1176">
        <v>75</v>
      </c>
      <c r="X317" s="1172"/>
      <c r="Y317" s="1176"/>
      <c r="Z317" s="1172"/>
      <c r="AA317" s="1176">
        <v>4143.8100000000004</v>
      </c>
    </row>
    <row r="318" spans="1:27" ht="15" hidden="1" outlineLevel="1" thickBot="1" x14ac:dyDescent="0.35">
      <c r="A318" s="1172"/>
      <c r="B318" s="1172"/>
      <c r="C318" s="1172"/>
      <c r="D318" s="1172"/>
      <c r="E318" s="1172"/>
      <c r="F318" s="1172"/>
      <c r="G318" s="1172" t="s">
        <v>871</v>
      </c>
      <c r="H318" s="1172"/>
      <c r="I318" s="1173">
        <v>44865</v>
      </c>
      <c r="J318" s="1172"/>
      <c r="K318" s="1172" t="s">
        <v>1548</v>
      </c>
      <c r="L318" s="1172"/>
      <c r="M318" s="1177"/>
      <c r="N318" s="1172"/>
      <c r="O318" s="1172" t="s">
        <v>1494</v>
      </c>
      <c r="P318" s="1172"/>
      <c r="Q318" s="1172"/>
      <c r="R318" s="1172"/>
      <c r="S318" s="1175"/>
      <c r="T318" s="1172"/>
      <c r="U318" s="1172" t="s">
        <v>500</v>
      </c>
      <c r="V318" s="1172"/>
      <c r="W318" s="1176">
        <v>133.56</v>
      </c>
      <c r="X318" s="1172"/>
      <c r="Y318" s="1176"/>
      <c r="Z318" s="1172"/>
      <c r="AA318" s="1176">
        <v>4277.37</v>
      </c>
    </row>
    <row r="319" spans="1:27" ht="15" hidden="1" outlineLevel="1" thickBot="1" x14ac:dyDescent="0.35">
      <c r="A319" s="1172"/>
      <c r="B319" s="1172"/>
      <c r="C319" s="1172"/>
      <c r="D319" s="1172"/>
      <c r="E319" s="1172"/>
      <c r="F319" s="1172"/>
      <c r="G319" s="1172" t="s">
        <v>871</v>
      </c>
      <c r="H319" s="1172"/>
      <c r="I319" s="1173">
        <v>44865</v>
      </c>
      <c r="J319" s="1172"/>
      <c r="K319" s="1172" t="s">
        <v>1549</v>
      </c>
      <c r="L319" s="1172"/>
      <c r="M319" s="1177"/>
      <c r="N319" s="1172"/>
      <c r="O319" s="1172" t="s">
        <v>1486</v>
      </c>
      <c r="P319" s="1172"/>
      <c r="Q319" s="1172"/>
      <c r="R319" s="1172"/>
      <c r="S319" s="1175"/>
      <c r="T319" s="1172"/>
      <c r="U319" s="1172" t="s">
        <v>500</v>
      </c>
      <c r="V319" s="1172"/>
      <c r="W319" s="1176">
        <v>125</v>
      </c>
      <c r="X319" s="1172"/>
      <c r="Y319" s="1176"/>
      <c r="Z319" s="1172"/>
      <c r="AA319" s="1176">
        <v>4402.37</v>
      </c>
    </row>
    <row r="320" spans="1:27" ht="15" hidden="1" outlineLevel="1" thickBot="1" x14ac:dyDescent="0.35">
      <c r="A320" s="1172"/>
      <c r="B320" s="1172"/>
      <c r="C320" s="1172"/>
      <c r="D320" s="1172"/>
      <c r="E320" s="1172"/>
      <c r="F320" s="1172"/>
      <c r="G320" s="1172" t="s">
        <v>871</v>
      </c>
      <c r="H320" s="1172"/>
      <c r="I320" s="1173">
        <v>44866</v>
      </c>
      <c r="J320" s="1172"/>
      <c r="K320" s="1172" t="s">
        <v>1550</v>
      </c>
      <c r="L320" s="1172"/>
      <c r="M320" s="1177"/>
      <c r="N320" s="1172"/>
      <c r="O320" s="1172" t="s">
        <v>1411</v>
      </c>
      <c r="P320" s="1172"/>
      <c r="Q320" s="1172"/>
      <c r="R320" s="1172"/>
      <c r="S320" s="1175"/>
      <c r="T320" s="1172"/>
      <c r="U320" s="1172" t="s">
        <v>500</v>
      </c>
      <c r="V320" s="1172"/>
      <c r="W320" s="1176">
        <v>5</v>
      </c>
      <c r="X320" s="1172"/>
      <c r="Y320" s="1176"/>
      <c r="Z320" s="1172"/>
      <c r="AA320" s="1176">
        <v>4407.37</v>
      </c>
    </row>
    <row r="321" spans="1:27" ht="15" hidden="1" outlineLevel="1" thickBot="1" x14ac:dyDescent="0.35">
      <c r="A321" s="1172"/>
      <c r="B321" s="1172"/>
      <c r="C321" s="1172"/>
      <c r="D321" s="1172"/>
      <c r="E321" s="1172"/>
      <c r="F321" s="1172"/>
      <c r="G321" s="1190" t="s">
        <v>871</v>
      </c>
      <c r="H321" s="1190"/>
      <c r="I321" s="1191">
        <v>44879</v>
      </c>
      <c r="J321" s="1190"/>
      <c r="K321" s="1190" t="s">
        <v>1551</v>
      </c>
      <c r="L321" s="1190"/>
      <c r="M321" s="1192"/>
      <c r="N321" s="1190"/>
      <c r="O321" s="1190" t="s">
        <v>1487</v>
      </c>
      <c r="P321" s="1190"/>
      <c r="Q321" s="1190"/>
      <c r="R321" s="1190"/>
      <c r="S321" s="1193"/>
      <c r="T321" s="1190"/>
      <c r="U321" s="1190" t="s">
        <v>500</v>
      </c>
      <c r="V321" s="1190"/>
      <c r="W321" s="1194">
        <v>380.1</v>
      </c>
      <c r="X321" s="1190"/>
      <c r="Y321" s="1194"/>
      <c r="Z321" s="1190"/>
      <c r="AA321" s="1194">
        <v>4787.47</v>
      </c>
    </row>
    <row r="322" spans="1:27" ht="15" hidden="1" outlineLevel="1" thickBot="1" x14ac:dyDescent="0.35">
      <c r="A322" s="1172"/>
      <c r="B322" s="1172"/>
      <c r="C322" s="1172"/>
      <c r="D322" s="1172"/>
      <c r="E322" s="1172"/>
      <c r="F322" s="1172"/>
      <c r="G322" s="1190" t="s">
        <v>871</v>
      </c>
      <c r="H322" s="1190"/>
      <c r="I322" s="1191">
        <v>44879</v>
      </c>
      <c r="J322" s="1190"/>
      <c r="K322" s="1190" t="s">
        <v>1552</v>
      </c>
      <c r="L322" s="1190"/>
      <c r="M322" s="1192"/>
      <c r="N322" s="1190"/>
      <c r="O322" s="1190" t="s">
        <v>1487</v>
      </c>
      <c r="P322" s="1190"/>
      <c r="Q322" s="1190"/>
      <c r="R322" s="1190"/>
      <c r="S322" s="1193"/>
      <c r="T322" s="1190"/>
      <c r="U322" s="1190" t="s">
        <v>500</v>
      </c>
      <c r="V322" s="1190"/>
      <c r="W322" s="1194">
        <v>750</v>
      </c>
      <c r="X322" s="1190"/>
      <c r="Y322" s="1194"/>
      <c r="Z322" s="1190"/>
      <c r="AA322" s="1194">
        <v>5537.47</v>
      </c>
    </row>
    <row r="323" spans="1:27" ht="15" hidden="1" outlineLevel="1" thickBot="1" x14ac:dyDescent="0.35">
      <c r="A323" s="1172"/>
      <c r="B323" s="1172"/>
      <c r="C323" s="1172"/>
      <c r="D323" s="1172"/>
      <c r="E323" s="1172"/>
      <c r="F323" s="1172"/>
      <c r="G323" s="1190" t="s">
        <v>871</v>
      </c>
      <c r="H323" s="1190"/>
      <c r="I323" s="1191">
        <v>44879</v>
      </c>
      <c r="J323" s="1190"/>
      <c r="K323" s="1190" t="s">
        <v>1553</v>
      </c>
      <c r="L323" s="1190"/>
      <c r="M323" s="1192"/>
      <c r="N323" s="1190"/>
      <c r="O323" s="1190" t="s">
        <v>1487</v>
      </c>
      <c r="P323" s="1190"/>
      <c r="Q323" s="1190"/>
      <c r="R323" s="1190"/>
      <c r="S323" s="1193"/>
      <c r="T323" s="1190"/>
      <c r="U323" s="1190" t="s">
        <v>500</v>
      </c>
      <c r="V323" s="1190"/>
      <c r="W323" s="1194">
        <v>750</v>
      </c>
      <c r="X323" s="1190"/>
      <c r="Y323" s="1194"/>
      <c r="Z323" s="1190"/>
      <c r="AA323" s="1194">
        <v>6287.47</v>
      </c>
    </row>
    <row r="324" spans="1:27" ht="15" hidden="1" outlineLevel="1" thickBot="1" x14ac:dyDescent="0.35">
      <c r="A324" s="1172"/>
      <c r="B324" s="1172"/>
      <c r="C324" s="1172"/>
      <c r="D324" s="1172"/>
      <c r="E324" s="1172"/>
      <c r="F324" s="1172"/>
      <c r="G324" s="1190" t="s">
        <v>871</v>
      </c>
      <c r="H324" s="1190"/>
      <c r="I324" s="1191">
        <v>44880</v>
      </c>
      <c r="J324" s="1190"/>
      <c r="K324" s="1190" t="s">
        <v>1554</v>
      </c>
      <c r="L324" s="1190"/>
      <c r="M324" s="1192"/>
      <c r="N324" s="1190"/>
      <c r="O324" s="1190" t="s">
        <v>1487</v>
      </c>
      <c r="P324" s="1190"/>
      <c r="Q324" s="1190"/>
      <c r="R324" s="1190"/>
      <c r="S324" s="1193"/>
      <c r="T324" s="1190"/>
      <c r="U324" s="1190" t="s">
        <v>500</v>
      </c>
      <c r="V324" s="1190"/>
      <c r="W324" s="1194">
        <v>37.5</v>
      </c>
      <c r="X324" s="1190"/>
      <c r="Y324" s="1194"/>
      <c r="Z324" s="1190"/>
      <c r="AA324" s="1194">
        <v>6324.97</v>
      </c>
    </row>
    <row r="325" spans="1:27" ht="15" hidden="1" outlineLevel="1" thickBot="1" x14ac:dyDescent="0.35">
      <c r="A325" s="1172"/>
      <c r="B325" s="1172"/>
      <c r="C325" s="1172"/>
      <c r="D325" s="1172"/>
      <c r="E325" s="1172"/>
      <c r="F325" s="1172"/>
      <c r="G325" s="1190" t="s">
        <v>871</v>
      </c>
      <c r="H325" s="1190"/>
      <c r="I325" s="1191">
        <v>44880</v>
      </c>
      <c r="J325" s="1190"/>
      <c r="K325" s="1190" t="s">
        <v>1555</v>
      </c>
      <c r="L325" s="1190"/>
      <c r="M325" s="1192"/>
      <c r="N325" s="1190"/>
      <c r="O325" s="1190" t="s">
        <v>1487</v>
      </c>
      <c r="P325" s="1190"/>
      <c r="Q325" s="1190"/>
      <c r="R325" s="1190"/>
      <c r="S325" s="1193"/>
      <c r="T325" s="1190"/>
      <c r="U325" s="1190" t="s">
        <v>500</v>
      </c>
      <c r="V325" s="1190"/>
      <c r="W325" s="1194"/>
      <c r="X325" s="1190"/>
      <c r="Y325" s="1194"/>
      <c r="Z325" s="1190"/>
      <c r="AA325" s="1194">
        <v>6324.97</v>
      </c>
    </row>
    <row r="326" spans="1:27" ht="15" hidden="1" outlineLevel="1" thickBot="1" x14ac:dyDescent="0.35">
      <c r="A326" s="1172"/>
      <c r="B326" s="1172"/>
      <c r="C326" s="1172"/>
      <c r="D326" s="1172"/>
      <c r="E326" s="1172"/>
      <c r="F326" s="1172"/>
      <c r="G326" s="1190" t="s">
        <v>871</v>
      </c>
      <c r="H326" s="1190"/>
      <c r="I326" s="1191">
        <v>44880</v>
      </c>
      <c r="J326" s="1190"/>
      <c r="K326" s="1190" t="s">
        <v>1556</v>
      </c>
      <c r="L326" s="1190"/>
      <c r="M326" s="1192"/>
      <c r="N326" s="1190"/>
      <c r="O326" s="1190" t="s">
        <v>1487</v>
      </c>
      <c r="P326" s="1190"/>
      <c r="Q326" s="1190"/>
      <c r="R326" s="1190"/>
      <c r="S326" s="1193"/>
      <c r="T326" s="1190"/>
      <c r="U326" s="1190" t="s">
        <v>500</v>
      </c>
      <c r="V326" s="1190"/>
      <c r="W326" s="1194">
        <v>375</v>
      </c>
      <c r="X326" s="1190"/>
      <c r="Y326" s="1194"/>
      <c r="Z326" s="1190"/>
      <c r="AA326" s="1194">
        <v>6699.97</v>
      </c>
    </row>
    <row r="327" spans="1:27" ht="15" hidden="1" outlineLevel="1" thickBot="1" x14ac:dyDescent="0.35">
      <c r="A327" s="1172"/>
      <c r="B327" s="1172"/>
      <c r="C327" s="1172"/>
      <c r="D327" s="1172"/>
      <c r="E327" s="1172"/>
      <c r="F327" s="1172"/>
      <c r="G327" s="1190" t="s">
        <v>871</v>
      </c>
      <c r="H327" s="1190"/>
      <c r="I327" s="1191">
        <v>44881</v>
      </c>
      <c r="J327" s="1190"/>
      <c r="K327" s="1190" t="s">
        <v>1557</v>
      </c>
      <c r="L327" s="1190"/>
      <c r="M327" s="1192"/>
      <c r="N327" s="1190"/>
      <c r="O327" s="1190" t="s">
        <v>1487</v>
      </c>
      <c r="P327" s="1190"/>
      <c r="Q327" s="1190"/>
      <c r="R327" s="1190"/>
      <c r="S327" s="1193"/>
      <c r="T327" s="1190"/>
      <c r="U327" s="1190" t="s">
        <v>500</v>
      </c>
      <c r="V327" s="1190"/>
      <c r="W327" s="1194"/>
      <c r="X327" s="1190"/>
      <c r="Y327" s="1194"/>
      <c r="Z327" s="1190"/>
      <c r="AA327" s="1194">
        <v>6699.97</v>
      </c>
    </row>
    <row r="328" spans="1:27" ht="15" hidden="1" outlineLevel="1" thickBot="1" x14ac:dyDescent="0.35">
      <c r="A328" s="1172"/>
      <c r="B328" s="1172"/>
      <c r="C328" s="1172"/>
      <c r="D328" s="1172"/>
      <c r="E328" s="1172"/>
      <c r="F328" s="1172"/>
      <c r="G328" s="1172" t="s">
        <v>871</v>
      </c>
      <c r="H328" s="1172"/>
      <c r="I328" s="1173">
        <v>44887</v>
      </c>
      <c r="J328" s="1172"/>
      <c r="K328" s="1172" t="s">
        <v>1558</v>
      </c>
      <c r="L328" s="1172"/>
      <c r="M328" s="1177"/>
      <c r="N328" s="1172"/>
      <c r="O328" s="1172" t="s">
        <v>1494</v>
      </c>
      <c r="P328" s="1172"/>
      <c r="Q328" s="1172"/>
      <c r="R328" s="1172"/>
      <c r="S328" s="1175"/>
      <c r="T328" s="1172"/>
      <c r="U328" s="1172" t="s">
        <v>500</v>
      </c>
      <c r="V328" s="1172"/>
      <c r="W328" s="1176">
        <v>3.28</v>
      </c>
      <c r="X328" s="1172"/>
      <c r="Y328" s="1176"/>
      <c r="Z328" s="1172"/>
      <c r="AA328" s="1176">
        <v>6703.25</v>
      </c>
    </row>
    <row r="329" spans="1:27" ht="15" hidden="1" outlineLevel="1" thickBot="1" x14ac:dyDescent="0.35">
      <c r="A329" s="1172"/>
      <c r="B329" s="1172"/>
      <c r="C329" s="1172"/>
      <c r="D329" s="1172"/>
      <c r="E329" s="1172"/>
      <c r="F329" s="1172"/>
      <c r="G329" s="1172" t="s">
        <v>871</v>
      </c>
      <c r="H329" s="1172"/>
      <c r="I329" s="1173">
        <v>44887</v>
      </c>
      <c r="J329" s="1172"/>
      <c r="K329" s="1172" t="s">
        <v>1559</v>
      </c>
      <c r="L329" s="1172"/>
      <c r="M329" s="1177"/>
      <c r="N329" s="1172"/>
      <c r="O329" s="1172" t="s">
        <v>1494</v>
      </c>
      <c r="P329" s="1172"/>
      <c r="Q329" s="1172"/>
      <c r="R329" s="1172"/>
      <c r="S329" s="1175"/>
      <c r="T329" s="1172"/>
      <c r="U329" s="1172" t="s">
        <v>500</v>
      </c>
      <c r="V329" s="1172"/>
      <c r="W329" s="1176">
        <v>8.23</v>
      </c>
      <c r="X329" s="1172"/>
      <c r="Y329" s="1176"/>
      <c r="Z329" s="1172"/>
      <c r="AA329" s="1176">
        <v>6711.48</v>
      </c>
    </row>
    <row r="330" spans="1:27" ht="15" hidden="1" outlineLevel="1" thickBot="1" x14ac:dyDescent="0.35">
      <c r="A330" s="1172"/>
      <c r="B330" s="1172"/>
      <c r="C330" s="1172"/>
      <c r="D330" s="1172"/>
      <c r="E330" s="1172"/>
      <c r="F330" s="1172"/>
      <c r="G330" s="1172" t="s">
        <v>871</v>
      </c>
      <c r="H330" s="1172"/>
      <c r="I330" s="1173">
        <v>44887</v>
      </c>
      <c r="J330" s="1172"/>
      <c r="K330" s="1172" t="s">
        <v>1560</v>
      </c>
      <c r="L330" s="1172"/>
      <c r="M330" s="1177"/>
      <c r="N330" s="1172"/>
      <c r="O330" s="1172" t="s">
        <v>1494</v>
      </c>
      <c r="P330" s="1172"/>
      <c r="Q330" s="1172"/>
      <c r="R330" s="1172"/>
      <c r="S330" s="1175"/>
      <c r="T330" s="1172"/>
      <c r="U330" s="1172" t="s">
        <v>500</v>
      </c>
      <c r="V330" s="1172"/>
      <c r="W330" s="1176">
        <v>91.45</v>
      </c>
      <c r="X330" s="1172"/>
      <c r="Y330" s="1176"/>
      <c r="Z330" s="1172"/>
      <c r="AA330" s="1176">
        <v>6802.93</v>
      </c>
    </row>
    <row r="331" spans="1:27" ht="15" hidden="1" outlineLevel="1" thickBot="1" x14ac:dyDescent="0.35">
      <c r="A331" s="1172"/>
      <c r="B331" s="1172"/>
      <c r="C331" s="1172"/>
      <c r="D331" s="1172"/>
      <c r="E331" s="1172"/>
      <c r="F331" s="1172"/>
      <c r="G331" s="1172" t="s">
        <v>871</v>
      </c>
      <c r="H331" s="1172"/>
      <c r="I331" s="1173">
        <v>44895</v>
      </c>
      <c r="J331" s="1172"/>
      <c r="K331" s="1172" t="s">
        <v>1561</v>
      </c>
      <c r="L331" s="1172"/>
      <c r="M331" s="1177"/>
      <c r="N331" s="1172"/>
      <c r="O331" s="1172" t="s">
        <v>1437</v>
      </c>
      <c r="P331" s="1172"/>
      <c r="Q331" s="1172"/>
      <c r="R331" s="1172"/>
      <c r="S331" s="1175"/>
      <c r="T331" s="1172"/>
      <c r="U331" s="1172" t="s">
        <v>500</v>
      </c>
      <c r="V331" s="1172"/>
      <c r="W331" s="1176">
        <v>100</v>
      </c>
      <c r="X331" s="1172"/>
      <c r="Y331" s="1176"/>
      <c r="Z331" s="1172"/>
      <c r="AA331" s="1176">
        <v>6902.93</v>
      </c>
    </row>
    <row r="332" spans="1:27" ht="15" hidden="1" outlineLevel="1" thickBot="1" x14ac:dyDescent="0.35">
      <c r="A332" s="1172"/>
      <c r="B332" s="1172"/>
      <c r="C332" s="1172"/>
      <c r="D332" s="1172"/>
      <c r="E332" s="1172"/>
      <c r="F332" s="1172"/>
      <c r="G332" s="1172" t="s">
        <v>871</v>
      </c>
      <c r="H332" s="1172"/>
      <c r="I332" s="1173">
        <v>44896</v>
      </c>
      <c r="J332" s="1172"/>
      <c r="K332" s="1172" t="s">
        <v>1562</v>
      </c>
      <c r="L332" s="1172"/>
      <c r="M332" s="1177"/>
      <c r="N332" s="1172"/>
      <c r="O332" s="1172" t="s">
        <v>1411</v>
      </c>
      <c r="P332" s="1172"/>
      <c r="Q332" s="1172"/>
      <c r="R332" s="1172"/>
      <c r="S332" s="1175"/>
      <c r="T332" s="1172"/>
      <c r="U332" s="1172" t="s">
        <v>500</v>
      </c>
      <c r="V332" s="1172"/>
      <c r="W332" s="1176">
        <v>5</v>
      </c>
      <c r="X332" s="1172"/>
      <c r="Y332" s="1176"/>
      <c r="Z332" s="1172"/>
      <c r="AA332" s="1176">
        <v>6907.93</v>
      </c>
    </row>
    <row r="333" spans="1:27" ht="15" hidden="1" outlineLevel="1" thickBot="1" x14ac:dyDescent="0.35">
      <c r="A333" s="1172"/>
      <c r="B333" s="1172"/>
      <c r="C333" s="1172"/>
      <c r="D333" s="1172"/>
      <c r="E333" s="1172"/>
      <c r="F333" s="1172"/>
      <c r="G333" s="1172" t="s">
        <v>871</v>
      </c>
      <c r="H333" s="1172"/>
      <c r="I333" s="1173">
        <v>44926</v>
      </c>
      <c r="J333" s="1172"/>
      <c r="K333" s="1172" t="s">
        <v>1563</v>
      </c>
      <c r="L333" s="1172"/>
      <c r="M333" s="1177"/>
      <c r="N333" s="1172"/>
      <c r="O333" s="1172" t="s">
        <v>1437</v>
      </c>
      <c r="P333" s="1172"/>
      <c r="Q333" s="1172"/>
      <c r="R333" s="1172"/>
      <c r="S333" s="1175"/>
      <c r="T333" s="1172"/>
      <c r="U333" s="1172" t="s">
        <v>500</v>
      </c>
      <c r="V333" s="1172"/>
      <c r="W333" s="1176">
        <v>87.5</v>
      </c>
      <c r="X333" s="1172"/>
      <c r="Y333" s="1176"/>
      <c r="Z333" s="1172"/>
      <c r="AA333" s="1176">
        <v>6995.43</v>
      </c>
    </row>
    <row r="334" spans="1:27" ht="15" collapsed="1" thickBot="1" x14ac:dyDescent="0.35">
      <c r="A334" s="1172"/>
      <c r="B334" s="1172"/>
      <c r="C334" s="1172" t="s">
        <v>1586</v>
      </c>
      <c r="D334" s="1172"/>
      <c r="E334" s="1172"/>
      <c r="F334" s="1172"/>
      <c r="G334" s="1172"/>
      <c r="H334" s="1172"/>
      <c r="I334" s="1173"/>
      <c r="J334" s="1172"/>
      <c r="K334" s="1172"/>
      <c r="L334" s="1172"/>
      <c r="M334" s="1177"/>
      <c r="N334" s="1172"/>
      <c r="O334" s="1172"/>
      <c r="P334" s="1172"/>
      <c r="Q334" s="1172"/>
      <c r="R334" s="1172"/>
      <c r="S334" s="1172"/>
      <c r="T334" s="1172"/>
      <c r="U334" s="1172"/>
      <c r="V334" s="1172"/>
      <c r="W334" s="1183">
        <f>ROUND(SUM(W270:W333),5)</f>
        <v>6995.43</v>
      </c>
      <c r="X334" s="1172"/>
      <c r="Y334" s="1183">
        <f>ROUND(SUM(Y270:Y333),5)</f>
        <v>0</v>
      </c>
      <c r="Z334" s="1172"/>
      <c r="AA334" s="1183">
        <f>AA333</f>
        <v>6995.43</v>
      </c>
    </row>
    <row r="335" spans="1:27" x14ac:dyDescent="0.3">
      <c r="A335" s="1172"/>
      <c r="B335" s="1172" t="s">
        <v>1587</v>
      </c>
      <c r="C335" s="1172"/>
      <c r="D335" s="1172"/>
      <c r="E335" s="1172"/>
      <c r="F335" s="1172"/>
      <c r="G335" s="1172"/>
      <c r="H335" s="1172"/>
      <c r="I335" s="1173"/>
      <c r="J335" s="1172"/>
      <c r="K335" s="1172"/>
      <c r="L335" s="1172"/>
      <c r="M335" s="1177"/>
      <c r="N335" s="1172"/>
      <c r="O335" s="1172"/>
      <c r="P335" s="1172"/>
      <c r="Q335" s="1172"/>
      <c r="R335" s="1172"/>
      <c r="S335" s="1172"/>
      <c r="T335" s="1172"/>
      <c r="U335" s="1172"/>
      <c r="V335" s="1172"/>
      <c r="W335" s="1176">
        <f>W334</f>
        <v>6995.43</v>
      </c>
      <c r="X335" s="1172"/>
      <c r="Y335" s="1176">
        <f>Y334</f>
        <v>0</v>
      </c>
      <c r="Z335" s="1172"/>
      <c r="AA335" s="1176">
        <f>AA334</f>
        <v>6995.43</v>
      </c>
    </row>
    <row r="336" spans="1:27" x14ac:dyDescent="0.3">
      <c r="A336" s="1168"/>
      <c r="B336" s="1168" t="s">
        <v>1588</v>
      </c>
      <c r="C336" s="1168"/>
      <c r="D336" s="1168"/>
      <c r="E336" s="1168"/>
      <c r="F336" s="1168"/>
      <c r="G336" s="1168"/>
      <c r="H336" s="1168"/>
      <c r="I336" s="1169"/>
      <c r="J336" s="1168"/>
      <c r="K336" s="1168"/>
      <c r="L336" s="1168"/>
      <c r="M336" s="1170"/>
      <c r="N336" s="1168"/>
      <c r="O336" s="1168"/>
      <c r="P336" s="1168"/>
      <c r="Q336" s="1168"/>
      <c r="R336" s="1168"/>
      <c r="S336" s="1168"/>
      <c r="T336" s="1168"/>
      <c r="U336" s="1168"/>
      <c r="V336" s="1168"/>
      <c r="W336" s="1171"/>
      <c r="X336" s="1168"/>
      <c r="Y336" s="1171"/>
      <c r="Z336" s="1168"/>
      <c r="AA336" s="1171"/>
    </row>
    <row r="337" spans="1:27" x14ac:dyDescent="0.3">
      <c r="A337" s="1168"/>
      <c r="B337" s="1168"/>
      <c r="C337" s="1168" t="s">
        <v>1496</v>
      </c>
      <c r="D337" s="1168"/>
      <c r="E337" s="1168"/>
      <c r="F337" s="1168"/>
      <c r="G337" s="1168"/>
      <c r="H337" s="1168"/>
      <c r="I337" s="1169"/>
      <c r="J337" s="1168"/>
      <c r="K337" s="1168"/>
      <c r="L337" s="1168"/>
      <c r="M337" s="1170"/>
      <c r="N337" s="1168"/>
      <c r="O337" s="1168"/>
      <c r="P337" s="1168"/>
      <c r="Q337" s="1168"/>
      <c r="R337" s="1168"/>
      <c r="S337" s="1168"/>
      <c r="T337" s="1168"/>
      <c r="U337" s="1168"/>
      <c r="V337" s="1168"/>
      <c r="W337" s="1171"/>
      <c r="X337" s="1168"/>
      <c r="Y337" s="1171"/>
      <c r="Z337" s="1168"/>
      <c r="AA337" s="1171"/>
    </row>
    <row r="338" spans="1:27" ht="15" thickBot="1" x14ac:dyDescent="0.35">
      <c r="A338" s="1184"/>
      <c r="B338" s="1184"/>
      <c r="C338" s="1184"/>
      <c r="D338" s="1184"/>
      <c r="E338" s="1172"/>
      <c r="F338" s="1172"/>
      <c r="G338" s="1172" t="s">
        <v>1395</v>
      </c>
      <c r="H338" s="1172"/>
      <c r="I338" s="1173">
        <v>44895</v>
      </c>
      <c r="J338" s="1172"/>
      <c r="K338" s="1172" t="s">
        <v>1495</v>
      </c>
      <c r="L338" s="1172"/>
      <c r="M338" s="1174" t="s">
        <v>1397</v>
      </c>
      <c r="N338" s="1172"/>
      <c r="O338" s="1172"/>
      <c r="P338" s="1172"/>
      <c r="Q338" s="1172"/>
      <c r="R338" s="1172"/>
      <c r="S338" s="1175"/>
      <c r="T338" s="1172"/>
      <c r="U338" s="1172" t="s">
        <v>1394</v>
      </c>
      <c r="V338" s="1172"/>
      <c r="W338" s="1176">
        <v>520000</v>
      </c>
      <c r="X338" s="1172"/>
      <c r="Y338" s="1176"/>
      <c r="Z338" s="1172"/>
      <c r="AA338" s="1176">
        <v>520000</v>
      </c>
    </row>
    <row r="339" spans="1:27" ht="15" thickBot="1" x14ac:dyDescent="0.35">
      <c r="A339" s="1172"/>
      <c r="B339" s="1172"/>
      <c r="C339" s="1172" t="s">
        <v>1589</v>
      </c>
      <c r="D339" s="1172"/>
      <c r="E339" s="1172"/>
      <c r="F339" s="1172"/>
      <c r="G339" s="1172"/>
      <c r="H339" s="1172"/>
      <c r="I339" s="1173"/>
      <c r="J339" s="1172"/>
      <c r="K339" s="1172"/>
      <c r="L339" s="1172"/>
      <c r="M339" s="1177"/>
      <c r="N339" s="1172"/>
      <c r="O339" s="1172"/>
      <c r="P339" s="1172"/>
      <c r="Q339" s="1172"/>
      <c r="R339" s="1172"/>
      <c r="S339" s="1172"/>
      <c r="T339" s="1172"/>
      <c r="U339" s="1172"/>
      <c r="V339" s="1172"/>
      <c r="W339" s="1183">
        <f>ROUND(SUM(W337:W338),5)</f>
        <v>520000</v>
      </c>
      <c r="X339" s="1172"/>
      <c r="Y339" s="1183">
        <f>ROUND(SUM(Y337:Y338),5)</f>
        <v>0</v>
      </c>
      <c r="Z339" s="1172"/>
      <c r="AA339" s="1183">
        <f>AA338</f>
        <v>520000</v>
      </c>
    </row>
    <row r="340" spans="1:27" x14ac:dyDescent="0.3">
      <c r="A340" s="1172"/>
      <c r="B340" s="1172" t="s">
        <v>1590</v>
      </c>
      <c r="C340" s="1172"/>
      <c r="D340" s="1172"/>
      <c r="E340" s="1172"/>
      <c r="F340" s="1172"/>
      <c r="G340" s="1172"/>
      <c r="H340" s="1172"/>
      <c r="I340" s="1173"/>
      <c r="J340" s="1172"/>
      <c r="K340" s="1172"/>
      <c r="L340" s="1172"/>
      <c r="M340" s="1177"/>
      <c r="N340" s="1172"/>
      <c r="O340" s="1172"/>
      <c r="P340" s="1172"/>
      <c r="Q340" s="1172"/>
      <c r="R340" s="1172"/>
      <c r="S340" s="1172"/>
      <c r="T340" s="1172"/>
      <c r="U340" s="1172"/>
      <c r="V340" s="1172"/>
      <c r="W340" s="1176">
        <f>W339</f>
        <v>520000</v>
      </c>
      <c r="X340" s="1172"/>
      <c r="Y340" s="1176">
        <f>Y339</f>
        <v>0</v>
      </c>
      <c r="Z340" s="1172"/>
      <c r="AA340" s="1176">
        <f>AA339</f>
        <v>520000</v>
      </c>
    </row>
    <row r="341" spans="1:27" x14ac:dyDescent="0.3">
      <c r="A341" s="1168"/>
      <c r="B341" s="1168" t="s">
        <v>1591</v>
      </c>
      <c r="C341" s="1168"/>
      <c r="D341" s="1168"/>
      <c r="E341" s="1168"/>
      <c r="F341" s="1168"/>
      <c r="G341" s="1168"/>
      <c r="H341" s="1168"/>
      <c r="I341" s="1169"/>
      <c r="J341" s="1168"/>
      <c r="K341" s="1168"/>
      <c r="L341" s="1168"/>
      <c r="M341" s="1170"/>
      <c r="N341" s="1168"/>
      <c r="O341" s="1168"/>
      <c r="P341" s="1168"/>
      <c r="Q341" s="1168"/>
      <c r="R341" s="1168"/>
      <c r="S341" s="1168"/>
      <c r="T341" s="1168"/>
      <c r="U341" s="1168"/>
      <c r="V341" s="1168"/>
      <c r="W341" s="1171"/>
      <c r="X341" s="1168"/>
      <c r="Y341" s="1171"/>
      <c r="Z341" s="1168"/>
      <c r="AA341" s="1171"/>
    </row>
    <row r="342" spans="1:27" hidden="1" outlineLevel="1" x14ac:dyDescent="0.3">
      <c r="A342" s="1168"/>
      <c r="B342" s="1168"/>
      <c r="C342" s="1168" t="s">
        <v>1592</v>
      </c>
      <c r="D342" s="1168"/>
      <c r="E342" s="1168"/>
      <c r="F342" s="1168"/>
      <c r="G342" s="1168"/>
      <c r="H342" s="1168"/>
      <c r="I342" s="1169"/>
      <c r="J342" s="1168"/>
      <c r="K342" s="1168"/>
      <c r="L342" s="1168"/>
      <c r="M342" s="1170"/>
      <c r="N342" s="1168"/>
      <c r="O342" s="1168"/>
      <c r="P342" s="1168"/>
      <c r="Q342" s="1168"/>
      <c r="R342" s="1168"/>
      <c r="S342" s="1168"/>
      <c r="T342" s="1168"/>
      <c r="U342" s="1168"/>
      <c r="V342" s="1168"/>
      <c r="W342" s="1171"/>
      <c r="X342" s="1168"/>
      <c r="Y342" s="1171"/>
      <c r="Z342" s="1168"/>
      <c r="AA342" s="1171"/>
    </row>
    <row r="343" spans="1:27" hidden="1" outlineLevel="1" x14ac:dyDescent="0.3">
      <c r="A343" s="1168"/>
      <c r="B343" s="1168"/>
      <c r="C343" s="1168"/>
      <c r="D343" s="1168" t="s">
        <v>1405</v>
      </c>
      <c r="E343" s="1168"/>
      <c r="F343" s="1168"/>
      <c r="G343" s="1168"/>
      <c r="H343" s="1168"/>
      <c r="I343" s="1169"/>
      <c r="J343" s="1168"/>
      <c r="K343" s="1168"/>
      <c r="L343" s="1168"/>
      <c r="M343" s="1170"/>
      <c r="N343" s="1168"/>
      <c r="O343" s="1168"/>
      <c r="P343" s="1168"/>
      <c r="Q343" s="1168"/>
      <c r="R343" s="1168"/>
      <c r="S343" s="1168"/>
      <c r="T343" s="1168"/>
      <c r="U343" s="1168"/>
      <c r="V343" s="1168"/>
      <c r="W343" s="1171"/>
      <c r="X343" s="1168"/>
      <c r="Y343" s="1171"/>
      <c r="Z343" s="1168"/>
      <c r="AA343" s="1171"/>
    </row>
    <row r="344" spans="1:27" hidden="1" outlineLevel="1" x14ac:dyDescent="0.3">
      <c r="A344" s="1172"/>
      <c r="B344" s="1172"/>
      <c r="C344" s="1172"/>
      <c r="D344" s="1172"/>
      <c r="E344" s="1172"/>
      <c r="F344" s="1172"/>
      <c r="G344" s="1172" t="s">
        <v>1395</v>
      </c>
      <c r="H344" s="1172"/>
      <c r="I344" s="1173">
        <v>44260</v>
      </c>
      <c r="J344" s="1172"/>
      <c r="K344" s="1172" t="s">
        <v>1500</v>
      </c>
      <c r="L344" s="1172"/>
      <c r="M344" s="1174" t="s">
        <v>1397</v>
      </c>
      <c r="N344" s="1172"/>
      <c r="O344" s="1172" t="s">
        <v>1330</v>
      </c>
      <c r="P344" s="1172"/>
      <c r="Q344" s="1172" t="s">
        <v>1501</v>
      </c>
      <c r="R344" s="1172"/>
      <c r="S344" s="1175"/>
      <c r="T344" s="1172"/>
      <c r="U344" s="1172" t="s">
        <v>1499</v>
      </c>
      <c r="V344" s="1172"/>
      <c r="W344" s="1176"/>
      <c r="X344" s="1172"/>
      <c r="Y344" s="1176">
        <v>1</v>
      </c>
      <c r="Z344" s="1172"/>
      <c r="AA344" s="1176">
        <v>-1</v>
      </c>
    </row>
    <row r="345" spans="1:27" ht="15" hidden="1" outlineLevel="1" thickBot="1" x14ac:dyDescent="0.35">
      <c r="A345" s="1172"/>
      <c r="B345" s="1172"/>
      <c r="C345" s="1172"/>
      <c r="D345" s="1172"/>
      <c r="E345" s="1172"/>
      <c r="F345" s="1172"/>
      <c r="G345" s="1172" t="s">
        <v>1395</v>
      </c>
      <c r="H345" s="1172"/>
      <c r="I345" s="1173">
        <v>44316</v>
      </c>
      <c r="J345" s="1172"/>
      <c r="K345" s="1172" t="s">
        <v>1403</v>
      </c>
      <c r="L345" s="1172"/>
      <c r="M345" s="1174" t="s">
        <v>1397</v>
      </c>
      <c r="N345" s="1172"/>
      <c r="O345" s="1172"/>
      <c r="P345" s="1172"/>
      <c r="Q345" s="1172" t="s">
        <v>1404</v>
      </c>
      <c r="R345" s="1172"/>
      <c r="S345" s="1175"/>
      <c r="T345" s="1172"/>
      <c r="U345" s="1172" t="s">
        <v>1394</v>
      </c>
      <c r="V345" s="1172"/>
      <c r="W345" s="1182"/>
      <c r="X345" s="1172"/>
      <c r="Y345" s="1182">
        <v>70000</v>
      </c>
      <c r="Z345" s="1172"/>
      <c r="AA345" s="1182">
        <v>-70001</v>
      </c>
    </row>
    <row r="346" spans="1:27" hidden="1" outlineLevel="1" x14ac:dyDescent="0.3">
      <c r="A346" s="1172"/>
      <c r="B346" s="1172"/>
      <c r="C346" s="1172"/>
      <c r="D346" s="1172" t="s">
        <v>1593</v>
      </c>
      <c r="E346" s="1172"/>
      <c r="F346" s="1172"/>
      <c r="G346" s="1172"/>
      <c r="H346" s="1172"/>
      <c r="I346" s="1173"/>
      <c r="J346" s="1172"/>
      <c r="K346" s="1172"/>
      <c r="L346" s="1172"/>
      <c r="M346" s="1177"/>
      <c r="N346" s="1172"/>
      <c r="O346" s="1172"/>
      <c r="P346" s="1172"/>
      <c r="Q346" s="1172"/>
      <c r="R346" s="1172"/>
      <c r="S346" s="1172"/>
      <c r="T346" s="1172"/>
      <c r="U346" s="1172"/>
      <c r="V346" s="1172"/>
      <c r="W346" s="1176">
        <f>ROUND(SUM(W343:W345),5)</f>
        <v>0</v>
      </c>
      <c r="X346" s="1172"/>
      <c r="Y346" s="1176">
        <f>ROUND(SUM(Y343:Y345),5)</f>
        <v>70001</v>
      </c>
      <c r="Z346" s="1172"/>
      <c r="AA346" s="1176">
        <f>AA345</f>
        <v>-70001</v>
      </c>
    </row>
    <row r="347" spans="1:27" hidden="1" outlineLevel="1" x14ac:dyDescent="0.3">
      <c r="A347" s="1168"/>
      <c r="B347" s="1168"/>
      <c r="C347" s="1168"/>
      <c r="D347" s="1168" t="s">
        <v>1399</v>
      </c>
      <c r="E347" s="1168"/>
      <c r="F347" s="1168"/>
      <c r="G347" s="1168"/>
      <c r="H347" s="1168"/>
      <c r="I347" s="1169"/>
      <c r="J347" s="1168"/>
      <c r="K347" s="1168"/>
      <c r="L347" s="1168"/>
      <c r="M347" s="1170"/>
      <c r="N347" s="1168"/>
      <c r="O347" s="1168"/>
      <c r="P347" s="1168"/>
      <c r="Q347" s="1168"/>
      <c r="R347" s="1168"/>
      <c r="S347" s="1168"/>
      <c r="T347" s="1168"/>
      <c r="U347" s="1168"/>
      <c r="V347" s="1168"/>
      <c r="W347" s="1171"/>
      <c r="X347" s="1168"/>
      <c r="Y347" s="1171"/>
      <c r="Z347" s="1168"/>
      <c r="AA347" s="1171"/>
    </row>
    <row r="348" spans="1:27" ht="15" hidden="1" outlineLevel="1" thickBot="1" x14ac:dyDescent="0.35">
      <c r="A348" s="1184"/>
      <c r="B348" s="1184"/>
      <c r="C348" s="1184"/>
      <c r="D348" s="1184"/>
      <c r="E348" s="1172"/>
      <c r="F348" s="1172"/>
      <c r="G348" s="1172" t="s">
        <v>1395</v>
      </c>
      <c r="H348" s="1172"/>
      <c r="I348" s="1173">
        <v>44314</v>
      </c>
      <c r="J348" s="1172"/>
      <c r="K348" s="1172" t="s">
        <v>1396</v>
      </c>
      <c r="L348" s="1172"/>
      <c r="M348" s="1174" t="s">
        <v>1397</v>
      </c>
      <c r="N348" s="1172"/>
      <c r="O348" s="1172"/>
      <c r="P348" s="1172"/>
      <c r="Q348" s="1172" t="s">
        <v>1398</v>
      </c>
      <c r="R348" s="1172"/>
      <c r="S348" s="1175"/>
      <c r="T348" s="1172"/>
      <c r="U348" s="1172" t="s">
        <v>1394</v>
      </c>
      <c r="V348" s="1172"/>
      <c r="W348" s="1182"/>
      <c r="X348" s="1172"/>
      <c r="Y348" s="1182">
        <v>20000</v>
      </c>
      <c r="Z348" s="1172"/>
      <c r="AA348" s="1182">
        <v>-20000</v>
      </c>
    </row>
    <row r="349" spans="1:27" hidden="1" outlineLevel="1" x14ac:dyDescent="0.3">
      <c r="A349" s="1172"/>
      <c r="B349" s="1172"/>
      <c r="C349" s="1172"/>
      <c r="D349" s="1172" t="s">
        <v>1594</v>
      </c>
      <c r="E349" s="1172"/>
      <c r="F349" s="1172"/>
      <c r="G349" s="1172"/>
      <c r="H349" s="1172"/>
      <c r="I349" s="1173"/>
      <c r="J349" s="1172"/>
      <c r="K349" s="1172"/>
      <c r="L349" s="1172"/>
      <c r="M349" s="1177"/>
      <c r="N349" s="1172"/>
      <c r="O349" s="1172"/>
      <c r="P349" s="1172"/>
      <c r="Q349" s="1172"/>
      <c r="R349" s="1172"/>
      <c r="S349" s="1172"/>
      <c r="T349" s="1172"/>
      <c r="U349" s="1172"/>
      <c r="V349" s="1172"/>
      <c r="W349" s="1176">
        <f>ROUND(SUM(W347:W348),5)</f>
        <v>0</v>
      </c>
      <c r="X349" s="1172"/>
      <c r="Y349" s="1176">
        <f>ROUND(SUM(Y347:Y348),5)</f>
        <v>20000</v>
      </c>
      <c r="Z349" s="1172"/>
      <c r="AA349" s="1176">
        <f>AA348</f>
        <v>-20000</v>
      </c>
    </row>
    <row r="350" spans="1:27" hidden="1" outlineLevel="1" x14ac:dyDescent="0.3">
      <c r="A350" s="1168"/>
      <c r="B350" s="1168"/>
      <c r="C350" s="1168"/>
      <c r="D350" s="1168" t="s">
        <v>1402</v>
      </c>
      <c r="E350" s="1168"/>
      <c r="F350" s="1168"/>
      <c r="G350" s="1168"/>
      <c r="H350" s="1168"/>
      <c r="I350" s="1169"/>
      <c r="J350" s="1168"/>
      <c r="K350" s="1168"/>
      <c r="L350" s="1168"/>
      <c r="M350" s="1170"/>
      <c r="N350" s="1168"/>
      <c r="O350" s="1168"/>
      <c r="P350" s="1168"/>
      <c r="Q350" s="1168"/>
      <c r="R350" s="1168"/>
      <c r="S350" s="1168"/>
      <c r="T350" s="1168"/>
      <c r="U350" s="1168"/>
      <c r="V350" s="1168"/>
      <c r="W350" s="1171"/>
      <c r="X350" s="1168"/>
      <c r="Y350" s="1171"/>
      <c r="Z350" s="1168"/>
      <c r="AA350" s="1171"/>
    </row>
    <row r="351" spans="1:27" hidden="1" outlineLevel="1" x14ac:dyDescent="0.3">
      <c r="A351" s="1184"/>
      <c r="B351" s="1184"/>
      <c r="C351" s="1184"/>
      <c r="D351" s="1184"/>
      <c r="E351" s="1172"/>
      <c r="F351" s="1172"/>
      <c r="G351" s="1172" t="s">
        <v>1395</v>
      </c>
      <c r="H351" s="1172"/>
      <c r="I351" s="1173">
        <v>44314</v>
      </c>
      <c r="J351" s="1172"/>
      <c r="K351" s="1172" t="s">
        <v>1400</v>
      </c>
      <c r="L351" s="1172"/>
      <c r="M351" s="1174" t="s">
        <v>1397</v>
      </c>
      <c r="N351" s="1172"/>
      <c r="O351" s="1172"/>
      <c r="P351" s="1172"/>
      <c r="Q351" s="1172" t="s">
        <v>1401</v>
      </c>
      <c r="R351" s="1172"/>
      <c r="S351" s="1175"/>
      <c r="T351" s="1172"/>
      <c r="U351" s="1172" t="s">
        <v>1394</v>
      </c>
      <c r="V351" s="1172"/>
      <c r="W351" s="1176"/>
      <c r="X351" s="1172"/>
      <c r="Y351" s="1176">
        <v>10000</v>
      </c>
      <c r="Z351" s="1172"/>
      <c r="AA351" s="1176">
        <v>-10000</v>
      </c>
    </row>
    <row r="352" spans="1:27" ht="15" hidden="1" outlineLevel="1" thickBot="1" x14ac:dyDescent="0.35">
      <c r="A352" s="1172"/>
      <c r="B352" s="1172"/>
      <c r="C352" s="1172"/>
      <c r="D352" s="1172" t="s">
        <v>1595</v>
      </c>
      <c r="E352" s="1172"/>
      <c r="F352" s="1172"/>
      <c r="G352" s="1172"/>
      <c r="H352" s="1172"/>
      <c r="I352" s="1173"/>
      <c r="J352" s="1172"/>
      <c r="K352" s="1172"/>
      <c r="L352" s="1172"/>
      <c r="M352" s="1177"/>
      <c r="N352" s="1172"/>
      <c r="O352" s="1172"/>
      <c r="P352" s="1172"/>
      <c r="Q352" s="1172"/>
      <c r="R352" s="1172"/>
      <c r="S352" s="1172"/>
      <c r="T352" s="1172"/>
      <c r="U352" s="1172"/>
      <c r="V352" s="1172"/>
      <c r="W352" s="1183">
        <f>ROUND(SUM(W350:W351),5)</f>
        <v>0</v>
      </c>
      <c r="X352" s="1172"/>
      <c r="Y352" s="1183">
        <f>ROUND(SUM(Y350:Y351),5)</f>
        <v>10000</v>
      </c>
      <c r="Z352" s="1172"/>
      <c r="AA352" s="1183">
        <f>AA351</f>
        <v>-10000</v>
      </c>
    </row>
    <row r="353" spans="1:27" hidden="1" outlineLevel="1" x14ac:dyDescent="0.3">
      <c r="A353" s="1172"/>
      <c r="B353" s="1172"/>
      <c r="C353" s="1172" t="s">
        <v>1596</v>
      </c>
      <c r="D353" s="1172"/>
      <c r="E353" s="1172"/>
      <c r="F353" s="1172"/>
      <c r="G353" s="1172"/>
      <c r="H353" s="1172"/>
      <c r="I353" s="1173"/>
      <c r="J353" s="1172"/>
      <c r="K353" s="1172"/>
      <c r="L353" s="1172"/>
      <c r="M353" s="1177"/>
      <c r="N353" s="1172"/>
      <c r="O353" s="1172"/>
      <c r="P353" s="1172"/>
      <c r="Q353" s="1172"/>
      <c r="R353" s="1172"/>
      <c r="S353" s="1172"/>
      <c r="T353" s="1172"/>
      <c r="U353" s="1172"/>
      <c r="V353" s="1172"/>
      <c r="W353" s="1176">
        <f>ROUND(W346+W349+W352,5)</f>
        <v>0</v>
      </c>
      <c r="X353" s="1172"/>
      <c r="Y353" s="1176">
        <f>ROUND(Y346+Y349+Y352,5)</f>
        <v>100001</v>
      </c>
      <c r="Z353" s="1172"/>
      <c r="AA353" s="1176">
        <f>ROUND(AA346+AA349+AA352,5)</f>
        <v>-100001</v>
      </c>
    </row>
    <row r="354" spans="1:27" hidden="1" outlineLevel="1" x14ac:dyDescent="0.3">
      <c r="A354" s="1168"/>
      <c r="B354" s="1168"/>
      <c r="C354" s="1168" t="s">
        <v>1423</v>
      </c>
      <c r="D354" s="1168"/>
      <c r="E354" s="1168"/>
      <c r="F354" s="1168"/>
      <c r="G354" s="1168"/>
      <c r="H354" s="1168"/>
      <c r="I354" s="1169"/>
      <c r="J354" s="1168"/>
      <c r="K354" s="1168"/>
      <c r="L354" s="1168"/>
      <c r="M354" s="1170"/>
      <c r="N354" s="1168"/>
      <c r="O354" s="1168"/>
      <c r="P354" s="1168"/>
      <c r="Q354" s="1168"/>
      <c r="R354" s="1168"/>
      <c r="S354" s="1168"/>
      <c r="T354" s="1168"/>
      <c r="U354" s="1168"/>
      <c r="V354" s="1168"/>
      <c r="W354" s="1171"/>
      <c r="X354" s="1168"/>
      <c r="Y354" s="1171"/>
      <c r="Z354" s="1168"/>
      <c r="AA354" s="1171"/>
    </row>
    <row r="355" spans="1:27" hidden="1" outlineLevel="2" x14ac:dyDescent="0.3">
      <c r="A355" s="1172"/>
      <c r="B355" s="1172"/>
      <c r="C355" s="1172"/>
      <c r="D355" s="1172"/>
      <c r="E355" s="1172"/>
      <c r="F355" s="1172"/>
      <c r="G355" s="1172" t="s">
        <v>1395</v>
      </c>
      <c r="H355" s="1172"/>
      <c r="I355" s="1173">
        <v>44396</v>
      </c>
      <c r="J355" s="1172"/>
      <c r="K355" s="1172" t="s">
        <v>1414</v>
      </c>
      <c r="L355" s="1172"/>
      <c r="M355" s="1174" t="s">
        <v>1397</v>
      </c>
      <c r="N355" s="1172"/>
      <c r="O355" s="1172"/>
      <c r="P355" s="1172"/>
      <c r="Q355" s="1172" t="s">
        <v>1415</v>
      </c>
      <c r="R355" s="1172"/>
      <c r="S355" s="1175"/>
      <c r="T355" s="1172"/>
      <c r="U355" s="1172" t="s">
        <v>1394</v>
      </c>
      <c r="V355" s="1172"/>
      <c r="W355" s="1176"/>
      <c r="X355" s="1172"/>
      <c r="Y355" s="1176">
        <v>27200</v>
      </c>
      <c r="Z355" s="1172"/>
      <c r="AA355" s="1176">
        <v>-27200</v>
      </c>
    </row>
    <row r="356" spans="1:27" hidden="1" outlineLevel="2" x14ac:dyDescent="0.3">
      <c r="A356" s="1172"/>
      <c r="B356" s="1172"/>
      <c r="C356" s="1172"/>
      <c r="D356" s="1172"/>
      <c r="E356" s="1172"/>
      <c r="F356" s="1172"/>
      <c r="G356" s="1172" t="s">
        <v>1395</v>
      </c>
      <c r="H356" s="1172"/>
      <c r="I356" s="1173">
        <v>44439</v>
      </c>
      <c r="J356" s="1172"/>
      <c r="K356" s="1172" t="s">
        <v>1420</v>
      </c>
      <c r="L356" s="1172"/>
      <c r="M356" s="1174" t="s">
        <v>1397</v>
      </c>
      <c r="N356" s="1172"/>
      <c r="O356" s="1172"/>
      <c r="P356" s="1172"/>
      <c r="Q356" s="1172" t="s">
        <v>1421</v>
      </c>
      <c r="R356" s="1172"/>
      <c r="S356" s="1175"/>
      <c r="T356" s="1172"/>
      <c r="U356" s="1172" t="s">
        <v>1394</v>
      </c>
      <c r="V356" s="1172"/>
      <c r="W356" s="1176"/>
      <c r="X356" s="1172"/>
      <c r="Y356" s="1176">
        <v>11000</v>
      </c>
      <c r="Z356" s="1172"/>
      <c r="AA356" s="1176">
        <v>-38200</v>
      </c>
    </row>
    <row r="357" spans="1:27" hidden="1" outlineLevel="2" x14ac:dyDescent="0.3">
      <c r="A357" s="1172"/>
      <c r="B357" s="1172"/>
      <c r="C357" s="1172"/>
      <c r="D357" s="1172"/>
      <c r="E357" s="1172"/>
      <c r="F357" s="1172"/>
      <c r="G357" s="1172" t="s">
        <v>187</v>
      </c>
      <c r="H357" s="1172"/>
      <c r="I357" s="1173">
        <v>44439</v>
      </c>
      <c r="J357" s="1172"/>
      <c r="K357" s="1172"/>
      <c r="L357" s="1172"/>
      <c r="M357" s="1177"/>
      <c r="N357" s="1172"/>
      <c r="O357" s="1172"/>
      <c r="P357" s="1172"/>
      <c r="Q357" s="1172" t="s">
        <v>1597</v>
      </c>
      <c r="R357" s="1172"/>
      <c r="S357" s="1175"/>
      <c r="T357" s="1172"/>
      <c r="U357" s="1172" t="s">
        <v>1394</v>
      </c>
      <c r="V357" s="1172"/>
      <c r="W357" s="1176"/>
      <c r="X357" s="1172"/>
      <c r="Y357" s="1176">
        <v>13665</v>
      </c>
      <c r="Z357" s="1172"/>
      <c r="AA357" s="1176">
        <v>-51865</v>
      </c>
    </row>
    <row r="358" spans="1:27" hidden="1" outlineLevel="2" x14ac:dyDescent="0.3">
      <c r="A358" s="1172"/>
      <c r="B358" s="1172"/>
      <c r="C358" s="1172"/>
      <c r="D358" s="1172"/>
      <c r="E358" s="1172"/>
      <c r="F358" s="1172"/>
      <c r="G358" s="1172" t="s">
        <v>1395</v>
      </c>
      <c r="H358" s="1172"/>
      <c r="I358" s="1173">
        <v>44468</v>
      </c>
      <c r="J358" s="1172"/>
      <c r="K358" s="1172" t="s">
        <v>1424</v>
      </c>
      <c r="L358" s="1172"/>
      <c r="M358" s="1174" t="s">
        <v>1397</v>
      </c>
      <c r="N358" s="1172"/>
      <c r="O358" s="1172"/>
      <c r="P358" s="1172"/>
      <c r="Q358" s="1172" t="s">
        <v>1425</v>
      </c>
      <c r="R358" s="1172"/>
      <c r="S358" s="1175"/>
      <c r="T358" s="1172"/>
      <c r="U358" s="1172" t="s">
        <v>1394</v>
      </c>
      <c r="V358" s="1172"/>
      <c r="W358" s="1176"/>
      <c r="X358" s="1172"/>
      <c r="Y358" s="1176">
        <v>20200</v>
      </c>
      <c r="Z358" s="1172"/>
      <c r="AA358" s="1176">
        <v>-72065</v>
      </c>
    </row>
    <row r="359" spans="1:27" hidden="1" outlineLevel="2" x14ac:dyDescent="0.3">
      <c r="A359" s="1172"/>
      <c r="B359" s="1172"/>
      <c r="C359" s="1172"/>
      <c r="D359" s="1172"/>
      <c r="E359" s="1172"/>
      <c r="F359" s="1172"/>
      <c r="G359" s="1172" t="s">
        <v>1395</v>
      </c>
      <c r="H359" s="1172"/>
      <c r="I359" s="1173">
        <v>44469</v>
      </c>
      <c r="J359" s="1172"/>
      <c r="K359" s="1172" t="s">
        <v>1426</v>
      </c>
      <c r="L359" s="1172"/>
      <c r="M359" s="1174" t="s">
        <v>1397</v>
      </c>
      <c r="N359" s="1172"/>
      <c r="O359" s="1172"/>
      <c r="P359" s="1172"/>
      <c r="Q359" s="1172" t="s">
        <v>1427</v>
      </c>
      <c r="R359" s="1172"/>
      <c r="S359" s="1175"/>
      <c r="T359" s="1172"/>
      <c r="U359" s="1172" t="s">
        <v>1394</v>
      </c>
      <c r="V359" s="1172"/>
      <c r="W359" s="1176"/>
      <c r="X359" s="1172"/>
      <c r="Y359" s="1176">
        <v>27700</v>
      </c>
      <c r="Z359" s="1172"/>
      <c r="AA359" s="1176">
        <v>-99765</v>
      </c>
    </row>
    <row r="360" spans="1:27" hidden="1" outlineLevel="2" x14ac:dyDescent="0.3">
      <c r="A360" s="1172"/>
      <c r="B360" s="1172"/>
      <c r="C360" s="1172"/>
      <c r="D360" s="1172"/>
      <c r="E360" s="1172"/>
      <c r="F360" s="1172"/>
      <c r="G360" s="1172" t="s">
        <v>1395</v>
      </c>
      <c r="H360" s="1172"/>
      <c r="I360" s="1173">
        <v>44470</v>
      </c>
      <c r="J360" s="1172"/>
      <c r="K360" s="1172" t="s">
        <v>1428</v>
      </c>
      <c r="L360" s="1172"/>
      <c r="M360" s="1174" t="s">
        <v>1397</v>
      </c>
      <c r="N360" s="1172"/>
      <c r="O360" s="1172"/>
      <c r="P360" s="1172"/>
      <c r="Q360" s="1172" t="s">
        <v>1427</v>
      </c>
      <c r="R360" s="1172"/>
      <c r="S360" s="1175"/>
      <c r="T360" s="1172"/>
      <c r="U360" s="1172" t="s">
        <v>1394</v>
      </c>
      <c r="V360" s="1172"/>
      <c r="W360" s="1176"/>
      <c r="X360" s="1172"/>
      <c r="Y360" s="1176">
        <v>3700</v>
      </c>
      <c r="Z360" s="1172"/>
      <c r="AA360" s="1176">
        <v>-103465</v>
      </c>
    </row>
    <row r="361" spans="1:27" hidden="1" outlineLevel="2" x14ac:dyDescent="0.3">
      <c r="A361" s="1172"/>
      <c r="B361" s="1172"/>
      <c r="C361" s="1172"/>
      <c r="D361" s="1172"/>
      <c r="E361" s="1172"/>
      <c r="F361" s="1172"/>
      <c r="G361" s="1172" t="s">
        <v>1395</v>
      </c>
      <c r="H361" s="1172"/>
      <c r="I361" s="1173">
        <v>44473</v>
      </c>
      <c r="J361" s="1172"/>
      <c r="K361" s="1172" t="s">
        <v>1429</v>
      </c>
      <c r="L361" s="1172"/>
      <c r="M361" s="1174" t="s">
        <v>1397</v>
      </c>
      <c r="N361" s="1172"/>
      <c r="O361" s="1172"/>
      <c r="P361" s="1172"/>
      <c r="Q361" s="1172" t="s">
        <v>1427</v>
      </c>
      <c r="R361" s="1172"/>
      <c r="S361" s="1175"/>
      <c r="T361" s="1172"/>
      <c r="U361" s="1172" t="s">
        <v>1394</v>
      </c>
      <c r="V361" s="1172"/>
      <c r="W361" s="1176"/>
      <c r="X361" s="1172"/>
      <c r="Y361" s="1176">
        <v>2500</v>
      </c>
      <c r="Z361" s="1172"/>
      <c r="AA361" s="1176">
        <v>-105965</v>
      </c>
    </row>
    <row r="362" spans="1:27" hidden="1" outlineLevel="2" x14ac:dyDescent="0.3">
      <c r="A362" s="1172"/>
      <c r="B362" s="1172"/>
      <c r="C362" s="1172"/>
      <c r="D362" s="1172"/>
      <c r="E362" s="1172"/>
      <c r="F362" s="1172"/>
      <c r="G362" s="1172" t="s">
        <v>1395</v>
      </c>
      <c r="H362" s="1172"/>
      <c r="I362" s="1173">
        <v>44474</v>
      </c>
      <c r="J362" s="1172"/>
      <c r="K362" s="1172" t="s">
        <v>1430</v>
      </c>
      <c r="L362" s="1172"/>
      <c r="M362" s="1174" t="s">
        <v>1397</v>
      </c>
      <c r="N362" s="1172"/>
      <c r="O362" s="1172"/>
      <c r="P362" s="1172"/>
      <c r="Q362" s="1172" t="s">
        <v>1427</v>
      </c>
      <c r="R362" s="1172"/>
      <c r="S362" s="1175"/>
      <c r="T362" s="1172"/>
      <c r="U362" s="1172" t="s">
        <v>1394</v>
      </c>
      <c r="V362" s="1172"/>
      <c r="W362" s="1176"/>
      <c r="X362" s="1172"/>
      <c r="Y362" s="1176">
        <v>5500</v>
      </c>
      <c r="Z362" s="1172"/>
      <c r="AA362" s="1176">
        <v>-111465</v>
      </c>
    </row>
    <row r="363" spans="1:27" hidden="1" outlineLevel="2" x14ac:dyDescent="0.3">
      <c r="A363" s="1172"/>
      <c r="B363" s="1172"/>
      <c r="C363" s="1172"/>
      <c r="D363" s="1172"/>
      <c r="E363" s="1172"/>
      <c r="F363" s="1172"/>
      <c r="G363" s="1172" t="s">
        <v>1395</v>
      </c>
      <c r="H363" s="1172"/>
      <c r="I363" s="1173">
        <v>44475</v>
      </c>
      <c r="J363" s="1172"/>
      <c r="K363" s="1172" t="s">
        <v>1431</v>
      </c>
      <c r="L363" s="1172"/>
      <c r="M363" s="1174" t="s">
        <v>1397</v>
      </c>
      <c r="N363" s="1172"/>
      <c r="O363" s="1172"/>
      <c r="P363" s="1172"/>
      <c r="Q363" s="1172"/>
      <c r="R363" s="1172"/>
      <c r="S363" s="1175"/>
      <c r="T363" s="1172"/>
      <c r="U363" s="1172" t="s">
        <v>1394</v>
      </c>
      <c r="V363" s="1172"/>
      <c r="W363" s="1176"/>
      <c r="X363" s="1172"/>
      <c r="Y363" s="1176">
        <v>35000</v>
      </c>
      <c r="Z363" s="1172"/>
      <c r="AA363" s="1176">
        <v>-146465</v>
      </c>
    </row>
    <row r="364" spans="1:27" hidden="1" outlineLevel="2" x14ac:dyDescent="0.3">
      <c r="A364" s="1172"/>
      <c r="B364" s="1172"/>
      <c r="C364" s="1172"/>
      <c r="D364" s="1172"/>
      <c r="E364" s="1172"/>
      <c r="F364" s="1172"/>
      <c r="G364" s="1172" t="s">
        <v>1395</v>
      </c>
      <c r="H364" s="1172"/>
      <c r="I364" s="1173">
        <v>44475</v>
      </c>
      <c r="J364" s="1172"/>
      <c r="K364" s="1172" t="s">
        <v>1432</v>
      </c>
      <c r="L364" s="1172"/>
      <c r="M364" s="1174" t="s">
        <v>1397</v>
      </c>
      <c r="N364" s="1172"/>
      <c r="O364" s="1172"/>
      <c r="P364" s="1172"/>
      <c r="Q364" s="1172" t="s">
        <v>1427</v>
      </c>
      <c r="R364" s="1172"/>
      <c r="S364" s="1175"/>
      <c r="T364" s="1172"/>
      <c r="U364" s="1172" t="s">
        <v>1394</v>
      </c>
      <c r="V364" s="1172"/>
      <c r="W364" s="1176"/>
      <c r="X364" s="1172"/>
      <c r="Y364" s="1176">
        <v>6700</v>
      </c>
      <c r="Z364" s="1172"/>
      <c r="AA364" s="1176">
        <v>-153165</v>
      </c>
    </row>
    <row r="365" spans="1:27" hidden="1" outlineLevel="2" x14ac:dyDescent="0.3">
      <c r="A365" s="1172"/>
      <c r="B365" s="1172"/>
      <c r="C365" s="1172"/>
      <c r="D365" s="1172"/>
      <c r="E365" s="1172"/>
      <c r="F365" s="1172"/>
      <c r="G365" s="1172" t="s">
        <v>1395</v>
      </c>
      <c r="H365" s="1172"/>
      <c r="I365" s="1173">
        <v>44476</v>
      </c>
      <c r="J365" s="1172"/>
      <c r="K365" s="1172" t="s">
        <v>1433</v>
      </c>
      <c r="L365" s="1172"/>
      <c r="M365" s="1174" t="s">
        <v>1397</v>
      </c>
      <c r="N365" s="1172"/>
      <c r="O365" s="1172"/>
      <c r="P365" s="1172"/>
      <c r="Q365" s="1172" t="s">
        <v>1427</v>
      </c>
      <c r="R365" s="1172"/>
      <c r="S365" s="1175"/>
      <c r="T365" s="1172"/>
      <c r="U365" s="1172" t="s">
        <v>1394</v>
      </c>
      <c r="V365" s="1172"/>
      <c r="W365" s="1176"/>
      <c r="X365" s="1172"/>
      <c r="Y365" s="1176">
        <v>10000</v>
      </c>
      <c r="Z365" s="1172"/>
      <c r="AA365" s="1176">
        <v>-163165</v>
      </c>
    </row>
    <row r="366" spans="1:27" hidden="1" outlineLevel="2" x14ac:dyDescent="0.3">
      <c r="A366" s="1172"/>
      <c r="B366" s="1172"/>
      <c r="C366" s="1172"/>
      <c r="D366" s="1172"/>
      <c r="E366" s="1172"/>
      <c r="F366" s="1172"/>
      <c r="G366" s="1172" t="s">
        <v>1395</v>
      </c>
      <c r="H366" s="1172"/>
      <c r="I366" s="1173">
        <v>44477</v>
      </c>
      <c r="J366" s="1172"/>
      <c r="K366" s="1172" t="s">
        <v>1428</v>
      </c>
      <c r="L366" s="1172"/>
      <c r="M366" s="1174" t="s">
        <v>1397</v>
      </c>
      <c r="N366" s="1172"/>
      <c r="O366" s="1172"/>
      <c r="P366" s="1172"/>
      <c r="Q366" s="1172" t="s">
        <v>1434</v>
      </c>
      <c r="R366" s="1172"/>
      <c r="S366" s="1175"/>
      <c r="T366" s="1172"/>
      <c r="U366" s="1172" t="s">
        <v>1394</v>
      </c>
      <c r="V366" s="1172"/>
      <c r="W366" s="1176"/>
      <c r="X366" s="1172"/>
      <c r="Y366" s="1176">
        <v>53400</v>
      </c>
      <c r="Z366" s="1172"/>
      <c r="AA366" s="1176">
        <v>-216565</v>
      </c>
    </row>
    <row r="367" spans="1:27" hidden="1" outlineLevel="2" x14ac:dyDescent="0.3">
      <c r="A367" s="1172"/>
      <c r="B367" s="1172"/>
      <c r="C367" s="1172"/>
      <c r="D367" s="1172"/>
      <c r="E367" s="1172"/>
      <c r="F367" s="1172"/>
      <c r="G367" s="1172" t="s">
        <v>1395</v>
      </c>
      <c r="H367" s="1172"/>
      <c r="I367" s="1173">
        <v>44477</v>
      </c>
      <c r="J367" s="1172"/>
      <c r="K367" s="1172" t="s">
        <v>1435</v>
      </c>
      <c r="L367" s="1172"/>
      <c r="M367" s="1174" t="s">
        <v>1397</v>
      </c>
      <c r="N367" s="1172"/>
      <c r="O367" s="1172"/>
      <c r="P367" s="1172"/>
      <c r="Q367" s="1172" t="s">
        <v>1427</v>
      </c>
      <c r="R367" s="1172"/>
      <c r="S367" s="1175"/>
      <c r="T367" s="1172"/>
      <c r="U367" s="1172" t="s">
        <v>1394</v>
      </c>
      <c r="V367" s="1172"/>
      <c r="W367" s="1176"/>
      <c r="X367" s="1172"/>
      <c r="Y367" s="1176">
        <v>25000</v>
      </c>
      <c r="Z367" s="1172"/>
      <c r="AA367" s="1176">
        <v>-241565</v>
      </c>
    </row>
    <row r="368" spans="1:27" hidden="1" outlineLevel="2" x14ac:dyDescent="0.3">
      <c r="A368" s="1172"/>
      <c r="B368" s="1172"/>
      <c r="C368" s="1172"/>
      <c r="D368" s="1172"/>
      <c r="E368" s="1172"/>
      <c r="F368" s="1172"/>
      <c r="G368" s="1172" t="s">
        <v>1395</v>
      </c>
      <c r="H368" s="1172"/>
      <c r="I368" s="1173">
        <v>44481</v>
      </c>
      <c r="J368" s="1172"/>
      <c r="K368" s="1172" t="s">
        <v>1436</v>
      </c>
      <c r="L368" s="1172"/>
      <c r="M368" s="1174" t="s">
        <v>1397</v>
      </c>
      <c r="N368" s="1172"/>
      <c r="O368" s="1172"/>
      <c r="P368" s="1172"/>
      <c r="Q368" s="1172" t="s">
        <v>1427</v>
      </c>
      <c r="R368" s="1172"/>
      <c r="S368" s="1175"/>
      <c r="T368" s="1172"/>
      <c r="U368" s="1172" t="s">
        <v>1394</v>
      </c>
      <c r="V368" s="1172"/>
      <c r="W368" s="1176"/>
      <c r="X368" s="1172"/>
      <c r="Y368" s="1176">
        <v>15500</v>
      </c>
      <c r="Z368" s="1172"/>
      <c r="AA368" s="1176">
        <v>-257065</v>
      </c>
    </row>
    <row r="369" spans="1:27" hidden="1" outlineLevel="2" x14ac:dyDescent="0.3">
      <c r="A369" s="1172"/>
      <c r="B369" s="1172"/>
      <c r="C369" s="1172"/>
      <c r="D369" s="1172"/>
      <c r="E369" s="1172"/>
      <c r="F369" s="1172"/>
      <c r="G369" s="1172" t="s">
        <v>1395</v>
      </c>
      <c r="H369" s="1172"/>
      <c r="I369" s="1173">
        <v>44482</v>
      </c>
      <c r="J369" s="1172"/>
      <c r="K369" s="1172" t="s">
        <v>1438</v>
      </c>
      <c r="L369" s="1172"/>
      <c r="M369" s="1174" t="s">
        <v>1397</v>
      </c>
      <c r="N369" s="1172"/>
      <c r="O369" s="1172"/>
      <c r="P369" s="1172"/>
      <c r="Q369" s="1172" t="s">
        <v>1427</v>
      </c>
      <c r="R369" s="1172"/>
      <c r="S369" s="1175"/>
      <c r="T369" s="1172"/>
      <c r="U369" s="1172" t="s">
        <v>1394</v>
      </c>
      <c r="V369" s="1172"/>
      <c r="W369" s="1176"/>
      <c r="X369" s="1172"/>
      <c r="Y369" s="1176">
        <v>2200</v>
      </c>
      <c r="Z369" s="1172"/>
      <c r="AA369" s="1176">
        <v>-259265</v>
      </c>
    </row>
    <row r="370" spans="1:27" hidden="1" outlineLevel="2" x14ac:dyDescent="0.3">
      <c r="A370" s="1172"/>
      <c r="B370" s="1172"/>
      <c r="C370" s="1172"/>
      <c r="D370" s="1172"/>
      <c r="E370" s="1172"/>
      <c r="F370" s="1172"/>
      <c r="G370" s="1172" t="s">
        <v>1395</v>
      </c>
      <c r="H370" s="1172"/>
      <c r="I370" s="1173">
        <v>44484</v>
      </c>
      <c r="J370" s="1172"/>
      <c r="K370" s="1172" t="s">
        <v>1439</v>
      </c>
      <c r="L370" s="1172"/>
      <c r="M370" s="1174" t="s">
        <v>1397</v>
      </c>
      <c r="N370" s="1172"/>
      <c r="O370" s="1172"/>
      <c r="P370" s="1172"/>
      <c r="Q370" s="1172" t="s">
        <v>1427</v>
      </c>
      <c r="R370" s="1172"/>
      <c r="S370" s="1175"/>
      <c r="T370" s="1172"/>
      <c r="U370" s="1172" t="s">
        <v>1394</v>
      </c>
      <c r="V370" s="1172"/>
      <c r="W370" s="1176"/>
      <c r="X370" s="1172"/>
      <c r="Y370" s="1176">
        <v>2000</v>
      </c>
      <c r="Z370" s="1172"/>
      <c r="AA370" s="1176">
        <v>-261265</v>
      </c>
    </row>
    <row r="371" spans="1:27" hidden="1" outlineLevel="2" x14ac:dyDescent="0.3">
      <c r="A371" s="1172"/>
      <c r="B371" s="1172"/>
      <c r="C371" s="1172"/>
      <c r="D371" s="1172"/>
      <c r="E371" s="1172"/>
      <c r="F371" s="1172"/>
      <c r="G371" s="1172" t="s">
        <v>1395</v>
      </c>
      <c r="H371" s="1172"/>
      <c r="I371" s="1173">
        <v>44487</v>
      </c>
      <c r="J371" s="1172"/>
      <c r="K371" s="1172" t="s">
        <v>1440</v>
      </c>
      <c r="L371" s="1172"/>
      <c r="M371" s="1174" t="s">
        <v>1397</v>
      </c>
      <c r="N371" s="1172"/>
      <c r="O371" s="1172"/>
      <c r="P371" s="1172"/>
      <c r="Q371" s="1172" t="s">
        <v>1427</v>
      </c>
      <c r="R371" s="1172"/>
      <c r="S371" s="1175"/>
      <c r="T371" s="1172"/>
      <c r="U371" s="1172" t="s">
        <v>1394</v>
      </c>
      <c r="V371" s="1172"/>
      <c r="W371" s="1176"/>
      <c r="X371" s="1172"/>
      <c r="Y371" s="1176">
        <v>1000</v>
      </c>
      <c r="Z371" s="1172"/>
      <c r="AA371" s="1176">
        <v>-262265</v>
      </c>
    </row>
    <row r="372" spans="1:27" hidden="1" outlineLevel="2" x14ac:dyDescent="0.3">
      <c r="A372" s="1172"/>
      <c r="B372" s="1172"/>
      <c r="C372" s="1172"/>
      <c r="D372" s="1172"/>
      <c r="E372" s="1172"/>
      <c r="F372" s="1172"/>
      <c r="G372" s="1172" t="s">
        <v>1395</v>
      </c>
      <c r="H372" s="1172"/>
      <c r="I372" s="1173">
        <v>44488</v>
      </c>
      <c r="J372" s="1172"/>
      <c r="K372" s="1172" t="s">
        <v>1441</v>
      </c>
      <c r="L372" s="1172"/>
      <c r="M372" s="1174" t="s">
        <v>1397</v>
      </c>
      <c r="N372" s="1172"/>
      <c r="O372" s="1172"/>
      <c r="P372" s="1172"/>
      <c r="Q372" s="1172" t="s">
        <v>1427</v>
      </c>
      <c r="R372" s="1172"/>
      <c r="S372" s="1175"/>
      <c r="T372" s="1172"/>
      <c r="U372" s="1172" t="s">
        <v>1394</v>
      </c>
      <c r="V372" s="1172"/>
      <c r="W372" s="1176"/>
      <c r="X372" s="1172"/>
      <c r="Y372" s="1176">
        <v>7000</v>
      </c>
      <c r="Z372" s="1172"/>
      <c r="AA372" s="1176">
        <v>-269265</v>
      </c>
    </row>
    <row r="373" spans="1:27" hidden="1" outlineLevel="2" x14ac:dyDescent="0.3">
      <c r="A373" s="1172"/>
      <c r="B373" s="1172"/>
      <c r="C373" s="1172"/>
      <c r="D373" s="1172"/>
      <c r="E373" s="1172"/>
      <c r="F373" s="1172"/>
      <c r="G373" s="1172" t="s">
        <v>1395</v>
      </c>
      <c r="H373" s="1172"/>
      <c r="I373" s="1173">
        <v>44489</v>
      </c>
      <c r="J373" s="1172"/>
      <c r="K373" s="1172" t="s">
        <v>1442</v>
      </c>
      <c r="L373" s="1172"/>
      <c r="M373" s="1174" t="s">
        <v>1397</v>
      </c>
      <c r="N373" s="1172"/>
      <c r="O373" s="1172"/>
      <c r="P373" s="1172"/>
      <c r="Q373" s="1172" t="s">
        <v>1427</v>
      </c>
      <c r="R373" s="1172"/>
      <c r="S373" s="1175"/>
      <c r="T373" s="1172"/>
      <c r="U373" s="1172" t="s">
        <v>1394</v>
      </c>
      <c r="V373" s="1172"/>
      <c r="W373" s="1176"/>
      <c r="X373" s="1172"/>
      <c r="Y373" s="1176">
        <v>14500</v>
      </c>
      <c r="Z373" s="1172"/>
      <c r="AA373" s="1176">
        <v>-283765</v>
      </c>
    </row>
    <row r="374" spans="1:27" hidden="1" outlineLevel="2" x14ac:dyDescent="0.3">
      <c r="A374" s="1172"/>
      <c r="B374" s="1172"/>
      <c r="C374" s="1172"/>
      <c r="D374" s="1172"/>
      <c r="E374" s="1172"/>
      <c r="F374" s="1172"/>
      <c r="G374" s="1172" t="s">
        <v>1395</v>
      </c>
      <c r="H374" s="1172"/>
      <c r="I374" s="1173">
        <v>44490</v>
      </c>
      <c r="J374" s="1172"/>
      <c r="K374" s="1172" t="s">
        <v>1443</v>
      </c>
      <c r="L374" s="1172"/>
      <c r="M374" s="1174" t="s">
        <v>1397</v>
      </c>
      <c r="N374" s="1172"/>
      <c r="O374" s="1172"/>
      <c r="P374" s="1172"/>
      <c r="Q374" s="1172" t="s">
        <v>1427</v>
      </c>
      <c r="R374" s="1172"/>
      <c r="S374" s="1175"/>
      <c r="T374" s="1172"/>
      <c r="U374" s="1172" t="s">
        <v>1394</v>
      </c>
      <c r="V374" s="1172"/>
      <c r="W374" s="1176"/>
      <c r="X374" s="1172"/>
      <c r="Y374" s="1176">
        <v>2500</v>
      </c>
      <c r="Z374" s="1172"/>
      <c r="AA374" s="1176">
        <v>-286265</v>
      </c>
    </row>
    <row r="375" spans="1:27" hidden="1" outlineLevel="2" x14ac:dyDescent="0.3">
      <c r="A375" s="1172"/>
      <c r="B375" s="1172"/>
      <c r="C375" s="1172"/>
      <c r="D375" s="1172"/>
      <c r="E375" s="1172"/>
      <c r="F375" s="1172"/>
      <c r="G375" s="1172" t="s">
        <v>1395</v>
      </c>
      <c r="H375" s="1172"/>
      <c r="I375" s="1173">
        <v>44491</v>
      </c>
      <c r="J375" s="1172"/>
      <c r="K375" s="1172" t="s">
        <v>1444</v>
      </c>
      <c r="L375" s="1172"/>
      <c r="M375" s="1174" t="s">
        <v>1397</v>
      </c>
      <c r="N375" s="1172"/>
      <c r="O375" s="1172"/>
      <c r="P375" s="1172"/>
      <c r="Q375" s="1172" t="s">
        <v>1427</v>
      </c>
      <c r="R375" s="1172"/>
      <c r="S375" s="1175"/>
      <c r="T375" s="1172"/>
      <c r="U375" s="1172" t="s">
        <v>1394</v>
      </c>
      <c r="V375" s="1172"/>
      <c r="W375" s="1176"/>
      <c r="X375" s="1172"/>
      <c r="Y375" s="1176">
        <v>2000</v>
      </c>
      <c r="Z375" s="1172"/>
      <c r="AA375" s="1176">
        <v>-288265</v>
      </c>
    </row>
    <row r="376" spans="1:27" hidden="1" outlineLevel="2" x14ac:dyDescent="0.3">
      <c r="A376" s="1172"/>
      <c r="B376" s="1172"/>
      <c r="C376" s="1172"/>
      <c r="D376" s="1172"/>
      <c r="E376" s="1172"/>
      <c r="F376" s="1172"/>
      <c r="G376" s="1172" t="s">
        <v>1395</v>
      </c>
      <c r="H376" s="1172"/>
      <c r="I376" s="1173">
        <v>44495</v>
      </c>
      <c r="J376" s="1172"/>
      <c r="K376" s="1172" t="s">
        <v>1445</v>
      </c>
      <c r="L376" s="1172"/>
      <c r="M376" s="1174" t="s">
        <v>1397</v>
      </c>
      <c r="N376" s="1172"/>
      <c r="O376" s="1172"/>
      <c r="P376" s="1172"/>
      <c r="Q376" s="1172" t="s">
        <v>1427</v>
      </c>
      <c r="R376" s="1172"/>
      <c r="S376" s="1175"/>
      <c r="T376" s="1172"/>
      <c r="U376" s="1172" t="s">
        <v>1394</v>
      </c>
      <c r="V376" s="1172"/>
      <c r="W376" s="1176"/>
      <c r="X376" s="1172"/>
      <c r="Y376" s="1176">
        <v>3000</v>
      </c>
      <c r="Z376" s="1172"/>
      <c r="AA376" s="1176">
        <v>-291265</v>
      </c>
    </row>
    <row r="377" spans="1:27" hidden="1" outlineLevel="2" x14ac:dyDescent="0.3">
      <c r="A377" s="1172"/>
      <c r="B377" s="1172"/>
      <c r="C377" s="1172"/>
      <c r="D377" s="1172"/>
      <c r="E377" s="1172"/>
      <c r="F377" s="1172"/>
      <c r="G377" s="1172" t="s">
        <v>1395</v>
      </c>
      <c r="H377" s="1172"/>
      <c r="I377" s="1173">
        <v>44496</v>
      </c>
      <c r="J377" s="1172"/>
      <c r="K377" s="1172" t="s">
        <v>1446</v>
      </c>
      <c r="L377" s="1172"/>
      <c r="M377" s="1174" t="s">
        <v>1397</v>
      </c>
      <c r="N377" s="1172"/>
      <c r="O377" s="1172"/>
      <c r="P377" s="1172"/>
      <c r="Q377" s="1172" t="s">
        <v>1427</v>
      </c>
      <c r="R377" s="1172"/>
      <c r="S377" s="1175"/>
      <c r="T377" s="1172"/>
      <c r="U377" s="1172" t="s">
        <v>1394</v>
      </c>
      <c r="V377" s="1172"/>
      <c r="W377" s="1176"/>
      <c r="X377" s="1172"/>
      <c r="Y377" s="1176">
        <v>5100</v>
      </c>
      <c r="Z377" s="1172"/>
      <c r="AA377" s="1176">
        <v>-296365</v>
      </c>
    </row>
    <row r="378" spans="1:27" hidden="1" outlineLevel="2" x14ac:dyDescent="0.3">
      <c r="A378" s="1172"/>
      <c r="B378" s="1172"/>
      <c r="C378" s="1172"/>
      <c r="D378" s="1172"/>
      <c r="E378" s="1172"/>
      <c r="F378" s="1172"/>
      <c r="G378" s="1172" t="s">
        <v>1395</v>
      </c>
      <c r="H378" s="1172"/>
      <c r="I378" s="1173">
        <v>44497</v>
      </c>
      <c r="J378" s="1172"/>
      <c r="K378" s="1172" t="s">
        <v>1447</v>
      </c>
      <c r="L378" s="1172"/>
      <c r="M378" s="1174" t="s">
        <v>1397</v>
      </c>
      <c r="N378" s="1172"/>
      <c r="O378" s="1172"/>
      <c r="P378" s="1172"/>
      <c r="Q378" s="1172" t="s">
        <v>1427</v>
      </c>
      <c r="R378" s="1172"/>
      <c r="S378" s="1175"/>
      <c r="T378" s="1172"/>
      <c r="U378" s="1172" t="s">
        <v>1394</v>
      </c>
      <c r="V378" s="1172"/>
      <c r="W378" s="1176"/>
      <c r="X378" s="1172"/>
      <c r="Y378" s="1176">
        <v>5700</v>
      </c>
      <c r="Z378" s="1172"/>
      <c r="AA378" s="1176">
        <v>-302065</v>
      </c>
    </row>
    <row r="379" spans="1:27" hidden="1" outlineLevel="2" x14ac:dyDescent="0.3">
      <c r="A379" s="1172"/>
      <c r="B379" s="1172"/>
      <c r="C379" s="1172"/>
      <c r="D379" s="1172"/>
      <c r="E379" s="1172"/>
      <c r="F379" s="1172"/>
      <c r="G379" s="1172" t="s">
        <v>1395</v>
      </c>
      <c r="H379" s="1172"/>
      <c r="I379" s="1173">
        <v>44498</v>
      </c>
      <c r="J379" s="1172"/>
      <c r="K379" s="1172" t="s">
        <v>1448</v>
      </c>
      <c r="L379" s="1172"/>
      <c r="M379" s="1174" t="s">
        <v>1397</v>
      </c>
      <c r="N379" s="1172"/>
      <c r="O379" s="1172"/>
      <c r="P379" s="1172"/>
      <c r="Q379" s="1172" t="s">
        <v>1427</v>
      </c>
      <c r="R379" s="1172"/>
      <c r="S379" s="1175"/>
      <c r="T379" s="1172"/>
      <c r="U379" s="1172" t="s">
        <v>1394</v>
      </c>
      <c r="V379" s="1172"/>
      <c r="W379" s="1176"/>
      <c r="X379" s="1172"/>
      <c r="Y379" s="1176">
        <v>2250</v>
      </c>
      <c r="Z379" s="1172"/>
      <c r="AA379" s="1176">
        <v>-304315</v>
      </c>
    </row>
    <row r="380" spans="1:27" hidden="1" outlineLevel="2" x14ac:dyDescent="0.3">
      <c r="A380" s="1172"/>
      <c r="B380" s="1172"/>
      <c r="C380" s="1172"/>
      <c r="D380" s="1172"/>
      <c r="E380" s="1172"/>
      <c r="F380" s="1172"/>
      <c r="G380" s="1172" t="s">
        <v>1395</v>
      </c>
      <c r="H380" s="1172"/>
      <c r="I380" s="1173">
        <v>44501</v>
      </c>
      <c r="J380" s="1172"/>
      <c r="K380" s="1172" t="s">
        <v>1449</v>
      </c>
      <c r="L380" s="1172"/>
      <c r="M380" s="1174" t="s">
        <v>1397</v>
      </c>
      <c r="N380" s="1172"/>
      <c r="O380" s="1172"/>
      <c r="P380" s="1172"/>
      <c r="Q380" s="1172" t="s">
        <v>1427</v>
      </c>
      <c r="R380" s="1172"/>
      <c r="S380" s="1175"/>
      <c r="T380" s="1172"/>
      <c r="U380" s="1172" t="s">
        <v>1394</v>
      </c>
      <c r="V380" s="1172"/>
      <c r="W380" s="1176"/>
      <c r="X380" s="1172"/>
      <c r="Y380" s="1176">
        <v>250</v>
      </c>
      <c r="Z380" s="1172"/>
      <c r="AA380" s="1176">
        <v>-304565</v>
      </c>
    </row>
    <row r="381" spans="1:27" hidden="1" outlineLevel="2" x14ac:dyDescent="0.3">
      <c r="A381" s="1172"/>
      <c r="B381" s="1172"/>
      <c r="C381" s="1172"/>
      <c r="D381" s="1172"/>
      <c r="E381" s="1172"/>
      <c r="F381" s="1172"/>
      <c r="G381" s="1172" t="s">
        <v>1395</v>
      </c>
      <c r="H381" s="1172"/>
      <c r="I381" s="1173">
        <v>44502</v>
      </c>
      <c r="J381" s="1172"/>
      <c r="K381" s="1172" t="s">
        <v>1450</v>
      </c>
      <c r="L381" s="1172"/>
      <c r="M381" s="1174" t="s">
        <v>1397</v>
      </c>
      <c r="N381" s="1172"/>
      <c r="O381" s="1172"/>
      <c r="P381" s="1172"/>
      <c r="Q381" s="1172" t="s">
        <v>1427</v>
      </c>
      <c r="R381" s="1172"/>
      <c r="S381" s="1175"/>
      <c r="T381" s="1172"/>
      <c r="U381" s="1172" t="s">
        <v>1394</v>
      </c>
      <c r="V381" s="1172"/>
      <c r="W381" s="1176"/>
      <c r="X381" s="1172"/>
      <c r="Y381" s="1176">
        <v>400</v>
      </c>
      <c r="Z381" s="1172"/>
      <c r="AA381" s="1176">
        <v>-304965</v>
      </c>
    </row>
    <row r="382" spans="1:27" hidden="1" outlineLevel="2" x14ac:dyDescent="0.3">
      <c r="A382" s="1172"/>
      <c r="B382" s="1172"/>
      <c r="C382" s="1172"/>
      <c r="D382" s="1172"/>
      <c r="E382" s="1172"/>
      <c r="F382" s="1172"/>
      <c r="G382" s="1172" t="s">
        <v>1395</v>
      </c>
      <c r="H382" s="1172"/>
      <c r="I382" s="1173">
        <v>44503</v>
      </c>
      <c r="J382" s="1172"/>
      <c r="K382" s="1172" t="s">
        <v>1451</v>
      </c>
      <c r="L382" s="1172"/>
      <c r="M382" s="1174" t="s">
        <v>1397</v>
      </c>
      <c r="N382" s="1172"/>
      <c r="O382" s="1172"/>
      <c r="P382" s="1172"/>
      <c r="Q382" s="1172" t="s">
        <v>1427</v>
      </c>
      <c r="R382" s="1172"/>
      <c r="S382" s="1175"/>
      <c r="T382" s="1172"/>
      <c r="U382" s="1172" t="s">
        <v>1394</v>
      </c>
      <c r="V382" s="1172"/>
      <c r="W382" s="1176"/>
      <c r="X382" s="1172"/>
      <c r="Y382" s="1176">
        <v>1000</v>
      </c>
      <c r="Z382" s="1172"/>
      <c r="AA382" s="1176">
        <v>-305965</v>
      </c>
    </row>
    <row r="383" spans="1:27" hidden="1" outlineLevel="2" x14ac:dyDescent="0.3">
      <c r="A383" s="1172"/>
      <c r="B383" s="1172"/>
      <c r="C383" s="1172"/>
      <c r="D383" s="1172"/>
      <c r="E383" s="1172"/>
      <c r="F383" s="1172"/>
      <c r="G383" s="1172" t="s">
        <v>1395</v>
      </c>
      <c r="H383" s="1172"/>
      <c r="I383" s="1173">
        <v>44504</v>
      </c>
      <c r="J383" s="1172"/>
      <c r="K383" s="1172" t="s">
        <v>1452</v>
      </c>
      <c r="L383" s="1172"/>
      <c r="M383" s="1174" t="s">
        <v>1397</v>
      </c>
      <c r="N383" s="1172"/>
      <c r="O383" s="1172"/>
      <c r="P383" s="1172"/>
      <c r="Q383" s="1172" t="s">
        <v>1427</v>
      </c>
      <c r="R383" s="1172"/>
      <c r="S383" s="1175"/>
      <c r="T383" s="1172"/>
      <c r="U383" s="1172" t="s">
        <v>1394</v>
      </c>
      <c r="V383" s="1172"/>
      <c r="W383" s="1176"/>
      <c r="X383" s="1172"/>
      <c r="Y383" s="1176">
        <v>2500</v>
      </c>
      <c r="Z383" s="1172"/>
      <c r="AA383" s="1176">
        <v>-308465</v>
      </c>
    </row>
    <row r="384" spans="1:27" hidden="1" outlineLevel="2" x14ac:dyDescent="0.3">
      <c r="A384" s="1172"/>
      <c r="B384" s="1172"/>
      <c r="C384" s="1172"/>
      <c r="D384" s="1172"/>
      <c r="E384" s="1172"/>
      <c r="F384" s="1172"/>
      <c r="G384" s="1172" t="s">
        <v>1395</v>
      </c>
      <c r="H384" s="1172"/>
      <c r="I384" s="1173">
        <v>44505</v>
      </c>
      <c r="J384" s="1172"/>
      <c r="K384" s="1172" t="s">
        <v>1453</v>
      </c>
      <c r="L384" s="1172"/>
      <c r="M384" s="1174" t="s">
        <v>1397</v>
      </c>
      <c r="N384" s="1172"/>
      <c r="O384" s="1172"/>
      <c r="P384" s="1172"/>
      <c r="Q384" s="1172" t="s">
        <v>1427</v>
      </c>
      <c r="R384" s="1172"/>
      <c r="S384" s="1175"/>
      <c r="T384" s="1172"/>
      <c r="U384" s="1172" t="s">
        <v>1394</v>
      </c>
      <c r="V384" s="1172"/>
      <c r="W384" s="1176"/>
      <c r="X384" s="1172"/>
      <c r="Y384" s="1176">
        <v>4000</v>
      </c>
      <c r="Z384" s="1172"/>
      <c r="AA384" s="1176">
        <v>-312465</v>
      </c>
    </row>
    <row r="385" spans="1:27" hidden="1" outlineLevel="2" x14ac:dyDescent="0.3">
      <c r="A385" s="1172"/>
      <c r="B385" s="1172"/>
      <c r="C385" s="1172"/>
      <c r="D385" s="1172"/>
      <c r="E385" s="1172"/>
      <c r="F385" s="1172"/>
      <c r="G385" s="1172" t="s">
        <v>1395</v>
      </c>
      <c r="H385" s="1172"/>
      <c r="I385" s="1173">
        <v>44508</v>
      </c>
      <c r="J385" s="1172"/>
      <c r="K385" s="1172" t="s">
        <v>1457</v>
      </c>
      <c r="L385" s="1172"/>
      <c r="M385" s="1174" t="s">
        <v>1397</v>
      </c>
      <c r="N385" s="1172"/>
      <c r="O385" s="1172"/>
      <c r="P385" s="1172"/>
      <c r="Q385" s="1172" t="s">
        <v>1427</v>
      </c>
      <c r="R385" s="1172"/>
      <c r="S385" s="1175"/>
      <c r="T385" s="1172"/>
      <c r="U385" s="1172" t="s">
        <v>1394</v>
      </c>
      <c r="V385" s="1172"/>
      <c r="W385" s="1176"/>
      <c r="X385" s="1172"/>
      <c r="Y385" s="1176">
        <v>6500</v>
      </c>
      <c r="Z385" s="1172"/>
      <c r="AA385" s="1176">
        <v>-318965</v>
      </c>
    </row>
    <row r="386" spans="1:27" hidden="1" outlineLevel="2" x14ac:dyDescent="0.3">
      <c r="A386" s="1172"/>
      <c r="B386" s="1172"/>
      <c r="C386" s="1172"/>
      <c r="D386" s="1172"/>
      <c r="E386" s="1172"/>
      <c r="F386" s="1172"/>
      <c r="G386" s="1172" t="s">
        <v>1395</v>
      </c>
      <c r="H386" s="1172"/>
      <c r="I386" s="1173">
        <v>44510</v>
      </c>
      <c r="J386" s="1172"/>
      <c r="K386" s="1172" t="s">
        <v>1460</v>
      </c>
      <c r="L386" s="1172"/>
      <c r="M386" s="1174" t="s">
        <v>1397</v>
      </c>
      <c r="N386" s="1172"/>
      <c r="O386" s="1172"/>
      <c r="P386" s="1172"/>
      <c r="Q386" s="1172" t="s">
        <v>1427</v>
      </c>
      <c r="R386" s="1172"/>
      <c r="S386" s="1175"/>
      <c r="T386" s="1172"/>
      <c r="U386" s="1172" t="s">
        <v>1394</v>
      </c>
      <c r="V386" s="1172"/>
      <c r="W386" s="1176"/>
      <c r="X386" s="1172"/>
      <c r="Y386" s="1176">
        <v>3000</v>
      </c>
      <c r="Z386" s="1172"/>
      <c r="AA386" s="1176">
        <v>-321965</v>
      </c>
    </row>
    <row r="387" spans="1:27" hidden="1" outlineLevel="2" x14ac:dyDescent="0.3">
      <c r="A387" s="1172"/>
      <c r="B387" s="1172"/>
      <c r="C387" s="1172"/>
      <c r="D387" s="1172"/>
      <c r="E387" s="1172"/>
      <c r="F387" s="1172"/>
      <c r="G387" s="1172" t="s">
        <v>1395</v>
      </c>
      <c r="H387" s="1172"/>
      <c r="I387" s="1173">
        <v>44512</v>
      </c>
      <c r="J387" s="1172"/>
      <c r="K387" s="1172" t="s">
        <v>1461</v>
      </c>
      <c r="L387" s="1172"/>
      <c r="M387" s="1174" t="s">
        <v>1397</v>
      </c>
      <c r="N387" s="1172"/>
      <c r="O387" s="1172"/>
      <c r="P387" s="1172"/>
      <c r="Q387" s="1172" t="s">
        <v>1427</v>
      </c>
      <c r="R387" s="1172"/>
      <c r="S387" s="1175"/>
      <c r="T387" s="1172"/>
      <c r="U387" s="1172" t="s">
        <v>1394</v>
      </c>
      <c r="V387" s="1172"/>
      <c r="W387" s="1176"/>
      <c r="X387" s="1172"/>
      <c r="Y387" s="1176">
        <v>11500</v>
      </c>
      <c r="Z387" s="1172"/>
      <c r="AA387" s="1176">
        <v>-333465</v>
      </c>
    </row>
    <row r="388" spans="1:27" hidden="1" outlineLevel="2" x14ac:dyDescent="0.3">
      <c r="A388" s="1172"/>
      <c r="B388" s="1172"/>
      <c r="C388" s="1172"/>
      <c r="D388" s="1172"/>
      <c r="E388" s="1172"/>
      <c r="F388" s="1172"/>
      <c r="G388" s="1172" t="s">
        <v>1395</v>
      </c>
      <c r="H388" s="1172"/>
      <c r="I388" s="1173">
        <v>44512</v>
      </c>
      <c r="J388" s="1172"/>
      <c r="K388" s="1172" t="s">
        <v>1462</v>
      </c>
      <c r="L388" s="1172"/>
      <c r="M388" s="1174" t="s">
        <v>1397</v>
      </c>
      <c r="N388" s="1172"/>
      <c r="O388" s="1172"/>
      <c r="P388" s="1172"/>
      <c r="Q388" s="1172" t="s">
        <v>1463</v>
      </c>
      <c r="R388" s="1172"/>
      <c r="S388" s="1175"/>
      <c r="T388" s="1172"/>
      <c r="U388" s="1172" t="s">
        <v>1394</v>
      </c>
      <c r="V388" s="1172"/>
      <c r="W388" s="1176"/>
      <c r="X388" s="1172"/>
      <c r="Y388" s="1176">
        <v>15000</v>
      </c>
      <c r="Z388" s="1172"/>
      <c r="AA388" s="1176">
        <v>-348465</v>
      </c>
    </row>
    <row r="389" spans="1:27" hidden="1" outlineLevel="2" x14ac:dyDescent="0.3">
      <c r="A389" s="1172"/>
      <c r="B389" s="1172"/>
      <c r="C389" s="1172"/>
      <c r="D389" s="1172"/>
      <c r="E389" s="1172"/>
      <c r="F389" s="1172"/>
      <c r="G389" s="1172" t="s">
        <v>1395</v>
      </c>
      <c r="H389" s="1172"/>
      <c r="I389" s="1173">
        <v>44515</v>
      </c>
      <c r="J389" s="1172"/>
      <c r="K389" s="1172" t="s">
        <v>1464</v>
      </c>
      <c r="L389" s="1172"/>
      <c r="M389" s="1174" t="s">
        <v>1397</v>
      </c>
      <c r="N389" s="1172"/>
      <c r="O389" s="1172"/>
      <c r="P389" s="1172"/>
      <c r="Q389" s="1172" t="s">
        <v>1427</v>
      </c>
      <c r="R389" s="1172"/>
      <c r="S389" s="1175"/>
      <c r="T389" s="1172"/>
      <c r="U389" s="1172" t="s">
        <v>1394</v>
      </c>
      <c r="V389" s="1172"/>
      <c r="W389" s="1176"/>
      <c r="X389" s="1172"/>
      <c r="Y389" s="1176">
        <v>20583</v>
      </c>
      <c r="Z389" s="1172"/>
      <c r="AA389" s="1176">
        <v>-369048</v>
      </c>
    </row>
    <row r="390" spans="1:27" hidden="1" outlineLevel="2" x14ac:dyDescent="0.3">
      <c r="A390" s="1172"/>
      <c r="B390" s="1172"/>
      <c r="C390" s="1172"/>
      <c r="D390" s="1172"/>
      <c r="E390" s="1172"/>
      <c r="F390" s="1172"/>
      <c r="G390" s="1172" t="s">
        <v>1395</v>
      </c>
      <c r="H390" s="1172"/>
      <c r="I390" s="1173">
        <v>44515</v>
      </c>
      <c r="J390" s="1172"/>
      <c r="K390" s="1172" t="s">
        <v>1464</v>
      </c>
      <c r="L390" s="1172"/>
      <c r="M390" s="1174" t="s">
        <v>1397</v>
      </c>
      <c r="N390" s="1172"/>
      <c r="O390" s="1172"/>
      <c r="P390" s="1172"/>
      <c r="Q390" s="1172" t="s">
        <v>1465</v>
      </c>
      <c r="R390" s="1172"/>
      <c r="S390" s="1175"/>
      <c r="T390" s="1172"/>
      <c r="U390" s="1172" t="s">
        <v>1394</v>
      </c>
      <c r="V390" s="1172"/>
      <c r="W390" s="1176">
        <v>13</v>
      </c>
      <c r="X390" s="1172"/>
      <c r="Y390" s="1176"/>
      <c r="Z390" s="1172"/>
      <c r="AA390" s="1176">
        <v>-369035</v>
      </c>
    </row>
    <row r="391" spans="1:27" hidden="1" outlineLevel="2" x14ac:dyDescent="0.3">
      <c r="A391" s="1172"/>
      <c r="B391" s="1172"/>
      <c r="C391" s="1172"/>
      <c r="D391" s="1172"/>
      <c r="E391" s="1172"/>
      <c r="F391" s="1172"/>
      <c r="G391" s="1172" t="s">
        <v>1395</v>
      </c>
      <c r="H391" s="1172"/>
      <c r="I391" s="1173">
        <v>44516</v>
      </c>
      <c r="J391" s="1172"/>
      <c r="K391" s="1172" t="s">
        <v>1466</v>
      </c>
      <c r="L391" s="1172"/>
      <c r="M391" s="1174" t="s">
        <v>1397</v>
      </c>
      <c r="N391" s="1172"/>
      <c r="O391" s="1172"/>
      <c r="P391" s="1172"/>
      <c r="Q391" s="1172" t="s">
        <v>1463</v>
      </c>
      <c r="R391" s="1172"/>
      <c r="S391" s="1175"/>
      <c r="T391" s="1172"/>
      <c r="U391" s="1172" t="s">
        <v>1394</v>
      </c>
      <c r="V391" s="1172"/>
      <c r="W391" s="1176"/>
      <c r="X391" s="1172"/>
      <c r="Y391" s="1176">
        <v>20000</v>
      </c>
      <c r="Z391" s="1172"/>
      <c r="AA391" s="1176">
        <v>-389035</v>
      </c>
    </row>
    <row r="392" spans="1:27" hidden="1" outlineLevel="2" x14ac:dyDescent="0.3">
      <c r="A392" s="1172"/>
      <c r="B392" s="1172"/>
      <c r="C392" s="1172"/>
      <c r="D392" s="1172"/>
      <c r="E392" s="1172"/>
      <c r="F392" s="1172"/>
      <c r="G392" s="1172" t="s">
        <v>1395</v>
      </c>
      <c r="H392" s="1172"/>
      <c r="I392" s="1173">
        <v>44516</v>
      </c>
      <c r="J392" s="1172"/>
      <c r="K392" s="1172" t="s">
        <v>1467</v>
      </c>
      <c r="L392" s="1172"/>
      <c r="M392" s="1174" t="s">
        <v>1397</v>
      </c>
      <c r="N392" s="1172"/>
      <c r="O392" s="1172"/>
      <c r="P392" s="1172"/>
      <c r="Q392" s="1172" t="s">
        <v>1463</v>
      </c>
      <c r="R392" s="1172"/>
      <c r="S392" s="1175"/>
      <c r="T392" s="1172"/>
      <c r="U392" s="1172" t="s">
        <v>1394</v>
      </c>
      <c r="V392" s="1172"/>
      <c r="W392" s="1176"/>
      <c r="X392" s="1172"/>
      <c r="Y392" s="1176">
        <v>2000</v>
      </c>
      <c r="Z392" s="1172"/>
      <c r="AA392" s="1176">
        <v>-391035</v>
      </c>
    </row>
    <row r="393" spans="1:27" hidden="1" outlineLevel="2" x14ac:dyDescent="0.3">
      <c r="A393" s="1172"/>
      <c r="B393" s="1172"/>
      <c r="C393" s="1172"/>
      <c r="D393" s="1172"/>
      <c r="E393" s="1172"/>
      <c r="F393" s="1172"/>
      <c r="G393" s="1172" t="s">
        <v>1395</v>
      </c>
      <c r="H393" s="1172"/>
      <c r="I393" s="1173">
        <v>44518</v>
      </c>
      <c r="J393" s="1172"/>
      <c r="K393" s="1172" t="s">
        <v>1468</v>
      </c>
      <c r="L393" s="1172"/>
      <c r="M393" s="1174" t="s">
        <v>1397</v>
      </c>
      <c r="N393" s="1172"/>
      <c r="O393" s="1172"/>
      <c r="P393" s="1172"/>
      <c r="Q393" s="1172" t="s">
        <v>1427</v>
      </c>
      <c r="R393" s="1172"/>
      <c r="S393" s="1175"/>
      <c r="T393" s="1172"/>
      <c r="U393" s="1172" t="s">
        <v>1394</v>
      </c>
      <c r="V393" s="1172"/>
      <c r="W393" s="1176"/>
      <c r="X393" s="1172"/>
      <c r="Y393" s="1176">
        <v>4200</v>
      </c>
      <c r="Z393" s="1172"/>
      <c r="AA393" s="1176">
        <v>-395235</v>
      </c>
    </row>
    <row r="394" spans="1:27" hidden="1" outlineLevel="2" x14ac:dyDescent="0.3">
      <c r="A394" s="1172"/>
      <c r="B394" s="1172"/>
      <c r="C394" s="1172"/>
      <c r="D394" s="1172"/>
      <c r="E394" s="1172"/>
      <c r="F394" s="1172"/>
      <c r="G394" s="1172" t="s">
        <v>1395</v>
      </c>
      <c r="H394" s="1172"/>
      <c r="I394" s="1173">
        <v>44519</v>
      </c>
      <c r="J394" s="1172"/>
      <c r="K394" s="1172" t="s">
        <v>1469</v>
      </c>
      <c r="L394" s="1172"/>
      <c r="M394" s="1174" t="s">
        <v>1397</v>
      </c>
      <c r="N394" s="1172"/>
      <c r="O394" s="1172"/>
      <c r="P394" s="1172"/>
      <c r="Q394" s="1172" t="s">
        <v>1427</v>
      </c>
      <c r="R394" s="1172"/>
      <c r="S394" s="1175"/>
      <c r="T394" s="1172"/>
      <c r="U394" s="1172" t="s">
        <v>1394</v>
      </c>
      <c r="V394" s="1172"/>
      <c r="W394" s="1176"/>
      <c r="X394" s="1172"/>
      <c r="Y394" s="1176">
        <v>1800</v>
      </c>
      <c r="Z394" s="1172"/>
      <c r="AA394" s="1176">
        <v>-397035</v>
      </c>
    </row>
    <row r="395" spans="1:27" hidden="1" outlineLevel="2" x14ac:dyDescent="0.3">
      <c r="A395" s="1172"/>
      <c r="B395" s="1172"/>
      <c r="C395" s="1172"/>
      <c r="D395" s="1172"/>
      <c r="E395" s="1172"/>
      <c r="F395" s="1172"/>
      <c r="G395" s="1172" t="s">
        <v>1395</v>
      </c>
      <c r="H395" s="1172"/>
      <c r="I395" s="1173">
        <v>44522</v>
      </c>
      <c r="J395" s="1172"/>
      <c r="K395" s="1172" t="s">
        <v>1471</v>
      </c>
      <c r="L395" s="1172"/>
      <c r="M395" s="1174" t="s">
        <v>1397</v>
      </c>
      <c r="N395" s="1172"/>
      <c r="O395" s="1172"/>
      <c r="P395" s="1172"/>
      <c r="Q395" s="1172" t="s">
        <v>1427</v>
      </c>
      <c r="R395" s="1172"/>
      <c r="S395" s="1175"/>
      <c r="T395" s="1172"/>
      <c r="U395" s="1172" t="s">
        <v>1394</v>
      </c>
      <c r="V395" s="1172"/>
      <c r="W395" s="1176"/>
      <c r="X395" s="1172"/>
      <c r="Y395" s="1176">
        <v>11600</v>
      </c>
      <c r="Z395" s="1172"/>
      <c r="AA395" s="1176">
        <v>-408635</v>
      </c>
    </row>
    <row r="396" spans="1:27" hidden="1" outlineLevel="2" x14ac:dyDescent="0.3">
      <c r="A396" s="1172"/>
      <c r="B396" s="1172"/>
      <c r="C396" s="1172"/>
      <c r="D396" s="1172"/>
      <c r="E396" s="1172"/>
      <c r="F396" s="1172"/>
      <c r="G396" s="1172" t="s">
        <v>1395</v>
      </c>
      <c r="H396" s="1172"/>
      <c r="I396" s="1173">
        <v>44531</v>
      </c>
      <c r="J396" s="1172"/>
      <c r="K396" s="1172" t="s">
        <v>1474</v>
      </c>
      <c r="L396" s="1172"/>
      <c r="M396" s="1174" t="s">
        <v>1397</v>
      </c>
      <c r="N396" s="1172"/>
      <c r="O396" s="1172"/>
      <c r="P396" s="1172"/>
      <c r="Q396" s="1172" t="s">
        <v>1427</v>
      </c>
      <c r="R396" s="1172"/>
      <c r="S396" s="1175"/>
      <c r="T396" s="1172"/>
      <c r="U396" s="1172" t="s">
        <v>1394</v>
      </c>
      <c r="V396" s="1172"/>
      <c r="W396" s="1176"/>
      <c r="X396" s="1172"/>
      <c r="Y396" s="1176">
        <v>5000</v>
      </c>
      <c r="Z396" s="1172"/>
      <c r="AA396" s="1176">
        <v>-413635</v>
      </c>
    </row>
    <row r="397" spans="1:27" hidden="1" outlineLevel="2" x14ac:dyDescent="0.3">
      <c r="A397" s="1172"/>
      <c r="B397" s="1172"/>
      <c r="C397" s="1172"/>
      <c r="D397" s="1172"/>
      <c r="E397" s="1172"/>
      <c r="F397" s="1172"/>
      <c r="G397" s="1172" t="s">
        <v>1395</v>
      </c>
      <c r="H397" s="1172"/>
      <c r="I397" s="1173">
        <v>44536</v>
      </c>
      <c r="J397" s="1172"/>
      <c r="K397" s="1172" t="s">
        <v>1475</v>
      </c>
      <c r="L397" s="1172"/>
      <c r="M397" s="1174" t="s">
        <v>1397</v>
      </c>
      <c r="N397" s="1172"/>
      <c r="O397" s="1172"/>
      <c r="P397" s="1172"/>
      <c r="Q397" s="1172" t="s">
        <v>1427</v>
      </c>
      <c r="R397" s="1172"/>
      <c r="S397" s="1175"/>
      <c r="T397" s="1172"/>
      <c r="U397" s="1172" t="s">
        <v>1394</v>
      </c>
      <c r="V397" s="1172"/>
      <c r="W397" s="1176"/>
      <c r="X397" s="1172"/>
      <c r="Y397" s="1176">
        <v>1000</v>
      </c>
      <c r="Z397" s="1172"/>
      <c r="AA397" s="1176">
        <v>-414635</v>
      </c>
    </row>
    <row r="398" spans="1:27" hidden="1" outlineLevel="2" x14ac:dyDescent="0.3">
      <c r="A398" s="1172"/>
      <c r="B398" s="1172"/>
      <c r="C398" s="1172"/>
      <c r="D398" s="1172"/>
      <c r="E398" s="1172"/>
      <c r="F398" s="1172"/>
      <c r="G398" s="1172" t="s">
        <v>1395</v>
      </c>
      <c r="H398" s="1172"/>
      <c r="I398" s="1173">
        <v>44545</v>
      </c>
      <c r="J398" s="1172"/>
      <c r="K398" s="1172" t="s">
        <v>1478</v>
      </c>
      <c r="L398" s="1172"/>
      <c r="M398" s="1174" t="s">
        <v>1397</v>
      </c>
      <c r="N398" s="1172"/>
      <c r="O398" s="1172"/>
      <c r="P398" s="1172"/>
      <c r="Q398" s="1172" t="s">
        <v>1427</v>
      </c>
      <c r="R398" s="1172"/>
      <c r="S398" s="1175"/>
      <c r="T398" s="1172"/>
      <c r="U398" s="1172" t="s">
        <v>1394</v>
      </c>
      <c r="V398" s="1172"/>
      <c r="W398" s="1176"/>
      <c r="X398" s="1172"/>
      <c r="Y398" s="1176">
        <v>10000</v>
      </c>
      <c r="Z398" s="1172"/>
      <c r="AA398" s="1176">
        <v>-424635</v>
      </c>
    </row>
    <row r="399" spans="1:27" hidden="1" outlineLevel="2" x14ac:dyDescent="0.3">
      <c r="A399" s="1172"/>
      <c r="B399" s="1172"/>
      <c r="C399" s="1172"/>
      <c r="D399" s="1172"/>
      <c r="E399" s="1172"/>
      <c r="F399" s="1172"/>
      <c r="G399" s="1172" t="s">
        <v>1395</v>
      </c>
      <c r="H399" s="1172"/>
      <c r="I399" s="1173">
        <v>44630</v>
      </c>
      <c r="J399" s="1172"/>
      <c r="K399" s="1172" t="s">
        <v>1479</v>
      </c>
      <c r="L399" s="1172"/>
      <c r="M399" s="1174" t="s">
        <v>1397</v>
      </c>
      <c r="N399" s="1172"/>
      <c r="O399" s="1172"/>
      <c r="P399" s="1172"/>
      <c r="Q399" s="1172" t="s">
        <v>1598</v>
      </c>
      <c r="R399" s="1172"/>
      <c r="S399" s="1175"/>
      <c r="T399" s="1172"/>
      <c r="U399" s="1172" t="s">
        <v>1394</v>
      </c>
      <c r="V399" s="1172"/>
      <c r="W399" s="1176"/>
      <c r="X399" s="1172"/>
      <c r="Y399" s="1176">
        <v>1000</v>
      </c>
      <c r="Z399" s="1172"/>
      <c r="AA399" s="1176">
        <v>-425635</v>
      </c>
    </row>
    <row r="400" spans="1:27" hidden="1" outlineLevel="2" x14ac:dyDescent="0.3">
      <c r="A400" s="1172"/>
      <c r="B400" s="1172"/>
      <c r="C400" s="1172"/>
      <c r="D400" s="1172"/>
      <c r="E400" s="1172"/>
      <c r="F400" s="1172"/>
      <c r="G400" s="1172" t="s">
        <v>1395</v>
      </c>
      <c r="H400" s="1172"/>
      <c r="I400" s="1173">
        <v>44634</v>
      </c>
      <c r="J400" s="1172"/>
      <c r="K400" s="1172" t="s">
        <v>1481</v>
      </c>
      <c r="L400" s="1172"/>
      <c r="M400" s="1174" t="s">
        <v>1397</v>
      </c>
      <c r="N400" s="1172"/>
      <c r="O400" s="1172"/>
      <c r="P400" s="1172"/>
      <c r="Q400" s="1172" t="s">
        <v>1427</v>
      </c>
      <c r="R400" s="1172"/>
      <c r="S400" s="1175"/>
      <c r="T400" s="1172"/>
      <c r="U400" s="1172" t="s">
        <v>1394</v>
      </c>
      <c r="V400" s="1172"/>
      <c r="W400" s="1176"/>
      <c r="X400" s="1172"/>
      <c r="Y400" s="1176">
        <v>8000</v>
      </c>
      <c r="Z400" s="1172"/>
      <c r="AA400" s="1176">
        <v>-433635</v>
      </c>
    </row>
    <row r="401" spans="1:27" hidden="1" outlineLevel="2" x14ac:dyDescent="0.3">
      <c r="A401" s="1172"/>
      <c r="B401" s="1172"/>
      <c r="C401" s="1172"/>
      <c r="D401" s="1172"/>
      <c r="E401" s="1172"/>
      <c r="F401" s="1172"/>
      <c r="G401" s="1172" t="s">
        <v>1395</v>
      </c>
      <c r="H401" s="1172"/>
      <c r="I401" s="1173">
        <v>44683</v>
      </c>
      <c r="J401" s="1172"/>
      <c r="K401" s="1172" t="s">
        <v>1484</v>
      </c>
      <c r="L401" s="1172"/>
      <c r="M401" s="1174" t="s">
        <v>1397</v>
      </c>
      <c r="N401" s="1172"/>
      <c r="O401" s="1172"/>
      <c r="P401" s="1172"/>
      <c r="Q401" s="1172" t="s">
        <v>1485</v>
      </c>
      <c r="R401" s="1172"/>
      <c r="S401" s="1175"/>
      <c r="T401" s="1172"/>
      <c r="U401" s="1172" t="s">
        <v>1394</v>
      </c>
      <c r="V401" s="1172"/>
      <c r="W401" s="1176"/>
      <c r="X401" s="1172"/>
      <c r="Y401" s="1176">
        <v>15000</v>
      </c>
      <c r="Z401" s="1172"/>
      <c r="AA401" s="1176">
        <v>-448635</v>
      </c>
    </row>
    <row r="402" spans="1:27" ht="15" hidden="1" outlineLevel="1" thickBot="1" x14ac:dyDescent="0.35">
      <c r="A402" s="1172"/>
      <c r="B402" s="1172"/>
      <c r="C402" s="1172" t="s">
        <v>1599</v>
      </c>
      <c r="D402" s="1172"/>
      <c r="E402" s="1172"/>
      <c r="F402" s="1172"/>
      <c r="G402" s="1172"/>
      <c r="H402" s="1172"/>
      <c r="I402" s="1173"/>
      <c r="J402" s="1172"/>
      <c r="K402" s="1172"/>
      <c r="L402" s="1172"/>
      <c r="M402" s="1177"/>
      <c r="N402" s="1172"/>
      <c r="O402" s="1172"/>
      <c r="P402" s="1172"/>
      <c r="Q402" s="1172"/>
      <c r="R402" s="1172"/>
      <c r="S402" s="1172"/>
      <c r="T402" s="1172"/>
      <c r="U402" s="1172"/>
      <c r="V402" s="1172"/>
      <c r="W402" s="1183">
        <f>ROUND(SUM(W354:W401),5)</f>
        <v>13</v>
      </c>
      <c r="X402" s="1172"/>
      <c r="Y402" s="1183">
        <f>ROUND(SUM(Y354:Y401),5)</f>
        <v>448648</v>
      </c>
      <c r="Z402" s="1172"/>
      <c r="AA402" s="1183">
        <f>AA401</f>
        <v>-448635</v>
      </c>
    </row>
    <row r="403" spans="1:27" collapsed="1" x14ac:dyDescent="0.3">
      <c r="A403" s="1172"/>
      <c r="B403" s="1172" t="s">
        <v>1600</v>
      </c>
      <c r="C403" s="1172"/>
      <c r="D403" s="1172"/>
      <c r="E403" s="1172"/>
      <c r="F403" s="1172"/>
      <c r="G403" s="1172"/>
      <c r="H403" s="1172"/>
      <c r="I403" s="1173"/>
      <c r="J403" s="1172"/>
      <c r="K403" s="1172"/>
      <c r="L403" s="1172"/>
      <c r="M403" s="1177"/>
      <c r="N403" s="1172"/>
      <c r="O403" s="1172"/>
      <c r="P403" s="1172"/>
      <c r="Q403" s="1172"/>
      <c r="R403" s="1172"/>
      <c r="S403" s="1172"/>
      <c r="T403" s="1172"/>
      <c r="U403" s="1172"/>
      <c r="V403" s="1172"/>
      <c r="W403" s="1176">
        <f>ROUND(W353+W402,5)</f>
        <v>13</v>
      </c>
      <c r="X403" s="1172"/>
      <c r="Y403" s="1176">
        <f>ROUND(Y353+Y402,5)</f>
        <v>548649</v>
      </c>
      <c r="Z403" s="1172"/>
      <c r="AA403" s="1176">
        <f>ROUND(AA353+AA402,5)</f>
        <v>-548636</v>
      </c>
    </row>
    <row r="404" spans="1:27" x14ac:dyDescent="0.3">
      <c r="A404" s="1168"/>
      <c r="B404" s="1168" t="s">
        <v>1601</v>
      </c>
      <c r="C404" s="1168"/>
      <c r="D404" s="1168"/>
      <c r="E404" s="1168"/>
      <c r="F404" s="1168"/>
      <c r="G404" s="1168"/>
      <c r="H404" s="1168"/>
      <c r="I404" s="1169"/>
      <c r="J404" s="1168"/>
      <c r="K404" s="1168"/>
      <c r="L404" s="1168"/>
      <c r="M404" s="1170"/>
      <c r="N404" s="1168"/>
      <c r="O404" s="1168"/>
      <c r="P404" s="1168"/>
      <c r="Q404" s="1168"/>
      <c r="R404" s="1168"/>
      <c r="S404" s="1168"/>
      <c r="T404" s="1168"/>
      <c r="U404" s="1168"/>
      <c r="V404" s="1168"/>
      <c r="W404" s="1171"/>
      <c r="X404" s="1168"/>
      <c r="Y404" s="1171"/>
      <c r="Z404" s="1168"/>
      <c r="AA404" s="1171"/>
    </row>
    <row r="405" spans="1:27" x14ac:dyDescent="0.3">
      <c r="A405" s="1168"/>
      <c r="B405" s="1168"/>
      <c r="C405" s="1168" t="s">
        <v>1544</v>
      </c>
      <c r="D405" s="1168"/>
      <c r="E405" s="1168"/>
      <c r="F405" s="1168"/>
      <c r="G405" s="1168"/>
      <c r="H405" s="1168"/>
      <c r="I405" s="1169"/>
      <c r="J405" s="1168"/>
      <c r="K405" s="1168"/>
      <c r="L405" s="1168"/>
      <c r="M405" s="1170"/>
      <c r="N405" s="1168"/>
      <c r="O405" s="1168"/>
      <c r="P405" s="1168"/>
      <c r="Q405" s="1168"/>
      <c r="R405" s="1168"/>
      <c r="S405" s="1168"/>
      <c r="T405" s="1168"/>
      <c r="U405" s="1168"/>
      <c r="V405" s="1168"/>
      <c r="W405" s="1171"/>
      <c r="X405" s="1168"/>
      <c r="Y405" s="1171"/>
      <c r="Z405" s="1168"/>
      <c r="AA405" s="1171"/>
    </row>
    <row r="406" spans="1:27" x14ac:dyDescent="0.3">
      <c r="A406" s="1172"/>
      <c r="B406" s="1172"/>
      <c r="C406" s="1172" t="s">
        <v>1544</v>
      </c>
      <c r="D406" s="1172"/>
      <c r="E406" s="1172"/>
      <c r="F406" s="1172"/>
      <c r="G406" s="1172" t="s">
        <v>871</v>
      </c>
      <c r="H406" s="1172"/>
      <c r="I406" s="1173">
        <v>44334</v>
      </c>
      <c r="J406" s="1172"/>
      <c r="K406" s="1172"/>
      <c r="L406" s="1172"/>
      <c r="M406" s="1177"/>
      <c r="N406" s="1172"/>
      <c r="O406" s="1172" t="s">
        <v>1505</v>
      </c>
      <c r="P406" s="1172"/>
      <c r="Q406" s="1172"/>
      <c r="R406" s="1172"/>
      <c r="S406" s="1175"/>
      <c r="T406" s="1172"/>
      <c r="U406" s="1172" t="s">
        <v>500</v>
      </c>
      <c r="V406" s="1172"/>
      <c r="W406" s="1176">
        <v>20.86</v>
      </c>
      <c r="X406" s="1172"/>
      <c r="Y406" s="1176"/>
      <c r="Z406" s="1172"/>
      <c r="AA406" s="1176">
        <v>20.86</v>
      </c>
    </row>
    <row r="407" spans="1:27" x14ac:dyDescent="0.3">
      <c r="A407" s="1172"/>
      <c r="B407" s="1172"/>
      <c r="C407" s="1172" t="s">
        <v>1544</v>
      </c>
      <c r="D407" s="1172"/>
      <c r="E407" s="1172"/>
      <c r="F407" s="1172"/>
      <c r="G407" s="1172" t="s">
        <v>871</v>
      </c>
      <c r="H407" s="1172"/>
      <c r="I407" s="1173">
        <v>44384</v>
      </c>
      <c r="J407" s="1172"/>
      <c r="K407" s="1172" t="s">
        <v>1511</v>
      </c>
      <c r="L407" s="1172"/>
      <c r="M407" s="1177"/>
      <c r="N407" s="1172"/>
      <c r="O407" s="1172" t="s">
        <v>1416</v>
      </c>
      <c r="P407" s="1172"/>
      <c r="Q407" s="1172" t="s">
        <v>1602</v>
      </c>
      <c r="R407" s="1172"/>
      <c r="S407" s="1175"/>
      <c r="T407" s="1172"/>
      <c r="U407" s="1172" t="s">
        <v>500</v>
      </c>
      <c r="V407" s="1172"/>
      <c r="W407" s="1176">
        <v>1230</v>
      </c>
      <c r="X407" s="1172"/>
      <c r="Y407" s="1176"/>
      <c r="Z407" s="1172"/>
      <c r="AA407" s="1176">
        <v>1250.8599999999999</v>
      </c>
    </row>
    <row r="408" spans="1:27" x14ac:dyDescent="0.3">
      <c r="A408" s="1172"/>
      <c r="B408" s="1172"/>
      <c r="C408" s="1172" t="s">
        <v>1544</v>
      </c>
      <c r="D408" s="1172"/>
      <c r="E408" s="1172"/>
      <c r="F408" s="1172"/>
      <c r="G408" s="1172" t="s">
        <v>871</v>
      </c>
      <c r="H408" s="1172"/>
      <c r="I408" s="1173">
        <v>44414</v>
      </c>
      <c r="J408" s="1172"/>
      <c r="K408" s="1172" t="s">
        <v>1513</v>
      </c>
      <c r="L408" s="1172"/>
      <c r="M408" s="1177"/>
      <c r="N408" s="1172"/>
      <c r="O408" s="1172" t="s">
        <v>1416</v>
      </c>
      <c r="P408" s="1172"/>
      <c r="Q408" s="1172" t="s">
        <v>1603</v>
      </c>
      <c r="R408" s="1172"/>
      <c r="S408" s="1175"/>
      <c r="T408" s="1172"/>
      <c r="U408" s="1172" t="s">
        <v>500</v>
      </c>
      <c r="V408" s="1172"/>
      <c r="W408" s="1176">
        <v>1302.8699999999999</v>
      </c>
      <c r="X408" s="1172"/>
      <c r="Y408" s="1176"/>
      <c r="Z408" s="1172"/>
      <c r="AA408" s="1176">
        <v>2553.73</v>
      </c>
    </row>
    <row r="409" spans="1:27" x14ac:dyDescent="0.3">
      <c r="A409" s="1172"/>
      <c r="B409" s="1172"/>
      <c r="C409" s="1172" t="s">
        <v>1544</v>
      </c>
      <c r="D409" s="1172"/>
      <c r="E409" s="1172"/>
      <c r="F409" s="1172"/>
      <c r="G409" s="1172" t="s">
        <v>871</v>
      </c>
      <c r="H409" s="1172"/>
      <c r="I409" s="1173">
        <v>44415</v>
      </c>
      <c r="J409" s="1172"/>
      <c r="K409" s="1172" t="s">
        <v>1515</v>
      </c>
      <c r="L409" s="1172"/>
      <c r="M409" s="1177"/>
      <c r="N409" s="1172"/>
      <c r="O409" s="1172" t="s">
        <v>1416</v>
      </c>
      <c r="P409" s="1172"/>
      <c r="Q409" s="1172" t="s">
        <v>1602</v>
      </c>
      <c r="R409" s="1172"/>
      <c r="S409" s="1175"/>
      <c r="T409" s="1172"/>
      <c r="U409" s="1172" t="s">
        <v>500</v>
      </c>
      <c r="V409" s="1172"/>
      <c r="W409" s="1176">
        <v>944.6</v>
      </c>
      <c r="X409" s="1172"/>
      <c r="Y409" s="1176"/>
      <c r="Z409" s="1172"/>
      <c r="AA409" s="1176">
        <v>3498.33</v>
      </c>
    </row>
    <row r="410" spans="1:27" x14ac:dyDescent="0.3">
      <c r="A410" s="1172"/>
      <c r="B410" s="1172"/>
      <c r="C410" s="1172" t="s">
        <v>1544</v>
      </c>
      <c r="D410" s="1172"/>
      <c r="E410" s="1172"/>
      <c r="F410" s="1172"/>
      <c r="G410" s="1172" t="s">
        <v>871</v>
      </c>
      <c r="H410" s="1172"/>
      <c r="I410" s="1173">
        <v>44415</v>
      </c>
      <c r="J410" s="1172"/>
      <c r="K410" s="1172" t="s">
        <v>1515</v>
      </c>
      <c r="L410" s="1172"/>
      <c r="M410" s="1177"/>
      <c r="N410" s="1172"/>
      <c r="O410" s="1172" t="s">
        <v>1416</v>
      </c>
      <c r="P410" s="1172"/>
      <c r="Q410" s="1172" t="s">
        <v>1604</v>
      </c>
      <c r="R410" s="1172"/>
      <c r="S410" s="1175"/>
      <c r="T410" s="1172"/>
      <c r="U410" s="1172" t="s">
        <v>500</v>
      </c>
      <c r="V410" s="1172"/>
      <c r="W410" s="1176"/>
      <c r="X410" s="1172"/>
      <c r="Y410" s="1176">
        <v>195.44</v>
      </c>
      <c r="Z410" s="1172"/>
      <c r="AA410" s="1176">
        <v>3302.89</v>
      </c>
    </row>
    <row r="411" spans="1:27" x14ac:dyDescent="0.3">
      <c r="A411" s="1172"/>
      <c r="B411" s="1172"/>
      <c r="C411" s="1172" t="s">
        <v>1544</v>
      </c>
      <c r="D411" s="1172"/>
      <c r="E411" s="1172"/>
      <c r="F411" s="1172"/>
      <c r="G411" s="1172" t="s">
        <v>871</v>
      </c>
      <c r="H411" s="1172"/>
      <c r="I411" s="1173">
        <v>44446</v>
      </c>
      <c r="J411" s="1172"/>
      <c r="K411" s="1172" t="s">
        <v>1518</v>
      </c>
      <c r="L411" s="1172"/>
      <c r="M411" s="1177"/>
      <c r="N411" s="1172"/>
      <c r="O411" s="1172" t="s">
        <v>1416</v>
      </c>
      <c r="P411" s="1172"/>
      <c r="Q411" s="1172" t="s">
        <v>1605</v>
      </c>
      <c r="R411" s="1172"/>
      <c r="S411" s="1175"/>
      <c r="T411" s="1172"/>
      <c r="U411" s="1172" t="s">
        <v>500</v>
      </c>
      <c r="V411" s="1172"/>
      <c r="W411" s="1176">
        <v>713.7</v>
      </c>
      <c r="X411" s="1172"/>
      <c r="Y411" s="1176"/>
      <c r="Z411" s="1172"/>
      <c r="AA411" s="1176">
        <v>4016.59</v>
      </c>
    </row>
    <row r="412" spans="1:27" x14ac:dyDescent="0.3">
      <c r="A412" s="1172"/>
      <c r="B412" s="1172"/>
      <c r="C412" s="1172" t="s">
        <v>1544</v>
      </c>
      <c r="D412" s="1172"/>
      <c r="E412" s="1172"/>
      <c r="F412" s="1172"/>
      <c r="G412" s="1172" t="s">
        <v>871</v>
      </c>
      <c r="H412" s="1172"/>
      <c r="I412" s="1173">
        <v>44476</v>
      </c>
      <c r="J412" s="1172"/>
      <c r="K412" s="1172" t="s">
        <v>1519</v>
      </c>
      <c r="L412" s="1172"/>
      <c r="M412" s="1177"/>
      <c r="N412" s="1172"/>
      <c r="O412" s="1172" t="s">
        <v>1416</v>
      </c>
      <c r="P412" s="1172"/>
      <c r="Q412" s="1172"/>
      <c r="R412" s="1172"/>
      <c r="S412" s="1175"/>
      <c r="T412" s="1172"/>
      <c r="U412" s="1172" t="s">
        <v>500</v>
      </c>
      <c r="V412" s="1172"/>
      <c r="W412" s="1176">
        <v>1073.31</v>
      </c>
      <c r="X412" s="1172"/>
      <c r="Y412" s="1176"/>
      <c r="Z412" s="1172"/>
      <c r="AA412" s="1176">
        <v>5089.8999999999996</v>
      </c>
    </row>
    <row r="413" spans="1:27" x14ac:dyDescent="0.3">
      <c r="A413" s="1172"/>
      <c r="B413" s="1172"/>
      <c r="C413" s="1172" t="s">
        <v>1544</v>
      </c>
      <c r="D413" s="1172"/>
      <c r="E413" s="1172"/>
      <c r="F413" s="1172"/>
      <c r="G413" s="1172" t="s">
        <v>871</v>
      </c>
      <c r="H413" s="1172"/>
      <c r="I413" s="1173">
        <v>44507</v>
      </c>
      <c r="J413" s="1172"/>
      <c r="K413" s="1172" t="s">
        <v>1522</v>
      </c>
      <c r="L413" s="1172"/>
      <c r="M413" s="1177"/>
      <c r="N413" s="1172"/>
      <c r="O413" s="1172" t="s">
        <v>1416</v>
      </c>
      <c r="P413" s="1172"/>
      <c r="Q413" s="1172" t="s">
        <v>1605</v>
      </c>
      <c r="R413" s="1172"/>
      <c r="S413" s="1175"/>
      <c r="T413" s="1172"/>
      <c r="U413" s="1172" t="s">
        <v>500</v>
      </c>
      <c r="V413" s="1172"/>
      <c r="W413" s="1176">
        <v>1520.91</v>
      </c>
      <c r="X413" s="1172"/>
      <c r="Y413" s="1176"/>
      <c r="Z413" s="1172"/>
      <c r="AA413" s="1176">
        <v>6610.81</v>
      </c>
    </row>
    <row r="414" spans="1:27" x14ac:dyDescent="0.3">
      <c r="A414" s="1172"/>
      <c r="B414" s="1172"/>
      <c r="C414" s="1172" t="s">
        <v>1544</v>
      </c>
      <c r="D414" s="1172"/>
      <c r="E414" s="1172"/>
      <c r="F414" s="1172"/>
      <c r="G414" s="1172" t="s">
        <v>871</v>
      </c>
      <c r="H414" s="1172"/>
      <c r="I414" s="1173">
        <v>44534</v>
      </c>
      <c r="J414" s="1172"/>
      <c r="K414" s="1172" t="s">
        <v>1526</v>
      </c>
      <c r="L414" s="1172"/>
      <c r="M414" s="1177"/>
      <c r="N414" s="1172"/>
      <c r="O414" s="1172" t="s">
        <v>1416</v>
      </c>
      <c r="P414" s="1172"/>
      <c r="Q414" s="1172" t="s">
        <v>1605</v>
      </c>
      <c r="R414" s="1172"/>
      <c r="S414" s="1175"/>
      <c r="T414" s="1172"/>
      <c r="U414" s="1172" t="s">
        <v>500</v>
      </c>
      <c r="V414" s="1172"/>
      <c r="W414" s="1176">
        <v>1295</v>
      </c>
      <c r="X414" s="1172"/>
      <c r="Y414" s="1176"/>
      <c r="Z414" s="1172"/>
      <c r="AA414" s="1176">
        <v>7905.81</v>
      </c>
    </row>
    <row r="415" spans="1:27" x14ac:dyDescent="0.3">
      <c r="A415" s="1172"/>
      <c r="B415" s="1172"/>
      <c r="C415" s="1172" t="s">
        <v>1544</v>
      </c>
      <c r="D415" s="1172"/>
      <c r="E415" s="1172"/>
      <c r="F415" s="1172"/>
      <c r="G415" s="1172" t="s">
        <v>871</v>
      </c>
      <c r="H415" s="1172"/>
      <c r="I415" s="1173">
        <v>44568</v>
      </c>
      <c r="J415" s="1172"/>
      <c r="K415" s="1172" t="s">
        <v>1529</v>
      </c>
      <c r="L415" s="1172"/>
      <c r="M415" s="1177"/>
      <c r="N415" s="1172"/>
      <c r="O415" s="1172" t="s">
        <v>1416</v>
      </c>
      <c r="P415" s="1172"/>
      <c r="Q415" s="1172" t="s">
        <v>1605</v>
      </c>
      <c r="R415" s="1172"/>
      <c r="S415" s="1175"/>
      <c r="T415" s="1172"/>
      <c r="U415" s="1172" t="s">
        <v>500</v>
      </c>
      <c r="V415" s="1172"/>
      <c r="W415" s="1176">
        <v>650.44000000000005</v>
      </c>
      <c r="X415" s="1172"/>
      <c r="Y415" s="1176"/>
      <c r="Z415" s="1172"/>
      <c r="AA415" s="1176">
        <v>8556.25</v>
      </c>
    </row>
    <row r="416" spans="1:27" x14ac:dyDescent="0.3">
      <c r="A416" s="1172"/>
      <c r="B416" s="1172"/>
      <c r="C416" s="1172" t="s">
        <v>1544</v>
      </c>
      <c r="D416" s="1172"/>
      <c r="E416" s="1172"/>
      <c r="F416" s="1172"/>
      <c r="G416" s="1172" t="s">
        <v>871</v>
      </c>
      <c r="H416" s="1172"/>
      <c r="I416" s="1173">
        <v>44599</v>
      </c>
      <c r="J416" s="1172"/>
      <c r="K416" s="1172" t="s">
        <v>1531</v>
      </c>
      <c r="L416" s="1172"/>
      <c r="M416" s="1177"/>
      <c r="N416" s="1172"/>
      <c r="O416" s="1172" t="s">
        <v>1416</v>
      </c>
      <c r="P416" s="1172"/>
      <c r="Q416" s="1172"/>
      <c r="R416" s="1172"/>
      <c r="S416" s="1175"/>
      <c r="T416" s="1172"/>
      <c r="U416" s="1172" t="s">
        <v>500</v>
      </c>
      <c r="V416" s="1172"/>
      <c r="W416" s="1176">
        <v>655.33000000000004</v>
      </c>
      <c r="X416" s="1172"/>
      <c r="Y416" s="1176"/>
      <c r="Z416" s="1172"/>
      <c r="AA416" s="1176">
        <v>9211.58</v>
      </c>
    </row>
    <row r="417" spans="1:27" x14ac:dyDescent="0.3">
      <c r="A417" s="1172"/>
      <c r="B417" s="1172"/>
      <c r="C417" s="1172" t="s">
        <v>1544</v>
      </c>
      <c r="D417" s="1172"/>
      <c r="E417" s="1172"/>
      <c r="F417" s="1172"/>
      <c r="G417" s="1172" t="s">
        <v>871</v>
      </c>
      <c r="H417" s="1172"/>
      <c r="I417" s="1173">
        <v>44627</v>
      </c>
      <c r="J417" s="1172"/>
      <c r="K417" s="1172" t="s">
        <v>1533</v>
      </c>
      <c r="L417" s="1172"/>
      <c r="M417" s="1177"/>
      <c r="N417" s="1172"/>
      <c r="O417" s="1172" t="s">
        <v>1416</v>
      </c>
      <c r="P417" s="1172"/>
      <c r="Q417" s="1172"/>
      <c r="R417" s="1172"/>
      <c r="S417" s="1175"/>
      <c r="T417" s="1172"/>
      <c r="U417" s="1172" t="s">
        <v>500</v>
      </c>
      <c r="V417" s="1172"/>
      <c r="W417" s="1176">
        <v>657.23</v>
      </c>
      <c r="X417" s="1172"/>
      <c r="Y417" s="1176"/>
      <c r="Z417" s="1172"/>
      <c r="AA417" s="1176">
        <v>9868.81</v>
      </c>
    </row>
    <row r="418" spans="1:27" x14ac:dyDescent="0.3">
      <c r="A418" s="1172"/>
      <c r="B418" s="1172"/>
      <c r="C418" s="1172" t="s">
        <v>1544</v>
      </c>
      <c r="D418" s="1172"/>
      <c r="E418" s="1172"/>
      <c r="F418" s="1172"/>
      <c r="G418" s="1172" t="s">
        <v>871</v>
      </c>
      <c r="H418" s="1172"/>
      <c r="I418" s="1173">
        <v>44658</v>
      </c>
      <c r="J418" s="1172"/>
      <c r="K418" s="1172" t="s">
        <v>1535</v>
      </c>
      <c r="L418" s="1172"/>
      <c r="M418" s="1177"/>
      <c r="N418" s="1172"/>
      <c r="O418" s="1172" t="s">
        <v>1416</v>
      </c>
      <c r="P418" s="1172"/>
      <c r="Q418" s="1172"/>
      <c r="R418" s="1172"/>
      <c r="S418" s="1175"/>
      <c r="T418" s="1172"/>
      <c r="U418" s="1172" t="s">
        <v>500</v>
      </c>
      <c r="V418" s="1172"/>
      <c r="W418" s="1176">
        <v>724.1</v>
      </c>
      <c r="X418" s="1172"/>
      <c r="Y418" s="1176"/>
      <c r="Z418" s="1172"/>
      <c r="AA418" s="1176">
        <v>10592.91</v>
      </c>
    </row>
    <row r="419" spans="1:27" x14ac:dyDescent="0.3">
      <c r="A419" s="1172"/>
      <c r="B419" s="1172"/>
      <c r="C419" s="1172" t="s">
        <v>1544</v>
      </c>
      <c r="D419" s="1172"/>
      <c r="E419" s="1172"/>
      <c r="F419" s="1172"/>
      <c r="G419" s="1172" t="s">
        <v>871</v>
      </c>
      <c r="H419" s="1172"/>
      <c r="I419" s="1173">
        <v>44688</v>
      </c>
      <c r="J419" s="1172"/>
      <c r="K419" s="1172" t="s">
        <v>1537</v>
      </c>
      <c r="L419" s="1172"/>
      <c r="M419" s="1177"/>
      <c r="N419" s="1172"/>
      <c r="O419" s="1172" t="s">
        <v>1416</v>
      </c>
      <c r="P419" s="1172"/>
      <c r="Q419" s="1172"/>
      <c r="R419" s="1172"/>
      <c r="S419" s="1175"/>
      <c r="T419" s="1172"/>
      <c r="U419" s="1172" t="s">
        <v>500</v>
      </c>
      <c r="V419" s="1172"/>
      <c r="W419" s="1176">
        <v>662.15</v>
      </c>
      <c r="X419" s="1172"/>
      <c r="Y419" s="1176"/>
      <c r="Z419" s="1172"/>
      <c r="AA419" s="1176">
        <v>11255.06</v>
      </c>
    </row>
    <row r="420" spans="1:27" x14ac:dyDescent="0.3">
      <c r="A420" s="1172"/>
      <c r="B420" s="1172"/>
      <c r="C420" s="1195" t="s">
        <v>1544</v>
      </c>
      <c r="D420" s="1195"/>
      <c r="E420" s="1195"/>
      <c r="F420" s="1195"/>
      <c r="G420" s="1195" t="s">
        <v>871</v>
      </c>
      <c r="H420" s="1195"/>
      <c r="I420" s="1196">
        <v>44719</v>
      </c>
      <c r="J420" s="1195"/>
      <c r="K420" s="1195" t="s">
        <v>1538</v>
      </c>
      <c r="L420" s="1195"/>
      <c r="M420" s="1197"/>
      <c r="N420" s="1195"/>
      <c r="O420" s="1195" t="s">
        <v>1416</v>
      </c>
      <c r="P420" s="1195"/>
      <c r="Q420" s="1195"/>
      <c r="R420" s="1195"/>
      <c r="S420" s="1198"/>
      <c r="T420" s="1195"/>
      <c r="U420" s="1195" t="s">
        <v>500</v>
      </c>
      <c r="V420" s="1195"/>
      <c r="W420" s="1199">
        <v>646.88</v>
      </c>
      <c r="X420" s="1195"/>
      <c r="Y420" s="1199"/>
      <c r="Z420" s="1195"/>
      <c r="AA420" s="1199">
        <v>11901.94</v>
      </c>
    </row>
    <row r="421" spans="1:27" x14ac:dyDescent="0.3">
      <c r="A421" s="1172"/>
      <c r="B421" s="1172"/>
      <c r="C421" s="1185" t="s">
        <v>1544</v>
      </c>
      <c r="D421" s="1185"/>
      <c r="E421" s="1185"/>
      <c r="F421" s="1185"/>
      <c r="G421" s="1185" t="s">
        <v>871</v>
      </c>
      <c r="H421" s="1185"/>
      <c r="I421" s="1186">
        <v>44749</v>
      </c>
      <c r="J421" s="1185"/>
      <c r="K421" s="1185" t="s">
        <v>1540</v>
      </c>
      <c r="L421" s="1185"/>
      <c r="M421" s="1187"/>
      <c r="N421" s="1185"/>
      <c r="O421" s="1185" t="s">
        <v>1416</v>
      </c>
      <c r="P421" s="1185"/>
      <c r="Q421" s="1185"/>
      <c r="R421" s="1185"/>
      <c r="S421" s="1188"/>
      <c r="T421" s="1185"/>
      <c r="U421" s="1185" t="s">
        <v>500</v>
      </c>
      <c r="V421" s="1185"/>
      <c r="W421" s="1189">
        <v>710.19</v>
      </c>
      <c r="X421" s="1185"/>
      <c r="Y421" s="1189"/>
      <c r="Z421" s="1185"/>
      <c r="AA421" s="1189">
        <v>12612.13</v>
      </c>
    </row>
    <row r="422" spans="1:27" x14ac:dyDescent="0.3">
      <c r="A422" s="1172"/>
      <c r="B422" s="1172"/>
      <c r="C422" s="1185" t="s">
        <v>1544</v>
      </c>
      <c r="D422" s="1185"/>
      <c r="E422" s="1185"/>
      <c r="F422" s="1185"/>
      <c r="G422" s="1185" t="s">
        <v>871</v>
      </c>
      <c r="H422" s="1185"/>
      <c r="I422" s="1186">
        <v>44782</v>
      </c>
      <c r="J422" s="1185"/>
      <c r="K422" s="1185" t="s">
        <v>1542</v>
      </c>
      <c r="L422" s="1185"/>
      <c r="M422" s="1187"/>
      <c r="N422" s="1185"/>
      <c r="O422" s="1185" t="s">
        <v>1494</v>
      </c>
      <c r="P422" s="1185"/>
      <c r="Q422" s="1185"/>
      <c r="R422" s="1185"/>
      <c r="S422" s="1188"/>
      <c r="T422" s="1185"/>
      <c r="U422" s="1185" t="s">
        <v>500</v>
      </c>
      <c r="V422" s="1185"/>
      <c r="W422" s="1189">
        <v>18996.78</v>
      </c>
      <c r="X422" s="1185"/>
      <c r="Y422" s="1189"/>
      <c r="Z422" s="1185"/>
      <c r="AA422" s="1189">
        <v>31608.91</v>
      </c>
    </row>
    <row r="423" spans="1:27" x14ac:dyDescent="0.3">
      <c r="A423" s="1172"/>
      <c r="B423" s="1172"/>
      <c r="C423" s="1200" t="s">
        <v>1544</v>
      </c>
      <c r="D423" s="1200"/>
      <c r="E423" s="1200"/>
      <c r="F423" s="1200"/>
      <c r="G423" s="1200" t="s">
        <v>871</v>
      </c>
      <c r="H423" s="1200"/>
      <c r="I423" s="1201">
        <v>44804</v>
      </c>
      <c r="J423" s="1200"/>
      <c r="K423" s="1200" t="s">
        <v>1543</v>
      </c>
      <c r="L423" s="1200"/>
      <c r="M423" s="1202"/>
      <c r="N423" s="1200"/>
      <c r="O423" s="1200" t="s">
        <v>1412</v>
      </c>
      <c r="P423" s="1200"/>
      <c r="Q423" s="1200"/>
      <c r="R423" s="1200"/>
      <c r="S423" s="1203"/>
      <c r="T423" s="1200"/>
      <c r="U423" s="1200" t="s">
        <v>500</v>
      </c>
      <c r="V423" s="1200"/>
      <c r="W423" s="1204">
        <v>10495.5</v>
      </c>
      <c r="X423" s="1200"/>
      <c r="Y423" s="1204"/>
      <c r="Z423" s="1200"/>
      <c r="AA423" s="1204">
        <v>42104.41</v>
      </c>
    </row>
    <row r="424" spans="1:27" x14ac:dyDescent="0.3">
      <c r="A424" s="1172"/>
      <c r="B424" s="1172"/>
      <c r="C424" s="1172" t="s">
        <v>1544</v>
      </c>
      <c r="D424" s="1172"/>
      <c r="E424" s="1172"/>
      <c r="F424" s="1172"/>
      <c r="G424" s="1172" t="s">
        <v>871</v>
      </c>
      <c r="H424" s="1172"/>
      <c r="I424" s="1173">
        <v>44865</v>
      </c>
      <c r="J424" s="1172"/>
      <c r="K424" s="1172" t="s">
        <v>1548</v>
      </c>
      <c r="L424" s="1172"/>
      <c r="M424" s="1177"/>
      <c r="N424" s="1172"/>
      <c r="O424" s="1172" t="s">
        <v>1494</v>
      </c>
      <c r="P424" s="1172"/>
      <c r="Q424" s="1172"/>
      <c r="R424" s="1172"/>
      <c r="S424" s="1175"/>
      <c r="T424" s="1172"/>
      <c r="U424" s="1172" t="s">
        <v>500</v>
      </c>
      <c r="V424" s="1172"/>
      <c r="W424" s="1176">
        <v>2857.96</v>
      </c>
      <c r="X424" s="1172"/>
      <c r="Y424" s="1176"/>
      <c r="Z424" s="1172"/>
      <c r="AA424" s="1176">
        <v>44962.37</v>
      </c>
    </row>
    <row r="425" spans="1:27" x14ac:dyDescent="0.3">
      <c r="A425" s="1172"/>
      <c r="B425" s="1172"/>
      <c r="C425" s="1172" t="s">
        <v>1544</v>
      </c>
      <c r="D425" s="1172"/>
      <c r="E425" s="1172"/>
      <c r="F425" s="1172"/>
      <c r="G425" s="1172" t="s">
        <v>871</v>
      </c>
      <c r="H425" s="1172"/>
      <c r="I425" s="1173">
        <v>44865</v>
      </c>
      <c r="J425" s="1172"/>
      <c r="K425" s="1172" t="s">
        <v>1549</v>
      </c>
      <c r="L425" s="1172"/>
      <c r="M425" s="1177"/>
      <c r="N425" s="1172"/>
      <c r="O425" s="1172" t="s">
        <v>1486</v>
      </c>
      <c r="P425" s="1172"/>
      <c r="Q425" s="1172"/>
      <c r="R425" s="1172"/>
      <c r="S425" s="1175"/>
      <c r="T425" s="1172"/>
      <c r="U425" s="1172" t="s">
        <v>500</v>
      </c>
      <c r="V425" s="1172"/>
      <c r="W425" s="1176">
        <v>2500</v>
      </c>
      <c r="X425" s="1172"/>
      <c r="Y425" s="1176"/>
      <c r="Z425" s="1172"/>
      <c r="AA425" s="1176">
        <v>47462.37</v>
      </c>
    </row>
    <row r="426" spans="1:27" x14ac:dyDescent="0.3">
      <c r="A426" s="1172"/>
      <c r="B426" s="1172"/>
      <c r="C426" s="1172" t="s">
        <v>1544</v>
      </c>
      <c r="D426" s="1172"/>
      <c r="E426" s="1172"/>
      <c r="F426" s="1172"/>
      <c r="G426" s="1172" t="s">
        <v>871</v>
      </c>
      <c r="H426" s="1172"/>
      <c r="I426" s="1173">
        <v>44887</v>
      </c>
      <c r="J426" s="1172"/>
      <c r="K426" s="1172" t="s">
        <v>1558</v>
      </c>
      <c r="L426" s="1172"/>
      <c r="M426" s="1177"/>
      <c r="N426" s="1172"/>
      <c r="O426" s="1172" t="s">
        <v>1494</v>
      </c>
      <c r="P426" s="1172"/>
      <c r="Q426" s="1172"/>
      <c r="R426" s="1172"/>
      <c r="S426" s="1175"/>
      <c r="T426" s="1172"/>
      <c r="U426" s="1172" t="s">
        <v>500</v>
      </c>
      <c r="V426" s="1172"/>
      <c r="W426" s="1176">
        <v>77.08</v>
      </c>
      <c r="X426" s="1172"/>
      <c r="Y426" s="1176"/>
      <c r="Z426" s="1172"/>
      <c r="AA426" s="1176">
        <v>47539.45</v>
      </c>
    </row>
    <row r="427" spans="1:27" x14ac:dyDescent="0.3">
      <c r="A427" s="1172"/>
      <c r="B427" s="1172"/>
      <c r="C427" s="1172" t="s">
        <v>1544</v>
      </c>
      <c r="D427" s="1172"/>
      <c r="E427" s="1172"/>
      <c r="F427" s="1172"/>
      <c r="G427" s="1172" t="s">
        <v>871</v>
      </c>
      <c r="H427" s="1172"/>
      <c r="I427" s="1173">
        <v>44887</v>
      </c>
      <c r="J427" s="1172"/>
      <c r="K427" s="1172" t="s">
        <v>1559</v>
      </c>
      <c r="L427" s="1172"/>
      <c r="M427" s="1177"/>
      <c r="N427" s="1172"/>
      <c r="O427" s="1172" t="s">
        <v>1494</v>
      </c>
      <c r="P427" s="1172"/>
      <c r="Q427" s="1172"/>
      <c r="R427" s="1172"/>
      <c r="S427" s="1175"/>
      <c r="T427" s="1172"/>
      <c r="U427" s="1172" t="s">
        <v>500</v>
      </c>
      <c r="V427" s="1172"/>
      <c r="W427" s="1176">
        <v>176.01</v>
      </c>
      <c r="X427" s="1172"/>
      <c r="Y427" s="1176"/>
      <c r="Z427" s="1172"/>
      <c r="AA427" s="1176">
        <v>47715.46</v>
      </c>
    </row>
    <row r="428" spans="1:27" ht="15" thickBot="1" x14ac:dyDescent="0.35">
      <c r="A428" s="1172"/>
      <c r="B428" s="1172"/>
      <c r="C428" s="1172" t="s">
        <v>1544</v>
      </c>
      <c r="D428" s="1172"/>
      <c r="E428" s="1172"/>
      <c r="F428" s="1172"/>
      <c r="G428" s="1172" t="s">
        <v>871</v>
      </c>
      <c r="H428" s="1172"/>
      <c r="I428" s="1173">
        <v>44887</v>
      </c>
      <c r="J428" s="1172"/>
      <c r="K428" s="1172" t="s">
        <v>1560</v>
      </c>
      <c r="L428" s="1172"/>
      <c r="M428" s="1177"/>
      <c r="N428" s="1172"/>
      <c r="O428" s="1172" t="s">
        <v>1494</v>
      </c>
      <c r="P428" s="1172"/>
      <c r="Q428" s="1172"/>
      <c r="R428" s="1172"/>
      <c r="S428" s="1175"/>
      <c r="T428" s="1172"/>
      <c r="U428" s="1172" t="s">
        <v>500</v>
      </c>
      <c r="V428" s="1172"/>
      <c r="W428" s="1182">
        <v>1957.03</v>
      </c>
      <c r="X428" s="1172"/>
      <c r="Y428" s="1182"/>
      <c r="Z428" s="1172"/>
      <c r="AA428" s="1182">
        <v>49672.49</v>
      </c>
    </row>
    <row r="429" spans="1:27" x14ac:dyDescent="0.3">
      <c r="A429" s="1172"/>
      <c r="B429" s="1172"/>
      <c r="C429" s="1172" t="s">
        <v>1606</v>
      </c>
      <c r="D429" s="1172"/>
      <c r="E429" s="1172"/>
      <c r="F429" s="1172"/>
      <c r="G429" s="1172"/>
      <c r="H429" s="1172"/>
      <c r="I429" s="1173"/>
      <c r="J429" s="1172"/>
      <c r="K429" s="1172"/>
      <c r="L429" s="1172"/>
      <c r="M429" s="1177"/>
      <c r="N429" s="1172"/>
      <c r="O429" s="1172"/>
      <c r="P429" s="1172"/>
      <c r="Q429" s="1172"/>
      <c r="R429" s="1172"/>
      <c r="S429" s="1172"/>
      <c r="T429" s="1172"/>
      <c r="U429" s="1172"/>
      <c r="V429" s="1172"/>
      <c r="W429" s="1176">
        <f>ROUND(SUM(W405:W428),5)</f>
        <v>49867.93</v>
      </c>
      <c r="X429" s="1172"/>
      <c r="Y429" s="1176">
        <f>ROUND(SUM(Y405:Y428),5)</f>
        <v>195.44</v>
      </c>
      <c r="Z429" s="1172"/>
      <c r="AA429" s="1176">
        <f>AA428</f>
        <v>49672.49</v>
      </c>
    </row>
    <row r="430" spans="1:27" x14ac:dyDescent="0.3">
      <c r="A430" s="1168"/>
      <c r="B430" s="1168"/>
      <c r="C430" s="1168" t="s">
        <v>1408</v>
      </c>
      <c r="D430" s="1168"/>
      <c r="E430" s="1168"/>
      <c r="F430" s="1168"/>
      <c r="G430" s="1168"/>
      <c r="H430" s="1168"/>
      <c r="I430" s="1169"/>
      <c r="J430" s="1168"/>
      <c r="K430" s="1168"/>
      <c r="L430" s="1168"/>
      <c r="M430" s="1170"/>
      <c r="N430" s="1168"/>
      <c r="O430" s="1168"/>
      <c r="P430" s="1168"/>
      <c r="Q430" s="1168"/>
      <c r="R430" s="1168"/>
      <c r="S430" s="1168"/>
      <c r="T430" s="1168"/>
      <c r="U430" s="1168"/>
      <c r="V430" s="1168"/>
      <c r="W430" s="1171"/>
      <c r="X430" s="1168"/>
      <c r="Y430" s="1171"/>
      <c r="Z430" s="1168"/>
      <c r="AA430" s="1171"/>
    </row>
    <row r="431" spans="1:27" x14ac:dyDescent="0.3">
      <c r="A431" s="1172"/>
      <c r="B431" s="1172"/>
      <c r="C431" s="1172"/>
      <c r="D431" s="1172"/>
      <c r="E431" s="1172"/>
      <c r="F431" s="1172"/>
      <c r="G431" s="1172" t="s">
        <v>1395</v>
      </c>
      <c r="H431" s="1172"/>
      <c r="I431" s="1173">
        <v>44316</v>
      </c>
      <c r="J431" s="1172"/>
      <c r="K431" s="1172" t="s">
        <v>1406</v>
      </c>
      <c r="L431" s="1172"/>
      <c r="M431" s="1174" t="s">
        <v>1397</v>
      </c>
      <c r="N431" s="1172"/>
      <c r="O431" s="1172"/>
      <c r="P431" s="1172"/>
      <c r="Q431" s="1172" t="s">
        <v>1407</v>
      </c>
      <c r="R431" s="1172"/>
      <c r="S431" s="1175"/>
      <c r="T431" s="1172"/>
      <c r="U431" s="1172" t="s">
        <v>1394</v>
      </c>
      <c r="V431" s="1172"/>
      <c r="W431" s="1176">
        <v>20.83</v>
      </c>
      <c r="X431" s="1172"/>
      <c r="Y431" s="1176"/>
      <c r="Z431" s="1172"/>
      <c r="AA431" s="1176">
        <v>20.83</v>
      </c>
    </row>
    <row r="432" spans="1:27" x14ac:dyDescent="0.3">
      <c r="A432" s="1172"/>
      <c r="B432" s="1172"/>
      <c r="C432" s="1172"/>
      <c r="D432" s="1172"/>
      <c r="E432" s="1172"/>
      <c r="F432" s="1172"/>
      <c r="G432" s="1172" t="s">
        <v>1395</v>
      </c>
      <c r="H432" s="1172"/>
      <c r="I432" s="1173">
        <v>44475</v>
      </c>
      <c r="J432" s="1172"/>
      <c r="K432" s="1172" t="s">
        <v>1431</v>
      </c>
      <c r="L432" s="1172"/>
      <c r="M432" s="1174" t="s">
        <v>1397</v>
      </c>
      <c r="N432" s="1172"/>
      <c r="O432" s="1172"/>
      <c r="P432" s="1172"/>
      <c r="Q432" s="1172"/>
      <c r="R432" s="1172"/>
      <c r="S432" s="1175"/>
      <c r="T432" s="1172"/>
      <c r="U432" s="1172" t="s">
        <v>1394</v>
      </c>
      <c r="V432" s="1172"/>
      <c r="W432" s="1176">
        <v>17.5</v>
      </c>
      <c r="X432" s="1172"/>
      <c r="Y432" s="1176"/>
      <c r="Z432" s="1172"/>
      <c r="AA432" s="1176">
        <v>38.33</v>
      </c>
    </row>
    <row r="433" spans="1:27" x14ac:dyDescent="0.3">
      <c r="A433" s="1172"/>
      <c r="B433" s="1172"/>
      <c r="C433" s="1172"/>
      <c r="D433" s="1172"/>
      <c r="E433" s="1172"/>
      <c r="F433" s="1172"/>
      <c r="G433" s="1172" t="s">
        <v>1395</v>
      </c>
      <c r="H433" s="1172"/>
      <c r="I433" s="1173">
        <v>44512</v>
      </c>
      <c r="J433" s="1172"/>
      <c r="K433" s="1172" t="s">
        <v>1462</v>
      </c>
      <c r="L433" s="1172"/>
      <c r="M433" s="1174" t="s">
        <v>1397</v>
      </c>
      <c r="N433" s="1172"/>
      <c r="O433" s="1172"/>
      <c r="P433" s="1172"/>
      <c r="Q433" s="1172" t="s">
        <v>1463</v>
      </c>
      <c r="R433" s="1172"/>
      <c r="S433" s="1175"/>
      <c r="T433" s="1172"/>
      <c r="U433" s="1172" t="s">
        <v>1394</v>
      </c>
      <c r="V433" s="1172"/>
      <c r="W433" s="1176">
        <v>17.5</v>
      </c>
      <c r="X433" s="1172"/>
      <c r="Y433" s="1176"/>
      <c r="Z433" s="1172"/>
      <c r="AA433" s="1176">
        <v>55.83</v>
      </c>
    </row>
    <row r="434" spans="1:27" x14ac:dyDescent="0.3">
      <c r="A434" s="1172"/>
      <c r="B434" s="1172"/>
      <c r="C434" s="1172"/>
      <c r="D434" s="1172"/>
      <c r="E434" s="1172"/>
      <c r="F434" s="1172"/>
      <c r="G434" s="1172" t="s">
        <v>1395</v>
      </c>
      <c r="H434" s="1172"/>
      <c r="I434" s="1173">
        <v>44516</v>
      </c>
      <c r="J434" s="1172"/>
      <c r="K434" s="1172" t="s">
        <v>1466</v>
      </c>
      <c r="L434" s="1172"/>
      <c r="M434" s="1174" t="s">
        <v>1397</v>
      </c>
      <c r="N434" s="1172"/>
      <c r="O434" s="1172"/>
      <c r="P434" s="1172"/>
      <c r="Q434" s="1172" t="s">
        <v>1607</v>
      </c>
      <c r="R434" s="1172"/>
      <c r="S434" s="1175"/>
      <c r="T434" s="1172"/>
      <c r="U434" s="1172" t="s">
        <v>1394</v>
      </c>
      <c r="V434" s="1172"/>
      <c r="W434" s="1176">
        <v>17.5</v>
      </c>
      <c r="X434" s="1172"/>
      <c r="Y434" s="1176"/>
      <c r="Z434" s="1172"/>
      <c r="AA434" s="1176">
        <v>73.33</v>
      </c>
    </row>
    <row r="435" spans="1:27" x14ac:dyDescent="0.3">
      <c r="A435" s="1172"/>
      <c r="B435" s="1172"/>
      <c r="C435" s="1172"/>
      <c r="D435" s="1172"/>
      <c r="E435" s="1172"/>
      <c r="F435" s="1172"/>
      <c r="G435" s="1172" t="s">
        <v>1395</v>
      </c>
      <c r="H435" s="1172"/>
      <c r="I435" s="1173">
        <v>44630</v>
      </c>
      <c r="J435" s="1172"/>
      <c r="K435" s="1172" t="s">
        <v>1479</v>
      </c>
      <c r="L435" s="1172"/>
      <c r="M435" s="1174" t="s">
        <v>1397</v>
      </c>
      <c r="N435" s="1172"/>
      <c r="O435" s="1172"/>
      <c r="P435" s="1172"/>
      <c r="Q435" s="1172" t="s">
        <v>1480</v>
      </c>
      <c r="R435" s="1172"/>
      <c r="S435" s="1175"/>
      <c r="T435" s="1172"/>
      <c r="U435" s="1172" t="s">
        <v>1394</v>
      </c>
      <c r="V435" s="1172"/>
      <c r="W435" s="1176">
        <v>33.17</v>
      </c>
      <c r="X435" s="1172"/>
      <c r="Y435" s="1176"/>
      <c r="Z435" s="1172"/>
      <c r="AA435" s="1176">
        <v>106.5</v>
      </c>
    </row>
    <row r="436" spans="1:27" x14ac:dyDescent="0.3">
      <c r="A436" s="1172"/>
      <c r="B436" s="1172"/>
      <c r="C436" s="1172"/>
      <c r="D436" s="1172"/>
      <c r="E436" s="1172"/>
      <c r="F436" s="1172"/>
      <c r="G436" s="1172" t="s">
        <v>1482</v>
      </c>
      <c r="H436" s="1172"/>
      <c r="I436" s="1173">
        <v>44681</v>
      </c>
      <c r="J436" s="1172"/>
      <c r="K436" s="1172"/>
      <c r="L436" s="1172"/>
      <c r="M436" s="1177"/>
      <c r="N436" s="1172"/>
      <c r="O436" s="1172"/>
      <c r="P436" s="1172"/>
      <c r="Q436" s="1172" t="s">
        <v>1483</v>
      </c>
      <c r="R436" s="1172"/>
      <c r="S436" s="1175"/>
      <c r="T436" s="1172"/>
      <c r="U436" s="1172" t="s">
        <v>1394</v>
      </c>
      <c r="V436" s="1172"/>
      <c r="W436" s="1176">
        <v>2</v>
      </c>
      <c r="X436" s="1172"/>
      <c r="Y436" s="1176"/>
      <c r="Z436" s="1172"/>
      <c r="AA436" s="1176">
        <v>108.5</v>
      </c>
    </row>
    <row r="437" spans="1:27" ht="15" thickBot="1" x14ac:dyDescent="0.35">
      <c r="A437" s="1172"/>
      <c r="B437" s="1172"/>
      <c r="C437" s="1172"/>
      <c r="D437" s="1172"/>
      <c r="E437" s="1172"/>
      <c r="F437" s="1172"/>
      <c r="G437" s="1172" t="s">
        <v>871</v>
      </c>
      <c r="H437" s="1172"/>
      <c r="I437" s="1173">
        <v>44887</v>
      </c>
      <c r="J437" s="1172"/>
      <c r="K437" s="1172" t="s">
        <v>1558</v>
      </c>
      <c r="L437" s="1172"/>
      <c r="M437" s="1177"/>
      <c r="N437" s="1172"/>
      <c r="O437" s="1172" t="s">
        <v>1494</v>
      </c>
      <c r="P437" s="1172"/>
      <c r="Q437" s="1172"/>
      <c r="R437" s="1172"/>
      <c r="S437" s="1175"/>
      <c r="T437" s="1172"/>
      <c r="U437" s="1172" t="s">
        <v>500</v>
      </c>
      <c r="V437" s="1172"/>
      <c r="W437" s="1176">
        <v>50</v>
      </c>
      <c r="X437" s="1172"/>
      <c r="Y437" s="1176"/>
      <c r="Z437" s="1172"/>
      <c r="AA437" s="1176">
        <v>158.5</v>
      </c>
    </row>
    <row r="438" spans="1:27" ht="15" thickBot="1" x14ac:dyDescent="0.35">
      <c r="A438" s="1172"/>
      <c r="B438" s="1172"/>
      <c r="C438" s="1172" t="s">
        <v>1608</v>
      </c>
      <c r="D438" s="1172"/>
      <c r="E438" s="1172"/>
      <c r="F438" s="1172"/>
      <c r="G438" s="1172"/>
      <c r="H438" s="1172"/>
      <c r="I438" s="1173"/>
      <c r="J438" s="1172"/>
      <c r="K438" s="1172"/>
      <c r="L438" s="1172"/>
      <c r="M438" s="1177"/>
      <c r="N438" s="1172"/>
      <c r="O438" s="1172"/>
      <c r="P438" s="1172"/>
      <c r="Q438" s="1172"/>
      <c r="R438" s="1172"/>
      <c r="S438" s="1172"/>
      <c r="T438" s="1172"/>
      <c r="U438" s="1172"/>
      <c r="V438" s="1172"/>
      <c r="W438" s="1183">
        <f>ROUND(SUM(W430:W437),5)</f>
        <v>158.5</v>
      </c>
      <c r="X438" s="1172"/>
      <c r="Y438" s="1183">
        <f>ROUND(SUM(Y430:Y437),5)</f>
        <v>0</v>
      </c>
      <c r="Z438" s="1172"/>
      <c r="AA438" s="1183">
        <f>AA437</f>
        <v>158.5</v>
      </c>
    </row>
    <row r="439" spans="1:27" x14ac:dyDescent="0.3">
      <c r="A439" s="1172"/>
      <c r="B439" s="1172" t="s">
        <v>1609</v>
      </c>
      <c r="C439" s="1172"/>
      <c r="D439" s="1172"/>
      <c r="E439" s="1172"/>
      <c r="F439" s="1172"/>
      <c r="G439" s="1172"/>
      <c r="H439" s="1172"/>
      <c r="I439" s="1173"/>
      <c r="J439" s="1172"/>
      <c r="K439" s="1172"/>
      <c r="L439" s="1172"/>
      <c r="M439" s="1177"/>
      <c r="N439" s="1172"/>
      <c r="O439" s="1172"/>
      <c r="P439" s="1172"/>
      <c r="Q439" s="1172"/>
      <c r="R439" s="1172"/>
      <c r="S439" s="1172"/>
      <c r="T439" s="1172"/>
      <c r="U439" s="1172"/>
      <c r="V439" s="1172"/>
      <c r="W439" s="1176">
        <f>ROUND(W429+W438,5)</f>
        <v>50026.43</v>
      </c>
      <c r="X439" s="1172"/>
      <c r="Y439" s="1176">
        <f>ROUND(Y429+Y438,5)</f>
        <v>195.44</v>
      </c>
      <c r="Z439" s="1172"/>
      <c r="AA439" s="1176">
        <f>ROUND(AA429+AA438,5)</f>
        <v>49830.99</v>
      </c>
    </row>
    <row r="440" spans="1:27" x14ac:dyDescent="0.3">
      <c r="A440" s="1168"/>
      <c r="B440" s="1168" t="s">
        <v>1610</v>
      </c>
      <c r="C440" s="1168"/>
      <c r="D440" s="1168"/>
      <c r="E440" s="1168"/>
      <c r="F440" s="1168"/>
      <c r="G440" s="1168"/>
      <c r="H440" s="1168"/>
      <c r="I440" s="1169"/>
      <c r="J440" s="1168"/>
      <c r="K440" s="1168"/>
      <c r="L440" s="1168"/>
      <c r="M440" s="1170"/>
      <c r="N440" s="1168"/>
      <c r="O440" s="1168"/>
      <c r="P440" s="1168"/>
      <c r="Q440" s="1168"/>
      <c r="R440" s="1168"/>
      <c r="S440" s="1168"/>
      <c r="T440" s="1168"/>
      <c r="U440" s="1168"/>
      <c r="V440" s="1168"/>
      <c r="W440" s="1171"/>
      <c r="X440" s="1168"/>
      <c r="Y440" s="1171"/>
      <c r="Z440" s="1168"/>
      <c r="AA440" s="1171"/>
    </row>
    <row r="441" spans="1:27" x14ac:dyDescent="0.3">
      <c r="A441" s="1168"/>
      <c r="B441" s="1168"/>
      <c r="C441" s="1168" t="s">
        <v>1611</v>
      </c>
      <c r="D441" s="1168"/>
      <c r="E441" s="1168"/>
      <c r="F441" s="1168"/>
      <c r="G441" s="1168"/>
      <c r="H441" s="1168"/>
      <c r="I441" s="1169"/>
      <c r="J441" s="1168"/>
      <c r="K441" s="1168"/>
      <c r="L441" s="1168"/>
      <c r="M441" s="1170"/>
      <c r="N441" s="1168"/>
      <c r="O441" s="1168"/>
      <c r="P441" s="1168"/>
      <c r="Q441" s="1168"/>
      <c r="R441" s="1168"/>
      <c r="S441" s="1168"/>
      <c r="T441" s="1168"/>
      <c r="U441" s="1168"/>
      <c r="V441" s="1168"/>
      <c r="W441" s="1171"/>
      <c r="X441" s="1168"/>
      <c r="Y441" s="1171"/>
      <c r="Z441" s="1168"/>
      <c r="AA441" s="1171"/>
    </row>
    <row r="442" spans="1:27" ht="15" thickBot="1" x14ac:dyDescent="0.35">
      <c r="A442" s="1184"/>
      <c r="B442" s="1184"/>
      <c r="C442" s="1184"/>
      <c r="D442" s="1184"/>
      <c r="E442" s="1172"/>
      <c r="F442" s="1172"/>
      <c r="G442" s="1172" t="s">
        <v>871</v>
      </c>
      <c r="H442" s="1172"/>
      <c r="I442" s="1173">
        <v>44377</v>
      </c>
      <c r="J442" s="1172"/>
      <c r="K442" s="1172" t="s">
        <v>1509</v>
      </c>
      <c r="L442" s="1172"/>
      <c r="M442" s="1177"/>
      <c r="N442" s="1172"/>
      <c r="O442" s="1172" t="s">
        <v>1412</v>
      </c>
      <c r="P442" s="1172"/>
      <c r="Q442" s="1172" t="s">
        <v>1612</v>
      </c>
      <c r="R442" s="1172"/>
      <c r="S442" s="1175"/>
      <c r="T442" s="1172"/>
      <c r="U442" s="1172" t="s">
        <v>500</v>
      </c>
      <c r="V442" s="1172"/>
      <c r="W442" s="1176">
        <v>38.08</v>
      </c>
      <c r="X442" s="1172"/>
      <c r="Y442" s="1176"/>
      <c r="Z442" s="1172"/>
      <c r="AA442" s="1176">
        <v>38.08</v>
      </c>
    </row>
    <row r="443" spans="1:27" ht="15" thickBot="1" x14ac:dyDescent="0.35">
      <c r="A443" s="1172"/>
      <c r="B443" s="1172"/>
      <c r="C443" s="1172" t="s">
        <v>1613</v>
      </c>
      <c r="D443" s="1172"/>
      <c r="E443" s="1172"/>
      <c r="F443" s="1172"/>
      <c r="G443" s="1172"/>
      <c r="H443" s="1172"/>
      <c r="I443" s="1173"/>
      <c r="J443" s="1172"/>
      <c r="K443" s="1172"/>
      <c r="L443" s="1172"/>
      <c r="M443" s="1177"/>
      <c r="N443" s="1172"/>
      <c r="O443" s="1172"/>
      <c r="P443" s="1172"/>
      <c r="Q443" s="1172"/>
      <c r="R443" s="1172"/>
      <c r="S443" s="1172"/>
      <c r="T443" s="1172"/>
      <c r="U443" s="1172"/>
      <c r="V443" s="1172"/>
      <c r="W443" s="1183">
        <f>ROUND(SUM(W441:W442),5)</f>
        <v>38.08</v>
      </c>
      <c r="X443" s="1172"/>
      <c r="Y443" s="1183">
        <f>ROUND(SUM(Y441:Y442),5)</f>
        <v>0</v>
      </c>
      <c r="Z443" s="1172"/>
      <c r="AA443" s="1183">
        <f>AA442</f>
        <v>38.08</v>
      </c>
    </row>
    <row r="444" spans="1:27" x14ac:dyDescent="0.3">
      <c r="A444" s="1172"/>
      <c r="B444" s="1172" t="s">
        <v>1614</v>
      </c>
      <c r="C444" s="1172"/>
      <c r="D444" s="1172"/>
      <c r="E444" s="1172"/>
      <c r="F444" s="1172"/>
      <c r="G444" s="1172"/>
      <c r="H444" s="1172"/>
      <c r="I444" s="1173"/>
      <c r="J444" s="1172"/>
      <c r="K444" s="1172"/>
      <c r="L444" s="1172"/>
      <c r="M444" s="1177"/>
      <c r="N444" s="1172"/>
      <c r="O444" s="1172"/>
      <c r="P444" s="1172"/>
      <c r="Q444" s="1172"/>
      <c r="R444" s="1172"/>
      <c r="S444" s="1172"/>
      <c r="T444" s="1172"/>
      <c r="U444" s="1172"/>
      <c r="V444" s="1172"/>
      <c r="W444" s="1176">
        <f>W443</f>
        <v>38.08</v>
      </c>
      <c r="X444" s="1172"/>
      <c r="Y444" s="1176">
        <f>Y443</f>
        <v>0</v>
      </c>
      <c r="Z444" s="1172"/>
      <c r="AA444" s="1176">
        <f>AA443</f>
        <v>38.08</v>
      </c>
    </row>
    <row r="445" spans="1:27" x14ac:dyDescent="0.3">
      <c r="A445" s="1168"/>
      <c r="B445" s="1168" t="s">
        <v>1615</v>
      </c>
      <c r="C445" s="1168"/>
      <c r="D445" s="1168"/>
      <c r="E445" s="1168"/>
      <c r="F445" s="1168"/>
      <c r="G445" s="1168"/>
      <c r="H445" s="1168"/>
      <c r="I445" s="1169"/>
      <c r="J445" s="1168"/>
      <c r="K445" s="1168"/>
      <c r="L445" s="1168"/>
      <c r="M445" s="1170"/>
      <c r="N445" s="1168"/>
      <c r="O445" s="1168"/>
      <c r="P445" s="1168"/>
      <c r="Q445" s="1168"/>
      <c r="R445" s="1168"/>
      <c r="S445" s="1168"/>
      <c r="T445" s="1168"/>
      <c r="U445" s="1168"/>
      <c r="V445" s="1168"/>
      <c r="W445" s="1171"/>
      <c r="X445" s="1168"/>
      <c r="Y445" s="1171"/>
      <c r="Z445" s="1168"/>
      <c r="AA445" s="1171"/>
    </row>
    <row r="446" spans="1:27" x14ac:dyDescent="0.3">
      <c r="A446" s="1168"/>
      <c r="B446" s="1168"/>
      <c r="C446" s="1168" t="s">
        <v>1616</v>
      </c>
      <c r="D446" s="1168"/>
      <c r="E446" s="1168"/>
      <c r="F446" s="1168"/>
      <c r="G446" s="1168"/>
      <c r="H446" s="1168"/>
      <c r="I446" s="1169"/>
      <c r="J446" s="1168"/>
      <c r="K446" s="1168"/>
      <c r="L446" s="1168"/>
      <c r="M446" s="1170"/>
      <c r="N446" s="1168"/>
      <c r="O446" s="1168"/>
      <c r="P446" s="1168"/>
      <c r="Q446" s="1168"/>
      <c r="R446" s="1168"/>
      <c r="S446" s="1168"/>
      <c r="T446" s="1168"/>
      <c r="U446" s="1168"/>
      <c r="V446" s="1168"/>
      <c r="W446" s="1171"/>
      <c r="X446" s="1168"/>
      <c r="Y446" s="1171"/>
      <c r="Z446" s="1168"/>
      <c r="AA446" s="1171"/>
    </row>
    <row r="447" spans="1:27" x14ac:dyDescent="0.3">
      <c r="A447" s="1168"/>
      <c r="B447" s="1168"/>
      <c r="C447" s="1168"/>
      <c r="D447" s="1168" t="s">
        <v>1569</v>
      </c>
      <c r="E447" s="1168"/>
      <c r="F447" s="1168"/>
      <c r="G447" s="1168"/>
      <c r="H447" s="1168"/>
      <c r="I447" s="1169"/>
      <c r="J447" s="1168"/>
      <c r="K447" s="1168"/>
      <c r="L447" s="1168"/>
      <c r="M447" s="1170"/>
      <c r="N447" s="1168"/>
      <c r="O447" s="1168"/>
      <c r="P447" s="1168"/>
      <c r="Q447" s="1168"/>
      <c r="R447" s="1168"/>
      <c r="S447" s="1168"/>
      <c r="T447" s="1168"/>
      <c r="U447" s="1168"/>
      <c r="V447" s="1168"/>
      <c r="W447" s="1171"/>
      <c r="X447" s="1168"/>
      <c r="Y447" s="1171"/>
      <c r="Z447" s="1168"/>
      <c r="AA447" s="1171"/>
    </row>
    <row r="448" spans="1:27" x14ac:dyDescent="0.3">
      <c r="A448" s="1172"/>
      <c r="B448" s="1172"/>
      <c r="C448" s="1172"/>
      <c r="D448" s="1172"/>
      <c r="E448" s="1172"/>
      <c r="F448" s="1172"/>
      <c r="G448" s="1172" t="s">
        <v>871</v>
      </c>
      <c r="H448" s="1172"/>
      <c r="I448" s="1173">
        <v>44286</v>
      </c>
      <c r="J448" s="1172"/>
      <c r="K448" s="1172" t="s">
        <v>1503</v>
      </c>
      <c r="L448" s="1172"/>
      <c r="M448" s="1177"/>
      <c r="N448" s="1172"/>
      <c r="O448" s="1172" t="s">
        <v>1411</v>
      </c>
      <c r="P448" s="1172"/>
      <c r="Q448" s="1172" t="s">
        <v>1617</v>
      </c>
      <c r="R448" s="1172"/>
      <c r="S448" s="1175"/>
      <c r="T448" s="1172"/>
      <c r="U448" s="1172" t="s">
        <v>500</v>
      </c>
      <c r="V448" s="1172"/>
      <c r="W448" s="1176">
        <v>125</v>
      </c>
      <c r="X448" s="1172"/>
      <c r="Y448" s="1176"/>
      <c r="Z448" s="1172"/>
      <c r="AA448" s="1176">
        <v>125</v>
      </c>
    </row>
    <row r="449" spans="1:27" x14ac:dyDescent="0.3">
      <c r="A449" s="1172"/>
      <c r="B449" s="1172"/>
      <c r="C449" s="1172"/>
      <c r="D449" s="1172"/>
      <c r="E449" s="1172"/>
      <c r="F449" s="1172"/>
      <c r="G449" s="1172" t="s">
        <v>1395</v>
      </c>
      <c r="H449" s="1172"/>
      <c r="I449" s="1173">
        <v>44316</v>
      </c>
      <c r="J449" s="1172"/>
      <c r="K449" s="1172" t="s">
        <v>1567</v>
      </c>
      <c r="L449" s="1172"/>
      <c r="M449" s="1174" t="s">
        <v>1397</v>
      </c>
      <c r="N449" s="1172"/>
      <c r="O449" s="1172"/>
      <c r="P449" s="1172"/>
      <c r="Q449" s="1172" t="s">
        <v>1568</v>
      </c>
      <c r="R449" s="1172"/>
      <c r="S449" s="1175"/>
      <c r="T449" s="1172"/>
      <c r="U449" s="1172" t="s">
        <v>1566</v>
      </c>
      <c r="V449" s="1172"/>
      <c r="W449" s="1176">
        <v>5000</v>
      </c>
      <c r="X449" s="1172"/>
      <c r="Y449" s="1176"/>
      <c r="Z449" s="1172"/>
      <c r="AA449" s="1176">
        <v>5125</v>
      </c>
    </row>
    <row r="450" spans="1:27" x14ac:dyDescent="0.3">
      <c r="A450" s="1172"/>
      <c r="B450" s="1172"/>
      <c r="C450" s="1172"/>
      <c r="D450" s="1172"/>
      <c r="E450" s="1172"/>
      <c r="F450" s="1172"/>
      <c r="G450" s="1172" t="s">
        <v>871</v>
      </c>
      <c r="H450" s="1172"/>
      <c r="I450" s="1173">
        <v>44317</v>
      </c>
      <c r="J450" s="1172"/>
      <c r="K450" s="1172" t="s">
        <v>1504</v>
      </c>
      <c r="L450" s="1172"/>
      <c r="M450" s="1177"/>
      <c r="N450" s="1172"/>
      <c r="O450" s="1172" t="s">
        <v>1411</v>
      </c>
      <c r="P450" s="1172"/>
      <c r="Q450" s="1172" t="s">
        <v>1618</v>
      </c>
      <c r="R450" s="1172"/>
      <c r="S450" s="1175"/>
      <c r="T450" s="1172"/>
      <c r="U450" s="1172" t="s">
        <v>500</v>
      </c>
      <c r="V450" s="1172"/>
      <c r="W450" s="1176">
        <v>100</v>
      </c>
      <c r="X450" s="1172"/>
      <c r="Y450" s="1176"/>
      <c r="Z450" s="1172"/>
      <c r="AA450" s="1176">
        <v>5225</v>
      </c>
    </row>
    <row r="451" spans="1:27" x14ac:dyDescent="0.3">
      <c r="A451" s="1172"/>
      <c r="B451" s="1172"/>
      <c r="C451" s="1172"/>
      <c r="D451" s="1172"/>
      <c r="E451" s="1172"/>
      <c r="F451" s="1172"/>
      <c r="G451" s="1172" t="s">
        <v>871</v>
      </c>
      <c r="H451" s="1172"/>
      <c r="I451" s="1173">
        <v>44348</v>
      </c>
      <c r="J451" s="1172"/>
      <c r="K451" s="1172" t="s">
        <v>1506</v>
      </c>
      <c r="L451" s="1172"/>
      <c r="M451" s="1177"/>
      <c r="N451" s="1172"/>
      <c r="O451" s="1172" t="s">
        <v>1411</v>
      </c>
      <c r="P451" s="1172"/>
      <c r="Q451" s="1172" t="s">
        <v>1619</v>
      </c>
      <c r="R451" s="1172"/>
      <c r="S451" s="1175"/>
      <c r="T451" s="1172"/>
      <c r="U451" s="1172" t="s">
        <v>500</v>
      </c>
      <c r="V451" s="1172"/>
      <c r="W451" s="1176">
        <v>100</v>
      </c>
      <c r="X451" s="1172"/>
      <c r="Y451" s="1176"/>
      <c r="Z451" s="1172"/>
      <c r="AA451" s="1176">
        <v>5325</v>
      </c>
    </row>
    <row r="452" spans="1:27" x14ac:dyDescent="0.3">
      <c r="A452" s="1172"/>
      <c r="B452" s="1172"/>
      <c r="C452" s="1172"/>
      <c r="D452" s="1172"/>
      <c r="E452" s="1172"/>
      <c r="F452" s="1172"/>
      <c r="G452" s="1172" t="s">
        <v>871</v>
      </c>
      <c r="H452" s="1172"/>
      <c r="I452" s="1173">
        <v>44348</v>
      </c>
      <c r="J452" s="1172"/>
      <c r="K452" s="1172" t="s">
        <v>1507</v>
      </c>
      <c r="L452" s="1172"/>
      <c r="M452" s="1177"/>
      <c r="N452" s="1172"/>
      <c r="O452" s="1172" t="s">
        <v>1411</v>
      </c>
      <c r="P452" s="1172"/>
      <c r="Q452" s="1172" t="s">
        <v>1619</v>
      </c>
      <c r="R452" s="1172"/>
      <c r="S452" s="1175"/>
      <c r="T452" s="1172"/>
      <c r="U452" s="1172" t="s">
        <v>500</v>
      </c>
      <c r="V452" s="1172"/>
      <c r="W452" s="1176">
        <v>100</v>
      </c>
      <c r="X452" s="1172"/>
      <c r="Y452" s="1176"/>
      <c r="Z452" s="1172"/>
      <c r="AA452" s="1176">
        <v>5425</v>
      </c>
    </row>
    <row r="453" spans="1:27" x14ac:dyDescent="0.3">
      <c r="A453" s="1172"/>
      <c r="B453" s="1172"/>
      <c r="C453" s="1172"/>
      <c r="D453" s="1172"/>
      <c r="E453" s="1172"/>
      <c r="F453" s="1172"/>
      <c r="G453" s="1172" t="s">
        <v>871</v>
      </c>
      <c r="H453" s="1172"/>
      <c r="I453" s="1173">
        <v>44348</v>
      </c>
      <c r="J453" s="1172"/>
      <c r="K453" s="1172"/>
      <c r="L453" s="1172"/>
      <c r="M453" s="1177"/>
      <c r="N453" s="1172"/>
      <c r="O453" s="1172" t="s">
        <v>1411</v>
      </c>
      <c r="P453" s="1172"/>
      <c r="Q453" s="1172" t="s">
        <v>1617</v>
      </c>
      <c r="R453" s="1172"/>
      <c r="S453" s="1175"/>
      <c r="T453" s="1172"/>
      <c r="U453" s="1172" t="s">
        <v>500</v>
      </c>
      <c r="V453" s="1172"/>
      <c r="W453" s="1176">
        <v>125</v>
      </c>
      <c r="X453" s="1172"/>
      <c r="Y453" s="1176"/>
      <c r="Z453" s="1172"/>
      <c r="AA453" s="1176">
        <v>5550</v>
      </c>
    </row>
    <row r="454" spans="1:27" x14ac:dyDescent="0.3">
      <c r="A454" s="1172"/>
      <c r="B454" s="1172"/>
      <c r="C454" s="1172"/>
      <c r="D454" s="1172"/>
      <c r="E454" s="1172"/>
      <c r="F454" s="1172"/>
      <c r="G454" s="1172" t="s">
        <v>871</v>
      </c>
      <c r="H454" s="1172"/>
      <c r="I454" s="1173">
        <v>44378</v>
      </c>
      <c r="J454" s="1172"/>
      <c r="K454" s="1172" t="s">
        <v>1510</v>
      </c>
      <c r="L454" s="1172"/>
      <c r="M454" s="1177"/>
      <c r="N454" s="1172"/>
      <c r="O454" s="1172" t="s">
        <v>1411</v>
      </c>
      <c r="P454" s="1172"/>
      <c r="Q454" s="1172" t="s">
        <v>1620</v>
      </c>
      <c r="R454" s="1172"/>
      <c r="S454" s="1175"/>
      <c r="T454" s="1172"/>
      <c r="U454" s="1172" t="s">
        <v>500</v>
      </c>
      <c r="V454" s="1172"/>
      <c r="W454" s="1176">
        <v>100</v>
      </c>
      <c r="X454" s="1172"/>
      <c r="Y454" s="1176"/>
      <c r="Z454" s="1172"/>
      <c r="AA454" s="1176">
        <v>5650</v>
      </c>
    </row>
    <row r="455" spans="1:27" x14ac:dyDescent="0.3">
      <c r="A455" s="1172"/>
      <c r="B455" s="1172"/>
      <c r="C455" s="1172"/>
      <c r="D455" s="1172"/>
      <c r="E455" s="1172"/>
      <c r="F455" s="1172"/>
      <c r="G455" s="1172" t="s">
        <v>871</v>
      </c>
      <c r="H455" s="1172"/>
      <c r="I455" s="1173">
        <v>44409</v>
      </c>
      <c r="J455" s="1172"/>
      <c r="K455" s="1172" t="s">
        <v>1512</v>
      </c>
      <c r="L455" s="1172"/>
      <c r="M455" s="1177"/>
      <c r="N455" s="1172"/>
      <c r="O455" s="1172" t="s">
        <v>1411</v>
      </c>
      <c r="P455" s="1172"/>
      <c r="Q455" s="1172" t="s">
        <v>1621</v>
      </c>
      <c r="R455" s="1172"/>
      <c r="S455" s="1175"/>
      <c r="T455" s="1172"/>
      <c r="U455" s="1172" t="s">
        <v>500</v>
      </c>
      <c r="V455" s="1172"/>
      <c r="W455" s="1176">
        <v>100</v>
      </c>
      <c r="X455" s="1172"/>
      <c r="Y455" s="1176"/>
      <c r="Z455" s="1172"/>
      <c r="AA455" s="1176">
        <v>5750</v>
      </c>
    </row>
    <row r="456" spans="1:27" x14ac:dyDescent="0.3">
      <c r="A456" s="1172"/>
      <c r="B456" s="1172"/>
      <c r="C456" s="1172"/>
      <c r="D456" s="1172"/>
      <c r="E456" s="1172"/>
      <c r="F456" s="1172"/>
      <c r="G456" s="1172" t="s">
        <v>871</v>
      </c>
      <c r="H456" s="1172"/>
      <c r="I456" s="1173">
        <v>44440</v>
      </c>
      <c r="J456" s="1172"/>
      <c r="K456" s="1172" t="s">
        <v>1517</v>
      </c>
      <c r="L456" s="1172"/>
      <c r="M456" s="1177"/>
      <c r="N456" s="1172"/>
      <c r="O456" s="1172" t="s">
        <v>1411</v>
      </c>
      <c r="P456" s="1172"/>
      <c r="Q456" s="1172" t="s">
        <v>1622</v>
      </c>
      <c r="R456" s="1172"/>
      <c r="S456" s="1175"/>
      <c r="T456" s="1172"/>
      <c r="U456" s="1172" t="s">
        <v>500</v>
      </c>
      <c r="V456" s="1172"/>
      <c r="W456" s="1176">
        <v>100</v>
      </c>
      <c r="X456" s="1172"/>
      <c r="Y456" s="1176"/>
      <c r="Z456" s="1172"/>
      <c r="AA456" s="1176">
        <v>5850</v>
      </c>
    </row>
    <row r="457" spans="1:27" x14ac:dyDescent="0.3">
      <c r="A457" s="1172"/>
      <c r="B457" s="1172"/>
      <c r="C457" s="1172"/>
      <c r="D457" s="1172"/>
      <c r="E457" s="1172"/>
      <c r="F457" s="1172"/>
      <c r="G457" s="1172" t="s">
        <v>871</v>
      </c>
      <c r="H457" s="1172"/>
      <c r="I457" s="1173">
        <v>44501</v>
      </c>
      <c r="J457" s="1172"/>
      <c r="K457" s="1172" t="s">
        <v>1520</v>
      </c>
      <c r="L457" s="1172"/>
      <c r="M457" s="1177"/>
      <c r="N457" s="1172"/>
      <c r="O457" s="1172" t="s">
        <v>1411</v>
      </c>
      <c r="P457" s="1172"/>
      <c r="Q457" s="1172" t="s">
        <v>1623</v>
      </c>
      <c r="R457" s="1172"/>
      <c r="S457" s="1175"/>
      <c r="T457" s="1172"/>
      <c r="U457" s="1172" t="s">
        <v>500</v>
      </c>
      <c r="V457" s="1172"/>
      <c r="W457" s="1176">
        <v>100</v>
      </c>
      <c r="X457" s="1172"/>
      <c r="Y457" s="1176"/>
      <c r="Z457" s="1172"/>
      <c r="AA457" s="1176">
        <v>5950</v>
      </c>
    </row>
    <row r="458" spans="1:27" x14ac:dyDescent="0.3">
      <c r="A458" s="1172"/>
      <c r="B458" s="1172"/>
      <c r="C458" s="1172"/>
      <c r="D458" s="1172"/>
      <c r="E458" s="1172"/>
      <c r="F458" s="1172"/>
      <c r="G458" s="1172" t="s">
        <v>871</v>
      </c>
      <c r="H458" s="1172"/>
      <c r="I458" s="1173">
        <v>44531</v>
      </c>
      <c r="J458" s="1172"/>
      <c r="K458" s="1172" t="s">
        <v>1524</v>
      </c>
      <c r="L458" s="1172"/>
      <c r="M458" s="1177"/>
      <c r="N458" s="1172"/>
      <c r="O458" s="1172" t="s">
        <v>1411</v>
      </c>
      <c r="P458" s="1172"/>
      <c r="Q458" s="1172" t="s">
        <v>1624</v>
      </c>
      <c r="R458" s="1172"/>
      <c r="S458" s="1175"/>
      <c r="T458" s="1172"/>
      <c r="U458" s="1172" t="s">
        <v>500</v>
      </c>
      <c r="V458" s="1172"/>
      <c r="W458" s="1176">
        <v>100</v>
      </c>
      <c r="X458" s="1172"/>
      <c r="Y458" s="1176"/>
      <c r="Z458" s="1172"/>
      <c r="AA458" s="1176">
        <v>6050</v>
      </c>
    </row>
    <row r="459" spans="1:27" x14ac:dyDescent="0.3">
      <c r="A459" s="1172"/>
      <c r="B459" s="1172"/>
      <c r="C459" s="1172"/>
      <c r="D459" s="1172"/>
      <c r="E459" s="1172"/>
      <c r="F459" s="1172"/>
      <c r="G459" s="1172" t="s">
        <v>871</v>
      </c>
      <c r="H459" s="1172"/>
      <c r="I459" s="1173">
        <v>44562</v>
      </c>
      <c r="J459" s="1172"/>
      <c r="K459" s="1172" t="s">
        <v>1527</v>
      </c>
      <c r="L459" s="1172"/>
      <c r="M459" s="1177"/>
      <c r="N459" s="1172"/>
      <c r="O459" s="1172" t="s">
        <v>1411</v>
      </c>
      <c r="P459" s="1172"/>
      <c r="Q459" s="1172" t="s">
        <v>1625</v>
      </c>
      <c r="R459" s="1172"/>
      <c r="S459" s="1175"/>
      <c r="T459" s="1172"/>
      <c r="U459" s="1172" t="s">
        <v>500</v>
      </c>
      <c r="V459" s="1172"/>
      <c r="W459" s="1176">
        <v>100</v>
      </c>
      <c r="X459" s="1172"/>
      <c r="Y459" s="1176"/>
      <c r="Z459" s="1172"/>
      <c r="AA459" s="1176">
        <v>6150</v>
      </c>
    </row>
    <row r="460" spans="1:27" x14ac:dyDescent="0.3">
      <c r="A460" s="1172"/>
      <c r="B460" s="1172"/>
      <c r="C460" s="1172"/>
      <c r="D460" s="1172"/>
      <c r="E460" s="1172"/>
      <c r="F460" s="1172"/>
      <c r="G460" s="1172" t="s">
        <v>871</v>
      </c>
      <c r="H460" s="1172"/>
      <c r="I460" s="1173">
        <v>44593</v>
      </c>
      <c r="J460" s="1172"/>
      <c r="K460" s="1172" t="s">
        <v>1530</v>
      </c>
      <c r="L460" s="1172"/>
      <c r="M460" s="1177"/>
      <c r="N460" s="1172"/>
      <c r="O460" s="1172" t="s">
        <v>1411</v>
      </c>
      <c r="P460" s="1172"/>
      <c r="Q460" s="1172" t="s">
        <v>1625</v>
      </c>
      <c r="R460" s="1172"/>
      <c r="S460" s="1175"/>
      <c r="T460" s="1172"/>
      <c r="U460" s="1172" t="s">
        <v>500</v>
      </c>
      <c r="V460" s="1172"/>
      <c r="W460" s="1176">
        <v>100</v>
      </c>
      <c r="X460" s="1172"/>
      <c r="Y460" s="1176"/>
      <c r="Z460" s="1172"/>
      <c r="AA460" s="1176">
        <v>6250</v>
      </c>
    </row>
    <row r="461" spans="1:27" x14ac:dyDescent="0.3">
      <c r="A461" s="1172"/>
      <c r="B461" s="1172"/>
      <c r="C461" s="1172"/>
      <c r="D461" s="1172"/>
      <c r="E461" s="1172"/>
      <c r="F461" s="1172"/>
      <c r="G461" s="1172" t="s">
        <v>871</v>
      </c>
      <c r="H461" s="1172"/>
      <c r="I461" s="1173">
        <v>44621</v>
      </c>
      <c r="J461" s="1172"/>
      <c r="K461" s="1172" t="s">
        <v>1532</v>
      </c>
      <c r="L461" s="1172"/>
      <c r="M461" s="1177"/>
      <c r="N461" s="1172"/>
      <c r="O461" s="1172" t="s">
        <v>1411</v>
      </c>
      <c r="P461" s="1172"/>
      <c r="Q461" s="1172"/>
      <c r="R461" s="1172"/>
      <c r="S461" s="1175"/>
      <c r="T461" s="1172"/>
      <c r="U461" s="1172" t="s">
        <v>500</v>
      </c>
      <c r="V461" s="1172"/>
      <c r="W461" s="1176">
        <v>100</v>
      </c>
      <c r="X461" s="1172"/>
      <c r="Y461" s="1176"/>
      <c r="Z461" s="1172"/>
      <c r="AA461" s="1176">
        <v>6350</v>
      </c>
    </row>
    <row r="462" spans="1:27" x14ac:dyDescent="0.3">
      <c r="A462" s="1172"/>
      <c r="B462" s="1172"/>
      <c r="C462" s="1172"/>
      <c r="D462" s="1172"/>
      <c r="E462" s="1172"/>
      <c r="F462" s="1172"/>
      <c r="G462" s="1172" t="s">
        <v>871</v>
      </c>
      <c r="H462" s="1172"/>
      <c r="I462" s="1173">
        <v>44652</v>
      </c>
      <c r="J462" s="1172"/>
      <c r="K462" s="1172" t="s">
        <v>1534</v>
      </c>
      <c r="L462" s="1172"/>
      <c r="M462" s="1177"/>
      <c r="N462" s="1172"/>
      <c r="O462" s="1172" t="s">
        <v>1411</v>
      </c>
      <c r="P462" s="1172"/>
      <c r="Q462" s="1172"/>
      <c r="R462" s="1172"/>
      <c r="S462" s="1175"/>
      <c r="T462" s="1172"/>
      <c r="U462" s="1172" t="s">
        <v>500</v>
      </c>
      <c r="V462" s="1172"/>
      <c r="W462" s="1176">
        <v>100</v>
      </c>
      <c r="X462" s="1172"/>
      <c r="Y462" s="1176"/>
      <c r="Z462" s="1172"/>
      <c r="AA462" s="1176">
        <v>6450</v>
      </c>
    </row>
    <row r="463" spans="1:27" x14ac:dyDescent="0.3">
      <c r="A463" s="1172"/>
      <c r="B463" s="1172"/>
      <c r="C463" s="1172"/>
      <c r="D463" s="1172"/>
      <c r="E463" s="1172"/>
      <c r="F463" s="1172"/>
      <c r="G463" s="1172" t="s">
        <v>871</v>
      </c>
      <c r="H463" s="1172"/>
      <c r="I463" s="1173">
        <v>44682</v>
      </c>
      <c r="J463" s="1172"/>
      <c r="K463" s="1172" t="s">
        <v>1536</v>
      </c>
      <c r="L463" s="1172"/>
      <c r="M463" s="1177"/>
      <c r="N463" s="1172"/>
      <c r="O463" s="1172" t="s">
        <v>1411</v>
      </c>
      <c r="P463" s="1172"/>
      <c r="Q463" s="1172"/>
      <c r="R463" s="1172"/>
      <c r="S463" s="1175"/>
      <c r="T463" s="1172"/>
      <c r="U463" s="1172" t="s">
        <v>500</v>
      </c>
      <c r="V463" s="1172"/>
      <c r="W463" s="1176">
        <v>100</v>
      </c>
      <c r="X463" s="1172"/>
      <c r="Y463" s="1176"/>
      <c r="Z463" s="1172"/>
      <c r="AA463" s="1176">
        <v>6550</v>
      </c>
    </row>
    <row r="464" spans="1:27" x14ac:dyDescent="0.3">
      <c r="A464" s="1172"/>
      <c r="B464" s="1172"/>
      <c r="C464" s="1172"/>
      <c r="D464" s="1172"/>
      <c r="E464" s="1172"/>
      <c r="F464" s="1172"/>
      <c r="G464" s="1172" t="s">
        <v>871</v>
      </c>
      <c r="H464" s="1172"/>
      <c r="I464" s="1173">
        <v>44713</v>
      </c>
      <c r="J464" s="1172"/>
      <c r="K464" s="1172"/>
      <c r="L464" s="1172"/>
      <c r="M464" s="1177"/>
      <c r="N464" s="1172"/>
      <c r="O464" s="1172" t="s">
        <v>1411</v>
      </c>
      <c r="P464" s="1172"/>
      <c r="Q464" s="1172"/>
      <c r="R464" s="1172"/>
      <c r="S464" s="1175"/>
      <c r="T464" s="1172"/>
      <c r="U464" s="1172" t="s">
        <v>500</v>
      </c>
      <c r="V464" s="1172"/>
      <c r="W464" s="1176">
        <v>100</v>
      </c>
      <c r="X464" s="1172"/>
      <c r="Y464" s="1176"/>
      <c r="Z464" s="1172"/>
      <c r="AA464" s="1176">
        <v>6650</v>
      </c>
    </row>
    <row r="465" spans="1:27" x14ac:dyDescent="0.3">
      <c r="A465" s="1172"/>
      <c r="B465" s="1172"/>
      <c r="C465" s="1172"/>
      <c r="D465" s="1205"/>
      <c r="E465" s="1205"/>
      <c r="F465" s="1205"/>
      <c r="G465" s="1205" t="s">
        <v>871</v>
      </c>
      <c r="H465" s="1205"/>
      <c r="I465" s="1206">
        <v>44743</v>
      </c>
      <c r="J465" s="1205"/>
      <c r="K465" s="1205" t="s">
        <v>1539</v>
      </c>
      <c r="L465" s="1205"/>
      <c r="M465" s="1207"/>
      <c r="N465" s="1205"/>
      <c r="O465" s="1205" t="s">
        <v>1411</v>
      </c>
      <c r="P465" s="1205"/>
      <c r="Q465" s="1205"/>
      <c r="R465" s="1205"/>
      <c r="S465" s="1208"/>
      <c r="T465" s="1205"/>
      <c r="U465" s="1205" t="s">
        <v>500</v>
      </c>
      <c r="V465" s="1205"/>
      <c r="W465" s="1209">
        <v>100</v>
      </c>
      <c r="X465" s="1205"/>
      <c r="Y465" s="1209"/>
      <c r="Z465" s="1205"/>
      <c r="AA465" s="1209">
        <v>6750</v>
      </c>
    </row>
    <row r="466" spans="1:27" x14ac:dyDescent="0.3">
      <c r="A466" s="1172"/>
      <c r="B466" s="1172"/>
      <c r="C466" s="1172"/>
      <c r="D466" s="1185"/>
      <c r="E466" s="1185"/>
      <c r="F466" s="1185"/>
      <c r="G466" s="1185" t="s">
        <v>871</v>
      </c>
      <c r="H466" s="1185"/>
      <c r="I466" s="1186">
        <v>44774</v>
      </c>
      <c r="J466" s="1185"/>
      <c r="K466" s="1185" t="s">
        <v>1541</v>
      </c>
      <c r="L466" s="1185"/>
      <c r="M466" s="1187"/>
      <c r="N466" s="1185"/>
      <c r="O466" s="1185" t="s">
        <v>1411</v>
      </c>
      <c r="P466" s="1185"/>
      <c r="Q466" s="1185"/>
      <c r="R466" s="1185"/>
      <c r="S466" s="1188"/>
      <c r="T466" s="1185"/>
      <c r="U466" s="1185" t="s">
        <v>500</v>
      </c>
      <c r="V466" s="1185"/>
      <c r="W466" s="1189">
        <v>100</v>
      </c>
      <c r="X466" s="1185"/>
      <c r="Y466" s="1189"/>
      <c r="Z466" s="1185"/>
      <c r="AA466" s="1189">
        <v>6850</v>
      </c>
    </row>
    <row r="467" spans="1:27" x14ac:dyDescent="0.3">
      <c r="A467" s="1172"/>
      <c r="B467" s="1172"/>
      <c r="C467" s="1172"/>
      <c r="D467" s="1200"/>
      <c r="E467" s="1200"/>
      <c r="F467" s="1200"/>
      <c r="G467" s="1200" t="s">
        <v>871</v>
      </c>
      <c r="H467" s="1200"/>
      <c r="I467" s="1201">
        <v>44805</v>
      </c>
      <c r="J467" s="1200"/>
      <c r="K467" s="1200" t="s">
        <v>1545</v>
      </c>
      <c r="L467" s="1200"/>
      <c r="M467" s="1202"/>
      <c r="N467" s="1200"/>
      <c r="O467" s="1200" t="s">
        <v>1411</v>
      </c>
      <c r="P467" s="1200"/>
      <c r="Q467" s="1200"/>
      <c r="R467" s="1200"/>
      <c r="S467" s="1203"/>
      <c r="T467" s="1200"/>
      <c r="U467" s="1200" t="s">
        <v>500</v>
      </c>
      <c r="V467" s="1200"/>
      <c r="W467" s="1204">
        <v>100</v>
      </c>
      <c r="X467" s="1200"/>
      <c r="Y467" s="1204"/>
      <c r="Z467" s="1200"/>
      <c r="AA467" s="1204">
        <v>6950</v>
      </c>
    </row>
    <row r="468" spans="1:27" x14ac:dyDescent="0.3">
      <c r="A468" s="1172"/>
      <c r="B468" s="1172"/>
      <c r="C468" s="1172"/>
      <c r="D468" s="1172"/>
      <c r="E468" s="1172"/>
      <c r="F468" s="1172"/>
      <c r="G468" s="1172" t="s">
        <v>871</v>
      </c>
      <c r="H468" s="1172"/>
      <c r="I468" s="1173">
        <v>44835</v>
      </c>
      <c r="J468" s="1172"/>
      <c r="K468" s="1172" t="s">
        <v>1546</v>
      </c>
      <c r="L468" s="1172"/>
      <c r="M468" s="1177"/>
      <c r="N468" s="1172"/>
      <c r="O468" s="1172" t="s">
        <v>1411</v>
      </c>
      <c r="P468" s="1172"/>
      <c r="Q468" s="1172"/>
      <c r="R468" s="1172"/>
      <c r="S468" s="1175"/>
      <c r="T468" s="1172"/>
      <c r="U468" s="1172" t="s">
        <v>500</v>
      </c>
      <c r="V468" s="1172"/>
      <c r="W468" s="1176">
        <v>100</v>
      </c>
      <c r="X468" s="1172"/>
      <c r="Y468" s="1176"/>
      <c r="Z468" s="1172"/>
      <c r="AA468" s="1176">
        <v>7050</v>
      </c>
    </row>
    <row r="469" spans="1:27" x14ac:dyDescent="0.3">
      <c r="A469" s="1172"/>
      <c r="B469" s="1172"/>
      <c r="C469" s="1172"/>
      <c r="D469" s="1172"/>
      <c r="E469" s="1172"/>
      <c r="F469" s="1172"/>
      <c r="G469" s="1172" t="s">
        <v>871</v>
      </c>
      <c r="H469" s="1172"/>
      <c r="I469" s="1173">
        <v>44866</v>
      </c>
      <c r="J469" s="1172"/>
      <c r="K469" s="1172" t="s">
        <v>1550</v>
      </c>
      <c r="L469" s="1172"/>
      <c r="M469" s="1177"/>
      <c r="N469" s="1172"/>
      <c r="O469" s="1172" t="s">
        <v>1411</v>
      </c>
      <c r="P469" s="1172"/>
      <c r="Q469" s="1172"/>
      <c r="R469" s="1172"/>
      <c r="S469" s="1175"/>
      <c r="T469" s="1172"/>
      <c r="U469" s="1172" t="s">
        <v>500</v>
      </c>
      <c r="V469" s="1172"/>
      <c r="W469" s="1176">
        <v>100</v>
      </c>
      <c r="X469" s="1172"/>
      <c r="Y469" s="1176"/>
      <c r="Z469" s="1172"/>
      <c r="AA469" s="1176">
        <v>7150</v>
      </c>
    </row>
    <row r="470" spans="1:27" ht="15" thickBot="1" x14ac:dyDescent="0.35">
      <c r="A470" s="1172"/>
      <c r="B470" s="1172"/>
      <c r="C470" s="1172"/>
      <c r="D470" s="1172"/>
      <c r="E470" s="1172"/>
      <c r="F470" s="1172"/>
      <c r="G470" s="1172" t="s">
        <v>871</v>
      </c>
      <c r="H470" s="1172"/>
      <c r="I470" s="1173">
        <v>44896</v>
      </c>
      <c r="J470" s="1172"/>
      <c r="K470" s="1172" t="s">
        <v>1562</v>
      </c>
      <c r="L470" s="1172"/>
      <c r="M470" s="1177"/>
      <c r="N470" s="1172"/>
      <c r="O470" s="1172" t="s">
        <v>1411</v>
      </c>
      <c r="P470" s="1172"/>
      <c r="Q470" s="1172"/>
      <c r="R470" s="1172"/>
      <c r="S470" s="1175"/>
      <c r="T470" s="1172"/>
      <c r="U470" s="1172" t="s">
        <v>500</v>
      </c>
      <c r="V470" s="1172"/>
      <c r="W470" s="1182">
        <v>100</v>
      </c>
      <c r="X470" s="1172"/>
      <c r="Y470" s="1182"/>
      <c r="Z470" s="1172"/>
      <c r="AA470" s="1182">
        <v>7250</v>
      </c>
    </row>
    <row r="471" spans="1:27" x14ac:dyDescent="0.3">
      <c r="A471" s="1172"/>
      <c r="B471" s="1172"/>
      <c r="C471" s="1172"/>
      <c r="D471" s="1172" t="s">
        <v>1626</v>
      </c>
      <c r="E471" s="1172"/>
      <c r="F471" s="1172"/>
      <c r="G471" s="1172"/>
      <c r="H471" s="1172"/>
      <c r="I471" s="1173"/>
      <c r="J471" s="1172"/>
      <c r="K471" s="1172"/>
      <c r="L471" s="1172"/>
      <c r="M471" s="1177"/>
      <c r="N471" s="1172"/>
      <c r="O471" s="1172"/>
      <c r="P471" s="1172"/>
      <c r="Q471" s="1172"/>
      <c r="R471" s="1172"/>
      <c r="S471" s="1172"/>
      <c r="T471" s="1172"/>
      <c r="U471" s="1172"/>
      <c r="V471" s="1172"/>
      <c r="W471" s="1176">
        <f>ROUND(SUM(W447:W470),5)</f>
        <v>7250</v>
      </c>
      <c r="X471" s="1172"/>
      <c r="Y471" s="1176">
        <f>ROUND(SUM(Y447:Y470),5)</f>
        <v>0</v>
      </c>
      <c r="Z471" s="1172"/>
      <c r="AA471" s="1176">
        <f>AA470</f>
        <v>7250</v>
      </c>
    </row>
    <row r="472" spans="1:27" x14ac:dyDescent="0.3">
      <c r="A472" s="1168"/>
      <c r="B472" s="1168"/>
      <c r="C472" s="1168"/>
      <c r="D472" s="1168" t="s">
        <v>1627</v>
      </c>
      <c r="E472" s="1168"/>
      <c r="F472" s="1168"/>
      <c r="G472" s="1168"/>
      <c r="H472" s="1168"/>
      <c r="I472" s="1169"/>
      <c r="J472" s="1168"/>
      <c r="K472" s="1168"/>
      <c r="L472" s="1168"/>
      <c r="M472" s="1170"/>
      <c r="N472" s="1168"/>
      <c r="O472" s="1168"/>
      <c r="P472" s="1168"/>
      <c r="Q472" s="1168"/>
      <c r="R472" s="1168"/>
      <c r="S472" s="1168"/>
      <c r="T472" s="1168"/>
      <c r="U472" s="1168"/>
      <c r="V472" s="1168"/>
      <c r="W472" s="1171"/>
      <c r="X472" s="1168"/>
      <c r="Y472" s="1171"/>
      <c r="Z472" s="1168"/>
      <c r="AA472" s="1171"/>
    </row>
    <row r="473" spans="1:27" x14ac:dyDescent="0.3">
      <c r="A473" s="1172"/>
      <c r="B473" s="1172"/>
      <c r="C473" s="1172"/>
      <c r="D473" s="1172"/>
      <c r="E473" s="1172"/>
      <c r="F473" s="1172"/>
      <c r="G473" s="1172" t="s">
        <v>871</v>
      </c>
      <c r="H473" s="1172"/>
      <c r="I473" s="1173">
        <v>44317</v>
      </c>
      <c r="J473" s="1172"/>
      <c r="K473" s="1172" t="s">
        <v>1440</v>
      </c>
      <c r="L473" s="1172"/>
      <c r="M473" s="1177"/>
      <c r="N473" s="1172"/>
      <c r="O473" s="1172" t="s">
        <v>1413</v>
      </c>
      <c r="P473" s="1172"/>
      <c r="Q473" s="1172" t="s">
        <v>1628</v>
      </c>
      <c r="R473" s="1172"/>
      <c r="S473" s="1175"/>
      <c r="T473" s="1172"/>
      <c r="U473" s="1172" t="s">
        <v>500</v>
      </c>
      <c r="V473" s="1172"/>
      <c r="W473" s="1176">
        <v>5000</v>
      </c>
      <c r="X473" s="1172"/>
      <c r="Y473" s="1176"/>
      <c r="Z473" s="1172"/>
      <c r="AA473" s="1176">
        <v>5000</v>
      </c>
    </row>
    <row r="474" spans="1:27" x14ac:dyDescent="0.3">
      <c r="A474" s="1172"/>
      <c r="B474" s="1172"/>
      <c r="C474" s="1172"/>
      <c r="D474" s="1172"/>
      <c r="E474" s="1172"/>
      <c r="F474" s="1172"/>
      <c r="G474" s="1172" t="s">
        <v>871</v>
      </c>
      <c r="H474" s="1172"/>
      <c r="I474" s="1173">
        <v>44331</v>
      </c>
      <c r="J474" s="1172"/>
      <c r="K474" s="1172"/>
      <c r="L474" s="1172"/>
      <c r="M474" s="1177"/>
      <c r="N474" s="1172"/>
      <c r="O474" s="1172" t="s">
        <v>1410</v>
      </c>
      <c r="P474" s="1172"/>
      <c r="Q474" s="1172" t="s">
        <v>1629</v>
      </c>
      <c r="R474" s="1172"/>
      <c r="S474" s="1175"/>
      <c r="T474" s="1172"/>
      <c r="U474" s="1172" t="s">
        <v>500</v>
      </c>
      <c r="V474" s="1172"/>
      <c r="W474" s="1176">
        <v>2962</v>
      </c>
      <c r="X474" s="1172"/>
      <c r="Y474" s="1176"/>
      <c r="Z474" s="1172"/>
      <c r="AA474" s="1176">
        <v>7962</v>
      </c>
    </row>
    <row r="475" spans="1:27" x14ac:dyDescent="0.3">
      <c r="A475" s="1172"/>
      <c r="B475" s="1172"/>
      <c r="C475" s="1172"/>
      <c r="D475" s="1172"/>
      <c r="E475" s="1172"/>
      <c r="F475" s="1172"/>
      <c r="G475" s="1172" t="s">
        <v>871</v>
      </c>
      <c r="H475" s="1172"/>
      <c r="I475" s="1173">
        <v>44348</v>
      </c>
      <c r="J475" s="1172"/>
      <c r="K475" s="1172" t="s">
        <v>1441</v>
      </c>
      <c r="L475" s="1172"/>
      <c r="M475" s="1177"/>
      <c r="N475" s="1172"/>
      <c r="O475" s="1172" t="s">
        <v>1413</v>
      </c>
      <c r="P475" s="1172"/>
      <c r="Q475" s="1172" t="s">
        <v>1628</v>
      </c>
      <c r="R475" s="1172"/>
      <c r="S475" s="1175"/>
      <c r="T475" s="1172"/>
      <c r="U475" s="1172" t="s">
        <v>500</v>
      </c>
      <c r="V475" s="1172"/>
      <c r="W475" s="1176">
        <v>5000</v>
      </c>
      <c r="X475" s="1172"/>
      <c r="Y475" s="1176"/>
      <c r="Z475" s="1172"/>
      <c r="AA475" s="1176">
        <v>12962</v>
      </c>
    </row>
    <row r="476" spans="1:27" x14ac:dyDescent="0.3">
      <c r="A476" s="1172"/>
      <c r="B476" s="1172"/>
      <c r="C476" s="1172"/>
      <c r="D476" s="1172"/>
      <c r="E476" s="1172"/>
      <c r="F476" s="1172"/>
      <c r="G476" s="1172" t="s">
        <v>871</v>
      </c>
      <c r="H476" s="1172"/>
      <c r="I476" s="1173">
        <v>44357</v>
      </c>
      <c r="J476" s="1172"/>
      <c r="K476" s="1172" t="s">
        <v>1508</v>
      </c>
      <c r="L476" s="1172"/>
      <c r="M476" s="1177"/>
      <c r="N476" s="1172"/>
      <c r="O476" s="1172" t="s">
        <v>1412</v>
      </c>
      <c r="P476" s="1172"/>
      <c r="Q476" s="1172" t="s">
        <v>1630</v>
      </c>
      <c r="R476" s="1172"/>
      <c r="S476" s="1175"/>
      <c r="T476" s="1172"/>
      <c r="U476" s="1172" t="s">
        <v>500</v>
      </c>
      <c r="V476" s="1172"/>
      <c r="W476" s="1176">
        <v>20000</v>
      </c>
      <c r="X476" s="1172"/>
      <c r="Y476" s="1176"/>
      <c r="Z476" s="1172"/>
      <c r="AA476" s="1176">
        <v>32962</v>
      </c>
    </row>
    <row r="477" spans="1:27" x14ac:dyDescent="0.3">
      <c r="A477" s="1172"/>
      <c r="B477" s="1172"/>
      <c r="C477" s="1172"/>
      <c r="D477" s="1172"/>
      <c r="E477" s="1172"/>
      <c r="F477" s="1172"/>
      <c r="G477" s="1172" t="s">
        <v>871</v>
      </c>
      <c r="H477" s="1172"/>
      <c r="I477" s="1173">
        <v>44377</v>
      </c>
      <c r="J477" s="1172"/>
      <c r="K477" s="1172" t="s">
        <v>1509</v>
      </c>
      <c r="L477" s="1172"/>
      <c r="M477" s="1177"/>
      <c r="N477" s="1172"/>
      <c r="O477" s="1172" t="s">
        <v>1412</v>
      </c>
      <c r="P477" s="1172"/>
      <c r="Q477" s="1172" t="s">
        <v>1602</v>
      </c>
      <c r="R477" s="1172"/>
      <c r="S477" s="1175"/>
      <c r="T477" s="1172"/>
      <c r="U477" s="1172" t="s">
        <v>500</v>
      </c>
      <c r="V477" s="1172"/>
      <c r="W477" s="1176">
        <v>8409.16</v>
      </c>
      <c r="X477" s="1172"/>
      <c r="Y477" s="1176"/>
      <c r="Z477" s="1172"/>
      <c r="AA477" s="1176">
        <v>41371.160000000003</v>
      </c>
    </row>
    <row r="478" spans="1:27" x14ac:dyDescent="0.3">
      <c r="A478" s="1172"/>
      <c r="B478" s="1172"/>
      <c r="C478" s="1172"/>
      <c r="D478" s="1172"/>
      <c r="E478" s="1172"/>
      <c r="F478" s="1172"/>
      <c r="G478" s="1172" t="s">
        <v>871</v>
      </c>
      <c r="H478" s="1172"/>
      <c r="I478" s="1173">
        <v>44378</v>
      </c>
      <c r="J478" s="1172"/>
      <c r="K478" s="1172" t="s">
        <v>1442</v>
      </c>
      <c r="L478" s="1172"/>
      <c r="M478" s="1177"/>
      <c r="N478" s="1172"/>
      <c r="O478" s="1172" t="s">
        <v>1413</v>
      </c>
      <c r="P478" s="1172"/>
      <c r="Q478" s="1172" t="s">
        <v>1628</v>
      </c>
      <c r="R478" s="1172"/>
      <c r="S478" s="1175"/>
      <c r="T478" s="1172"/>
      <c r="U478" s="1172" t="s">
        <v>500</v>
      </c>
      <c r="V478" s="1172"/>
      <c r="W478" s="1176">
        <v>5000</v>
      </c>
      <c r="X478" s="1172"/>
      <c r="Y478" s="1176"/>
      <c r="Z478" s="1172"/>
      <c r="AA478" s="1176">
        <v>46371.16</v>
      </c>
    </row>
    <row r="479" spans="1:27" x14ac:dyDescent="0.3">
      <c r="A479" s="1172"/>
      <c r="B479" s="1172"/>
      <c r="C479" s="1172"/>
      <c r="D479" s="1172"/>
      <c r="E479" s="1172"/>
      <c r="F479" s="1172"/>
      <c r="G479" s="1172" t="s">
        <v>871</v>
      </c>
      <c r="H479" s="1172"/>
      <c r="I479" s="1173">
        <v>44470</v>
      </c>
      <c r="J479" s="1172"/>
      <c r="K479" s="1172"/>
      <c r="L479" s="1172"/>
      <c r="M479" s="1177"/>
      <c r="N479" s="1172"/>
      <c r="O479" s="1172" t="s">
        <v>1437</v>
      </c>
      <c r="P479" s="1172"/>
      <c r="Q479" s="1172"/>
      <c r="R479" s="1172"/>
      <c r="S479" s="1175"/>
      <c r="T479" s="1172"/>
      <c r="U479" s="1172" t="s">
        <v>500</v>
      </c>
      <c r="V479" s="1172"/>
      <c r="W479" s="1176">
        <v>1500</v>
      </c>
      <c r="X479" s="1172"/>
      <c r="Y479" s="1176"/>
      <c r="Z479" s="1172"/>
      <c r="AA479" s="1176">
        <v>47871.16</v>
      </c>
    </row>
    <row r="480" spans="1:27" x14ac:dyDescent="0.3">
      <c r="A480" s="1172"/>
      <c r="B480" s="1172"/>
      <c r="C480" s="1172"/>
      <c r="D480" s="1172"/>
      <c r="E480" s="1172"/>
      <c r="F480" s="1172"/>
      <c r="G480" s="1172" t="s">
        <v>871</v>
      </c>
      <c r="H480" s="1172"/>
      <c r="I480" s="1173">
        <v>44501</v>
      </c>
      <c r="J480" s="1172"/>
      <c r="K480" s="1172" t="s">
        <v>1521</v>
      </c>
      <c r="L480" s="1172"/>
      <c r="M480" s="1177"/>
      <c r="N480" s="1172"/>
      <c r="O480" s="1172" t="s">
        <v>1437</v>
      </c>
      <c r="P480" s="1172"/>
      <c r="Q480" s="1172"/>
      <c r="R480" s="1172"/>
      <c r="S480" s="1175"/>
      <c r="T480" s="1172"/>
      <c r="U480" s="1172" t="s">
        <v>500</v>
      </c>
      <c r="V480" s="1172"/>
      <c r="W480" s="1176">
        <v>1500</v>
      </c>
      <c r="X480" s="1172"/>
      <c r="Y480" s="1176"/>
      <c r="Z480" s="1172"/>
      <c r="AA480" s="1176">
        <v>49371.16</v>
      </c>
    </row>
    <row r="481" spans="1:27" x14ac:dyDescent="0.3">
      <c r="A481" s="1172"/>
      <c r="B481" s="1172"/>
      <c r="C481" s="1172"/>
      <c r="D481" s="1172"/>
      <c r="E481" s="1172"/>
      <c r="F481" s="1172"/>
      <c r="G481" s="1172" t="s">
        <v>871</v>
      </c>
      <c r="H481" s="1172"/>
      <c r="I481" s="1173">
        <v>44508</v>
      </c>
      <c r="J481" s="1172"/>
      <c r="K481" s="1172" t="s">
        <v>1523</v>
      </c>
      <c r="L481" s="1172"/>
      <c r="M481" s="1177"/>
      <c r="N481" s="1172"/>
      <c r="O481" s="1172" t="s">
        <v>1437</v>
      </c>
      <c r="P481" s="1172"/>
      <c r="Q481" s="1172" t="s">
        <v>1631</v>
      </c>
      <c r="R481" s="1172"/>
      <c r="S481" s="1175"/>
      <c r="T481" s="1172"/>
      <c r="U481" s="1172" t="s">
        <v>500</v>
      </c>
      <c r="V481" s="1172"/>
      <c r="W481" s="1176">
        <v>1500</v>
      </c>
      <c r="X481" s="1172"/>
      <c r="Y481" s="1176"/>
      <c r="Z481" s="1172"/>
      <c r="AA481" s="1176">
        <v>50871.16</v>
      </c>
    </row>
    <row r="482" spans="1:27" x14ac:dyDescent="0.3">
      <c r="A482" s="1172"/>
      <c r="B482" s="1172"/>
      <c r="C482" s="1172"/>
      <c r="D482" s="1172"/>
      <c r="E482" s="1172"/>
      <c r="F482" s="1172"/>
      <c r="G482" s="1172" t="s">
        <v>871</v>
      </c>
      <c r="H482" s="1172"/>
      <c r="I482" s="1173">
        <v>44534</v>
      </c>
      <c r="J482" s="1172"/>
      <c r="K482" s="1172" t="s">
        <v>1525</v>
      </c>
      <c r="L482" s="1172"/>
      <c r="M482" s="1177"/>
      <c r="N482" s="1172"/>
      <c r="O482" s="1172" t="s">
        <v>1476</v>
      </c>
      <c r="P482" s="1172"/>
      <c r="Q482" s="1172"/>
      <c r="R482" s="1172"/>
      <c r="S482" s="1175"/>
      <c r="T482" s="1172"/>
      <c r="U482" s="1172" t="s">
        <v>500</v>
      </c>
      <c r="V482" s="1172"/>
      <c r="W482" s="1176">
        <v>5000</v>
      </c>
      <c r="X482" s="1172"/>
      <c r="Y482" s="1176"/>
      <c r="Z482" s="1172"/>
      <c r="AA482" s="1176">
        <v>55871.16</v>
      </c>
    </row>
    <row r="483" spans="1:27" x14ac:dyDescent="0.3">
      <c r="A483" s="1172"/>
      <c r="B483" s="1172"/>
      <c r="C483" s="1172"/>
      <c r="D483" s="1172"/>
      <c r="E483" s="1172"/>
      <c r="F483" s="1172"/>
      <c r="G483" s="1172" t="s">
        <v>871</v>
      </c>
      <c r="H483" s="1172"/>
      <c r="I483" s="1173">
        <v>44563</v>
      </c>
      <c r="J483" s="1172"/>
      <c r="K483" s="1172" t="s">
        <v>1528</v>
      </c>
      <c r="L483" s="1172"/>
      <c r="M483" s="1177"/>
      <c r="N483" s="1172"/>
      <c r="O483" s="1172" t="s">
        <v>1437</v>
      </c>
      <c r="P483" s="1172"/>
      <c r="Q483" s="1172" t="s">
        <v>1631</v>
      </c>
      <c r="R483" s="1172"/>
      <c r="S483" s="1175"/>
      <c r="T483" s="1172"/>
      <c r="U483" s="1172" t="s">
        <v>500</v>
      </c>
      <c r="V483" s="1172"/>
      <c r="W483" s="1176">
        <v>1500</v>
      </c>
      <c r="X483" s="1172"/>
      <c r="Y483" s="1176"/>
      <c r="Z483" s="1172"/>
      <c r="AA483" s="1176">
        <v>57371.16</v>
      </c>
    </row>
    <row r="484" spans="1:27" x14ac:dyDescent="0.3">
      <c r="A484" s="1172"/>
      <c r="B484" s="1172"/>
      <c r="C484" s="1172"/>
      <c r="D484" s="1172"/>
      <c r="E484" s="1172"/>
      <c r="F484" s="1172"/>
      <c r="G484" s="1172" t="s">
        <v>871</v>
      </c>
      <c r="H484" s="1172"/>
      <c r="I484" s="1173">
        <v>44865</v>
      </c>
      <c r="J484" s="1172"/>
      <c r="K484" s="1172" t="s">
        <v>1547</v>
      </c>
      <c r="L484" s="1172"/>
      <c r="M484" s="1177"/>
      <c r="N484" s="1172"/>
      <c r="O484" s="1172" t="s">
        <v>1437</v>
      </c>
      <c r="P484" s="1172"/>
      <c r="Q484" s="1172"/>
      <c r="R484" s="1172"/>
      <c r="S484" s="1175"/>
      <c r="T484" s="1172"/>
      <c r="U484" s="1172" t="s">
        <v>500</v>
      </c>
      <c r="V484" s="1172"/>
      <c r="W484" s="1176">
        <v>1500</v>
      </c>
      <c r="X484" s="1172"/>
      <c r="Y484" s="1176"/>
      <c r="Z484" s="1172"/>
      <c r="AA484" s="1176">
        <v>58871.16</v>
      </c>
    </row>
    <row r="485" spans="1:27" x14ac:dyDescent="0.3">
      <c r="A485" s="1172"/>
      <c r="B485" s="1172"/>
      <c r="C485" s="1172"/>
      <c r="D485" s="1172"/>
      <c r="E485" s="1172"/>
      <c r="F485" s="1172"/>
      <c r="G485" s="1172" t="s">
        <v>871</v>
      </c>
      <c r="H485" s="1172"/>
      <c r="I485" s="1173">
        <v>44895</v>
      </c>
      <c r="J485" s="1172"/>
      <c r="K485" s="1172" t="s">
        <v>1561</v>
      </c>
      <c r="L485" s="1172"/>
      <c r="M485" s="1177"/>
      <c r="N485" s="1172"/>
      <c r="O485" s="1172" t="s">
        <v>1437</v>
      </c>
      <c r="P485" s="1172"/>
      <c r="Q485" s="1172"/>
      <c r="R485" s="1172"/>
      <c r="S485" s="1175"/>
      <c r="T485" s="1172"/>
      <c r="U485" s="1172" t="s">
        <v>500</v>
      </c>
      <c r="V485" s="1172"/>
      <c r="W485" s="1176">
        <v>2000</v>
      </c>
      <c r="X485" s="1172"/>
      <c r="Y485" s="1176"/>
      <c r="Z485" s="1172"/>
      <c r="AA485" s="1176">
        <v>60871.16</v>
      </c>
    </row>
    <row r="486" spans="1:27" ht="15" thickBot="1" x14ac:dyDescent="0.35">
      <c r="A486" s="1172"/>
      <c r="B486" s="1172"/>
      <c r="C486" s="1172"/>
      <c r="D486" s="1172"/>
      <c r="E486" s="1172"/>
      <c r="F486" s="1172"/>
      <c r="G486" s="1172" t="s">
        <v>871</v>
      </c>
      <c r="H486" s="1172"/>
      <c r="I486" s="1173">
        <v>44926</v>
      </c>
      <c r="J486" s="1172"/>
      <c r="K486" s="1172" t="s">
        <v>1563</v>
      </c>
      <c r="L486" s="1172"/>
      <c r="M486" s="1177"/>
      <c r="N486" s="1172"/>
      <c r="O486" s="1172" t="s">
        <v>1437</v>
      </c>
      <c r="P486" s="1172"/>
      <c r="Q486" s="1172"/>
      <c r="R486" s="1172"/>
      <c r="S486" s="1175"/>
      <c r="T486" s="1172"/>
      <c r="U486" s="1172" t="s">
        <v>500</v>
      </c>
      <c r="V486" s="1172"/>
      <c r="W486" s="1176">
        <v>1750</v>
      </c>
      <c r="X486" s="1172"/>
      <c r="Y486" s="1176"/>
      <c r="Z486" s="1172"/>
      <c r="AA486" s="1176">
        <v>62621.16</v>
      </c>
    </row>
    <row r="487" spans="1:27" ht="15" thickBot="1" x14ac:dyDescent="0.35">
      <c r="A487" s="1172"/>
      <c r="B487" s="1172"/>
      <c r="C487" s="1172"/>
      <c r="D487" s="1172" t="s">
        <v>1632</v>
      </c>
      <c r="E487" s="1172"/>
      <c r="F487" s="1172"/>
      <c r="G487" s="1172"/>
      <c r="H487" s="1172"/>
      <c r="I487" s="1173"/>
      <c r="J487" s="1172"/>
      <c r="K487" s="1172"/>
      <c r="L487" s="1172"/>
      <c r="M487" s="1177"/>
      <c r="N487" s="1172"/>
      <c r="O487" s="1172"/>
      <c r="P487" s="1172"/>
      <c r="Q487" s="1172"/>
      <c r="R487" s="1172"/>
      <c r="S487" s="1172"/>
      <c r="T487" s="1172"/>
      <c r="U487" s="1172"/>
      <c r="V487" s="1172"/>
      <c r="W487" s="1210">
        <f>ROUND(SUM(W472:W486),5)</f>
        <v>62621.16</v>
      </c>
      <c r="X487" s="1172"/>
      <c r="Y487" s="1210">
        <f>ROUND(SUM(Y472:Y486),5)</f>
        <v>0</v>
      </c>
      <c r="Z487" s="1172"/>
      <c r="AA487" s="1210">
        <f>AA486</f>
        <v>62621.16</v>
      </c>
    </row>
    <row r="488" spans="1:27" ht="15" thickBot="1" x14ac:dyDescent="0.35">
      <c r="A488" s="1172"/>
      <c r="B488" s="1172"/>
      <c r="C488" s="1172" t="s">
        <v>1633</v>
      </c>
      <c r="D488" s="1172"/>
      <c r="E488" s="1172"/>
      <c r="F488" s="1172"/>
      <c r="G488" s="1172"/>
      <c r="H488" s="1172"/>
      <c r="I488" s="1173"/>
      <c r="J488" s="1172"/>
      <c r="K488" s="1172"/>
      <c r="L488" s="1172"/>
      <c r="M488" s="1177"/>
      <c r="N488" s="1172"/>
      <c r="O488" s="1172"/>
      <c r="P488" s="1172"/>
      <c r="Q488" s="1172"/>
      <c r="R488" s="1172"/>
      <c r="S488" s="1172"/>
      <c r="T488" s="1172"/>
      <c r="U488" s="1172"/>
      <c r="V488" s="1172"/>
      <c r="W488" s="1210">
        <f>ROUND(W471+W487,5)</f>
        <v>69871.16</v>
      </c>
      <c r="X488" s="1172"/>
      <c r="Y488" s="1210">
        <f>ROUND(Y471+Y487,5)</f>
        <v>0</v>
      </c>
      <c r="Z488" s="1172"/>
      <c r="AA488" s="1210">
        <f>ROUND(AA471+AA487,5)</f>
        <v>69871.16</v>
      </c>
    </row>
    <row r="489" spans="1:27" ht="15" thickBot="1" x14ac:dyDescent="0.35">
      <c r="A489" s="1172"/>
      <c r="B489" s="1172" t="s">
        <v>1634</v>
      </c>
      <c r="C489" s="1172"/>
      <c r="D489" s="1172"/>
      <c r="E489" s="1172"/>
      <c r="F489" s="1172"/>
      <c r="G489" s="1172"/>
      <c r="H489" s="1172"/>
      <c r="I489" s="1173"/>
      <c r="J489" s="1172"/>
      <c r="K489" s="1172"/>
      <c r="L489" s="1172"/>
      <c r="M489" s="1177"/>
      <c r="N489" s="1172"/>
      <c r="O489" s="1172"/>
      <c r="P489" s="1172"/>
      <c r="Q489" s="1172"/>
      <c r="R489" s="1172"/>
      <c r="S489" s="1172"/>
      <c r="T489" s="1172"/>
      <c r="U489" s="1172"/>
      <c r="V489" s="1172"/>
      <c r="W489" s="1210">
        <f>W488</f>
        <v>69871.16</v>
      </c>
      <c r="X489" s="1172"/>
      <c r="Y489" s="1210">
        <f>Y488</f>
        <v>0</v>
      </c>
      <c r="Z489" s="1172"/>
      <c r="AA489" s="1210">
        <f>AA488</f>
        <v>69871.16</v>
      </c>
    </row>
    <row r="490" spans="1:27" s="1212" customFormat="1" ht="10.8" thickBot="1" x14ac:dyDescent="0.25">
      <c r="A490" s="1168" t="s">
        <v>0</v>
      </c>
      <c r="B490" s="1168"/>
      <c r="C490" s="1168"/>
      <c r="D490" s="1168"/>
      <c r="E490" s="1168"/>
      <c r="F490" s="1168"/>
      <c r="G490" s="1168"/>
      <c r="H490" s="1168"/>
      <c r="I490" s="1169"/>
      <c r="J490" s="1168"/>
      <c r="K490" s="1168"/>
      <c r="L490" s="1168"/>
      <c r="M490" s="1170"/>
      <c r="N490" s="1168"/>
      <c r="O490" s="1168"/>
      <c r="P490" s="1168"/>
      <c r="Q490" s="1168"/>
      <c r="R490" s="1168"/>
      <c r="S490" s="1168"/>
      <c r="T490" s="1168"/>
      <c r="U490" s="1168"/>
      <c r="V490" s="1168"/>
      <c r="W490" s="1211">
        <f>ROUND(W111+W114+W224+W229+W268+W335+W340+W403+W439+W444+W489,5)</f>
        <v>1704037.6</v>
      </c>
      <c r="X490" s="1168"/>
      <c r="Y490" s="1211">
        <f>ROUND(Y111+Y114+Y224+Y229+Y268+Y335+Y340+Y403+Y439+Y444+Y489,5)</f>
        <v>1704037.6</v>
      </c>
      <c r="Z490" s="1168"/>
      <c r="AA490" s="1211">
        <f>ROUND(AA111+AA114+AA224+AA229+AA268+AA335+AA340+AA403+AA439+AA444+AA489,5)</f>
        <v>0</v>
      </c>
    </row>
    <row r="491" spans="1:27" ht="15" thickTop="1" x14ac:dyDescent="0.3"/>
  </sheetData>
  <autoFilter ref="B1:AA490" xr:uid="{B2B3AECC-E5DC-4A93-A365-2C2AD022C697}"/>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2F23C-1252-4434-95DB-866233A7F573}">
  <sheetPr>
    <tabColor theme="4"/>
  </sheetPr>
  <dimension ref="A1:K233"/>
  <sheetViews>
    <sheetView workbookViewId="0"/>
  </sheetViews>
  <sheetFormatPr defaultColWidth="9.109375" defaultRowHeight="14.4" outlineLevelRow="1" x14ac:dyDescent="0.3"/>
  <cols>
    <col min="1" max="1" width="9.6640625" style="474" customWidth="1"/>
    <col min="2" max="2" width="16.44140625" style="1213" bestFit="1" customWidth="1"/>
    <col min="3" max="3" width="29.44140625" style="1213" customWidth="1"/>
    <col min="4" max="4" width="28.109375" style="474" customWidth="1"/>
    <col min="5" max="5" width="27.6640625" style="474" bestFit="1" customWidth="1"/>
    <col min="6" max="6" width="42.109375" style="474" customWidth="1"/>
    <col min="7" max="8" width="11.6640625" style="474" bestFit="1" customWidth="1"/>
    <col min="9" max="9" width="10.5546875" style="474" bestFit="1" customWidth="1"/>
    <col min="10" max="10" width="4.109375" style="474" customWidth="1"/>
    <col min="11" max="16384" width="9.109375" style="474"/>
  </cols>
  <sheetData>
    <row r="1" spans="1:9" ht="17.399999999999999" x14ac:dyDescent="0.3">
      <c r="A1" s="473" t="s">
        <v>1635</v>
      </c>
    </row>
    <row r="2" spans="1:9" ht="17.399999999999999" x14ac:dyDescent="0.3">
      <c r="A2" s="473" t="s">
        <v>1636</v>
      </c>
    </row>
    <row r="3" spans="1:9" x14ac:dyDescent="0.3">
      <c r="A3" s="475" t="s">
        <v>1637</v>
      </c>
    </row>
    <row r="5" spans="1:9" x14ac:dyDescent="0.3">
      <c r="B5" s="1214" t="s">
        <v>865</v>
      </c>
      <c r="C5" s="1214" t="s">
        <v>866</v>
      </c>
      <c r="D5" s="477" t="s">
        <v>505</v>
      </c>
      <c r="E5" s="477" t="s">
        <v>867</v>
      </c>
      <c r="F5" s="477" t="s">
        <v>868</v>
      </c>
      <c r="G5" s="477" t="s">
        <v>251</v>
      </c>
      <c r="H5" s="477" t="s">
        <v>252</v>
      </c>
      <c r="I5" s="477" t="s">
        <v>869</v>
      </c>
    </row>
    <row r="6" spans="1:9" x14ac:dyDescent="0.3">
      <c r="A6" s="970" t="s">
        <v>1638</v>
      </c>
    </row>
    <row r="7" spans="1:9" x14ac:dyDescent="0.3">
      <c r="B7" s="507" t="s">
        <v>1359</v>
      </c>
      <c r="C7" s="1215"/>
      <c r="D7" s="1216"/>
      <c r="E7" s="1216"/>
      <c r="F7" s="1216"/>
      <c r="G7" s="1216"/>
      <c r="H7" s="1216"/>
      <c r="I7" s="1217">
        <v>115727.27</v>
      </c>
    </row>
    <row r="8" spans="1:9" hidden="1" outlineLevel="1" x14ac:dyDescent="0.3">
      <c r="B8" s="968" t="s">
        <v>1639</v>
      </c>
      <c r="C8" s="968" t="s">
        <v>1640</v>
      </c>
      <c r="D8" s="968" t="s">
        <v>1641</v>
      </c>
      <c r="E8" s="968" t="s">
        <v>1642</v>
      </c>
      <c r="F8" s="968"/>
      <c r="G8" s="1218"/>
      <c r="H8" s="1219">
        <v>2625</v>
      </c>
      <c r="I8" s="1219">
        <v>113102.27</v>
      </c>
    </row>
    <row r="9" spans="1:9" hidden="1" outlineLevel="1" x14ac:dyDescent="0.3">
      <c r="B9" s="968" t="s">
        <v>1639</v>
      </c>
      <c r="C9" s="968" t="s">
        <v>892</v>
      </c>
      <c r="D9" s="968">
        <v>2</v>
      </c>
      <c r="E9" s="968"/>
      <c r="F9" s="968" t="s">
        <v>1643</v>
      </c>
      <c r="G9" s="1218"/>
      <c r="H9" s="1219">
        <v>178.01</v>
      </c>
      <c r="I9" s="1219">
        <v>112924.26</v>
      </c>
    </row>
    <row r="10" spans="1:9" hidden="1" outlineLevel="1" x14ac:dyDescent="0.3">
      <c r="B10" s="968" t="s">
        <v>1639</v>
      </c>
      <c r="C10" s="968" t="s">
        <v>1640</v>
      </c>
      <c r="D10" s="968" t="s">
        <v>1641</v>
      </c>
      <c r="E10" s="968" t="s">
        <v>1644</v>
      </c>
      <c r="F10" s="968"/>
      <c r="G10" s="1218"/>
      <c r="H10" s="1219">
        <v>1837.5</v>
      </c>
      <c r="I10" s="1219">
        <v>111086.76</v>
      </c>
    </row>
    <row r="11" spans="1:9" hidden="1" outlineLevel="1" x14ac:dyDescent="0.3">
      <c r="B11" s="968" t="s">
        <v>1639</v>
      </c>
      <c r="C11" s="968" t="s">
        <v>1640</v>
      </c>
      <c r="D11" s="968" t="s">
        <v>1645</v>
      </c>
      <c r="E11" s="968" t="s">
        <v>1646</v>
      </c>
      <c r="F11" s="968"/>
      <c r="G11" s="1218"/>
      <c r="H11" s="1219">
        <v>4840.8</v>
      </c>
      <c r="I11" s="1219">
        <v>106245.96</v>
      </c>
    </row>
    <row r="12" spans="1:9" hidden="1" outlineLevel="1" x14ac:dyDescent="0.3">
      <c r="B12" s="968" t="s">
        <v>1647</v>
      </c>
      <c r="C12" s="968" t="s">
        <v>1640</v>
      </c>
      <c r="D12" s="968"/>
      <c r="E12" s="968" t="s">
        <v>1648</v>
      </c>
      <c r="F12" s="968"/>
      <c r="G12" s="1218"/>
      <c r="H12" s="1219">
        <v>262.5</v>
      </c>
      <c r="I12" s="1219">
        <v>105983.46</v>
      </c>
    </row>
    <row r="13" spans="1:9" hidden="1" outlineLevel="1" x14ac:dyDescent="0.3">
      <c r="B13" s="968" t="s">
        <v>1647</v>
      </c>
      <c r="C13" s="968" t="s">
        <v>1640</v>
      </c>
      <c r="D13" s="968"/>
      <c r="E13" s="968" t="s">
        <v>1646</v>
      </c>
      <c r="F13" s="968"/>
      <c r="G13" s="1218"/>
      <c r="H13" s="1219">
        <v>9961.39</v>
      </c>
      <c r="I13" s="1219">
        <v>96022.07</v>
      </c>
    </row>
    <row r="14" spans="1:9" hidden="1" outlineLevel="1" x14ac:dyDescent="0.3">
      <c r="B14" s="968" t="s">
        <v>1647</v>
      </c>
      <c r="C14" s="968" t="s">
        <v>1640</v>
      </c>
      <c r="D14" s="968"/>
      <c r="E14" s="968" t="s">
        <v>1648</v>
      </c>
      <c r="F14" s="968"/>
      <c r="G14" s="1218"/>
      <c r="H14" s="1219">
        <v>262.5</v>
      </c>
      <c r="I14" s="1219">
        <v>95759.57</v>
      </c>
    </row>
    <row r="15" spans="1:9" hidden="1" outlineLevel="1" x14ac:dyDescent="0.3">
      <c r="B15" s="968" t="s">
        <v>1647</v>
      </c>
      <c r="C15" s="968" t="s">
        <v>1640</v>
      </c>
      <c r="D15" s="968"/>
      <c r="E15" s="968" t="s">
        <v>1642</v>
      </c>
      <c r="F15" s="968"/>
      <c r="G15" s="1218"/>
      <c r="H15" s="1219">
        <v>2625</v>
      </c>
      <c r="I15" s="1219">
        <v>93134.57</v>
      </c>
    </row>
    <row r="16" spans="1:9" hidden="1" outlineLevel="1" x14ac:dyDescent="0.3">
      <c r="B16" s="968" t="s">
        <v>1647</v>
      </c>
      <c r="C16" s="968" t="s">
        <v>1640</v>
      </c>
      <c r="D16" s="968"/>
      <c r="E16" s="968" t="s">
        <v>1644</v>
      </c>
      <c r="F16" s="968"/>
      <c r="G16" s="1218"/>
      <c r="H16" s="1219">
        <v>1575</v>
      </c>
      <c r="I16" s="1219">
        <v>91559.57</v>
      </c>
    </row>
    <row r="17" spans="2:9" hidden="1" outlineLevel="1" x14ac:dyDescent="0.3">
      <c r="B17" s="968" t="s">
        <v>1649</v>
      </c>
      <c r="C17" s="968" t="s">
        <v>892</v>
      </c>
      <c r="D17" s="968">
        <v>3</v>
      </c>
      <c r="E17" s="968"/>
      <c r="F17" s="968" t="s">
        <v>1650</v>
      </c>
      <c r="G17" s="1218"/>
      <c r="H17" s="1219">
        <v>25</v>
      </c>
      <c r="I17" s="1219">
        <v>91534.57</v>
      </c>
    </row>
    <row r="18" spans="2:9" hidden="1" outlineLevel="1" x14ac:dyDescent="0.3">
      <c r="B18" s="968" t="s">
        <v>1651</v>
      </c>
      <c r="C18" s="968" t="s">
        <v>1640</v>
      </c>
      <c r="D18" s="968"/>
      <c r="E18" s="968" t="s">
        <v>1644</v>
      </c>
      <c r="F18" s="968"/>
      <c r="G18" s="1218"/>
      <c r="H18" s="1219">
        <v>787.5</v>
      </c>
      <c r="I18" s="1219">
        <v>90747.07</v>
      </c>
    </row>
    <row r="19" spans="2:9" hidden="1" outlineLevel="1" x14ac:dyDescent="0.3">
      <c r="B19" s="968" t="s">
        <v>1651</v>
      </c>
      <c r="C19" s="968" t="s">
        <v>1640</v>
      </c>
      <c r="D19" s="968"/>
      <c r="E19" s="968" t="s">
        <v>1648</v>
      </c>
      <c r="F19" s="968"/>
      <c r="G19" s="1218"/>
      <c r="H19" s="1219">
        <v>262.5</v>
      </c>
      <c r="I19" s="1219">
        <v>90484.57</v>
      </c>
    </row>
    <row r="20" spans="2:9" hidden="1" outlineLevel="1" x14ac:dyDescent="0.3">
      <c r="B20" s="968" t="s">
        <v>1652</v>
      </c>
      <c r="C20" s="968" t="s">
        <v>1640</v>
      </c>
      <c r="D20" s="968"/>
      <c r="E20" s="968" t="s">
        <v>1642</v>
      </c>
      <c r="F20" s="968"/>
      <c r="G20" s="1218"/>
      <c r="H20" s="1219">
        <v>2100</v>
      </c>
      <c r="I20" s="1219">
        <v>88384.57</v>
      </c>
    </row>
    <row r="21" spans="2:9" hidden="1" outlineLevel="1" x14ac:dyDescent="0.3">
      <c r="B21" s="968" t="s">
        <v>1653</v>
      </c>
      <c r="C21" s="968" t="s">
        <v>892</v>
      </c>
      <c r="D21" s="968">
        <v>4</v>
      </c>
      <c r="E21" s="968"/>
      <c r="F21" s="968" t="s">
        <v>1654</v>
      </c>
      <c r="G21" s="1218"/>
      <c r="H21" s="1219">
        <v>2680.45</v>
      </c>
      <c r="I21" s="1219">
        <v>85704.12</v>
      </c>
    </row>
    <row r="22" spans="2:9" hidden="1" outlineLevel="1" x14ac:dyDescent="0.3">
      <c r="B22" s="968" t="s">
        <v>1655</v>
      </c>
      <c r="C22" s="968" t="s">
        <v>892</v>
      </c>
      <c r="D22" s="968">
        <v>10</v>
      </c>
      <c r="E22" s="968"/>
      <c r="F22" s="968" t="s">
        <v>1656</v>
      </c>
      <c r="G22" s="1219">
        <v>1000</v>
      </c>
      <c r="H22" s="1218"/>
      <c r="I22" s="1219">
        <v>86704.12</v>
      </c>
    </row>
    <row r="23" spans="2:9" hidden="1" outlineLevel="1" x14ac:dyDescent="0.3">
      <c r="B23" s="968" t="s">
        <v>1655</v>
      </c>
      <c r="C23" s="968" t="s">
        <v>1640</v>
      </c>
      <c r="D23" s="968"/>
      <c r="E23" s="968" t="s">
        <v>1642</v>
      </c>
      <c r="F23" s="968"/>
      <c r="G23" s="1218"/>
      <c r="H23" s="1219">
        <v>2100</v>
      </c>
      <c r="I23" s="1219">
        <v>84604.12</v>
      </c>
    </row>
    <row r="24" spans="2:9" hidden="1" outlineLevel="1" x14ac:dyDescent="0.3">
      <c r="B24" s="968" t="s">
        <v>1655</v>
      </c>
      <c r="C24" s="968" t="s">
        <v>1640</v>
      </c>
      <c r="D24" s="968"/>
      <c r="E24" s="968" t="s">
        <v>1648</v>
      </c>
      <c r="F24" s="968"/>
      <c r="G24" s="1218"/>
      <c r="H24" s="1219">
        <v>1253.18</v>
      </c>
      <c r="I24" s="1219">
        <v>83350.94</v>
      </c>
    </row>
    <row r="25" spans="2:9" hidden="1" outlineLevel="1" x14ac:dyDescent="0.3">
      <c r="B25" s="968" t="s">
        <v>1655</v>
      </c>
      <c r="C25" s="968" t="s">
        <v>1640</v>
      </c>
      <c r="D25" s="968"/>
      <c r="E25" s="968" t="s">
        <v>1644</v>
      </c>
      <c r="F25" s="968"/>
      <c r="G25" s="1218"/>
      <c r="H25" s="1219">
        <v>1575</v>
      </c>
      <c r="I25" s="1219">
        <v>81775.94</v>
      </c>
    </row>
    <row r="26" spans="2:9" hidden="1" outlineLevel="1" x14ac:dyDescent="0.3">
      <c r="B26" s="968" t="s">
        <v>1655</v>
      </c>
      <c r="C26" s="968" t="s">
        <v>1640</v>
      </c>
      <c r="D26" s="968"/>
      <c r="E26" s="968" t="s">
        <v>1644</v>
      </c>
      <c r="F26" s="968"/>
      <c r="G26" s="1218"/>
      <c r="H26" s="1219">
        <v>36.96</v>
      </c>
      <c r="I26" s="1219">
        <v>81738.98</v>
      </c>
    </row>
    <row r="27" spans="2:9" hidden="1" outlineLevel="1" x14ac:dyDescent="0.3">
      <c r="B27" s="968" t="s">
        <v>1655</v>
      </c>
      <c r="C27" s="968" t="s">
        <v>892</v>
      </c>
      <c r="D27" s="968">
        <v>8</v>
      </c>
      <c r="E27" s="968"/>
      <c r="F27" s="968" t="s">
        <v>1657</v>
      </c>
      <c r="G27" s="1219">
        <v>2500</v>
      </c>
      <c r="H27" s="1218"/>
      <c r="I27" s="1219">
        <v>84238.98</v>
      </c>
    </row>
    <row r="28" spans="2:9" hidden="1" outlineLevel="1" x14ac:dyDescent="0.3">
      <c r="B28" s="968" t="s">
        <v>1655</v>
      </c>
      <c r="C28" s="968" t="s">
        <v>892</v>
      </c>
      <c r="D28" s="968">
        <v>7</v>
      </c>
      <c r="E28" s="968"/>
      <c r="F28" s="968" t="s">
        <v>1656</v>
      </c>
      <c r="G28" s="1219">
        <v>2000</v>
      </c>
      <c r="H28" s="1218"/>
      <c r="I28" s="1219">
        <v>86238.98</v>
      </c>
    </row>
    <row r="29" spans="2:9" hidden="1" outlineLevel="1" x14ac:dyDescent="0.3">
      <c r="B29" s="968" t="s">
        <v>1655</v>
      </c>
      <c r="C29" s="968" t="s">
        <v>892</v>
      </c>
      <c r="D29" s="968">
        <v>5</v>
      </c>
      <c r="E29" s="968"/>
      <c r="F29" s="968" t="s">
        <v>1656</v>
      </c>
      <c r="G29" s="1219">
        <v>2000</v>
      </c>
      <c r="H29" s="1218"/>
      <c r="I29" s="1219">
        <v>88238.98</v>
      </c>
    </row>
    <row r="30" spans="2:9" hidden="1" outlineLevel="1" x14ac:dyDescent="0.3">
      <c r="B30" s="968" t="s">
        <v>1655</v>
      </c>
      <c r="C30" s="968" t="s">
        <v>892</v>
      </c>
      <c r="D30" s="968">
        <v>6</v>
      </c>
      <c r="E30" s="968"/>
      <c r="F30" s="968" t="s">
        <v>1658</v>
      </c>
      <c r="G30" s="1219">
        <v>2500</v>
      </c>
      <c r="H30" s="1218"/>
      <c r="I30" s="1219">
        <v>90738.98</v>
      </c>
    </row>
    <row r="31" spans="2:9" hidden="1" outlineLevel="1" x14ac:dyDescent="0.3">
      <c r="B31" s="968" t="s">
        <v>1655</v>
      </c>
      <c r="C31" s="968" t="s">
        <v>892</v>
      </c>
      <c r="D31" s="968">
        <v>9</v>
      </c>
      <c r="E31" s="968"/>
      <c r="F31" s="968" t="s">
        <v>1659</v>
      </c>
      <c r="G31" s="1219">
        <v>2500</v>
      </c>
      <c r="H31" s="1218"/>
      <c r="I31" s="1219">
        <v>93238.98</v>
      </c>
    </row>
    <row r="32" spans="2:9" hidden="1" outlineLevel="1" x14ac:dyDescent="0.3">
      <c r="B32" s="968" t="s">
        <v>1660</v>
      </c>
      <c r="C32" s="968" t="s">
        <v>892</v>
      </c>
      <c r="D32" s="968">
        <v>11</v>
      </c>
      <c r="E32" s="968"/>
      <c r="F32" s="968" t="s">
        <v>1659</v>
      </c>
      <c r="G32" s="1219">
        <v>2500</v>
      </c>
      <c r="H32" s="1218"/>
      <c r="I32" s="1219">
        <v>95738.98</v>
      </c>
    </row>
    <row r="33" spans="1:9" hidden="1" outlineLevel="1" x14ac:dyDescent="0.3">
      <c r="B33" s="968" t="s">
        <v>1661</v>
      </c>
      <c r="C33" s="968" t="s">
        <v>892</v>
      </c>
      <c r="D33" s="968">
        <v>12</v>
      </c>
      <c r="E33" s="968"/>
      <c r="F33" s="968" t="s">
        <v>1662</v>
      </c>
      <c r="G33" s="1219">
        <v>24982.5</v>
      </c>
      <c r="H33" s="1218"/>
      <c r="I33" s="1219">
        <v>120721.48</v>
      </c>
    </row>
    <row r="34" spans="1:9" hidden="1" outlineLevel="1" x14ac:dyDescent="0.3">
      <c r="B34" s="968" t="s">
        <v>1663</v>
      </c>
      <c r="C34" s="968" t="s">
        <v>892</v>
      </c>
      <c r="D34" s="968">
        <v>14</v>
      </c>
      <c r="E34" s="968"/>
      <c r="F34" s="968" t="s">
        <v>1664</v>
      </c>
      <c r="G34" s="1219">
        <v>2500</v>
      </c>
      <c r="H34" s="1218"/>
      <c r="I34" s="1219">
        <v>123221.48</v>
      </c>
    </row>
    <row r="35" spans="1:9" hidden="1" outlineLevel="1" x14ac:dyDescent="0.3">
      <c r="B35" s="968" t="s">
        <v>1663</v>
      </c>
      <c r="C35" s="968" t="s">
        <v>892</v>
      </c>
      <c r="D35" s="968">
        <v>13</v>
      </c>
      <c r="E35" s="968"/>
      <c r="F35" s="968" t="s">
        <v>1664</v>
      </c>
      <c r="G35" s="1219">
        <v>2500</v>
      </c>
      <c r="H35" s="1218"/>
      <c r="I35" s="1219">
        <v>125721.48</v>
      </c>
    </row>
    <row r="36" spans="1:9" hidden="1" outlineLevel="1" x14ac:dyDescent="0.3">
      <c r="B36" s="968" t="s">
        <v>1665</v>
      </c>
      <c r="C36" s="968" t="s">
        <v>1640</v>
      </c>
      <c r="D36" s="968"/>
      <c r="E36" s="968" t="s">
        <v>1646</v>
      </c>
      <c r="F36" s="968"/>
      <c r="G36" s="1218"/>
      <c r="H36" s="1219">
        <v>1766.04</v>
      </c>
      <c r="I36" s="1219">
        <v>123955.44</v>
      </c>
    </row>
    <row r="37" spans="1:9" hidden="1" outlineLevel="1" x14ac:dyDescent="0.3">
      <c r="B37" s="968" t="s">
        <v>1666</v>
      </c>
      <c r="C37" s="968" t="s">
        <v>892</v>
      </c>
      <c r="D37" s="968">
        <v>15</v>
      </c>
      <c r="E37" s="968"/>
      <c r="F37" s="968" t="s">
        <v>1667</v>
      </c>
      <c r="G37" s="1219">
        <v>2500</v>
      </c>
      <c r="H37" s="1218"/>
      <c r="I37" s="1219">
        <v>126455.44</v>
      </c>
    </row>
    <row r="38" spans="1:9" hidden="1" outlineLevel="1" x14ac:dyDescent="0.3">
      <c r="B38" s="968" t="s">
        <v>1668</v>
      </c>
      <c r="C38" s="968" t="s">
        <v>892</v>
      </c>
      <c r="D38" s="968">
        <v>16</v>
      </c>
      <c r="E38" s="968"/>
      <c r="F38" s="968" t="s">
        <v>1667</v>
      </c>
      <c r="G38" s="1219">
        <v>2500</v>
      </c>
      <c r="H38" s="1218"/>
      <c r="I38" s="1219">
        <v>128955.44</v>
      </c>
    </row>
    <row r="39" spans="1:9" hidden="1" outlineLevel="1" x14ac:dyDescent="0.3">
      <c r="B39" s="968" t="s">
        <v>1669</v>
      </c>
      <c r="C39" s="968" t="s">
        <v>1640</v>
      </c>
      <c r="D39" s="968"/>
      <c r="E39" s="968" t="s">
        <v>1648</v>
      </c>
      <c r="F39" s="968"/>
      <c r="G39" s="1218"/>
      <c r="H39" s="1219">
        <v>262.5</v>
      </c>
      <c r="I39" s="1219">
        <v>128692.94</v>
      </c>
    </row>
    <row r="40" spans="1:9" hidden="1" outlineLevel="1" x14ac:dyDescent="0.3">
      <c r="B40" s="968" t="s">
        <v>1669</v>
      </c>
      <c r="C40" s="968" t="s">
        <v>1640</v>
      </c>
      <c r="D40" s="968"/>
      <c r="E40" s="968" t="s">
        <v>1644</v>
      </c>
      <c r="F40" s="968"/>
      <c r="G40" s="1218"/>
      <c r="H40" s="1219">
        <v>1050</v>
      </c>
      <c r="I40" s="1219">
        <v>127642.94</v>
      </c>
    </row>
    <row r="41" spans="1:9" hidden="1" outlineLevel="1" x14ac:dyDescent="0.3">
      <c r="B41" s="968" t="s">
        <v>1670</v>
      </c>
      <c r="C41" s="968" t="s">
        <v>1640</v>
      </c>
      <c r="D41" s="968"/>
      <c r="E41" s="968" t="s">
        <v>1412</v>
      </c>
      <c r="F41" s="968"/>
      <c r="G41" s="1218"/>
      <c r="H41" s="1219">
        <v>10000</v>
      </c>
      <c r="I41" s="1219">
        <v>117642.94</v>
      </c>
    </row>
    <row r="42" spans="1:9" hidden="1" outlineLevel="1" x14ac:dyDescent="0.3">
      <c r="B42" s="968" t="s">
        <v>1671</v>
      </c>
      <c r="C42" s="968" t="s">
        <v>1640</v>
      </c>
      <c r="D42" s="968"/>
      <c r="E42" s="968" t="s">
        <v>1642</v>
      </c>
      <c r="F42" s="968"/>
      <c r="G42" s="1218"/>
      <c r="H42" s="1219">
        <v>2625</v>
      </c>
      <c r="I42" s="1219">
        <v>115017.94</v>
      </c>
    </row>
    <row r="43" spans="1:9" hidden="1" outlineLevel="1" x14ac:dyDescent="0.3">
      <c r="B43" s="968" t="s">
        <v>1671</v>
      </c>
      <c r="C43" s="968" t="s">
        <v>1640</v>
      </c>
      <c r="D43" s="968"/>
      <c r="E43" s="968" t="s">
        <v>1412</v>
      </c>
      <c r="F43" s="968"/>
      <c r="G43" s="1218"/>
      <c r="H43" s="1219">
        <v>825.53</v>
      </c>
      <c r="I43" s="1219">
        <v>114192.41</v>
      </c>
    </row>
    <row r="44" spans="1:9" hidden="1" outlineLevel="1" x14ac:dyDescent="0.3">
      <c r="B44" s="968" t="s">
        <v>1671</v>
      </c>
      <c r="C44" s="968" t="s">
        <v>1640</v>
      </c>
      <c r="D44" s="968"/>
      <c r="E44" s="968" t="s">
        <v>1642</v>
      </c>
      <c r="F44" s="968"/>
      <c r="G44" s="1218"/>
      <c r="H44" s="1219">
        <v>3150</v>
      </c>
      <c r="I44" s="1219">
        <v>111042.41</v>
      </c>
    </row>
    <row r="45" spans="1:9" hidden="1" outlineLevel="1" x14ac:dyDescent="0.3">
      <c r="B45" s="968" t="s">
        <v>1672</v>
      </c>
      <c r="C45" s="968" t="s">
        <v>1640</v>
      </c>
      <c r="D45" s="968"/>
      <c r="E45" s="968" t="s">
        <v>1412</v>
      </c>
      <c r="F45" s="968"/>
      <c r="G45" s="1218"/>
      <c r="H45" s="1219">
        <v>500</v>
      </c>
      <c r="I45" s="1219">
        <v>110542.41</v>
      </c>
    </row>
    <row r="46" spans="1:9" hidden="1" outlineLevel="1" x14ac:dyDescent="0.3">
      <c r="B46" s="968" t="s">
        <v>1672</v>
      </c>
      <c r="C46" s="968" t="s">
        <v>1640</v>
      </c>
      <c r="D46" s="968"/>
      <c r="E46" s="968" t="s">
        <v>1648</v>
      </c>
      <c r="F46" s="968"/>
      <c r="G46" s="1218"/>
      <c r="H46" s="1219">
        <v>262.5</v>
      </c>
      <c r="I46" s="1219">
        <v>110279.91</v>
      </c>
    </row>
    <row r="47" spans="1:9" hidden="1" outlineLevel="1" x14ac:dyDescent="0.3">
      <c r="B47" s="968" t="s">
        <v>1672</v>
      </c>
      <c r="C47" s="968" t="s">
        <v>1640</v>
      </c>
      <c r="D47" s="968"/>
      <c r="E47" s="968" t="s">
        <v>1644</v>
      </c>
      <c r="F47" s="968"/>
      <c r="G47" s="1218"/>
      <c r="H47" s="1219">
        <v>2100</v>
      </c>
      <c r="I47" s="1219">
        <v>108179.91</v>
      </c>
    </row>
    <row r="48" spans="1:9" collapsed="1" x14ac:dyDescent="0.3">
      <c r="A48" s="970" t="s">
        <v>1673</v>
      </c>
      <c r="G48" s="1220">
        <v>49982.5</v>
      </c>
      <c r="H48" s="1220">
        <v>57529.86</v>
      </c>
    </row>
    <row r="49" spans="1:9" x14ac:dyDescent="0.3">
      <c r="A49" s="970" t="s">
        <v>1674</v>
      </c>
    </row>
    <row r="50" spans="1:9" x14ac:dyDescent="0.3">
      <c r="B50" s="968" t="s">
        <v>1359</v>
      </c>
      <c r="I50" s="1219">
        <v>17639.68</v>
      </c>
    </row>
    <row r="51" spans="1:9" hidden="1" outlineLevel="1" x14ac:dyDescent="0.3">
      <c r="B51" s="968" t="s">
        <v>1675</v>
      </c>
      <c r="C51" s="968" t="s">
        <v>871</v>
      </c>
      <c r="D51" s="968">
        <v>31</v>
      </c>
      <c r="E51" s="968" t="s">
        <v>1642</v>
      </c>
      <c r="F51" s="968"/>
      <c r="G51" s="1218"/>
      <c r="H51" s="1219">
        <v>2625</v>
      </c>
      <c r="I51" s="1219">
        <v>20264.68</v>
      </c>
    </row>
    <row r="52" spans="1:9" hidden="1" outlineLevel="1" x14ac:dyDescent="0.3">
      <c r="B52" s="968" t="s">
        <v>1639</v>
      </c>
      <c r="C52" s="968" t="s">
        <v>1640</v>
      </c>
      <c r="D52" s="968" t="s">
        <v>1645</v>
      </c>
      <c r="E52" s="968" t="s">
        <v>1646</v>
      </c>
      <c r="F52" s="968"/>
      <c r="G52" s="1219">
        <v>4840.8</v>
      </c>
      <c r="H52" s="1218"/>
      <c r="I52" s="1219">
        <v>15423.88</v>
      </c>
    </row>
    <row r="53" spans="1:9" hidden="1" outlineLevel="1" x14ac:dyDescent="0.3">
      <c r="B53" s="968" t="s">
        <v>1639</v>
      </c>
      <c r="C53" s="968" t="s">
        <v>1640</v>
      </c>
      <c r="D53" s="968" t="s">
        <v>1641</v>
      </c>
      <c r="E53" s="968" t="s">
        <v>1644</v>
      </c>
      <c r="F53" s="968"/>
      <c r="G53" s="1219">
        <v>1837.5</v>
      </c>
      <c r="H53" s="1218"/>
      <c r="I53" s="1219">
        <v>13586.38</v>
      </c>
    </row>
    <row r="54" spans="1:9" hidden="1" outlineLevel="1" x14ac:dyDescent="0.3">
      <c r="B54" s="968" t="s">
        <v>1639</v>
      </c>
      <c r="C54" s="968" t="s">
        <v>1640</v>
      </c>
      <c r="D54" s="968" t="s">
        <v>1641</v>
      </c>
      <c r="E54" s="968" t="s">
        <v>1642</v>
      </c>
      <c r="F54" s="968"/>
      <c r="G54" s="1219">
        <v>2625</v>
      </c>
      <c r="H54" s="1218"/>
      <c r="I54" s="1219">
        <v>10961.38</v>
      </c>
    </row>
    <row r="55" spans="1:9" hidden="1" outlineLevel="1" x14ac:dyDescent="0.3">
      <c r="B55" s="968" t="s">
        <v>1676</v>
      </c>
      <c r="C55" s="968" t="s">
        <v>871</v>
      </c>
      <c r="D55" s="968">
        <v>3</v>
      </c>
      <c r="E55" s="968" t="s">
        <v>1648</v>
      </c>
      <c r="F55" s="968"/>
      <c r="G55" s="1218"/>
      <c r="H55" s="1219">
        <v>262.5</v>
      </c>
      <c r="I55" s="1219">
        <v>11223.88</v>
      </c>
    </row>
    <row r="56" spans="1:9" hidden="1" outlineLevel="1" x14ac:dyDescent="0.3">
      <c r="B56" s="968" t="s">
        <v>1677</v>
      </c>
      <c r="C56" s="968" t="s">
        <v>871</v>
      </c>
      <c r="D56" s="968" t="s">
        <v>1678</v>
      </c>
      <c r="E56" s="968" t="s">
        <v>1644</v>
      </c>
      <c r="F56" s="968"/>
      <c r="G56" s="1218"/>
      <c r="H56" s="1219">
        <v>1575</v>
      </c>
      <c r="I56" s="1219">
        <v>12798.88</v>
      </c>
    </row>
    <row r="57" spans="1:9" hidden="1" outlineLevel="1" x14ac:dyDescent="0.3">
      <c r="B57" s="968" t="s">
        <v>1679</v>
      </c>
      <c r="C57" s="968" t="s">
        <v>871</v>
      </c>
      <c r="D57" s="968">
        <v>7</v>
      </c>
      <c r="E57" s="968" t="s">
        <v>1648</v>
      </c>
      <c r="F57" s="968"/>
      <c r="G57" s="1218"/>
      <c r="H57" s="1219">
        <v>262.5</v>
      </c>
      <c r="I57" s="1219">
        <v>13061.38</v>
      </c>
    </row>
    <row r="58" spans="1:9" hidden="1" outlineLevel="1" x14ac:dyDescent="0.3">
      <c r="B58" s="968" t="s">
        <v>1680</v>
      </c>
      <c r="C58" s="968" t="s">
        <v>871</v>
      </c>
      <c r="D58" s="968">
        <v>33</v>
      </c>
      <c r="E58" s="968" t="s">
        <v>1642</v>
      </c>
      <c r="F58" s="968"/>
      <c r="G58" s="1218"/>
      <c r="H58" s="1219">
        <v>2625</v>
      </c>
      <c r="I58" s="1219">
        <v>15686.38</v>
      </c>
    </row>
    <row r="59" spans="1:9" hidden="1" outlineLevel="1" x14ac:dyDescent="0.3">
      <c r="B59" s="968" t="s">
        <v>1647</v>
      </c>
      <c r="C59" s="968" t="s">
        <v>1640</v>
      </c>
      <c r="D59" s="968"/>
      <c r="E59" s="968" t="s">
        <v>1646</v>
      </c>
      <c r="F59" s="968"/>
      <c r="G59" s="1219">
        <v>9961.39</v>
      </c>
      <c r="H59" s="1218"/>
      <c r="I59" s="1219">
        <v>5724.99</v>
      </c>
    </row>
    <row r="60" spans="1:9" hidden="1" outlineLevel="1" x14ac:dyDescent="0.3">
      <c r="B60" s="968" t="s">
        <v>1647</v>
      </c>
      <c r="C60" s="968" t="s">
        <v>1640</v>
      </c>
      <c r="D60" s="968"/>
      <c r="E60" s="968" t="s">
        <v>1648</v>
      </c>
      <c r="F60" s="968"/>
      <c r="G60" s="1219">
        <v>262.5</v>
      </c>
      <c r="H60" s="1218"/>
      <c r="I60" s="1219">
        <v>5462.49</v>
      </c>
    </row>
    <row r="61" spans="1:9" hidden="1" outlineLevel="1" x14ac:dyDescent="0.3">
      <c r="B61" s="968" t="s">
        <v>1647</v>
      </c>
      <c r="C61" s="968" t="s">
        <v>1640</v>
      </c>
      <c r="D61" s="968"/>
      <c r="E61" s="968" t="s">
        <v>1648</v>
      </c>
      <c r="F61" s="968"/>
      <c r="G61" s="1219">
        <v>262.5</v>
      </c>
      <c r="H61" s="1218"/>
      <c r="I61" s="1219">
        <v>5199.99</v>
      </c>
    </row>
    <row r="62" spans="1:9" hidden="1" outlineLevel="1" x14ac:dyDescent="0.3">
      <c r="B62" s="968" t="s">
        <v>1647</v>
      </c>
      <c r="C62" s="968" t="s">
        <v>1640</v>
      </c>
      <c r="D62" s="968"/>
      <c r="E62" s="968" t="s">
        <v>1644</v>
      </c>
      <c r="F62" s="968"/>
      <c r="G62" s="1219">
        <v>1575</v>
      </c>
      <c r="H62" s="1218"/>
      <c r="I62" s="1219">
        <v>3624.99</v>
      </c>
    </row>
    <row r="63" spans="1:9" hidden="1" outlineLevel="1" x14ac:dyDescent="0.3">
      <c r="B63" s="968" t="s">
        <v>1647</v>
      </c>
      <c r="C63" s="968" t="s">
        <v>1640</v>
      </c>
      <c r="D63" s="968"/>
      <c r="E63" s="968" t="s">
        <v>1642</v>
      </c>
      <c r="F63" s="968"/>
      <c r="G63" s="1219">
        <v>2625</v>
      </c>
      <c r="H63" s="1218"/>
      <c r="I63" s="1219">
        <v>999.99</v>
      </c>
    </row>
    <row r="64" spans="1:9" hidden="1" outlineLevel="1" x14ac:dyDescent="0.3">
      <c r="B64" s="968" t="s">
        <v>1681</v>
      </c>
      <c r="C64" s="968" t="s">
        <v>871</v>
      </c>
      <c r="D64" s="968">
        <v>11</v>
      </c>
      <c r="E64" s="968" t="s">
        <v>1648</v>
      </c>
      <c r="F64" s="968"/>
      <c r="G64" s="1218"/>
      <c r="H64" s="1219">
        <v>262.5</v>
      </c>
      <c r="I64" s="1219">
        <v>1262.49</v>
      </c>
    </row>
    <row r="65" spans="2:9" hidden="1" outlineLevel="1" x14ac:dyDescent="0.3">
      <c r="B65" s="968" t="s">
        <v>1681</v>
      </c>
      <c r="C65" s="968" t="s">
        <v>871</v>
      </c>
      <c r="D65" s="968" t="s">
        <v>1682</v>
      </c>
      <c r="E65" s="968" t="s">
        <v>1644</v>
      </c>
      <c r="F65" s="968"/>
      <c r="G65" s="1218"/>
      <c r="H65" s="1219">
        <v>787.5</v>
      </c>
      <c r="I65" s="1219">
        <v>2049.9899999999998</v>
      </c>
    </row>
    <row r="66" spans="2:9" hidden="1" outlineLevel="1" x14ac:dyDescent="0.3">
      <c r="B66" s="968" t="s">
        <v>1651</v>
      </c>
      <c r="C66" s="968" t="s">
        <v>1640</v>
      </c>
      <c r="D66" s="968"/>
      <c r="E66" s="968" t="s">
        <v>1644</v>
      </c>
      <c r="F66" s="968"/>
      <c r="G66" s="1219">
        <v>787.5</v>
      </c>
      <c r="H66" s="1218"/>
      <c r="I66" s="1219">
        <v>1262.49</v>
      </c>
    </row>
    <row r="67" spans="2:9" hidden="1" outlineLevel="1" x14ac:dyDescent="0.3">
      <c r="B67" s="968" t="s">
        <v>1651</v>
      </c>
      <c r="C67" s="968" t="s">
        <v>1640</v>
      </c>
      <c r="D67" s="968"/>
      <c r="E67" s="968" t="s">
        <v>1648</v>
      </c>
      <c r="F67" s="968"/>
      <c r="G67" s="1219">
        <v>262.5</v>
      </c>
      <c r="H67" s="1218"/>
      <c r="I67" s="1219">
        <v>999.99</v>
      </c>
    </row>
    <row r="68" spans="2:9" hidden="1" outlineLevel="1" x14ac:dyDescent="0.3">
      <c r="B68" s="968" t="s">
        <v>1683</v>
      </c>
      <c r="C68" s="968" t="s">
        <v>871</v>
      </c>
      <c r="D68" s="968">
        <v>35</v>
      </c>
      <c r="E68" s="968" t="s">
        <v>1642</v>
      </c>
      <c r="F68" s="968"/>
      <c r="G68" s="1218"/>
      <c r="H68" s="1219">
        <v>2100</v>
      </c>
      <c r="I68" s="1219">
        <v>3099.99</v>
      </c>
    </row>
    <row r="69" spans="2:9" hidden="1" outlineLevel="1" x14ac:dyDescent="0.3">
      <c r="B69" s="968" t="s">
        <v>1652</v>
      </c>
      <c r="C69" s="968" t="s">
        <v>1640</v>
      </c>
      <c r="D69" s="968"/>
      <c r="E69" s="968" t="s">
        <v>1642</v>
      </c>
      <c r="F69" s="968"/>
      <c r="G69" s="1219">
        <v>2100</v>
      </c>
      <c r="H69" s="1218"/>
      <c r="I69" s="1219">
        <v>999.99</v>
      </c>
    </row>
    <row r="70" spans="2:9" hidden="1" outlineLevel="1" x14ac:dyDescent="0.3">
      <c r="B70" s="968" t="s">
        <v>1684</v>
      </c>
      <c r="C70" s="968" t="s">
        <v>871</v>
      </c>
      <c r="D70" s="968" t="s">
        <v>1685</v>
      </c>
      <c r="E70" s="968" t="s">
        <v>1644</v>
      </c>
      <c r="F70" s="968"/>
      <c r="G70" s="1218"/>
      <c r="H70" s="1219">
        <v>1575</v>
      </c>
      <c r="I70" s="1219">
        <v>2574.9899999999998</v>
      </c>
    </row>
    <row r="71" spans="2:9" hidden="1" outlineLevel="1" x14ac:dyDescent="0.3">
      <c r="B71" s="968" t="s">
        <v>1684</v>
      </c>
      <c r="C71" s="968" t="s">
        <v>871</v>
      </c>
      <c r="D71" s="968"/>
      <c r="E71" s="968" t="s">
        <v>1644</v>
      </c>
      <c r="F71" s="968"/>
      <c r="G71" s="1218"/>
      <c r="H71" s="1219">
        <v>36.96</v>
      </c>
      <c r="I71" s="1219">
        <v>2611.9499999999998</v>
      </c>
    </row>
    <row r="72" spans="2:9" hidden="1" outlineLevel="1" x14ac:dyDescent="0.3">
      <c r="B72" s="968" t="s">
        <v>1686</v>
      </c>
      <c r="C72" s="968" t="s">
        <v>871</v>
      </c>
      <c r="D72" s="968">
        <v>16</v>
      </c>
      <c r="E72" s="968" t="s">
        <v>1648</v>
      </c>
      <c r="F72" s="968"/>
      <c r="G72" s="1218"/>
      <c r="H72" s="1219">
        <v>1253.18</v>
      </c>
      <c r="I72" s="1219">
        <v>3865.13</v>
      </c>
    </row>
    <row r="73" spans="2:9" hidden="1" outlineLevel="1" x14ac:dyDescent="0.3">
      <c r="B73" s="968" t="s">
        <v>1655</v>
      </c>
      <c r="C73" s="968" t="s">
        <v>871</v>
      </c>
      <c r="D73" s="968">
        <v>37</v>
      </c>
      <c r="E73" s="968" t="s">
        <v>1642</v>
      </c>
      <c r="F73" s="968"/>
      <c r="G73" s="1218"/>
      <c r="H73" s="1219">
        <v>2100</v>
      </c>
      <c r="I73" s="1219">
        <v>5965.13</v>
      </c>
    </row>
    <row r="74" spans="2:9" hidden="1" outlineLevel="1" x14ac:dyDescent="0.3">
      <c r="B74" s="968" t="s">
        <v>1655</v>
      </c>
      <c r="C74" s="968" t="s">
        <v>1640</v>
      </c>
      <c r="D74" s="968"/>
      <c r="E74" s="968" t="s">
        <v>1644</v>
      </c>
      <c r="F74" s="968"/>
      <c r="G74" s="1219">
        <v>36.96</v>
      </c>
      <c r="H74" s="1218"/>
      <c r="I74" s="1219">
        <v>5928.17</v>
      </c>
    </row>
    <row r="75" spans="2:9" hidden="1" outlineLevel="1" x14ac:dyDescent="0.3">
      <c r="B75" s="968" t="s">
        <v>1655</v>
      </c>
      <c r="C75" s="968" t="s">
        <v>1640</v>
      </c>
      <c r="D75" s="968"/>
      <c r="E75" s="968" t="s">
        <v>1642</v>
      </c>
      <c r="F75" s="968"/>
      <c r="G75" s="1219">
        <v>2100</v>
      </c>
      <c r="H75" s="1218"/>
      <c r="I75" s="1219">
        <v>3828.17</v>
      </c>
    </row>
    <row r="76" spans="2:9" hidden="1" outlineLevel="1" x14ac:dyDescent="0.3">
      <c r="B76" s="968" t="s">
        <v>1655</v>
      </c>
      <c r="C76" s="968" t="s">
        <v>1640</v>
      </c>
      <c r="D76" s="968"/>
      <c r="E76" s="968" t="s">
        <v>1648</v>
      </c>
      <c r="F76" s="968"/>
      <c r="G76" s="1219">
        <v>1253.18</v>
      </c>
      <c r="H76" s="1218"/>
      <c r="I76" s="1219">
        <v>2574.9899999999998</v>
      </c>
    </row>
    <row r="77" spans="2:9" hidden="1" outlineLevel="1" x14ac:dyDescent="0.3">
      <c r="B77" s="968" t="s">
        <v>1655</v>
      </c>
      <c r="C77" s="968" t="s">
        <v>1640</v>
      </c>
      <c r="D77" s="968"/>
      <c r="E77" s="968" t="s">
        <v>1644</v>
      </c>
      <c r="F77" s="968"/>
      <c r="G77" s="1219">
        <v>1575</v>
      </c>
      <c r="H77" s="1218"/>
      <c r="I77" s="1219">
        <v>999.99</v>
      </c>
    </row>
    <row r="78" spans="2:9" hidden="1" outlineLevel="1" x14ac:dyDescent="0.3">
      <c r="B78" s="968" t="s">
        <v>1687</v>
      </c>
      <c r="C78" s="968" t="s">
        <v>871</v>
      </c>
      <c r="D78" s="968">
        <v>1305374</v>
      </c>
      <c r="E78" s="968" t="s">
        <v>1646</v>
      </c>
      <c r="F78" s="968"/>
      <c r="G78" s="1218"/>
      <c r="H78" s="1219">
        <v>1766.04</v>
      </c>
      <c r="I78" s="1219">
        <v>2766.03</v>
      </c>
    </row>
    <row r="79" spans="2:9" hidden="1" outlineLevel="1" x14ac:dyDescent="0.3">
      <c r="B79" s="968" t="s">
        <v>1665</v>
      </c>
      <c r="C79" s="968" t="s">
        <v>1640</v>
      </c>
      <c r="D79" s="968"/>
      <c r="E79" s="968" t="s">
        <v>1646</v>
      </c>
      <c r="F79" s="968"/>
      <c r="G79" s="1219">
        <v>1766.04</v>
      </c>
      <c r="H79" s="1218"/>
      <c r="I79" s="1219">
        <v>999.99</v>
      </c>
    </row>
    <row r="80" spans="2:9" hidden="1" outlineLevel="1" x14ac:dyDescent="0.3">
      <c r="B80" s="968" t="s">
        <v>1688</v>
      </c>
      <c r="C80" s="968" t="s">
        <v>871</v>
      </c>
      <c r="D80" s="968">
        <v>21</v>
      </c>
      <c r="E80" s="968" t="s">
        <v>1648</v>
      </c>
      <c r="F80" s="968"/>
      <c r="G80" s="1218"/>
      <c r="H80" s="1219">
        <v>262.5</v>
      </c>
      <c r="I80" s="1219">
        <v>1262.49</v>
      </c>
    </row>
    <row r="81" spans="2:9" hidden="1" outlineLevel="1" x14ac:dyDescent="0.3">
      <c r="B81" s="968" t="s">
        <v>1688</v>
      </c>
      <c r="C81" s="968" t="s">
        <v>871</v>
      </c>
      <c r="D81" s="968">
        <v>1002</v>
      </c>
      <c r="E81" s="968" t="s">
        <v>1644</v>
      </c>
      <c r="F81" s="968"/>
      <c r="G81" s="1218"/>
      <c r="H81" s="1219">
        <v>1050</v>
      </c>
      <c r="I81" s="1219">
        <v>2312.4899999999998</v>
      </c>
    </row>
    <row r="82" spans="2:9" hidden="1" outlineLevel="1" x14ac:dyDescent="0.3">
      <c r="B82" s="968" t="s">
        <v>1689</v>
      </c>
      <c r="C82" s="968" t="s">
        <v>871</v>
      </c>
      <c r="D82" s="968">
        <v>1306777</v>
      </c>
      <c r="E82" s="968" t="s">
        <v>1646</v>
      </c>
      <c r="F82" s="968"/>
      <c r="G82" s="1218"/>
      <c r="H82" s="1219">
        <v>36425.199999999997</v>
      </c>
      <c r="I82" s="1219">
        <v>38737.69</v>
      </c>
    </row>
    <row r="83" spans="2:9" hidden="1" outlineLevel="1" x14ac:dyDescent="0.3">
      <c r="B83" s="968" t="s">
        <v>1669</v>
      </c>
      <c r="C83" s="968" t="s">
        <v>1640</v>
      </c>
      <c r="D83" s="968"/>
      <c r="E83" s="968" t="s">
        <v>1648</v>
      </c>
      <c r="F83" s="968"/>
      <c r="G83" s="1219">
        <v>262.5</v>
      </c>
      <c r="H83" s="1218"/>
      <c r="I83" s="1219">
        <v>38475.19</v>
      </c>
    </row>
    <row r="84" spans="2:9" hidden="1" outlineLevel="1" x14ac:dyDescent="0.3">
      <c r="B84" s="968" t="s">
        <v>1669</v>
      </c>
      <c r="C84" s="968" t="s">
        <v>1640</v>
      </c>
      <c r="D84" s="968"/>
      <c r="E84" s="968" t="s">
        <v>1644</v>
      </c>
      <c r="F84" s="968"/>
      <c r="G84" s="1219">
        <v>1050</v>
      </c>
      <c r="H84" s="1218"/>
      <c r="I84" s="1219">
        <v>37425.19</v>
      </c>
    </row>
    <row r="85" spans="2:9" hidden="1" outlineLevel="1" x14ac:dyDescent="0.3">
      <c r="B85" s="968" t="s">
        <v>1690</v>
      </c>
      <c r="C85" s="968" t="s">
        <v>871</v>
      </c>
      <c r="D85" s="968">
        <v>38</v>
      </c>
      <c r="E85" s="968" t="s">
        <v>1642</v>
      </c>
      <c r="F85" s="968"/>
      <c r="G85" s="1218"/>
      <c r="H85" s="1219">
        <v>2625</v>
      </c>
      <c r="I85" s="1219">
        <v>40050.19</v>
      </c>
    </row>
    <row r="86" spans="2:9" hidden="1" outlineLevel="1" x14ac:dyDescent="0.3">
      <c r="B86" s="968" t="s">
        <v>1670</v>
      </c>
      <c r="C86" s="968" t="s">
        <v>1640</v>
      </c>
      <c r="D86" s="968"/>
      <c r="E86" s="968" t="s">
        <v>1412</v>
      </c>
      <c r="F86" s="968"/>
      <c r="G86" s="1219">
        <v>10000</v>
      </c>
      <c r="H86" s="1218"/>
      <c r="I86" s="1219">
        <v>30050.19</v>
      </c>
    </row>
    <row r="87" spans="2:9" hidden="1" outlineLevel="1" x14ac:dyDescent="0.3">
      <c r="B87" s="968" t="s">
        <v>1670</v>
      </c>
      <c r="C87" s="968" t="s">
        <v>871</v>
      </c>
      <c r="D87" s="968" t="s">
        <v>1691</v>
      </c>
      <c r="E87" s="968" t="s">
        <v>1412</v>
      </c>
      <c r="F87" s="968"/>
      <c r="G87" s="1218"/>
      <c r="H87" s="1219">
        <v>10500</v>
      </c>
      <c r="I87" s="1219">
        <v>40550.19</v>
      </c>
    </row>
    <row r="88" spans="2:9" hidden="1" outlineLevel="1" x14ac:dyDescent="0.3">
      <c r="B88" s="968" t="s">
        <v>1692</v>
      </c>
      <c r="C88" s="968" t="s">
        <v>871</v>
      </c>
      <c r="D88" s="968">
        <v>74457</v>
      </c>
      <c r="E88" s="968" t="s">
        <v>1693</v>
      </c>
      <c r="F88" s="968"/>
      <c r="G88" s="1218"/>
      <c r="H88" s="1219">
        <v>7875</v>
      </c>
      <c r="I88" s="1219">
        <v>48425.19</v>
      </c>
    </row>
    <row r="89" spans="2:9" hidden="1" outlineLevel="1" x14ac:dyDescent="0.3">
      <c r="B89" s="968" t="s">
        <v>1694</v>
      </c>
      <c r="C89" s="968" t="s">
        <v>871</v>
      </c>
      <c r="D89" s="968">
        <v>40</v>
      </c>
      <c r="E89" s="968" t="s">
        <v>1642</v>
      </c>
      <c r="F89" s="968"/>
      <c r="G89" s="1218"/>
      <c r="H89" s="1219">
        <v>3150</v>
      </c>
      <c r="I89" s="1219">
        <v>51575.19</v>
      </c>
    </row>
    <row r="90" spans="2:9" hidden="1" outlineLevel="1" x14ac:dyDescent="0.3">
      <c r="B90" s="968" t="s">
        <v>1694</v>
      </c>
      <c r="C90" s="968" t="s">
        <v>871</v>
      </c>
      <c r="D90" s="968" t="s">
        <v>1695</v>
      </c>
      <c r="E90" s="968" t="s">
        <v>1412</v>
      </c>
      <c r="F90" s="968"/>
      <c r="G90" s="1218"/>
      <c r="H90" s="1219">
        <v>825.53</v>
      </c>
      <c r="I90" s="1219">
        <v>52400.72</v>
      </c>
    </row>
    <row r="91" spans="2:9" hidden="1" outlineLevel="1" x14ac:dyDescent="0.3">
      <c r="B91" s="968" t="s">
        <v>1696</v>
      </c>
      <c r="C91" s="968" t="s">
        <v>871</v>
      </c>
      <c r="D91" s="968">
        <v>1309248</v>
      </c>
      <c r="E91" s="968" t="s">
        <v>1646</v>
      </c>
      <c r="F91" s="968"/>
      <c r="G91" s="1219">
        <v>0</v>
      </c>
      <c r="H91" s="1218"/>
      <c r="I91" s="1219">
        <v>52400.72</v>
      </c>
    </row>
    <row r="92" spans="2:9" hidden="1" outlineLevel="1" x14ac:dyDescent="0.3">
      <c r="B92" s="968" t="s">
        <v>1671</v>
      </c>
      <c r="C92" s="968" t="s">
        <v>1640</v>
      </c>
      <c r="D92" s="968"/>
      <c r="E92" s="968" t="s">
        <v>1642</v>
      </c>
      <c r="F92" s="968"/>
      <c r="G92" s="1219">
        <v>2625</v>
      </c>
      <c r="H92" s="1218"/>
      <c r="I92" s="1219">
        <v>49775.72</v>
      </c>
    </row>
    <row r="93" spans="2:9" hidden="1" outlineLevel="1" x14ac:dyDescent="0.3">
      <c r="B93" s="968" t="s">
        <v>1671</v>
      </c>
      <c r="C93" s="968" t="s">
        <v>1640</v>
      </c>
      <c r="D93" s="968"/>
      <c r="E93" s="968" t="s">
        <v>1642</v>
      </c>
      <c r="F93" s="968"/>
      <c r="G93" s="1219">
        <v>3150</v>
      </c>
      <c r="H93" s="1218"/>
      <c r="I93" s="1219">
        <v>46625.72</v>
      </c>
    </row>
    <row r="94" spans="2:9" hidden="1" outlineLevel="1" x14ac:dyDescent="0.3">
      <c r="B94" s="968" t="s">
        <v>1671</v>
      </c>
      <c r="C94" s="968" t="s">
        <v>1640</v>
      </c>
      <c r="D94" s="968"/>
      <c r="E94" s="968" t="s">
        <v>1412</v>
      </c>
      <c r="F94" s="968"/>
      <c r="G94" s="1219">
        <v>825.53</v>
      </c>
      <c r="H94" s="1218"/>
      <c r="I94" s="1219">
        <v>45800.19</v>
      </c>
    </row>
    <row r="95" spans="2:9" hidden="1" outlineLevel="1" x14ac:dyDescent="0.3">
      <c r="B95" s="968" t="s">
        <v>1697</v>
      </c>
      <c r="C95" s="968" t="s">
        <v>871</v>
      </c>
      <c r="D95" s="968">
        <v>25</v>
      </c>
      <c r="E95" s="968" t="s">
        <v>1648</v>
      </c>
      <c r="F95" s="968"/>
      <c r="G95" s="1218"/>
      <c r="H95" s="1219">
        <v>262.5</v>
      </c>
      <c r="I95" s="1219">
        <v>46062.69</v>
      </c>
    </row>
    <row r="96" spans="2:9" hidden="1" outlineLevel="1" x14ac:dyDescent="0.3">
      <c r="B96" s="968" t="s">
        <v>1698</v>
      </c>
      <c r="C96" s="968" t="s">
        <v>871</v>
      </c>
      <c r="D96" s="968">
        <v>1007</v>
      </c>
      <c r="E96" s="968" t="s">
        <v>1644</v>
      </c>
      <c r="F96" s="968"/>
      <c r="G96" s="1218"/>
      <c r="H96" s="1219">
        <v>2100</v>
      </c>
      <c r="I96" s="1219">
        <v>48162.69</v>
      </c>
    </row>
    <row r="97" spans="1:9" hidden="1" outlineLevel="1" x14ac:dyDescent="0.3">
      <c r="B97" s="968" t="s">
        <v>1672</v>
      </c>
      <c r="C97" s="968" t="s">
        <v>1640</v>
      </c>
      <c r="D97" s="968"/>
      <c r="E97" s="968" t="s">
        <v>1648</v>
      </c>
      <c r="F97" s="968"/>
      <c r="G97" s="1219">
        <v>262.5</v>
      </c>
      <c r="H97" s="1218"/>
      <c r="I97" s="1219">
        <v>47900.19</v>
      </c>
    </row>
    <row r="98" spans="1:9" hidden="1" outlineLevel="1" x14ac:dyDescent="0.3">
      <c r="B98" s="968" t="s">
        <v>1672</v>
      </c>
      <c r="C98" s="968" t="s">
        <v>1640</v>
      </c>
      <c r="D98" s="968"/>
      <c r="E98" s="968" t="s">
        <v>1412</v>
      </c>
      <c r="F98" s="968"/>
      <c r="G98" s="1219">
        <v>500</v>
      </c>
      <c r="H98" s="1218"/>
      <c r="I98" s="1219">
        <v>47400.19</v>
      </c>
    </row>
    <row r="99" spans="1:9" hidden="1" outlineLevel="1" x14ac:dyDescent="0.3">
      <c r="B99" s="968" t="s">
        <v>1672</v>
      </c>
      <c r="C99" s="968" t="s">
        <v>1640</v>
      </c>
      <c r="D99" s="968"/>
      <c r="E99" s="968" t="s">
        <v>1644</v>
      </c>
      <c r="F99" s="968"/>
      <c r="G99" s="1219">
        <v>2100</v>
      </c>
      <c r="H99" s="1218"/>
      <c r="I99" s="1219">
        <v>45300.19</v>
      </c>
    </row>
    <row r="100" spans="1:9" hidden="1" outlineLevel="1" x14ac:dyDescent="0.3">
      <c r="B100" s="968" t="s">
        <v>1699</v>
      </c>
      <c r="C100" s="968" t="s">
        <v>871</v>
      </c>
      <c r="D100" s="968">
        <v>42</v>
      </c>
      <c r="E100" s="968" t="s">
        <v>1642</v>
      </c>
      <c r="F100" s="968"/>
      <c r="G100" s="1218"/>
      <c r="H100" s="1219">
        <v>5250</v>
      </c>
      <c r="I100" s="1219">
        <v>50550.19</v>
      </c>
    </row>
    <row r="101" spans="1:9" hidden="1" outlineLevel="1" x14ac:dyDescent="0.3">
      <c r="B101" s="968" t="s">
        <v>1699</v>
      </c>
      <c r="C101" s="968" t="s">
        <v>875</v>
      </c>
      <c r="D101" s="968"/>
      <c r="E101" s="968" t="s">
        <v>1646</v>
      </c>
      <c r="F101" s="968"/>
      <c r="G101" s="1219">
        <v>10407.68</v>
      </c>
      <c r="H101" s="1218"/>
      <c r="I101" s="1219">
        <v>40142.51</v>
      </c>
    </row>
    <row r="102" spans="1:9" hidden="1" outlineLevel="1" x14ac:dyDescent="0.3">
      <c r="B102" s="968" t="s">
        <v>1699</v>
      </c>
      <c r="C102" s="968" t="s">
        <v>1640</v>
      </c>
      <c r="D102" s="968"/>
      <c r="E102" s="968" t="s">
        <v>1646</v>
      </c>
      <c r="F102" s="968"/>
      <c r="G102" s="1219">
        <v>0</v>
      </c>
      <c r="H102" s="1218"/>
      <c r="I102" s="1219">
        <v>40142.51</v>
      </c>
    </row>
    <row r="103" spans="1:9" collapsed="1" x14ac:dyDescent="0.3">
      <c r="A103" s="970" t="s">
        <v>1700</v>
      </c>
      <c r="G103" s="1220">
        <v>65054.080000000002</v>
      </c>
      <c r="H103" s="1220">
        <v>87556.91</v>
      </c>
    </row>
    <row r="104" spans="1:9" x14ac:dyDescent="0.3">
      <c r="A104" s="970" t="s">
        <v>1701</v>
      </c>
    </row>
    <row r="105" spans="1:9" x14ac:dyDescent="0.3">
      <c r="A105" s="970" t="s">
        <v>1702</v>
      </c>
    </row>
    <row r="106" spans="1:9" x14ac:dyDescent="0.3">
      <c r="B106" s="968" t="s">
        <v>1699</v>
      </c>
      <c r="C106" s="968" t="s">
        <v>892</v>
      </c>
      <c r="D106" s="968">
        <v>18</v>
      </c>
      <c r="E106" s="968"/>
      <c r="F106" s="968" t="s">
        <v>1703</v>
      </c>
      <c r="G106" s="1218"/>
      <c r="H106" s="1219">
        <v>10000</v>
      </c>
      <c r="I106" s="1219">
        <v>10000</v>
      </c>
    </row>
    <row r="107" spans="1:9" x14ac:dyDescent="0.3">
      <c r="A107" s="970" t="s">
        <v>1704</v>
      </c>
      <c r="G107" s="1220" t="s">
        <v>1705</v>
      </c>
      <c r="H107" s="1220">
        <v>10000</v>
      </c>
    </row>
    <row r="108" spans="1:9" x14ac:dyDescent="0.3">
      <c r="A108" s="970" t="s">
        <v>1706</v>
      </c>
    </row>
    <row r="109" spans="1:9" x14ac:dyDescent="0.3">
      <c r="A109" s="970" t="s">
        <v>1707</v>
      </c>
    </row>
    <row r="110" spans="1:9" x14ac:dyDescent="0.3">
      <c r="B110" s="968" t="s">
        <v>1708</v>
      </c>
      <c r="I110" s="1219">
        <v>2680.45</v>
      </c>
    </row>
    <row r="111" spans="1:9" x14ac:dyDescent="0.3">
      <c r="B111" s="968" t="s">
        <v>1653</v>
      </c>
      <c r="C111" s="968" t="s">
        <v>892</v>
      </c>
      <c r="D111" s="968">
        <v>4</v>
      </c>
      <c r="E111" s="968"/>
      <c r="F111" s="968" t="s">
        <v>1654</v>
      </c>
      <c r="G111" s="1219">
        <v>2680.45</v>
      </c>
      <c r="H111" s="1218"/>
      <c r="I111" s="1219">
        <v>0</v>
      </c>
    </row>
    <row r="112" spans="1:9" x14ac:dyDescent="0.3">
      <c r="A112" s="970" t="s">
        <v>1709</v>
      </c>
      <c r="G112" s="1220">
        <v>2680.45</v>
      </c>
      <c r="H112" s="1220" t="s">
        <v>1710</v>
      </c>
    </row>
    <row r="113" spans="1:9" x14ac:dyDescent="0.3">
      <c r="A113" s="970" t="s">
        <v>1711</v>
      </c>
      <c r="G113" s="1220">
        <v>2680.45</v>
      </c>
      <c r="H113" s="1220" t="s">
        <v>1705</v>
      </c>
    </row>
    <row r="114" spans="1:9" x14ac:dyDescent="0.3">
      <c r="A114" s="970" t="s">
        <v>1712</v>
      </c>
      <c r="G114" s="1220">
        <v>2680.45</v>
      </c>
      <c r="H114" s="1220">
        <v>10000</v>
      </c>
    </row>
    <row r="115" spans="1:9" x14ac:dyDescent="0.3">
      <c r="A115" s="970" t="s">
        <v>1713</v>
      </c>
    </row>
    <row r="116" spans="1:9" x14ac:dyDescent="0.3">
      <c r="B116" s="968" t="s">
        <v>1359</v>
      </c>
      <c r="I116" s="1219">
        <v>-7872.58</v>
      </c>
    </row>
    <row r="117" spans="1:9" hidden="1" outlineLevel="1" x14ac:dyDescent="0.3">
      <c r="B117" s="968" t="s">
        <v>1675</v>
      </c>
      <c r="C117" s="968" t="s">
        <v>871</v>
      </c>
      <c r="D117" s="968">
        <v>31</v>
      </c>
      <c r="E117" s="968" t="s">
        <v>1642</v>
      </c>
      <c r="F117" s="968"/>
      <c r="G117" s="1219">
        <v>125</v>
      </c>
      <c r="H117" s="1218"/>
      <c r="I117" s="1219">
        <v>-7997.58</v>
      </c>
    </row>
    <row r="118" spans="1:9" hidden="1" outlineLevel="1" x14ac:dyDescent="0.3">
      <c r="B118" s="968" t="s">
        <v>1639</v>
      </c>
      <c r="C118" s="968" t="s">
        <v>892</v>
      </c>
      <c r="D118" s="968">
        <v>2</v>
      </c>
      <c r="E118" s="968"/>
      <c r="F118" s="968"/>
      <c r="G118" s="1219">
        <v>8.35</v>
      </c>
      <c r="H118" s="1218"/>
      <c r="I118" s="1219">
        <v>-8005.93</v>
      </c>
    </row>
    <row r="119" spans="1:9" hidden="1" outlineLevel="1" x14ac:dyDescent="0.3">
      <c r="B119" s="968" t="s">
        <v>1676</v>
      </c>
      <c r="C119" s="968" t="s">
        <v>871</v>
      </c>
      <c r="D119" s="968">
        <v>3</v>
      </c>
      <c r="E119" s="968" t="s">
        <v>1648</v>
      </c>
      <c r="F119" s="968"/>
      <c r="G119" s="1219">
        <v>12.5</v>
      </c>
      <c r="H119" s="1218"/>
      <c r="I119" s="1219">
        <v>-8018.43</v>
      </c>
    </row>
    <row r="120" spans="1:9" hidden="1" outlineLevel="1" x14ac:dyDescent="0.3">
      <c r="B120" s="968" t="s">
        <v>1677</v>
      </c>
      <c r="C120" s="968" t="s">
        <v>871</v>
      </c>
      <c r="D120" s="968" t="s">
        <v>1678</v>
      </c>
      <c r="E120" s="968" t="s">
        <v>1644</v>
      </c>
      <c r="F120" s="968"/>
      <c r="G120" s="1219">
        <v>75</v>
      </c>
      <c r="H120" s="1218"/>
      <c r="I120" s="1219">
        <v>-8093.43</v>
      </c>
    </row>
    <row r="121" spans="1:9" hidden="1" outlineLevel="1" x14ac:dyDescent="0.3">
      <c r="B121" s="968" t="s">
        <v>1679</v>
      </c>
      <c r="C121" s="968" t="s">
        <v>871</v>
      </c>
      <c r="D121" s="968">
        <v>7</v>
      </c>
      <c r="E121" s="968" t="s">
        <v>1648</v>
      </c>
      <c r="F121" s="968"/>
      <c r="G121" s="1219">
        <v>12.5</v>
      </c>
      <c r="H121" s="1218"/>
      <c r="I121" s="1219">
        <v>-8105.93</v>
      </c>
    </row>
    <row r="122" spans="1:9" hidden="1" outlineLevel="1" x14ac:dyDescent="0.3">
      <c r="B122" s="968" t="s">
        <v>1680</v>
      </c>
      <c r="C122" s="968" t="s">
        <v>871</v>
      </c>
      <c r="D122" s="968">
        <v>33</v>
      </c>
      <c r="E122" s="968" t="s">
        <v>1642</v>
      </c>
      <c r="F122" s="968"/>
      <c r="G122" s="1219">
        <v>125</v>
      </c>
      <c r="H122" s="1218"/>
      <c r="I122" s="1219">
        <v>-8230.93</v>
      </c>
    </row>
    <row r="123" spans="1:9" hidden="1" outlineLevel="1" x14ac:dyDescent="0.3">
      <c r="B123" s="968" t="s">
        <v>1681</v>
      </c>
      <c r="C123" s="968" t="s">
        <v>871</v>
      </c>
      <c r="D123" s="968">
        <v>11</v>
      </c>
      <c r="E123" s="968" t="s">
        <v>1648</v>
      </c>
      <c r="F123" s="968"/>
      <c r="G123" s="1219">
        <v>12.5</v>
      </c>
      <c r="H123" s="1218"/>
      <c r="I123" s="1219">
        <v>-8243.43</v>
      </c>
    </row>
    <row r="124" spans="1:9" hidden="1" outlineLevel="1" x14ac:dyDescent="0.3">
      <c r="B124" s="968" t="s">
        <v>1681</v>
      </c>
      <c r="C124" s="968" t="s">
        <v>871</v>
      </c>
      <c r="D124" s="968" t="s">
        <v>1682</v>
      </c>
      <c r="E124" s="968" t="s">
        <v>1644</v>
      </c>
      <c r="F124" s="968"/>
      <c r="G124" s="1219">
        <v>37.5</v>
      </c>
      <c r="H124" s="1218"/>
      <c r="I124" s="1219">
        <v>-8280.93</v>
      </c>
    </row>
    <row r="125" spans="1:9" hidden="1" outlineLevel="1" x14ac:dyDescent="0.3">
      <c r="B125" s="968" t="s">
        <v>1683</v>
      </c>
      <c r="C125" s="968" t="s">
        <v>871</v>
      </c>
      <c r="D125" s="968">
        <v>35</v>
      </c>
      <c r="E125" s="968" t="s">
        <v>1642</v>
      </c>
      <c r="F125" s="968"/>
      <c r="G125" s="1219">
        <v>100</v>
      </c>
      <c r="H125" s="1218"/>
      <c r="I125" s="1219">
        <v>-8380.93</v>
      </c>
    </row>
    <row r="126" spans="1:9" hidden="1" outlineLevel="1" x14ac:dyDescent="0.3">
      <c r="B126" s="968" t="s">
        <v>1684</v>
      </c>
      <c r="C126" s="968" t="s">
        <v>871</v>
      </c>
      <c r="D126" s="968"/>
      <c r="E126" s="968" t="s">
        <v>1644</v>
      </c>
      <c r="F126" s="968"/>
      <c r="G126" s="1219">
        <v>1.65</v>
      </c>
      <c r="H126" s="1218"/>
      <c r="I126" s="1219">
        <v>-8382.58</v>
      </c>
    </row>
    <row r="127" spans="1:9" hidden="1" outlineLevel="1" x14ac:dyDescent="0.3">
      <c r="B127" s="968" t="s">
        <v>1684</v>
      </c>
      <c r="C127" s="968" t="s">
        <v>871</v>
      </c>
      <c r="D127" s="968" t="s">
        <v>1685</v>
      </c>
      <c r="E127" s="968" t="s">
        <v>1644</v>
      </c>
      <c r="F127" s="968"/>
      <c r="G127" s="1219">
        <v>75</v>
      </c>
      <c r="H127" s="1218"/>
      <c r="I127" s="1219">
        <v>-8457.58</v>
      </c>
    </row>
    <row r="128" spans="1:9" hidden="1" outlineLevel="1" x14ac:dyDescent="0.3">
      <c r="B128" s="968" t="s">
        <v>1686</v>
      </c>
      <c r="C128" s="968" t="s">
        <v>871</v>
      </c>
      <c r="D128" s="968">
        <v>16</v>
      </c>
      <c r="E128" s="968" t="s">
        <v>1648</v>
      </c>
      <c r="F128" s="968"/>
      <c r="G128" s="1219">
        <v>59.68</v>
      </c>
      <c r="H128" s="1218"/>
      <c r="I128" s="1219">
        <v>-8517.26</v>
      </c>
    </row>
    <row r="129" spans="1:9" hidden="1" outlineLevel="1" x14ac:dyDescent="0.3">
      <c r="B129" s="968" t="s">
        <v>1655</v>
      </c>
      <c r="C129" s="968" t="s">
        <v>871</v>
      </c>
      <c r="D129" s="968">
        <v>37</v>
      </c>
      <c r="E129" s="968" t="s">
        <v>1642</v>
      </c>
      <c r="F129" s="968"/>
      <c r="G129" s="1219">
        <v>100</v>
      </c>
      <c r="H129" s="1218"/>
      <c r="I129" s="1219">
        <v>-8617.26</v>
      </c>
    </row>
    <row r="130" spans="1:9" hidden="1" outlineLevel="1" x14ac:dyDescent="0.3">
      <c r="B130" s="968" t="s">
        <v>1687</v>
      </c>
      <c r="C130" s="968" t="s">
        <v>871</v>
      </c>
      <c r="D130" s="968">
        <v>1305374</v>
      </c>
      <c r="E130" s="968" t="s">
        <v>1646</v>
      </c>
      <c r="F130" s="968"/>
      <c r="G130" s="1219">
        <v>77.73</v>
      </c>
      <c r="H130" s="1218"/>
      <c r="I130" s="1219">
        <v>-8694.99</v>
      </c>
    </row>
    <row r="131" spans="1:9" hidden="1" outlineLevel="1" x14ac:dyDescent="0.3">
      <c r="B131" s="968" t="s">
        <v>1688</v>
      </c>
      <c r="C131" s="968" t="s">
        <v>871</v>
      </c>
      <c r="D131" s="968">
        <v>21</v>
      </c>
      <c r="E131" s="968" t="s">
        <v>1648</v>
      </c>
      <c r="F131" s="968"/>
      <c r="G131" s="1219">
        <v>12.5</v>
      </c>
      <c r="H131" s="1218"/>
      <c r="I131" s="1219">
        <v>-8707.49</v>
      </c>
    </row>
    <row r="132" spans="1:9" hidden="1" outlineLevel="1" x14ac:dyDescent="0.3">
      <c r="B132" s="968" t="s">
        <v>1688</v>
      </c>
      <c r="C132" s="968" t="s">
        <v>871</v>
      </c>
      <c r="D132" s="968">
        <v>1002</v>
      </c>
      <c r="E132" s="968" t="s">
        <v>1644</v>
      </c>
      <c r="F132" s="968"/>
      <c r="G132" s="1219">
        <v>50</v>
      </c>
      <c r="H132" s="1218"/>
      <c r="I132" s="1219">
        <v>-8757.49</v>
      </c>
    </row>
    <row r="133" spans="1:9" hidden="1" outlineLevel="1" x14ac:dyDescent="0.3">
      <c r="B133" s="968" t="s">
        <v>1689</v>
      </c>
      <c r="C133" s="968" t="s">
        <v>871</v>
      </c>
      <c r="D133" s="968">
        <v>1306777</v>
      </c>
      <c r="E133" s="968" t="s">
        <v>1646</v>
      </c>
      <c r="F133" s="968"/>
      <c r="G133" s="1219">
        <v>1626.13</v>
      </c>
      <c r="H133" s="1218"/>
      <c r="I133" s="1219">
        <v>-10383.620000000001</v>
      </c>
    </row>
    <row r="134" spans="1:9" hidden="1" outlineLevel="1" x14ac:dyDescent="0.3">
      <c r="B134" s="968" t="s">
        <v>1690</v>
      </c>
      <c r="C134" s="968" t="s">
        <v>871</v>
      </c>
      <c r="D134" s="968">
        <v>38</v>
      </c>
      <c r="E134" s="968" t="s">
        <v>1642</v>
      </c>
      <c r="F134" s="968"/>
      <c r="G134" s="1219">
        <v>125</v>
      </c>
      <c r="H134" s="1218"/>
      <c r="I134" s="1219">
        <v>-10508.62</v>
      </c>
    </row>
    <row r="135" spans="1:9" hidden="1" outlineLevel="1" x14ac:dyDescent="0.3">
      <c r="B135" s="968" t="s">
        <v>1670</v>
      </c>
      <c r="C135" s="968" t="s">
        <v>871</v>
      </c>
      <c r="D135" s="968" t="s">
        <v>1691</v>
      </c>
      <c r="E135" s="968" t="s">
        <v>1412</v>
      </c>
      <c r="F135" s="968"/>
      <c r="G135" s="1219">
        <v>500</v>
      </c>
      <c r="H135" s="1218"/>
      <c r="I135" s="1219">
        <v>-11008.62</v>
      </c>
    </row>
    <row r="136" spans="1:9" hidden="1" outlineLevel="1" x14ac:dyDescent="0.3">
      <c r="B136" s="968" t="s">
        <v>1692</v>
      </c>
      <c r="C136" s="968" t="s">
        <v>871</v>
      </c>
      <c r="D136" s="968">
        <v>74457</v>
      </c>
      <c r="E136" s="968" t="s">
        <v>1693</v>
      </c>
      <c r="F136" s="968"/>
      <c r="G136" s="1219">
        <v>375</v>
      </c>
      <c r="H136" s="1218"/>
      <c r="I136" s="1219">
        <v>-11383.62</v>
      </c>
    </row>
    <row r="137" spans="1:9" hidden="1" outlineLevel="1" x14ac:dyDescent="0.3">
      <c r="B137" s="968" t="s">
        <v>1694</v>
      </c>
      <c r="C137" s="968" t="s">
        <v>871</v>
      </c>
      <c r="D137" s="968">
        <v>40</v>
      </c>
      <c r="E137" s="968" t="s">
        <v>1642</v>
      </c>
      <c r="F137" s="968"/>
      <c r="G137" s="1219">
        <v>150</v>
      </c>
      <c r="H137" s="1218"/>
      <c r="I137" s="1219">
        <v>-11533.62</v>
      </c>
    </row>
    <row r="138" spans="1:9" hidden="1" outlineLevel="1" x14ac:dyDescent="0.3">
      <c r="B138" s="968" t="s">
        <v>1694</v>
      </c>
      <c r="C138" s="968" t="s">
        <v>871</v>
      </c>
      <c r="D138" s="968" t="s">
        <v>1695</v>
      </c>
      <c r="E138" s="968" t="s">
        <v>1412</v>
      </c>
      <c r="F138" s="968"/>
      <c r="G138" s="1219">
        <v>16.5</v>
      </c>
      <c r="H138" s="1218"/>
      <c r="I138" s="1219">
        <v>-11550.12</v>
      </c>
    </row>
    <row r="139" spans="1:9" hidden="1" outlineLevel="1" x14ac:dyDescent="0.3">
      <c r="B139" s="968" t="s">
        <v>1696</v>
      </c>
      <c r="C139" s="968" t="s">
        <v>871</v>
      </c>
      <c r="D139" s="968">
        <v>1309248</v>
      </c>
      <c r="E139" s="968" t="s">
        <v>1646</v>
      </c>
      <c r="F139" s="968"/>
      <c r="G139" s="1219">
        <v>0</v>
      </c>
      <c r="H139" s="1218"/>
      <c r="I139" s="1219">
        <v>-11550.12</v>
      </c>
    </row>
    <row r="140" spans="1:9" hidden="1" outlineLevel="1" x14ac:dyDescent="0.3">
      <c r="B140" s="968" t="s">
        <v>1697</v>
      </c>
      <c r="C140" s="968" t="s">
        <v>871</v>
      </c>
      <c r="D140" s="968">
        <v>25</v>
      </c>
      <c r="E140" s="968" t="s">
        <v>1648</v>
      </c>
      <c r="F140" s="968"/>
      <c r="G140" s="1219">
        <v>12.5</v>
      </c>
      <c r="H140" s="1218"/>
      <c r="I140" s="1219">
        <v>-11562.62</v>
      </c>
    </row>
    <row r="141" spans="1:9" hidden="1" outlineLevel="1" x14ac:dyDescent="0.3">
      <c r="B141" s="968" t="s">
        <v>1698</v>
      </c>
      <c r="C141" s="968" t="s">
        <v>871</v>
      </c>
      <c r="D141" s="968">
        <v>1007</v>
      </c>
      <c r="E141" s="968" t="s">
        <v>1644</v>
      </c>
      <c r="F141" s="968"/>
      <c r="G141" s="1219">
        <v>100</v>
      </c>
      <c r="H141" s="1218"/>
      <c r="I141" s="1219">
        <v>-11662.62</v>
      </c>
    </row>
    <row r="142" spans="1:9" hidden="1" outlineLevel="1" x14ac:dyDescent="0.3">
      <c r="B142" s="968" t="s">
        <v>1699</v>
      </c>
      <c r="C142" s="968" t="s">
        <v>875</v>
      </c>
      <c r="D142" s="968"/>
      <c r="E142" s="968" t="s">
        <v>1646</v>
      </c>
      <c r="F142" s="968"/>
      <c r="G142" s="1218"/>
      <c r="H142" s="1219">
        <v>464.76</v>
      </c>
      <c r="I142" s="1219">
        <v>-11197.86</v>
      </c>
    </row>
    <row r="143" spans="1:9" hidden="1" outlineLevel="1" x14ac:dyDescent="0.3">
      <c r="B143" s="968" t="s">
        <v>1699</v>
      </c>
      <c r="C143" s="968" t="s">
        <v>871</v>
      </c>
      <c r="D143" s="968">
        <v>42</v>
      </c>
      <c r="E143" s="968" t="s">
        <v>1642</v>
      </c>
      <c r="F143" s="968"/>
      <c r="G143" s="1219">
        <v>250</v>
      </c>
      <c r="H143" s="1218"/>
      <c r="I143" s="1219">
        <v>-11447.86</v>
      </c>
    </row>
    <row r="144" spans="1:9" collapsed="1" x14ac:dyDescent="0.3">
      <c r="A144" s="970" t="s">
        <v>1714</v>
      </c>
      <c r="G144" s="1220">
        <v>4040.04</v>
      </c>
      <c r="H144" s="1220">
        <v>464.76</v>
      </c>
    </row>
    <row r="145" spans="1:11" x14ac:dyDescent="0.3">
      <c r="A145" s="970" t="s">
        <v>1715</v>
      </c>
    </row>
    <row r="146" spans="1:11" x14ac:dyDescent="0.3">
      <c r="B146" s="968" t="s">
        <v>1359</v>
      </c>
      <c r="I146" s="1219">
        <v>-520000</v>
      </c>
    </row>
    <row r="147" spans="1:11" x14ac:dyDescent="0.3">
      <c r="A147" s="970" t="s">
        <v>1716</v>
      </c>
      <c r="G147" s="1220"/>
      <c r="H147" s="1220"/>
    </row>
    <row r="148" spans="1:11" x14ac:dyDescent="0.3">
      <c r="A148" s="970" t="s">
        <v>1717</v>
      </c>
    </row>
    <row r="149" spans="1:11" x14ac:dyDescent="0.3">
      <c r="A149" s="970" t="s">
        <v>1718</v>
      </c>
    </row>
    <row r="150" spans="1:11" x14ac:dyDescent="0.3">
      <c r="B150" s="968" t="s">
        <v>1719</v>
      </c>
      <c r="I150" s="1219">
        <v>1801251</v>
      </c>
    </row>
    <row r="151" spans="1:11" x14ac:dyDescent="0.3">
      <c r="A151" s="970" t="s">
        <v>1720</v>
      </c>
      <c r="G151" s="1220" t="s">
        <v>1705</v>
      </c>
      <c r="H151" s="1220" t="s">
        <v>1705</v>
      </c>
    </row>
    <row r="152" spans="1:11" x14ac:dyDescent="0.3">
      <c r="A152" s="970" t="s">
        <v>1721</v>
      </c>
    </row>
    <row r="153" spans="1:11" x14ac:dyDescent="0.3">
      <c r="B153" s="968" t="s">
        <v>1719</v>
      </c>
      <c r="I153" s="1219">
        <v>258750</v>
      </c>
    </row>
    <row r="154" spans="1:11" x14ac:dyDescent="0.3">
      <c r="B154" s="968" t="s">
        <v>1655</v>
      </c>
      <c r="C154" s="968" t="s">
        <v>892</v>
      </c>
      <c r="D154" s="968">
        <v>5</v>
      </c>
      <c r="E154" s="968"/>
      <c r="F154" s="968" t="s">
        <v>1656</v>
      </c>
      <c r="G154" s="1218"/>
      <c r="H154" s="1219">
        <v>2000</v>
      </c>
      <c r="I154" s="1219">
        <v>260750</v>
      </c>
      <c r="K154" s="474" t="s">
        <v>1722</v>
      </c>
    </row>
    <row r="155" spans="1:11" x14ac:dyDescent="0.3">
      <c r="B155" s="968" t="s">
        <v>1655</v>
      </c>
      <c r="C155" s="968" t="s">
        <v>892</v>
      </c>
      <c r="D155" s="968">
        <v>10</v>
      </c>
      <c r="E155" s="968"/>
      <c r="F155" s="968" t="s">
        <v>1656</v>
      </c>
      <c r="G155" s="1218"/>
      <c r="H155" s="1219">
        <v>1000</v>
      </c>
      <c r="I155" s="1219">
        <v>261750</v>
      </c>
    </row>
    <row r="156" spans="1:11" x14ac:dyDescent="0.3">
      <c r="B156" s="968" t="s">
        <v>1655</v>
      </c>
      <c r="C156" s="968" t="s">
        <v>892</v>
      </c>
      <c r="D156" s="968">
        <v>8</v>
      </c>
      <c r="E156" s="968"/>
      <c r="F156" s="968" t="s">
        <v>1657</v>
      </c>
      <c r="G156" s="1218"/>
      <c r="H156" s="1219">
        <v>2500</v>
      </c>
      <c r="I156" s="1219">
        <v>264250</v>
      </c>
    </row>
    <row r="157" spans="1:11" x14ac:dyDescent="0.3">
      <c r="B157" s="968" t="s">
        <v>1655</v>
      </c>
      <c r="C157" s="968" t="s">
        <v>892</v>
      </c>
      <c r="D157" s="968">
        <v>9</v>
      </c>
      <c r="E157" s="968"/>
      <c r="F157" s="968" t="s">
        <v>1659</v>
      </c>
      <c r="G157" s="1218"/>
      <c r="H157" s="1219">
        <v>2500</v>
      </c>
      <c r="I157" s="1219">
        <v>266750</v>
      </c>
    </row>
    <row r="158" spans="1:11" x14ac:dyDescent="0.3">
      <c r="B158" s="968" t="s">
        <v>1655</v>
      </c>
      <c r="C158" s="968" t="s">
        <v>892</v>
      </c>
      <c r="D158" s="968">
        <v>6</v>
      </c>
      <c r="E158" s="968"/>
      <c r="F158" s="968" t="s">
        <v>1658</v>
      </c>
      <c r="G158" s="1218"/>
      <c r="H158" s="1219">
        <v>2500</v>
      </c>
      <c r="I158" s="1219">
        <v>269250</v>
      </c>
    </row>
    <row r="159" spans="1:11" x14ac:dyDescent="0.3">
      <c r="B159" s="968" t="s">
        <v>1655</v>
      </c>
      <c r="C159" s="968" t="s">
        <v>892</v>
      </c>
      <c r="D159" s="968">
        <v>7</v>
      </c>
      <c r="E159" s="968"/>
      <c r="F159" s="968" t="s">
        <v>1656</v>
      </c>
      <c r="G159" s="1218"/>
      <c r="H159" s="1219">
        <v>2000</v>
      </c>
      <c r="I159" s="1219">
        <v>271250</v>
      </c>
    </row>
    <row r="160" spans="1:11" x14ac:dyDescent="0.3">
      <c r="B160" s="968" t="s">
        <v>1660</v>
      </c>
      <c r="C160" s="968" t="s">
        <v>892</v>
      </c>
      <c r="D160" s="968">
        <v>11</v>
      </c>
      <c r="E160" s="968"/>
      <c r="F160" s="968" t="s">
        <v>1659</v>
      </c>
      <c r="G160" s="1218"/>
      <c r="H160" s="1219">
        <v>2500</v>
      </c>
      <c r="I160" s="1219">
        <v>273750</v>
      </c>
    </row>
    <row r="161" spans="1:9" x14ac:dyDescent="0.3">
      <c r="B161" s="968" t="s">
        <v>1661</v>
      </c>
      <c r="C161" s="968" t="s">
        <v>892</v>
      </c>
      <c r="D161" s="968">
        <v>12</v>
      </c>
      <c r="E161" s="968"/>
      <c r="F161" s="968" t="s">
        <v>1662</v>
      </c>
      <c r="G161" s="1218"/>
      <c r="H161" s="1219">
        <v>25000</v>
      </c>
      <c r="I161" s="1219">
        <v>298750</v>
      </c>
    </row>
    <row r="162" spans="1:9" x14ac:dyDescent="0.3">
      <c r="B162" s="968" t="s">
        <v>1663</v>
      </c>
      <c r="C162" s="968" t="s">
        <v>892</v>
      </c>
      <c r="D162" s="968">
        <v>13</v>
      </c>
      <c r="E162" s="968"/>
      <c r="F162" s="968" t="s">
        <v>1664</v>
      </c>
      <c r="G162" s="1218"/>
      <c r="H162" s="1219">
        <v>2500</v>
      </c>
      <c r="I162" s="1219">
        <v>301250</v>
      </c>
    </row>
    <row r="163" spans="1:9" x14ac:dyDescent="0.3">
      <c r="B163" s="968" t="s">
        <v>1663</v>
      </c>
      <c r="C163" s="968" t="s">
        <v>892</v>
      </c>
      <c r="D163" s="968">
        <v>14</v>
      </c>
      <c r="E163" s="968"/>
      <c r="F163" s="968" t="s">
        <v>1664</v>
      </c>
      <c r="G163" s="1218"/>
      <c r="H163" s="1219">
        <v>2500</v>
      </c>
      <c r="I163" s="1219">
        <v>303750</v>
      </c>
    </row>
    <row r="164" spans="1:9" x14ac:dyDescent="0.3">
      <c r="B164" s="968" t="s">
        <v>1666</v>
      </c>
      <c r="C164" s="968" t="s">
        <v>892</v>
      </c>
      <c r="D164" s="968">
        <v>15</v>
      </c>
      <c r="E164" s="968"/>
      <c r="F164" s="968" t="s">
        <v>1667</v>
      </c>
      <c r="G164" s="1218"/>
      <c r="H164" s="1219">
        <v>2500</v>
      </c>
      <c r="I164" s="1219">
        <v>306250</v>
      </c>
    </row>
    <row r="165" spans="1:9" x14ac:dyDescent="0.3">
      <c r="B165" s="968" t="s">
        <v>1668</v>
      </c>
      <c r="C165" s="968" t="s">
        <v>892</v>
      </c>
      <c r="D165" s="968">
        <v>16</v>
      </c>
      <c r="E165" s="968"/>
      <c r="F165" s="968" t="s">
        <v>1667</v>
      </c>
      <c r="G165" s="1218"/>
      <c r="H165" s="1219">
        <v>2500</v>
      </c>
      <c r="I165" s="1219">
        <v>308750</v>
      </c>
    </row>
    <row r="166" spans="1:9" x14ac:dyDescent="0.3">
      <c r="A166" s="970" t="s">
        <v>1723</v>
      </c>
      <c r="G166" s="1220" t="s">
        <v>1705</v>
      </c>
      <c r="H166" s="1220">
        <v>50000</v>
      </c>
    </row>
    <row r="167" spans="1:9" x14ac:dyDescent="0.3">
      <c r="A167" s="970" t="s">
        <v>1724</v>
      </c>
      <c r="G167" s="1220"/>
      <c r="H167" s="1220">
        <v>50000</v>
      </c>
    </row>
    <row r="168" spans="1:9" x14ac:dyDescent="0.3">
      <c r="A168" s="970" t="s">
        <v>1725</v>
      </c>
    </row>
    <row r="169" spans="1:9" x14ac:dyDescent="0.3">
      <c r="B169" s="968" t="s">
        <v>1359</v>
      </c>
      <c r="I169" s="1219">
        <v>-81604.679999999993</v>
      </c>
    </row>
    <row r="170" spans="1:9" x14ac:dyDescent="0.3">
      <c r="A170" s="970" t="s">
        <v>1726</v>
      </c>
      <c r="G170" s="1220"/>
      <c r="H170" s="1220"/>
    </row>
    <row r="171" spans="1:9" x14ac:dyDescent="0.3">
      <c r="A171" s="970" t="s">
        <v>1727</v>
      </c>
    </row>
    <row r="172" spans="1:9" x14ac:dyDescent="0.3">
      <c r="B172" s="968" t="s">
        <v>1359</v>
      </c>
      <c r="I172" s="1219">
        <v>333.09</v>
      </c>
    </row>
    <row r="173" spans="1:9" x14ac:dyDescent="0.3">
      <c r="B173" s="968" t="s">
        <v>1649</v>
      </c>
      <c r="C173" s="968" t="s">
        <v>892</v>
      </c>
      <c r="D173" s="968">
        <v>3</v>
      </c>
      <c r="E173" s="968"/>
      <c r="F173" s="968" t="s">
        <v>1650</v>
      </c>
      <c r="G173" s="1219">
        <v>25</v>
      </c>
      <c r="H173" s="1218"/>
      <c r="I173" s="1219">
        <v>358.09</v>
      </c>
    </row>
    <row r="174" spans="1:9" x14ac:dyDescent="0.3">
      <c r="B174" s="968" t="s">
        <v>1661</v>
      </c>
      <c r="C174" s="968" t="s">
        <v>892</v>
      </c>
      <c r="D174" s="968">
        <v>12</v>
      </c>
      <c r="E174" s="968"/>
      <c r="F174" s="968" t="s">
        <v>1662</v>
      </c>
      <c r="G174" s="1219">
        <v>17.5</v>
      </c>
      <c r="H174" s="1218"/>
      <c r="I174" s="1219">
        <v>375.59</v>
      </c>
    </row>
    <row r="175" spans="1:9" x14ac:dyDescent="0.3">
      <c r="B175" s="968" t="s">
        <v>1687</v>
      </c>
      <c r="C175" s="968" t="s">
        <v>871</v>
      </c>
      <c r="D175" s="968">
        <v>1305374</v>
      </c>
      <c r="E175" s="968" t="s">
        <v>1646</v>
      </c>
      <c r="F175" s="968" t="s">
        <v>1728</v>
      </c>
      <c r="G175" s="1219">
        <v>25</v>
      </c>
      <c r="H175" s="1218"/>
      <c r="I175" s="1219">
        <v>400.59</v>
      </c>
    </row>
    <row r="176" spans="1:9" x14ac:dyDescent="0.3">
      <c r="A176" s="970" t="s">
        <v>1729</v>
      </c>
      <c r="G176" s="1220">
        <v>67.5</v>
      </c>
      <c r="H176" s="1220"/>
    </row>
    <row r="177" spans="1:9" x14ac:dyDescent="0.3">
      <c r="A177" s="970" t="s">
        <v>1730</v>
      </c>
    </row>
    <row r="178" spans="1:9" x14ac:dyDescent="0.3">
      <c r="A178" s="970" t="s">
        <v>1731</v>
      </c>
    </row>
    <row r="179" spans="1:9" x14ac:dyDescent="0.3">
      <c r="B179" s="968" t="s">
        <v>1719</v>
      </c>
      <c r="I179" s="1221">
        <v>40806.400000000001</v>
      </c>
    </row>
    <row r="180" spans="1:9" x14ac:dyDescent="0.3">
      <c r="B180" s="968" t="s">
        <v>1687</v>
      </c>
      <c r="C180" s="968" t="s">
        <v>871</v>
      </c>
      <c r="D180" s="968">
        <v>1305374</v>
      </c>
      <c r="E180" s="968" t="s">
        <v>1646</v>
      </c>
      <c r="F180" s="968"/>
      <c r="G180" s="1219">
        <v>1663.31</v>
      </c>
      <c r="H180" s="1218"/>
      <c r="I180" s="1219">
        <v>42469.71</v>
      </c>
    </row>
    <row r="181" spans="1:9" x14ac:dyDescent="0.3">
      <c r="B181" s="968" t="s">
        <v>1689</v>
      </c>
      <c r="C181" s="968" t="s">
        <v>871</v>
      </c>
      <c r="D181" s="968">
        <v>1306777</v>
      </c>
      <c r="E181" s="968" t="s">
        <v>1646</v>
      </c>
      <c r="F181" s="968"/>
      <c r="G181" s="1219">
        <v>34799.07</v>
      </c>
      <c r="H181" s="1218"/>
      <c r="I181" s="1219">
        <v>77268.78</v>
      </c>
    </row>
    <row r="182" spans="1:9" x14ac:dyDescent="0.3">
      <c r="B182" s="968" t="s">
        <v>1696</v>
      </c>
      <c r="C182" s="968" t="s">
        <v>871</v>
      </c>
      <c r="D182" s="968">
        <v>1309248</v>
      </c>
      <c r="E182" s="968" t="s">
        <v>1646</v>
      </c>
      <c r="F182" s="968"/>
      <c r="G182" s="1219">
        <v>3540</v>
      </c>
      <c r="H182" s="1218"/>
      <c r="I182" s="1219">
        <v>80808.78</v>
      </c>
    </row>
    <row r="183" spans="1:9" x14ac:dyDescent="0.3">
      <c r="B183" s="968" t="s">
        <v>1696</v>
      </c>
      <c r="C183" s="968" t="s">
        <v>871</v>
      </c>
      <c r="D183" s="968">
        <v>1309248</v>
      </c>
      <c r="E183" s="968" t="s">
        <v>1646</v>
      </c>
      <c r="F183" s="968" t="s">
        <v>1732</v>
      </c>
      <c r="G183" s="1218"/>
      <c r="H183" s="1219">
        <v>3540</v>
      </c>
      <c r="I183" s="1219">
        <v>77268.78</v>
      </c>
    </row>
    <row r="184" spans="1:9" x14ac:dyDescent="0.3">
      <c r="B184" s="968" t="s">
        <v>1699</v>
      </c>
      <c r="C184" s="968" t="s">
        <v>875</v>
      </c>
      <c r="D184" s="968"/>
      <c r="E184" s="968" t="s">
        <v>1646</v>
      </c>
      <c r="F184" s="968"/>
      <c r="G184" s="1218"/>
      <c r="H184" s="1219">
        <v>9942.92</v>
      </c>
      <c r="I184" s="1219">
        <v>67325.86</v>
      </c>
    </row>
    <row r="185" spans="1:9" x14ac:dyDescent="0.3">
      <c r="A185" s="970" t="s">
        <v>1733</v>
      </c>
      <c r="G185" s="1220">
        <v>40002.379999999997</v>
      </c>
      <c r="H185" s="1220">
        <v>13482.92</v>
      </c>
    </row>
    <row r="186" spans="1:9" x14ac:dyDescent="0.3">
      <c r="A186" s="970" t="s">
        <v>1734</v>
      </c>
    </row>
    <row r="187" spans="1:9" x14ac:dyDescent="0.3">
      <c r="B187" s="968" t="s">
        <v>1719</v>
      </c>
      <c r="I187" s="1219">
        <v>1304680</v>
      </c>
    </row>
    <row r="188" spans="1:9" x14ac:dyDescent="0.3">
      <c r="B188" s="968" t="s">
        <v>1676</v>
      </c>
      <c r="C188" s="968" t="s">
        <v>871</v>
      </c>
      <c r="D188" s="968">
        <v>3</v>
      </c>
      <c r="E188" s="968" t="s">
        <v>1648</v>
      </c>
      <c r="F188" s="968"/>
      <c r="G188" s="1219">
        <v>250</v>
      </c>
      <c r="H188" s="1218"/>
      <c r="I188" s="1219">
        <v>1304930</v>
      </c>
    </row>
    <row r="189" spans="1:9" x14ac:dyDescent="0.3">
      <c r="B189" s="968" t="s">
        <v>1677</v>
      </c>
      <c r="C189" s="968" t="s">
        <v>871</v>
      </c>
      <c r="D189" s="968" t="s">
        <v>1678</v>
      </c>
      <c r="E189" s="968" t="s">
        <v>1644</v>
      </c>
      <c r="F189" s="968"/>
      <c r="G189" s="1219">
        <v>1500</v>
      </c>
      <c r="H189" s="1218"/>
      <c r="I189" s="1219">
        <v>1306430</v>
      </c>
    </row>
    <row r="190" spans="1:9" x14ac:dyDescent="0.3">
      <c r="B190" s="968" t="s">
        <v>1679</v>
      </c>
      <c r="C190" s="968" t="s">
        <v>871</v>
      </c>
      <c r="D190" s="968">
        <v>7</v>
      </c>
      <c r="E190" s="968" t="s">
        <v>1648</v>
      </c>
      <c r="F190" s="968"/>
      <c r="G190" s="1219">
        <v>250</v>
      </c>
      <c r="H190" s="1218"/>
      <c r="I190" s="1219">
        <v>1306680</v>
      </c>
    </row>
    <row r="191" spans="1:9" x14ac:dyDescent="0.3">
      <c r="B191" s="968" t="s">
        <v>1681</v>
      </c>
      <c r="C191" s="968" t="s">
        <v>871</v>
      </c>
      <c r="D191" s="968" t="s">
        <v>1682</v>
      </c>
      <c r="E191" s="968" t="s">
        <v>1644</v>
      </c>
      <c r="F191" s="968"/>
      <c r="G191" s="1219">
        <v>750</v>
      </c>
      <c r="H191" s="1218"/>
      <c r="I191" s="1219">
        <v>1307430</v>
      </c>
    </row>
    <row r="192" spans="1:9" x14ac:dyDescent="0.3">
      <c r="B192" s="968" t="s">
        <v>1681</v>
      </c>
      <c r="C192" s="968" t="s">
        <v>871</v>
      </c>
      <c r="D192" s="968">
        <v>11</v>
      </c>
      <c r="E192" s="968" t="s">
        <v>1648</v>
      </c>
      <c r="F192" s="968"/>
      <c r="G192" s="1219">
        <v>250</v>
      </c>
      <c r="H192" s="1218"/>
      <c r="I192" s="1219">
        <v>1307680</v>
      </c>
    </row>
    <row r="193" spans="1:9" x14ac:dyDescent="0.3">
      <c r="B193" s="968" t="s">
        <v>1684</v>
      </c>
      <c r="C193" s="968" t="s">
        <v>871</v>
      </c>
      <c r="D193" s="968" t="s">
        <v>1685</v>
      </c>
      <c r="E193" s="968" t="s">
        <v>1644</v>
      </c>
      <c r="F193" s="968"/>
      <c r="G193" s="1219">
        <v>1500</v>
      </c>
      <c r="H193" s="1218"/>
      <c r="I193" s="1219">
        <v>1309180</v>
      </c>
    </row>
    <row r="194" spans="1:9" x14ac:dyDescent="0.3">
      <c r="B194" s="968" t="s">
        <v>1686</v>
      </c>
      <c r="C194" s="968" t="s">
        <v>871</v>
      </c>
      <c r="D194" s="968">
        <v>16</v>
      </c>
      <c r="E194" s="968" t="s">
        <v>1648</v>
      </c>
      <c r="F194" s="968"/>
      <c r="G194" s="1219">
        <v>1193.5</v>
      </c>
      <c r="H194" s="1218"/>
      <c r="I194" s="1219">
        <v>1310373.5</v>
      </c>
    </row>
    <row r="195" spans="1:9" x14ac:dyDescent="0.3">
      <c r="B195" s="968" t="s">
        <v>1688</v>
      </c>
      <c r="C195" s="968" t="s">
        <v>871</v>
      </c>
      <c r="D195" s="968">
        <v>1002</v>
      </c>
      <c r="E195" s="968" t="s">
        <v>1644</v>
      </c>
      <c r="F195" s="968"/>
      <c r="G195" s="1219">
        <v>1000</v>
      </c>
      <c r="H195" s="1218"/>
      <c r="I195" s="1219">
        <v>1311373.5</v>
      </c>
    </row>
    <row r="196" spans="1:9" x14ac:dyDescent="0.3">
      <c r="B196" s="968" t="s">
        <v>1688</v>
      </c>
      <c r="C196" s="968" t="s">
        <v>871</v>
      </c>
      <c r="D196" s="968">
        <v>21</v>
      </c>
      <c r="E196" s="968" t="s">
        <v>1648</v>
      </c>
      <c r="F196" s="968"/>
      <c r="G196" s="1219">
        <v>250</v>
      </c>
      <c r="H196" s="1218"/>
      <c r="I196" s="1219">
        <v>1311623.5</v>
      </c>
    </row>
    <row r="197" spans="1:9" x14ac:dyDescent="0.3">
      <c r="B197" s="968" t="s">
        <v>1670</v>
      </c>
      <c r="C197" s="968" t="s">
        <v>871</v>
      </c>
      <c r="D197" s="968" t="s">
        <v>1691</v>
      </c>
      <c r="E197" s="968" t="s">
        <v>1412</v>
      </c>
      <c r="F197" s="968" t="s">
        <v>1735</v>
      </c>
      <c r="G197" s="1219">
        <v>10000</v>
      </c>
      <c r="H197" s="1218"/>
      <c r="I197" s="1219">
        <v>1321623.5</v>
      </c>
    </row>
    <row r="198" spans="1:9" x14ac:dyDescent="0.3">
      <c r="B198" s="968" t="s">
        <v>1692</v>
      </c>
      <c r="C198" s="968" t="s">
        <v>871</v>
      </c>
      <c r="D198" s="968">
        <v>74457</v>
      </c>
      <c r="E198" s="968" t="s">
        <v>1693</v>
      </c>
      <c r="F198" s="968"/>
      <c r="G198" s="1219">
        <v>7500</v>
      </c>
      <c r="H198" s="1218"/>
      <c r="I198" s="1219">
        <v>1329123.5</v>
      </c>
    </row>
    <row r="199" spans="1:9" x14ac:dyDescent="0.3">
      <c r="B199" s="968" t="s">
        <v>1697</v>
      </c>
      <c r="C199" s="968" t="s">
        <v>871</v>
      </c>
      <c r="D199" s="968">
        <v>25</v>
      </c>
      <c r="E199" s="968" t="s">
        <v>1648</v>
      </c>
      <c r="F199" s="968"/>
      <c r="G199" s="1219">
        <v>250</v>
      </c>
      <c r="H199" s="1218"/>
      <c r="I199" s="1219">
        <v>1329373.5</v>
      </c>
    </row>
    <row r="200" spans="1:9" x14ac:dyDescent="0.3">
      <c r="B200" s="968" t="s">
        <v>1698</v>
      </c>
      <c r="C200" s="968" t="s">
        <v>871</v>
      </c>
      <c r="D200" s="968">
        <v>1007</v>
      </c>
      <c r="E200" s="968" t="s">
        <v>1644</v>
      </c>
      <c r="F200" s="968"/>
      <c r="G200" s="1219">
        <v>2000</v>
      </c>
      <c r="H200" s="1218"/>
      <c r="I200" s="1219">
        <v>1331373.5</v>
      </c>
    </row>
    <row r="201" spans="1:9" x14ac:dyDescent="0.3">
      <c r="B201" s="968" t="s">
        <v>1699</v>
      </c>
      <c r="C201" s="968" t="s">
        <v>892</v>
      </c>
      <c r="D201" s="968">
        <v>18</v>
      </c>
      <c r="E201" s="968"/>
      <c r="F201" s="968" t="s">
        <v>1703</v>
      </c>
      <c r="G201" s="1219">
        <v>10000</v>
      </c>
      <c r="H201" s="1218"/>
      <c r="I201" s="1219">
        <v>1341373.5</v>
      </c>
    </row>
    <row r="202" spans="1:9" x14ac:dyDescent="0.3">
      <c r="A202" s="970" t="s">
        <v>1736</v>
      </c>
      <c r="G202" s="1220">
        <v>36693.5</v>
      </c>
      <c r="H202" s="1220" t="s">
        <v>1705</v>
      </c>
    </row>
    <row r="203" spans="1:9" x14ac:dyDescent="0.3">
      <c r="A203" s="970" t="s">
        <v>1737</v>
      </c>
      <c r="G203" s="1220">
        <v>76695.88</v>
      </c>
      <c r="H203" s="1220">
        <v>13482.92</v>
      </c>
    </row>
    <row r="204" spans="1:9" x14ac:dyDescent="0.3">
      <c r="A204" s="970" t="s">
        <v>1738</v>
      </c>
    </row>
    <row r="205" spans="1:9" x14ac:dyDescent="0.3">
      <c r="B205" s="968" t="s">
        <v>1675</v>
      </c>
      <c r="C205" s="968" t="s">
        <v>871</v>
      </c>
      <c r="D205" s="968">
        <v>31</v>
      </c>
      <c r="E205" s="968" t="s">
        <v>1642</v>
      </c>
      <c r="F205" s="968"/>
      <c r="G205" s="1219">
        <v>2500</v>
      </c>
      <c r="H205" s="1218"/>
      <c r="I205" s="1219">
        <v>2500</v>
      </c>
    </row>
    <row r="206" spans="1:9" x14ac:dyDescent="0.3">
      <c r="B206" s="968" t="s">
        <v>1680</v>
      </c>
      <c r="C206" s="968" t="s">
        <v>871</v>
      </c>
      <c r="D206" s="968">
        <v>33</v>
      </c>
      <c r="E206" s="968" t="s">
        <v>1642</v>
      </c>
      <c r="F206" s="968"/>
      <c r="G206" s="1219">
        <v>2500</v>
      </c>
      <c r="H206" s="1218"/>
      <c r="I206" s="1219">
        <v>5000</v>
      </c>
    </row>
    <row r="207" spans="1:9" x14ac:dyDescent="0.3">
      <c r="B207" s="968" t="s">
        <v>1683</v>
      </c>
      <c r="C207" s="968" t="s">
        <v>871</v>
      </c>
      <c r="D207" s="968">
        <v>35</v>
      </c>
      <c r="E207" s="968" t="s">
        <v>1642</v>
      </c>
      <c r="F207" s="968"/>
      <c r="G207" s="1219">
        <v>2000</v>
      </c>
      <c r="H207" s="1218"/>
      <c r="I207" s="1219">
        <v>7000</v>
      </c>
    </row>
    <row r="208" spans="1:9" x14ac:dyDescent="0.3">
      <c r="B208" s="968" t="s">
        <v>1655</v>
      </c>
      <c r="C208" s="968" t="s">
        <v>871</v>
      </c>
      <c r="D208" s="968">
        <v>37</v>
      </c>
      <c r="E208" s="968" t="s">
        <v>1642</v>
      </c>
      <c r="F208" s="968"/>
      <c r="G208" s="1219">
        <v>2000</v>
      </c>
      <c r="H208" s="1218"/>
      <c r="I208" s="1219">
        <v>9000</v>
      </c>
    </row>
    <row r="209" spans="1:9" x14ac:dyDescent="0.3">
      <c r="B209" s="968" t="s">
        <v>1690</v>
      </c>
      <c r="C209" s="968" t="s">
        <v>871</v>
      </c>
      <c r="D209" s="968">
        <v>38</v>
      </c>
      <c r="E209" s="968" t="s">
        <v>1642</v>
      </c>
      <c r="F209" s="968"/>
      <c r="G209" s="1219">
        <v>2500</v>
      </c>
      <c r="H209" s="1218"/>
      <c r="I209" s="1219">
        <v>11500</v>
      </c>
    </row>
    <row r="210" spans="1:9" x14ac:dyDescent="0.3">
      <c r="B210" s="968" t="s">
        <v>1694</v>
      </c>
      <c r="C210" s="968" t="s">
        <v>871</v>
      </c>
      <c r="D210" s="968">
        <v>40</v>
      </c>
      <c r="E210" s="968" t="s">
        <v>1642</v>
      </c>
      <c r="F210" s="968"/>
      <c r="G210" s="1219">
        <v>3000</v>
      </c>
      <c r="H210" s="1218"/>
      <c r="I210" s="1219">
        <v>14500</v>
      </c>
    </row>
    <row r="211" spans="1:9" x14ac:dyDescent="0.3">
      <c r="B211" s="968" t="s">
        <v>1699</v>
      </c>
      <c r="C211" s="968" t="s">
        <v>871</v>
      </c>
      <c r="D211" s="968">
        <v>42</v>
      </c>
      <c r="E211" s="968" t="s">
        <v>1642</v>
      </c>
      <c r="F211" s="968"/>
      <c r="G211" s="1219">
        <v>5000</v>
      </c>
      <c r="H211" s="1218"/>
      <c r="I211" s="1219">
        <v>19500</v>
      </c>
    </row>
    <row r="212" spans="1:9" x14ac:dyDescent="0.3">
      <c r="A212" s="970" t="s">
        <v>1739</v>
      </c>
      <c r="G212" s="1220">
        <v>19500</v>
      </c>
      <c r="H212" s="1220"/>
    </row>
    <row r="213" spans="1:9" x14ac:dyDescent="0.3">
      <c r="A213" s="970" t="s">
        <v>27</v>
      </c>
    </row>
    <row r="214" spans="1:9" x14ac:dyDescent="0.3">
      <c r="B214" s="968" t="s">
        <v>1639</v>
      </c>
      <c r="C214" s="968" t="s">
        <v>892</v>
      </c>
      <c r="D214" s="968">
        <v>2</v>
      </c>
      <c r="E214" s="968"/>
      <c r="F214" s="968" t="s">
        <v>1643</v>
      </c>
      <c r="G214" s="1219">
        <v>127.94</v>
      </c>
      <c r="H214" s="1218"/>
      <c r="I214" s="1219">
        <v>127.94</v>
      </c>
    </row>
    <row r="215" spans="1:9" x14ac:dyDescent="0.3">
      <c r="B215" s="968" t="s">
        <v>1694</v>
      </c>
      <c r="C215" s="968" t="s">
        <v>871</v>
      </c>
      <c r="D215" s="968" t="s">
        <v>1695</v>
      </c>
      <c r="E215" s="968" t="s">
        <v>1412</v>
      </c>
      <c r="F215" s="968" t="s">
        <v>1740</v>
      </c>
      <c r="G215" s="1219">
        <v>57.64</v>
      </c>
      <c r="H215" s="1218"/>
      <c r="I215" s="1219">
        <v>185.58</v>
      </c>
    </row>
    <row r="216" spans="1:9" x14ac:dyDescent="0.3">
      <c r="B216" s="968" t="s">
        <v>1694</v>
      </c>
      <c r="C216" s="968" t="s">
        <v>871</v>
      </c>
      <c r="D216" s="968" t="s">
        <v>1695</v>
      </c>
      <c r="E216" s="968" t="s">
        <v>1412</v>
      </c>
      <c r="F216" s="968" t="s">
        <v>1741</v>
      </c>
      <c r="G216" s="1219">
        <v>336.52</v>
      </c>
      <c r="H216" s="1218"/>
      <c r="I216" s="1219">
        <v>522.1</v>
      </c>
    </row>
    <row r="217" spans="1:9" x14ac:dyDescent="0.3">
      <c r="B217" s="968" t="s">
        <v>1694</v>
      </c>
      <c r="C217" s="968" t="s">
        <v>871</v>
      </c>
      <c r="D217" s="968" t="s">
        <v>1695</v>
      </c>
      <c r="E217" s="968" t="s">
        <v>1412</v>
      </c>
      <c r="F217" s="968" t="s">
        <v>1740</v>
      </c>
      <c r="G217" s="1219">
        <v>343.76</v>
      </c>
      <c r="H217" s="1218"/>
      <c r="I217" s="1219">
        <v>865.86</v>
      </c>
    </row>
    <row r="218" spans="1:9" x14ac:dyDescent="0.3">
      <c r="B218" s="968" t="s">
        <v>1694</v>
      </c>
      <c r="C218" s="968" t="s">
        <v>871</v>
      </c>
      <c r="D218" s="968" t="s">
        <v>1695</v>
      </c>
      <c r="E218" s="968" t="s">
        <v>1412</v>
      </c>
      <c r="F218" s="968" t="s">
        <v>1742</v>
      </c>
      <c r="G218" s="1219">
        <v>56.79</v>
      </c>
      <c r="H218" s="1218"/>
      <c r="I218" s="1219">
        <v>922.65</v>
      </c>
    </row>
    <row r="219" spans="1:9" x14ac:dyDescent="0.3">
      <c r="A219" s="970" t="s">
        <v>1743</v>
      </c>
      <c r="G219" s="1220">
        <v>922.65</v>
      </c>
      <c r="H219" s="1220"/>
    </row>
    <row r="220" spans="1:9" x14ac:dyDescent="0.3">
      <c r="A220" s="970" t="s">
        <v>200</v>
      </c>
    </row>
    <row r="221" spans="1:9" x14ac:dyDescent="0.3">
      <c r="B221" s="968" t="s">
        <v>1359</v>
      </c>
      <c r="I221" s="1219">
        <v>9297.11</v>
      </c>
    </row>
    <row r="222" spans="1:9" x14ac:dyDescent="0.3">
      <c r="B222" s="968" t="s">
        <v>1684</v>
      </c>
      <c r="C222" s="968" t="s">
        <v>871</v>
      </c>
      <c r="D222" s="968"/>
      <c r="E222" s="968" t="s">
        <v>1644</v>
      </c>
      <c r="F222" s="968" t="s">
        <v>1744</v>
      </c>
      <c r="G222" s="1219">
        <v>35.31</v>
      </c>
      <c r="H222" s="1218"/>
      <c r="I222" s="1219">
        <v>9332.42</v>
      </c>
    </row>
    <row r="223" spans="1:9" x14ac:dyDescent="0.3">
      <c r="B223" s="968" t="s">
        <v>1694</v>
      </c>
      <c r="C223" s="968" t="s">
        <v>871</v>
      </c>
      <c r="D223" s="968" t="s">
        <v>1695</v>
      </c>
      <c r="E223" s="968" t="s">
        <v>1412</v>
      </c>
      <c r="F223" s="968" t="s">
        <v>1745</v>
      </c>
      <c r="G223" s="1219">
        <v>12.32</v>
      </c>
      <c r="H223" s="1218"/>
      <c r="I223" s="1219">
        <v>9344.74</v>
      </c>
    </row>
    <row r="224" spans="1:9" x14ac:dyDescent="0.3">
      <c r="A224" s="970" t="s">
        <v>1746</v>
      </c>
      <c r="G224" s="1220">
        <v>47.63</v>
      </c>
      <c r="H224" s="1220"/>
    </row>
    <row r="225" spans="1:9" x14ac:dyDescent="0.3">
      <c r="A225" s="970" t="s">
        <v>1747</v>
      </c>
    </row>
    <row r="226" spans="1:9" x14ac:dyDescent="0.3">
      <c r="B226" s="968" t="s">
        <v>1694</v>
      </c>
      <c r="C226" s="968" t="s">
        <v>871</v>
      </c>
      <c r="D226" s="968" t="s">
        <v>1695</v>
      </c>
      <c r="E226" s="968" t="s">
        <v>1412</v>
      </c>
      <c r="F226" s="968" t="s">
        <v>1748</v>
      </c>
      <c r="G226" s="1219">
        <v>2</v>
      </c>
      <c r="H226" s="1218"/>
      <c r="I226" s="1219">
        <v>2</v>
      </c>
    </row>
    <row r="227" spans="1:9" x14ac:dyDescent="0.3">
      <c r="A227" s="970" t="s">
        <v>1749</v>
      </c>
      <c r="G227" s="1220">
        <v>2</v>
      </c>
      <c r="H227" s="1220"/>
    </row>
    <row r="228" spans="1:9" x14ac:dyDescent="0.3">
      <c r="A228" s="970" t="s">
        <v>1750</v>
      </c>
    </row>
    <row r="229" spans="1:9" x14ac:dyDescent="0.3">
      <c r="B229" s="968" t="s">
        <v>1639</v>
      </c>
      <c r="C229" s="968" t="s">
        <v>892</v>
      </c>
      <c r="D229" s="968">
        <v>2</v>
      </c>
      <c r="E229" s="968"/>
      <c r="F229" s="968" t="s">
        <v>1643</v>
      </c>
      <c r="G229" s="1219">
        <v>41.72</v>
      </c>
      <c r="H229" s="1218"/>
      <c r="I229" s="1219">
        <v>41.72</v>
      </c>
    </row>
    <row r="230" spans="1:9" x14ac:dyDescent="0.3">
      <c r="A230" s="970" t="s">
        <v>1751</v>
      </c>
      <c r="G230" s="1220">
        <v>41.72</v>
      </c>
      <c r="H230" s="1220"/>
    </row>
    <row r="231" spans="1:9" x14ac:dyDescent="0.3">
      <c r="A231" s="970" t="s">
        <v>1752</v>
      </c>
    </row>
    <row r="232" spans="1:9" x14ac:dyDescent="0.3">
      <c r="B232" s="968" t="s">
        <v>1699</v>
      </c>
      <c r="C232" s="968" t="s">
        <v>1640</v>
      </c>
      <c r="D232" s="968"/>
      <c r="E232" s="968" t="s">
        <v>1646</v>
      </c>
      <c r="F232" s="968"/>
      <c r="G232" s="1219">
        <v>0</v>
      </c>
      <c r="H232" s="1218"/>
      <c r="I232" s="1218"/>
    </row>
    <row r="233" spans="1:9" x14ac:dyDescent="0.3">
      <c r="A233" s="970" t="s">
        <v>1753</v>
      </c>
      <c r="G233" s="1220">
        <v>0</v>
      </c>
      <c r="H233" s="1220"/>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17CB-E13D-4075-8C9F-75FAFE028A0F}">
  <sheetPr>
    <tabColor theme="4"/>
  </sheetPr>
  <dimension ref="A1:N57"/>
  <sheetViews>
    <sheetView workbookViewId="0"/>
  </sheetViews>
  <sheetFormatPr defaultColWidth="9.109375" defaultRowHeight="14.4" x14ac:dyDescent="0.3"/>
  <cols>
    <col min="1" max="1" width="13.44140625" style="474" customWidth="1"/>
    <col min="2" max="2" width="16.6640625" style="474" bestFit="1" customWidth="1"/>
    <col min="3" max="4" width="9.109375" style="474"/>
    <col min="5" max="5" width="102.33203125" style="474" bestFit="1" customWidth="1"/>
    <col min="6" max="6" width="51.44140625" style="474" bestFit="1" customWidth="1"/>
    <col min="7" max="8" width="15.6640625" style="1222" bestFit="1" customWidth="1"/>
    <col min="9" max="9" width="79.33203125" style="788" bestFit="1" customWidth="1"/>
    <col min="10" max="16384" width="9.109375" style="474"/>
  </cols>
  <sheetData>
    <row r="1" spans="1:14" x14ac:dyDescent="0.3">
      <c r="E1" s="508" t="s">
        <v>1754</v>
      </c>
    </row>
    <row r="3" spans="1:14" ht="15.6" x14ac:dyDescent="0.3">
      <c r="A3" s="1223" t="s">
        <v>865</v>
      </c>
      <c r="B3" s="1223" t="s">
        <v>1755</v>
      </c>
      <c r="C3" s="1223" t="s">
        <v>1756</v>
      </c>
      <c r="D3" s="1223" t="s">
        <v>867</v>
      </c>
      <c r="E3" s="1223" t="s">
        <v>430</v>
      </c>
      <c r="F3" s="1223" t="s">
        <v>894</v>
      </c>
      <c r="G3" s="1224" t="s">
        <v>251</v>
      </c>
      <c r="H3" s="1224" t="s">
        <v>252</v>
      </c>
      <c r="I3" s="788" t="s">
        <v>1789</v>
      </c>
    </row>
    <row r="4" spans="1:14" x14ac:dyDescent="0.3">
      <c r="A4" s="474" t="s">
        <v>1757</v>
      </c>
      <c r="B4" s="474" t="s">
        <v>892</v>
      </c>
      <c r="C4" s="474" t="s">
        <v>1758</v>
      </c>
      <c r="D4" s="474" t="s">
        <v>1759</v>
      </c>
      <c r="E4" s="474" t="s">
        <v>1760</v>
      </c>
      <c r="F4" s="474" t="s">
        <v>1727</v>
      </c>
      <c r="G4" s="1222">
        <v>183.09</v>
      </c>
      <c r="H4" s="1222" t="s">
        <v>1759</v>
      </c>
      <c r="I4" s="788" t="s">
        <v>896</v>
      </c>
    </row>
    <row r="5" spans="1:14" x14ac:dyDescent="0.3">
      <c r="A5" s="474" t="s">
        <v>1757</v>
      </c>
      <c r="B5" s="474" t="s">
        <v>892</v>
      </c>
      <c r="C5" s="474" t="s">
        <v>1758</v>
      </c>
      <c r="D5" s="474" t="s">
        <v>1759</v>
      </c>
      <c r="E5" s="474" t="s">
        <v>1760</v>
      </c>
      <c r="F5" s="474" t="s">
        <v>1761</v>
      </c>
      <c r="G5" s="1222" t="s">
        <v>1759</v>
      </c>
      <c r="H5" s="1222">
        <v>183.09</v>
      </c>
      <c r="I5" s="788" t="s">
        <v>896</v>
      </c>
    </row>
    <row r="7" spans="1:14" x14ac:dyDescent="0.3">
      <c r="A7" s="474" t="s">
        <v>1757</v>
      </c>
      <c r="B7" s="474" t="s">
        <v>892</v>
      </c>
      <c r="C7" s="474" t="s">
        <v>1758</v>
      </c>
      <c r="D7" s="474" t="s">
        <v>1759</v>
      </c>
      <c r="E7" s="474" t="s">
        <v>1762</v>
      </c>
      <c r="F7" s="474" t="s">
        <v>1763</v>
      </c>
      <c r="G7" s="1222">
        <v>7500</v>
      </c>
      <c r="H7" s="1222" t="s">
        <v>1759</v>
      </c>
      <c r="I7" s="788" t="s">
        <v>896</v>
      </c>
    </row>
    <row r="8" spans="1:14" x14ac:dyDescent="0.3">
      <c r="A8" s="474" t="s">
        <v>1757</v>
      </c>
      <c r="B8" s="474" t="s">
        <v>892</v>
      </c>
      <c r="C8" s="474" t="s">
        <v>1758</v>
      </c>
      <c r="D8" s="474" t="s">
        <v>1759</v>
      </c>
      <c r="E8" s="474" t="s">
        <v>1762</v>
      </c>
      <c r="F8" s="474" t="s">
        <v>1761</v>
      </c>
      <c r="G8" s="1222" t="s">
        <v>1759</v>
      </c>
      <c r="H8" s="1222">
        <v>7500</v>
      </c>
      <c r="I8" s="788" t="s">
        <v>896</v>
      </c>
    </row>
    <row r="10" spans="1:14" x14ac:dyDescent="0.3">
      <c r="A10" s="474" t="s">
        <v>1757</v>
      </c>
      <c r="B10" s="474" t="s">
        <v>892</v>
      </c>
      <c r="C10" s="474" t="s">
        <v>1758</v>
      </c>
      <c r="D10" s="474" t="s">
        <v>1759</v>
      </c>
      <c r="E10" s="474" t="s">
        <v>1764</v>
      </c>
      <c r="F10" s="474" t="s">
        <v>1765</v>
      </c>
      <c r="G10" s="1222">
        <v>2694.73</v>
      </c>
      <c r="H10" s="1222" t="s">
        <v>1759</v>
      </c>
      <c r="I10" s="788" t="s">
        <v>1800</v>
      </c>
      <c r="M10" s="1228" t="s">
        <v>1798</v>
      </c>
      <c r="N10" s="1228" t="s">
        <v>1797</v>
      </c>
    </row>
    <row r="11" spans="1:14" x14ac:dyDescent="0.3">
      <c r="A11" s="474" t="s">
        <v>1757</v>
      </c>
      <c r="B11" s="474" t="s">
        <v>892</v>
      </c>
      <c r="C11" s="474" t="s">
        <v>1758</v>
      </c>
      <c r="D11" s="474" t="s">
        <v>1759</v>
      </c>
      <c r="E11" s="474" t="s">
        <v>1764</v>
      </c>
      <c r="F11" s="474" t="s">
        <v>1713</v>
      </c>
      <c r="G11" s="1222">
        <v>172.53</v>
      </c>
      <c r="H11" s="1222" t="s">
        <v>1759</v>
      </c>
      <c r="I11" s="788" t="str">
        <f>I10</f>
        <v>No - flush to Q2 2022</v>
      </c>
      <c r="L11" s="474" t="s">
        <v>1794</v>
      </c>
    </row>
    <row r="12" spans="1:14" x14ac:dyDescent="0.3">
      <c r="A12" s="474" t="s">
        <v>1757</v>
      </c>
      <c r="B12" s="474" t="s">
        <v>892</v>
      </c>
      <c r="C12" s="474" t="s">
        <v>1758</v>
      </c>
      <c r="D12" s="474" t="s">
        <v>1759</v>
      </c>
      <c r="E12" s="474" t="s">
        <v>1764</v>
      </c>
      <c r="F12" s="474" t="s">
        <v>1761</v>
      </c>
      <c r="G12" s="1222" t="s">
        <v>1759</v>
      </c>
      <c r="H12" s="1222">
        <v>2867.26</v>
      </c>
      <c r="I12" s="788" t="str">
        <f>I11</f>
        <v>No - flush to Q2 2022</v>
      </c>
      <c r="L12" s="1022" t="s">
        <v>1793</v>
      </c>
      <c r="M12" s="1022">
        <v>250</v>
      </c>
      <c r="N12" s="1022"/>
    </row>
    <row r="13" spans="1:14" x14ac:dyDescent="0.3">
      <c r="L13" s="474" t="s">
        <v>1792</v>
      </c>
      <c r="M13" s="474">
        <v>100</v>
      </c>
      <c r="N13" s="474">
        <v>100</v>
      </c>
    </row>
    <row r="14" spans="1:14" x14ac:dyDescent="0.3">
      <c r="A14" s="474" t="s">
        <v>1757</v>
      </c>
      <c r="B14" s="474" t="s">
        <v>892</v>
      </c>
      <c r="C14" s="474" t="s">
        <v>1758</v>
      </c>
      <c r="D14" s="474" t="s">
        <v>1759</v>
      </c>
      <c r="E14" s="474" t="s">
        <v>1766</v>
      </c>
      <c r="F14" s="474" t="s">
        <v>1763</v>
      </c>
      <c r="G14" s="1222">
        <v>750</v>
      </c>
      <c r="H14" s="1222" t="s">
        <v>1759</v>
      </c>
      <c r="I14" s="788" t="s">
        <v>1799</v>
      </c>
      <c r="L14" s="474" t="s">
        <v>1795</v>
      </c>
      <c r="M14" s="474">
        <v>100</v>
      </c>
      <c r="N14" s="474">
        <v>100</v>
      </c>
    </row>
    <row r="15" spans="1:14" x14ac:dyDescent="0.3">
      <c r="A15" s="474" t="s">
        <v>1757</v>
      </c>
      <c r="B15" s="474" t="s">
        <v>892</v>
      </c>
      <c r="C15" s="474" t="s">
        <v>1758</v>
      </c>
      <c r="D15" s="474" t="s">
        <v>1759</v>
      </c>
      <c r="E15" s="474" t="s">
        <v>1766</v>
      </c>
      <c r="F15" s="474" t="s">
        <v>1761</v>
      </c>
      <c r="G15" s="1222" t="s">
        <v>1759</v>
      </c>
      <c r="H15" s="1222">
        <v>750</v>
      </c>
      <c r="I15" s="788" t="str">
        <f>I14</f>
        <v>Yes - June inv opening; July - Sept</v>
      </c>
      <c r="L15" s="474" t="s">
        <v>1796</v>
      </c>
      <c r="M15" s="474">
        <v>100</v>
      </c>
      <c r="N15" s="474">
        <v>100</v>
      </c>
    </row>
    <row r="16" spans="1:14" x14ac:dyDescent="0.3">
      <c r="M16" s="1227">
        <f>SUM(M12:M15)</f>
        <v>550</v>
      </c>
      <c r="N16" s="1227">
        <f>SUM(N12:N15)</f>
        <v>300</v>
      </c>
    </row>
    <row r="17" spans="1:9" x14ac:dyDescent="0.3">
      <c r="A17" s="474" t="s">
        <v>1757</v>
      </c>
      <c r="B17" s="474" t="s">
        <v>892</v>
      </c>
      <c r="C17" s="474" t="s">
        <v>1758</v>
      </c>
      <c r="D17" s="474" t="s">
        <v>1759</v>
      </c>
      <c r="E17" s="474" t="s">
        <v>1767</v>
      </c>
      <c r="F17" s="474" t="s">
        <v>1763</v>
      </c>
      <c r="G17" s="1222">
        <v>15000</v>
      </c>
      <c r="H17" s="1222" t="s">
        <v>1759</v>
      </c>
      <c r="I17" s="788" t="s">
        <v>1791</v>
      </c>
    </row>
    <row r="18" spans="1:9" x14ac:dyDescent="0.3">
      <c r="A18" s="474" t="s">
        <v>1757</v>
      </c>
      <c r="B18" s="474" t="s">
        <v>892</v>
      </c>
      <c r="C18" s="474" t="s">
        <v>1758</v>
      </c>
      <c r="D18" s="474" t="s">
        <v>1759</v>
      </c>
      <c r="E18" s="474" t="s">
        <v>1767</v>
      </c>
      <c r="F18" s="474" t="s">
        <v>1761</v>
      </c>
      <c r="G18" s="1222" t="s">
        <v>1759</v>
      </c>
      <c r="H18" s="1222">
        <v>15000</v>
      </c>
      <c r="I18" s="788" t="s">
        <v>1791</v>
      </c>
    </row>
    <row r="20" spans="1:9" x14ac:dyDescent="0.3">
      <c r="A20" s="474" t="s">
        <v>1757</v>
      </c>
      <c r="B20" s="474" t="s">
        <v>892</v>
      </c>
      <c r="C20" s="474" t="s">
        <v>1758</v>
      </c>
      <c r="D20" s="474" t="s">
        <v>1759</v>
      </c>
      <c r="E20" s="474" t="s">
        <v>1768</v>
      </c>
      <c r="F20" s="474" t="s">
        <v>200</v>
      </c>
      <c r="G20" s="1222">
        <v>8586.92</v>
      </c>
      <c r="H20" s="1222" t="s">
        <v>1759</v>
      </c>
      <c r="I20" s="788" t="s">
        <v>1800</v>
      </c>
    </row>
    <row r="21" spans="1:9" x14ac:dyDescent="0.3">
      <c r="A21" s="474" t="s">
        <v>1757</v>
      </c>
      <c r="B21" s="474" t="s">
        <v>892</v>
      </c>
      <c r="C21" s="474" t="s">
        <v>1758</v>
      </c>
      <c r="D21" s="474" t="s">
        <v>1759</v>
      </c>
      <c r="E21" s="474" t="s">
        <v>1768</v>
      </c>
      <c r="F21" s="474" t="s">
        <v>1713</v>
      </c>
      <c r="G21" s="1222">
        <v>429.34</v>
      </c>
      <c r="H21" s="1222" t="s">
        <v>1759</v>
      </c>
      <c r="I21" s="788" t="str">
        <f>I20</f>
        <v>No - flush to Q2 2022</v>
      </c>
    </row>
    <row r="22" spans="1:9" x14ac:dyDescent="0.3">
      <c r="A22" s="474" t="s">
        <v>1757</v>
      </c>
      <c r="B22" s="474" t="s">
        <v>892</v>
      </c>
      <c r="C22" s="474" t="s">
        <v>1758</v>
      </c>
      <c r="D22" s="474" t="s">
        <v>1759</v>
      </c>
      <c r="E22" s="474" t="s">
        <v>1768</v>
      </c>
      <c r="F22" s="474" t="s">
        <v>1761</v>
      </c>
      <c r="G22" s="1222" t="s">
        <v>1759</v>
      </c>
      <c r="H22" s="1222">
        <v>9016.26</v>
      </c>
    </row>
    <row r="24" spans="1:9" x14ac:dyDescent="0.3">
      <c r="A24" s="474" t="s">
        <v>1757</v>
      </c>
      <c r="B24" s="474" t="s">
        <v>892</v>
      </c>
      <c r="C24" s="474" t="s">
        <v>1758</v>
      </c>
      <c r="D24" s="474" t="s">
        <v>1759</v>
      </c>
      <c r="E24" s="474" t="s">
        <v>1769</v>
      </c>
      <c r="F24" s="474" t="s">
        <v>1761</v>
      </c>
      <c r="G24" s="1222">
        <v>258750</v>
      </c>
      <c r="H24" s="1222" t="s">
        <v>1759</v>
      </c>
      <c r="I24" s="788" t="s">
        <v>1790</v>
      </c>
    </row>
    <row r="25" spans="1:9" x14ac:dyDescent="0.3">
      <c r="A25" s="474" t="s">
        <v>1757</v>
      </c>
      <c r="B25" s="474" t="s">
        <v>892</v>
      </c>
      <c r="C25" s="474" t="s">
        <v>1758</v>
      </c>
      <c r="D25" s="474" t="s">
        <v>1759</v>
      </c>
      <c r="E25" s="474" t="s">
        <v>1769</v>
      </c>
      <c r="F25" s="474" t="s">
        <v>1770</v>
      </c>
      <c r="G25" s="1222" t="s">
        <v>1759</v>
      </c>
      <c r="H25" s="1222">
        <v>258750</v>
      </c>
      <c r="I25" s="788" t="s">
        <v>1790</v>
      </c>
    </row>
    <row r="27" spans="1:9" x14ac:dyDescent="0.3">
      <c r="A27" s="474" t="s">
        <v>1757</v>
      </c>
      <c r="B27" s="474" t="s">
        <v>892</v>
      </c>
      <c r="C27" s="474" t="s">
        <v>1758</v>
      </c>
      <c r="D27" s="474" t="s">
        <v>1759</v>
      </c>
      <c r="E27" s="474" t="s">
        <v>1771</v>
      </c>
      <c r="F27" s="474" t="s">
        <v>1715</v>
      </c>
      <c r="G27" s="1222">
        <v>520000</v>
      </c>
      <c r="H27" s="1222" t="s">
        <v>1759</v>
      </c>
      <c r="I27" s="788" t="s">
        <v>1790</v>
      </c>
    </row>
    <row r="28" spans="1:9" x14ac:dyDescent="0.3">
      <c r="A28" s="474" t="s">
        <v>1757</v>
      </c>
      <c r="B28" s="474" t="s">
        <v>892</v>
      </c>
      <c r="C28" s="474" t="s">
        <v>1758</v>
      </c>
      <c r="D28" s="474" t="s">
        <v>1759</v>
      </c>
      <c r="E28" s="474" t="s">
        <v>1771</v>
      </c>
      <c r="F28" s="474" t="s">
        <v>1772</v>
      </c>
      <c r="G28" s="1222" t="s">
        <v>1759</v>
      </c>
      <c r="H28" s="1222">
        <v>520000</v>
      </c>
      <c r="I28" s="788" t="s">
        <v>1790</v>
      </c>
    </row>
    <row r="30" spans="1:9" x14ac:dyDescent="0.3">
      <c r="A30" s="1225" t="s">
        <v>1757</v>
      </c>
      <c r="B30" s="1225" t="s">
        <v>892</v>
      </c>
      <c r="C30" s="1225" t="s">
        <v>1758</v>
      </c>
      <c r="D30" s="1225" t="s">
        <v>1759</v>
      </c>
      <c r="E30" s="1225" t="s">
        <v>1773</v>
      </c>
      <c r="F30" s="1225" t="s">
        <v>1774</v>
      </c>
      <c r="G30" s="1226">
        <v>10495.5</v>
      </c>
      <c r="H30" s="1226" t="s">
        <v>1759</v>
      </c>
      <c r="I30" s="788" t="s">
        <v>1806</v>
      </c>
    </row>
    <row r="31" spans="1:9" x14ac:dyDescent="0.3">
      <c r="A31" s="1225" t="s">
        <v>1757</v>
      </c>
      <c r="B31" s="1225" t="s">
        <v>892</v>
      </c>
      <c r="C31" s="1225" t="s">
        <v>1758</v>
      </c>
      <c r="D31" s="1225" t="s">
        <v>1759</v>
      </c>
      <c r="E31" s="1225" t="s">
        <v>1773</v>
      </c>
      <c r="F31" s="1225" t="s">
        <v>1775</v>
      </c>
      <c r="G31" s="1226" t="s">
        <v>1759</v>
      </c>
      <c r="H31" s="1226">
        <v>10495.5</v>
      </c>
      <c r="I31" s="788" t="str">
        <f>I30</f>
        <v>Yes - Sept 6 EFT to Upcapital</v>
      </c>
    </row>
    <row r="33" spans="1:9" x14ac:dyDescent="0.3">
      <c r="A33" s="474" t="s">
        <v>1757</v>
      </c>
      <c r="B33" s="474" t="s">
        <v>892</v>
      </c>
      <c r="C33" s="474" t="s">
        <v>1758</v>
      </c>
      <c r="D33" s="474" t="s">
        <v>1759</v>
      </c>
      <c r="E33" s="474" t="s">
        <v>1776</v>
      </c>
      <c r="F33" s="474" t="s">
        <v>1763</v>
      </c>
      <c r="G33" s="1222">
        <v>1258080</v>
      </c>
      <c r="H33" s="1222" t="s">
        <v>1759</v>
      </c>
      <c r="I33" s="788" t="s">
        <v>1801</v>
      </c>
    </row>
    <row r="34" spans="1:9" x14ac:dyDescent="0.3">
      <c r="A34" s="474" t="s">
        <v>1757</v>
      </c>
      <c r="B34" s="474" t="s">
        <v>892</v>
      </c>
      <c r="C34" s="474" t="s">
        <v>1758</v>
      </c>
      <c r="D34" s="474" t="s">
        <v>1759</v>
      </c>
      <c r="E34" s="474" t="s">
        <v>1776</v>
      </c>
      <c r="F34" s="474" t="s">
        <v>1777</v>
      </c>
      <c r="G34" s="1222" t="s">
        <v>1759</v>
      </c>
      <c r="H34" s="1222">
        <v>1258080</v>
      </c>
      <c r="I34" s="788" t="str">
        <f>I33</f>
        <v>No - Dec share settlement</v>
      </c>
    </row>
    <row r="36" spans="1:9" x14ac:dyDescent="0.3">
      <c r="A36" s="474" t="s">
        <v>1757</v>
      </c>
      <c r="B36" s="474" t="s">
        <v>892</v>
      </c>
      <c r="C36" s="474" t="s">
        <v>1758</v>
      </c>
      <c r="D36" s="474" t="s">
        <v>1759</v>
      </c>
      <c r="E36" s="474" t="s">
        <v>1778</v>
      </c>
      <c r="F36" s="474" t="s">
        <v>1761</v>
      </c>
      <c r="G36" s="1222">
        <v>380.1</v>
      </c>
      <c r="H36" s="1222" t="s">
        <v>1759</v>
      </c>
      <c r="I36" s="788" t="s">
        <v>1803</v>
      </c>
    </row>
    <row r="37" spans="1:9" x14ac:dyDescent="0.3">
      <c r="A37" s="474" t="s">
        <v>1757</v>
      </c>
      <c r="B37" s="474" t="s">
        <v>892</v>
      </c>
      <c r="C37" s="474" t="s">
        <v>1758</v>
      </c>
      <c r="D37" s="474" t="s">
        <v>1759</v>
      </c>
      <c r="E37" s="474" t="s">
        <v>1778</v>
      </c>
      <c r="F37" s="474" t="s">
        <v>1713</v>
      </c>
      <c r="G37" s="1222" t="s">
        <v>1759</v>
      </c>
      <c r="H37" s="1222">
        <v>380.1</v>
      </c>
      <c r="I37" s="788" t="str">
        <f>I36</f>
        <v>No - Q2 expense</v>
      </c>
    </row>
    <row r="39" spans="1:9" x14ac:dyDescent="0.3">
      <c r="A39" s="474" t="s">
        <v>1757</v>
      </c>
      <c r="B39" s="474" t="s">
        <v>892</v>
      </c>
      <c r="C39" s="474" t="s">
        <v>1758</v>
      </c>
      <c r="D39" s="474" t="s">
        <v>1759</v>
      </c>
      <c r="E39" s="474" t="s">
        <v>1779</v>
      </c>
      <c r="F39" s="474" t="s">
        <v>1763</v>
      </c>
      <c r="G39" s="1222">
        <v>15000</v>
      </c>
      <c r="H39" s="1222" t="s">
        <v>1759</v>
      </c>
      <c r="I39" s="788" t="s">
        <v>1803</v>
      </c>
    </row>
    <row r="40" spans="1:9" x14ac:dyDescent="0.3">
      <c r="A40" s="474" t="s">
        <v>1757</v>
      </c>
      <c r="B40" s="474" t="s">
        <v>892</v>
      </c>
      <c r="C40" s="474" t="s">
        <v>1758</v>
      </c>
      <c r="D40" s="474" t="s">
        <v>1759</v>
      </c>
      <c r="E40" s="474" t="s">
        <v>1779</v>
      </c>
      <c r="F40" s="474" t="s">
        <v>1761</v>
      </c>
      <c r="G40" s="1222" t="s">
        <v>1759</v>
      </c>
      <c r="H40" s="1222">
        <v>15000</v>
      </c>
      <c r="I40" s="788" t="str">
        <f>I39</f>
        <v>No - Q2 expense</v>
      </c>
    </row>
    <row r="42" spans="1:9" x14ac:dyDescent="0.3">
      <c r="A42" s="474" t="s">
        <v>1757</v>
      </c>
      <c r="B42" s="474" t="s">
        <v>892</v>
      </c>
      <c r="C42" s="474" t="s">
        <v>1758</v>
      </c>
      <c r="D42" s="474" t="s">
        <v>1759</v>
      </c>
      <c r="E42" s="474" t="s">
        <v>1780</v>
      </c>
      <c r="F42" s="474" t="s">
        <v>1761</v>
      </c>
      <c r="G42" s="1222">
        <v>606.89</v>
      </c>
      <c r="H42" s="1222" t="s">
        <v>1759</v>
      </c>
      <c r="I42" s="788" t="s">
        <v>1800</v>
      </c>
    </row>
    <row r="43" spans="1:9" x14ac:dyDescent="0.3">
      <c r="A43" s="474" t="s">
        <v>1757</v>
      </c>
      <c r="B43" s="474" t="s">
        <v>892</v>
      </c>
      <c r="C43" s="474" t="s">
        <v>1758</v>
      </c>
      <c r="D43" s="474" t="s">
        <v>1759</v>
      </c>
      <c r="E43" s="474" t="s">
        <v>1781</v>
      </c>
      <c r="F43" s="474" t="s">
        <v>1761</v>
      </c>
      <c r="G43" s="1222">
        <v>719.89</v>
      </c>
      <c r="H43" s="1222" t="s">
        <v>1759</v>
      </c>
      <c r="I43" s="788" t="s">
        <v>1800</v>
      </c>
    </row>
    <row r="44" spans="1:9" x14ac:dyDescent="0.3">
      <c r="A44" s="474" t="s">
        <v>1757</v>
      </c>
      <c r="B44" s="474" t="s">
        <v>892</v>
      </c>
      <c r="C44" s="474" t="s">
        <v>1758</v>
      </c>
      <c r="D44" s="474" t="s">
        <v>1759</v>
      </c>
      <c r="E44" s="474" t="s">
        <v>1781</v>
      </c>
      <c r="F44" s="474" t="s">
        <v>1774</v>
      </c>
      <c r="G44" s="1222" t="s">
        <v>1759</v>
      </c>
      <c r="H44" s="1222">
        <v>719.89</v>
      </c>
      <c r="I44" s="788" t="s">
        <v>1800</v>
      </c>
    </row>
    <row r="45" spans="1:9" x14ac:dyDescent="0.3">
      <c r="A45" s="474" t="s">
        <v>1757</v>
      </c>
      <c r="B45" s="474" t="s">
        <v>892</v>
      </c>
      <c r="C45" s="474" t="s">
        <v>1758</v>
      </c>
      <c r="D45" s="474" t="s">
        <v>1759</v>
      </c>
      <c r="E45" s="474" t="s">
        <v>1780</v>
      </c>
      <c r="F45" s="474" t="s">
        <v>1774</v>
      </c>
      <c r="G45" s="1222" t="s">
        <v>1759</v>
      </c>
      <c r="H45" s="1222">
        <v>606.89</v>
      </c>
      <c r="I45" s="788" t="s">
        <v>1800</v>
      </c>
    </row>
    <row r="47" spans="1:9" x14ac:dyDescent="0.3">
      <c r="A47" s="474" t="s">
        <v>1757</v>
      </c>
      <c r="B47" s="474" t="s">
        <v>892</v>
      </c>
      <c r="C47" s="474" t="s">
        <v>1758</v>
      </c>
      <c r="D47" s="474" t="s">
        <v>1759</v>
      </c>
      <c r="E47" s="474" t="s">
        <v>1782</v>
      </c>
      <c r="F47" s="474" t="s">
        <v>1763</v>
      </c>
      <c r="G47" s="1222">
        <v>5850</v>
      </c>
      <c r="H47" s="1222" t="s">
        <v>1759</v>
      </c>
      <c r="I47" s="788" t="s">
        <v>1802</v>
      </c>
    </row>
    <row r="48" spans="1:9" x14ac:dyDescent="0.3">
      <c r="A48" s="474" t="s">
        <v>1757</v>
      </c>
      <c r="B48" s="474" t="s">
        <v>892</v>
      </c>
      <c r="C48" s="474" t="s">
        <v>1758</v>
      </c>
      <c r="D48" s="474" t="s">
        <v>1759</v>
      </c>
      <c r="E48" s="474" t="s">
        <v>1782</v>
      </c>
      <c r="F48" s="474" t="s">
        <v>1783</v>
      </c>
      <c r="G48" s="1222" t="s">
        <v>1759</v>
      </c>
      <c r="H48" s="1222">
        <v>600</v>
      </c>
      <c r="I48" s="788" t="str">
        <f>I47</f>
        <v>No - reclass</v>
      </c>
    </row>
    <row r="49" spans="1:9" x14ac:dyDescent="0.3">
      <c r="A49" s="474" t="s">
        <v>1757</v>
      </c>
      <c r="B49" s="474" t="s">
        <v>892</v>
      </c>
      <c r="C49" s="474" t="s">
        <v>1758</v>
      </c>
      <c r="D49" s="474" t="s">
        <v>1759</v>
      </c>
      <c r="E49" s="474" t="s">
        <v>1782</v>
      </c>
      <c r="F49" s="474" t="s">
        <v>1784</v>
      </c>
      <c r="G49" s="1222" t="s">
        <v>1759</v>
      </c>
      <c r="H49" s="1222">
        <v>5250</v>
      </c>
      <c r="I49" s="788" t="str">
        <f>I48</f>
        <v>No - reclass</v>
      </c>
    </row>
    <row r="51" spans="1:9" x14ac:dyDescent="0.3">
      <c r="A51" s="474" t="s">
        <v>1757</v>
      </c>
      <c r="B51" s="474" t="s">
        <v>892</v>
      </c>
      <c r="C51" s="474" t="s">
        <v>1758</v>
      </c>
      <c r="D51" s="474" t="s">
        <v>1759</v>
      </c>
      <c r="E51" s="474" t="s">
        <v>1785</v>
      </c>
      <c r="F51" s="474" t="s">
        <v>1765</v>
      </c>
      <c r="G51" s="1222">
        <v>24064.86</v>
      </c>
      <c r="H51" s="1222" t="s">
        <v>1759</v>
      </c>
      <c r="I51" s="788" t="s">
        <v>1800</v>
      </c>
    </row>
    <row r="52" spans="1:9" x14ac:dyDescent="0.3">
      <c r="A52" s="474" t="s">
        <v>1757</v>
      </c>
      <c r="B52" s="474" t="s">
        <v>892</v>
      </c>
      <c r="C52" s="474" t="s">
        <v>1758</v>
      </c>
      <c r="D52" s="474" t="s">
        <v>1759</v>
      </c>
      <c r="E52" s="474" t="s">
        <v>1785</v>
      </c>
      <c r="F52" s="474" t="s">
        <v>1763</v>
      </c>
      <c r="G52" s="1222">
        <v>2500</v>
      </c>
      <c r="H52" s="1222" t="s">
        <v>1759</v>
      </c>
      <c r="I52" s="788" t="s">
        <v>1800</v>
      </c>
    </row>
    <row r="53" spans="1:9" x14ac:dyDescent="0.3">
      <c r="A53" s="474" t="s">
        <v>1757</v>
      </c>
      <c r="B53" s="474" t="s">
        <v>892</v>
      </c>
      <c r="C53" s="474" t="s">
        <v>1758</v>
      </c>
      <c r="D53" s="474" t="s">
        <v>1759</v>
      </c>
      <c r="E53" s="474" t="s">
        <v>1785</v>
      </c>
      <c r="F53" s="474" t="s">
        <v>1786</v>
      </c>
      <c r="G53" s="1222">
        <v>710.19</v>
      </c>
      <c r="I53" s="788" t="s">
        <v>1800</v>
      </c>
    </row>
    <row r="54" spans="1:9" x14ac:dyDescent="0.3">
      <c r="A54" s="474" t="s">
        <v>1757</v>
      </c>
      <c r="B54" s="474" t="s">
        <v>892</v>
      </c>
      <c r="C54" s="474" t="s">
        <v>1758</v>
      </c>
      <c r="D54" s="474" t="s">
        <v>1759</v>
      </c>
      <c r="E54" s="474" t="s">
        <v>1785</v>
      </c>
      <c r="F54" s="474" t="s">
        <v>1775</v>
      </c>
      <c r="G54" s="1222" t="s">
        <v>1759</v>
      </c>
      <c r="H54" s="1222">
        <f>26564.86+710.19</f>
        <v>27275.05</v>
      </c>
      <c r="I54" s="788" t="s">
        <v>1800</v>
      </c>
    </row>
    <row r="56" spans="1:9" x14ac:dyDescent="0.3">
      <c r="A56" s="474" t="s">
        <v>1699</v>
      </c>
      <c r="B56" s="474" t="s">
        <v>892</v>
      </c>
      <c r="C56" s="474" t="s">
        <v>1758</v>
      </c>
      <c r="D56" s="474" t="s">
        <v>1759</v>
      </c>
      <c r="E56" s="474" t="s">
        <v>1787</v>
      </c>
      <c r="F56" s="474" t="s">
        <v>1763</v>
      </c>
      <c r="G56" s="1222">
        <v>10000</v>
      </c>
      <c r="H56" s="1222" t="s">
        <v>1759</v>
      </c>
      <c r="I56" s="788" t="s">
        <v>1807</v>
      </c>
    </row>
    <row r="57" spans="1:9" x14ac:dyDescent="0.3">
      <c r="A57" s="474" t="s">
        <v>1699</v>
      </c>
      <c r="B57" s="474" t="s">
        <v>892</v>
      </c>
      <c r="C57" s="474" t="s">
        <v>1758</v>
      </c>
      <c r="D57" s="474" t="s">
        <v>1759</v>
      </c>
      <c r="E57" s="474" t="s">
        <v>1787</v>
      </c>
      <c r="F57" s="474" t="s">
        <v>1788</v>
      </c>
      <c r="G57" s="1222" t="s">
        <v>1759</v>
      </c>
      <c r="H57" s="1222">
        <v>10000</v>
      </c>
      <c r="I57" s="788" t="str">
        <f>I56</f>
        <v>No - thwas a Q2 expense; DMCL audit in Dec 2022</v>
      </c>
    </row>
  </sheetData>
  <autoFilter ref="A3:H57" xr:uid="{B9F999A1-A474-432F-BE36-87C542FF9EF6}"/>
  <phoneticPr fontId="42" type="noConversion"/>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B7C0-68B6-4F61-8887-E0F3A96BD2AA}">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1FBDC-FD3F-426B-BED6-48E93AB74F57}">
  <sheetPr>
    <tabColor rgb="FF00FF99"/>
  </sheetPr>
  <dimension ref="A1:V185"/>
  <sheetViews>
    <sheetView workbookViewId="0"/>
  </sheetViews>
  <sheetFormatPr defaultRowHeight="14.4" outlineLevelCol="1" x14ac:dyDescent="0.3"/>
  <cols>
    <col min="1" max="1" width="56.33203125" style="163" bestFit="1" customWidth="1"/>
    <col min="2" max="2" width="5.5546875" customWidth="1"/>
    <col min="3" max="3" width="15.88671875" customWidth="1" outlineLevel="1"/>
    <col min="4" max="4" width="15.6640625" customWidth="1" outlineLevel="1"/>
    <col min="5" max="5" width="3" customWidth="1" outlineLevel="1"/>
    <col min="6" max="6" width="18.88671875" customWidth="1" outlineLevel="1"/>
    <col min="7" max="7" width="3.33203125" customWidth="1"/>
    <col min="8" max="8" width="2.5546875" style="484" customWidth="1"/>
    <col min="9" max="9" width="21" bestFit="1" customWidth="1"/>
    <col min="10" max="10" width="13.33203125" customWidth="1"/>
    <col min="11" max="11" width="39.21875" customWidth="1"/>
    <col min="12" max="12" width="46.88671875" bestFit="1" customWidth="1"/>
    <col min="13" max="13" width="18.6640625" bestFit="1" customWidth="1"/>
    <col min="14" max="14" width="20.44140625" style="159" customWidth="1"/>
    <col min="15" max="15" width="7.44140625" style="484" customWidth="1"/>
    <col min="17" max="17" width="14.6640625" bestFit="1" customWidth="1"/>
    <col min="18" max="18" width="10.109375" customWidth="1"/>
    <col min="19" max="19" width="35.44140625" bestFit="1" customWidth="1"/>
    <col min="20" max="20" width="56.77734375" customWidth="1"/>
    <col min="21" max="21" width="17" customWidth="1"/>
    <col min="22" max="22" width="21" customWidth="1"/>
  </cols>
  <sheetData>
    <row r="1" spans="1:22" x14ac:dyDescent="0.3">
      <c r="A1" s="161" t="s">
        <v>257</v>
      </c>
      <c r="C1" s="173" t="s">
        <v>254</v>
      </c>
      <c r="D1" s="173" t="s">
        <v>255</v>
      </c>
      <c r="I1" s="208"/>
      <c r="K1" s="713" t="s">
        <v>638</v>
      </c>
    </row>
    <row r="2" spans="1:22" x14ac:dyDescent="0.3">
      <c r="A2" s="209" t="s">
        <v>640</v>
      </c>
      <c r="C2" s="714">
        <f>SUM(C6:C184)</f>
        <v>0</v>
      </c>
      <c r="D2" s="714">
        <f>SUM(D6:D184)</f>
        <v>0</v>
      </c>
      <c r="F2" s="714">
        <f>SUM(F6:F184)</f>
        <v>0</v>
      </c>
      <c r="K2" s="713" t="s">
        <v>639</v>
      </c>
      <c r="L2" s="209" t="s">
        <v>393</v>
      </c>
      <c r="M2" s="489">
        <f>SUM(M6:M185)</f>
        <v>0</v>
      </c>
      <c r="N2" s="721"/>
    </row>
    <row r="3" spans="1:22" x14ac:dyDescent="0.3">
      <c r="A3" s="715">
        <f>currentperiod_end_date</f>
        <v>45838</v>
      </c>
      <c r="C3" s="1596" t="str">
        <f>K1</f>
        <v>Hallor Group</v>
      </c>
      <c r="D3" s="1596" t="str">
        <f>K2</f>
        <v>Hallor Industries</v>
      </c>
      <c r="F3" s="777"/>
    </row>
    <row r="4" spans="1:22" x14ac:dyDescent="0.3">
      <c r="A4" s="161" t="s">
        <v>215</v>
      </c>
      <c r="C4" s="1596"/>
      <c r="D4" s="1596"/>
      <c r="F4" s="777" t="s">
        <v>256</v>
      </c>
    </row>
    <row r="5" spans="1:22" x14ac:dyDescent="0.3">
      <c r="A5" s="161"/>
      <c r="C5" s="174" t="s">
        <v>258</v>
      </c>
      <c r="D5" s="174" t="s">
        <v>258</v>
      </c>
      <c r="F5" s="172"/>
      <c r="I5" s="494" t="s">
        <v>394</v>
      </c>
      <c r="J5" s="522" t="s">
        <v>258</v>
      </c>
      <c r="K5" s="486" t="s">
        <v>389</v>
      </c>
      <c r="L5" s="485" t="s">
        <v>390</v>
      </c>
      <c r="M5" s="487" t="s">
        <v>391</v>
      </c>
      <c r="N5" s="722" t="s">
        <v>637</v>
      </c>
    </row>
    <row r="6" spans="1:22" x14ac:dyDescent="0.3">
      <c r="A6" s="163" t="str">
        <f>COA!B4</f>
        <v>0001 Bank suspense</v>
      </c>
      <c r="C6" s="166">
        <f t="shared" ref="C6:C37" si="0">SUMIFS(M:M,K:K,A6,N:N,$C$3)</f>
        <v>0</v>
      </c>
      <c r="D6" s="166">
        <f t="shared" ref="D6:D37" si="1">SUMIFS(M:M,K:K,A6,N:N,$D$3)</f>
        <v>0</v>
      </c>
      <c r="E6" s="167"/>
      <c r="F6" s="168">
        <f>SUM(C6:E6)</f>
        <v>0</v>
      </c>
      <c r="I6" s="490" t="s">
        <v>711</v>
      </c>
      <c r="J6" s="495" t="str">
        <f t="shared" ref="J6:J22" si="2">IF(M6&gt;0,"DR",IF(M6&lt;0,"CR",""))</f>
        <v/>
      </c>
      <c r="K6" s="491" t="s">
        <v>687</v>
      </c>
      <c r="L6" s="492" t="str">
        <f>'Asset Acquisition'!G25</f>
        <v>To record acquisition of Hallor Industries</v>
      </c>
      <c r="M6" s="493">
        <f>'Asset Acquisition'!H26*0</f>
        <v>0</v>
      </c>
      <c r="N6" s="723" t="s">
        <v>638</v>
      </c>
    </row>
    <row r="7" spans="1:22" x14ac:dyDescent="0.3">
      <c r="A7" s="163" t="str">
        <f>COA!B5</f>
        <v>1000 Chequing - 5002829</v>
      </c>
      <c r="C7" s="166">
        <f t="shared" si="0"/>
        <v>0</v>
      </c>
      <c r="D7" s="166">
        <f t="shared" si="1"/>
        <v>0</v>
      </c>
      <c r="E7" s="167"/>
      <c r="F7" s="168">
        <f t="shared" ref="F7:F71" si="3">SUM(C7:E7)</f>
        <v>0</v>
      </c>
      <c r="I7" s="494" t="s">
        <v>711</v>
      </c>
      <c r="J7" s="519" t="str">
        <f>IF(M7&gt;0,"DR",IF(M7&lt;0,"CR",""))</f>
        <v/>
      </c>
      <c r="K7" s="711" t="s">
        <v>325</v>
      </c>
      <c r="L7" s="960" t="str">
        <f>L6</f>
        <v>To record acquisition of Hallor Industries</v>
      </c>
      <c r="M7" s="712">
        <f>-M6</f>
        <v>0</v>
      </c>
      <c r="N7" s="961" t="s">
        <v>638</v>
      </c>
    </row>
    <row r="8" spans="1:22" x14ac:dyDescent="0.3">
      <c r="A8" s="163" t="str">
        <f>COA!B6</f>
        <v>1000 Undeposited Funds</v>
      </c>
      <c r="C8" s="166">
        <f t="shared" si="0"/>
        <v>0</v>
      </c>
      <c r="D8" s="166">
        <f t="shared" si="1"/>
        <v>0</v>
      </c>
      <c r="E8" s="167"/>
      <c r="F8" s="168">
        <f t="shared" si="3"/>
        <v>0</v>
      </c>
    </row>
    <row r="9" spans="1:22" x14ac:dyDescent="0.3">
      <c r="A9" s="163" t="str">
        <f>COA!B7</f>
        <v>1001 Petty Cash</v>
      </c>
      <c r="C9" s="166">
        <f t="shared" si="0"/>
        <v>0</v>
      </c>
      <c r="D9" s="166">
        <f t="shared" si="1"/>
        <v>0</v>
      </c>
      <c r="E9" s="167"/>
      <c r="F9" s="168">
        <f t="shared" si="3"/>
        <v>0</v>
      </c>
      <c r="J9" s="495" t="str">
        <f t="shared" ref="J9:J18" si="4">IF(M9&gt;0,"DR",IF(M9&lt;0,"CR",""))</f>
        <v/>
      </c>
      <c r="K9" s="491"/>
      <c r="L9" s="492"/>
      <c r="M9" s="493"/>
      <c r="N9" s="723"/>
    </row>
    <row r="10" spans="1:22" x14ac:dyDescent="0.3">
      <c r="A10" s="163" t="str">
        <f>COA!B8</f>
        <v>1002 TD - Chequing 1869</v>
      </c>
      <c r="C10" s="166">
        <f t="shared" si="0"/>
        <v>0</v>
      </c>
      <c r="D10" s="166">
        <f t="shared" si="1"/>
        <v>0</v>
      </c>
      <c r="E10" s="167"/>
      <c r="F10" s="168">
        <f t="shared" si="3"/>
        <v>0</v>
      </c>
      <c r="I10" s="490" t="s">
        <v>711</v>
      </c>
      <c r="J10" s="495" t="str">
        <f t="shared" si="4"/>
        <v/>
      </c>
      <c r="K10" s="491" t="s">
        <v>733</v>
      </c>
      <c r="L10" s="492" t="str">
        <f>'Asset Acquisition'!G29</f>
        <v>To record Finders Fee - 900,000 common shares</v>
      </c>
      <c r="M10" s="493">
        <f>'Asset Acquisition'!H30*0</f>
        <v>0</v>
      </c>
      <c r="N10" s="723" t="s">
        <v>638</v>
      </c>
    </row>
    <row r="11" spans="1:22" x14ac:dyDescent="0.3">
      <c r="A11" s="163" t="str">
        <f>COA!B9</f>
        <v>1003 TD - Savings 2407</v>
      </c>
      <c r="C11" s="166">
        <f t="shared" si="0"/>
        <v>0</v>
      </c>
      <c r="D11" s="166">
        <f t="shared" si="1"/>
        <v>0</v>
      </c>
      <c r="E11" s="167"/>
      <c r="F11" s="168">
        <f t="shared" si="3"/>
        <v>0</v>
      </c>
      <c r="I11" s="494" t="s">
        <v>711</v>
      </c>
      <c r="J11" s="519" t="str">
        <f t="shared" si="4"/>
        <v/>
      </c>
      <c r="K11" s="711" t="s">
        <v>325</v>
      </c>
      <c r="L11" s="960" t="str">
        <f>L10</f>
        <v>To record Finders Fee - 900,000 common shares</v>
      </c>
      <c r="M11" s="712">
        <f>-M10</f>
        <v>0</v>
      </c>
      <c r="N11" s="961" t="s">
        <v>638</v>
      </c>
    </row>
    <row r="12" spans="1:22" x14ac:dyDescent="0.3">
      <c r="A12" s="163" t="str">
        <f>COA!B10</f>
        <v>1004 TD - Visa 7692</v>
      </c>
      <c r="C12" s="166">
        <f t="shared" si="0"/>
        <v>0</v>
      </c>
      <c r="D12" s="166">
        <f t="shared" si="1"/>
        <v>0</v>
      </c>
      <c r="E12" s="167"/>
      <c r="F12" s="168">
        <f t="shared" si="3"/>
        <v>0</v>
      </c>
      <c r="J12" s="495" t="str">
        <f t="shared" si="4"/>
        <v/>
      </c>
      <c r="K12" s="491"/>
      <c r="L12" s="492"/>
      <c r="M12" s="493"/>
      <c r="N12" s="723"/>
    </row>
    <row r="13" spans="1:22" x14ac:dyDescent="0.3">
      <c r="A13" s="163" t="str">
        <f>COA!B11</f>
        <v>1005 Undeposited Funds</v>
      </c>
      <c r="C13" s="166">
        <f t="shared" si="0"/>
        <v>0</v>
      </c>
      <c r="D13" s="166">
        <f t="shared" si="1"/>
        <v>0</v>
      </c>
      <c r="E13" s="167"/>
      <c r="F13" s="168">
        <f t="shared" si="3"/>
        <v>0</v>
      </c>
      <c r="I13" s="490" t="s">
        <v>2173</v>
      </c>
      <c r="J13" s="495" t="str">
        <f t="shared" si="4"/>
        <v>DR</v>
      </c>
      <c r="K13" s="491" t="s">
        <v>561</v>
      </c>
      <c r="L13" s="492" t="str">
        <f>'Asset Acquisition'!G33</f>
        <v>Consolidation Elimination Entry</v>
      </c>
      <c r="M13" s="493">
        <f>'Asset Acquisition'!H34</f>
        <v>24</v>
      </c>
      <c r="N13" s="723" t="s">
        <v>638</v>
      </c>
      <c r="Q13" s="490" t="s">
        <v>2173</v>
      </c>
      <c r="R13" s="495" t="str">
        <f t="shared" ref="R13:R19" si="5">IF(U13&gt;0,"DR",IF(U13&lt;0,"CR",""))</f>
        <v>DR</v>
      </c>
      <c r="S13" s="491" t="str">
        <f>K13</f>
        <v>3105 Common Shares:Class A Shares</v>
      </c>
      <c r="T13" s="492" t="str">
        <f>L13</f>
        <v>Consolidation Elimination Entry</v>
      </c>
      <c r="U13" s="493">
        <f>M13</f>
        <v>24</v>
      </c>
      <c r="V13" s="723" t="s">
        <v>638</v>
      </c>
    </row>
    <row r="14" spans="1:22" x14ac:dyDescent="0.3">
      <c r="A14" s="163" t="str">
        <f>COA!B12</f>
        <v>1005 Interior Savings - 5224</v>
      </c>
      <c r="C14" s="166">
        <f t="shared" si="0"/>
        <v>0</v>
      </c>
      <c r="D14" s="166">
        <f t="shared" si="1"/>
        <v>0</v>
      </c>
      <c r="E14" s="167"/>
      <c r="F14" s="168">
        <f t="shared" si="3"/>
        <v>0</v>
      </c>
      <c r="I14" s="490" t="str">
        <f>I13</f>
        <v>CONSOL - CFWD</v>
      </c>
      <c r="J14" s="495" t="str">
        <f t="shared" si="4"/>
        <v>DR</v>
      </c>
      <c r="K14" s="491" t="str">
        <f>'Asset Acquisition'!G35</f>
        <v>3110 Common Shares:Class B Shares</v>
      </c>
      <c r="L14" s="492" t="str">
        <f>L13</f>
        <v>Consolidation Elimination Entry</v>
      </c>
      <c r="M14" s="493">
        <f>'Asset Acquisition'!H35</f>
        <v>12</v>
      </c>
      <c r="N14" s="723" t="s">
        <v>638</v>
      </c>
      <c r="Q14" s="490" t="str">
        <f>Q13</f>
        <v>CONSOL - CFWD</v>
      </c>
      <c r="R14" s="495" t="str">
        <f t="shared" si="5"/>
        <v>DR</v>
      </c>
      <c r="S14" s="491" t="str">
        <f t="shared" ref="S14:S21" si="6">K14</f>
        <v>3110 Common Shares:Class B Shares</v>
      </c>
      <c r="T14" s="492" t="str">
        <f t="shared" ref="T14:T21" si="7">L14</f>
        <v>Consolidation Elimination Entry</v>
      </c>
      <c r="U14" s="493">
        <f t="shared" ref="U14:U21" si="8">M14</f>
        <v>12</v>
      </c>
      <c r="V14" s="723" t="s">
        <v>638</v>
      </c>
    </row>
    <row r="15" spans="1:22" x14ac:dyDescent="0.3">
      <c r="A15" s="163" t="str">
        <f>COA!B13</f>
        <v>1006 Interior Savings - Member Shares 5182</v>
      </c>
      <c r="C15" s="166">
        <f t="shared" si="0"/>
        <v>0</v>
      </c>
      <c r="D15" s="166">
        <f t="shared" si="1"/>
        <v>0</v>
      </c>
      <c r="E15" s="167"/>
      <c r="F15" s="168">
        <f t="shared" si="3"/>
        <v>0</v>
      </c>
      <c r="I15" s="490" t="str">
        <f t="shared" ref="I15:I21" si="9">I14</f>
        <v>CONSOL - CFWD</v>
      </c>
      <c r="J15" s="495" t="str">
        <f t="shared" si="4"/>
        <v>DR</v>
      </c>
      <c r="K15" s="491" t="str">
        <f>'Asset Acquisition'!G36</f>
        <v>3115 Common Shares:Class C Shares</v>
      </c>
      <c r="L15" s="492" t="str">
        <f t="shared" ref="L15:L19" si="10">L14</f>
        <v>Consolidation Elimination Entry</v>
      </c>
      <c r="M15" s="493">
        <f>'Asset Acquisition'!H36</f>
        <v>12</v>
      </c>
      <c r="N15" s="723" t="s">
        <v>638</v>
      </c>
      <c r="Q15" s="490" t="str">
        <f t="shared" ref="Q15:Q21" si="11">Q14</f>
        <v>CONSOL - CFWD</v>
      </c>
      <c r="R15" s="495" t="str">
        <f t="shared" si="5"/>
        <v>DR</v>
      </c>
      <c r="S15" s="491" t="str">
        <f t="shared" si="6"/>
        <v>3115 Common Shares:Class C Shares</v>
      </c>
      <c r="T15" s="492" t="str">
        <f t="shared" si="7"/>
        <v>Consolidation Elimination Entry</v>
      </c>
      <c r="U15" s="493">
        <f t="shared" si="8"/>
        <v>12</v>
      </c>
      <c r="V15" s="723" t="s">
        <v>638</v>
      </c>
    </row>
    <row r="16" spans="1:22" x14ac:dyDescent="0.3">
      <c r="A16" s="163" t="str">
        <f>COA!B14</f>
        <v>1010 Bank - suspense</v>
      </c>
      <c r="C16" s="166">
        <f t="shared" si="0"/>
        <v>0</v>
      </c>
      <c r="D16" s="166">
        <f t="shared" si="1"/>
        <v>0</v>
      </c>
      <c r="E16" s="167"/>
      <c r="F16" s="168">
        <f t="shared" si="3"/>
        <v>0</v>
      </c>
      <c r="I16" s="490" t="str">
        <f t="shared" si="9"/>
        <v>CONSOL - CFWD</v>
      </c>
      <c r="J16" s="495" t="str">
        <f t="shared" si="4"/>
        <v>CR</v>
      </c>
      <c r="K16" s="491" t="str">
        <f>'Asset Acquisition'!G37</f>
        <v>3900 Retained Earnings</v>
      </c>
      <c r="L16" s="492" t="str">
        <f t="shared" si="10"/>
        <v>Consolidation Elimination Entry</v>
      </c>
      <c r="M16" s="493">
        <f>'Asset Acquisition'!H37</f>
        <v>-339522</v>
      </c>
      <c r="N16" s="723" t="s">
        <v>638</v>
      </c>
      <c r="Q16" s="490" t="str">
        <f t="shared" si="11"/>
        <v>CONSOL - CFWD</v>
      </c>
      <c r="R16" s="495" t="str">
        <f t="shared" si="5"/>
        <v>CR</v>
      </c>
      <c r="S16" s="491" t="str">
        <f t="shared" si="6"/>
        <v>3900 Retained Earnings</v>
      </c>
      <c r="T16" s="492" t="str">
        <f t="shared" si="7"/>
        <v>Consolidation Elimination Entry</v>
      </c>
      <c r="U16" s="493">
        <f t="shared" si="8"/>
        <v>-339522</v>
      </c>
      <c r="V16" s="723" t="s">
        <v>638</v>
      </c>
    </row>
    <row r="17" spans="1:22" x14ac:dyDescent="0.3">
      <c r="A17" s="163" t="str">
        <f>COA!B15</f>
        <v>1100 Accounts Receivable (A/R)</v>
      </c>
      <c r="C17" s="166">
        <f t="shared" si="0"/>
        <v>0</v>
      </c>
      <c r="D17" s="166">
        <f t="shared" si="1"/>
        <v>0</v>
      </c>
      <c r="E17" s="167"/>
      <c r="F17" s="168">
        <f t="shared" si="3"/>
        <v>0</v>
      </c>
      <c r="I17" s="490" t="str">
        <f t="shared" si="9"/>
        <v>CONSOL - CFWD</v>
      </c>
      <c r="J17" s="495" t="str">
        <f t="shared" si="4"/>
        <v>CR</v>
      </c>
      <c r="K17" s="491" t="str">
        <f>'Asset Acquisition'!G38</f>
        <v>3000 Opening Bal Equity</v>
      </c>
      <c r="L17" s="492" t="str">
        <f t="shared" si="10"/>
        <v>Consolidation Elimination Entry</v>
      </c>
      <c r="M17" s="493">
        <f>'Asset Acquisition'!H38</f>
        <v>-1698</v>
      </c>
      <c r="N17" s="723" t="s">
        <v>638</v>
      </c>
      <c r="Q17" s="490" t="str">
        <f t="shared" si="11"/>
        <v>CONSOL - CFWD</v>
      </c>
      <c r="R17" s="495" t="str">
        <f t="shared" si="5"/>
        <v>CR</v>
      </c>
      <c r="S17" s="491" t="str">
        <f t="shared" si="6"/>
        <v>3000 Opening Bal Equity</v>
      </c>
      <c r="T17" s="492" t="str">
        <f t="shared" si="7"/>
        <v>Consolidation Elimination Entry</v>
      </c>
      <c r="U17" s="493">
        <f t="shared" si="8"/>
        <v>-1698</v>
      </c>
      <c r="V17" s="723" t="s">
        <v>638</v>
      </c>
    </row>
    <row r="18" spans="1:22" x14ac:dyDescent="0.3">
      <c r="A18" s="163" t="str">
        <f>COA!B16</f>
        <v>1100 Accounts Receivable</v>
      </c>
      <c r="C18" s="166">
        <f t="shared" si="0"/>
        <v>0</v>
      </c>
      <c r="D18" s="166">
        <f t="shared" si="1"/>
        <v>0</v>
      </c>
      <c r="E18" s="167"/>
      <c r="F18" s="168">
        <f t="shared" si="3"/>
        <v>0</v>
      </c>
      <c r="I18" s="490" t="str">
        <f t="shared" si="9"/>
        <v>CONSOL - CFWD</v>
      </c>
      <c r="J18" s="495" t="str">
        <f t="shared" si="4"/>
        <v>DR</v>
      </c>
      <c r="K18" s="491" t="str">
        <f>'Asset Acquisition'!G39</f>
        <v>3200 Capital contribution</v>
      </c>
      <c r="L18" s="492" t="str">
        <f t="shared" si="10"/>
        <v>Consolidation Elimination Entry</v>
      </c>
      <c r="M18" s="493">
        <f>'Asset Acquisition'!H39</f>
        <v>59350</v>
      </c>
      <c r="N18" s="723" t="s">
        <v>638</v>
      </c>
      <c r="Q18" s="490" t="str">
        <f t="shared" si="11"/>
        <v>CONSOL - CFWD</v>
      </c>
      <c r="R18" s="495" t="str">
        <f t="shared" si="5"/>
        <v>DR</v>
      </c>
      <c r="S18" s="491" t="str">
        <f t="shared" si="6"/>
        <v>3200 Capital contribution</v>
      </c>
      <c r="T18" s="492" t="str">
        <f t="shared" si="7"/>
        <v>Consolidation Elimination Entry</v>
      </c>
      <c r="U18" s="493">
        <f t="shared" si="8"/>
        <v>59350</v>
      </c>
      <c r="V18" s="723" t="s">
        <v>638</v>
      </c>
    </row>
    <row r="19" spans="1:22" x14ac:dyDescent="0.3">
      <c r="A19" s="163" t="str">
        <f>COA!B17</f>
        <v>1120 Work in progress inventory</v>
      </c>
      <c r="C19" s="166">
        <f t="shared" si="0"/>
        <v>0</v>
      </c>
      <c r="D19" s="166">
        <f t="shared" si="1"/>
        <v>0</v>
      </c>
      <c r="E19" s="167"/>
      <c r="F19" s="168">
        <f t="shared" si="3"/>
        <v>0</v>
      </c>
      <c r="I19" s="490" t="str">
        <f t="shared" si="9"/>
        <v>CONSOL - CFWD</v>
      </c>
      <c r="J19" s="495" t="str">
        <f t="shared" ref="J19" si="12">IF(M19&gt;0,"DR",IF(M19&lt;0,"CR",""))</f>
        <v>DR</v>
      </c>
      <c r="K19" s="491" t="s">
        <v>2170</v>
      </c>
      <c r="L19" s="492" t="str">
        <f t="shared" si="10"/>
        <v>Consolidation Elimination Entry</v>
      </c>
      <c r="M19" s="493">
        <f>'Asset Acquisition'!H40</f>
        <v>6281822</v>
      </c>
      <c r="N19" s="723" t="s">
        <v>638</v>
      </c>
      <c r="Q19" s="490" t="str">
        <f t="shared" si="11"/>
        <v>CONSOL - CFWD</v>
      </c>
      <c r="R19" s="495" t="str">
        <f t="shared" si="5"/>
        <v>DR</v>
      </c>
      <c r="S19" s="491" t="s">
        <v>2283</v>
      </c>
      <c r="T19" s="492" t="str">
        <f t="shared" si="7"/>
        <v>Consolidation Elimination Entry</v>
      </c>
      <c r="U19" s="493">
        <f t="shared" si="8"/>
        <v>6281822</v>
      </c>
      <c r="V19" s="723" t="s">
        <v>638</v>
      </c>
    </row>
    <row r="20" spans="1:22" x14ac:dyDescent="0.3">
      <c r="A20" s="163" t="str">
        <f>COA!B18</f>
        <v>1020 Prepaid expenses</v>
      </c>
      <c r="C20" s="166">
        <f t="shared" si="0"/>
        <v>0</v>
      </c>
      <c r="D20" s="166">
        <f t="shared" si="1"/>
        <v>0</v>
      </c>
      <c r="E20" s="167"/>
      <c r="F20" s="168">
        <f t="shared" si="3"/>
        <v>0</v>
      </c>
      <c r="I20" s="490" t="str">
        <f t="shared" si="9"/>
        <v>CONSOL - CFWD</v>
      </c>
      <c r="J20" s="495" t="str">
        <f>IF(M20&gt;0,"DR",IF(M20&lt;0,"CR",""))</f>
        <v/>
      </c>
      <c r="K20" s="491" t="str">
        <f>'Asset Acquisition'!G41</f>
        <v>IMP7 Goodwill</v>
      </c>
      <c r="L20" s="492" t="str">
        <f>L18</f>
        <v>Consolidation Elimination Entry</v>
      </c>
      <c r="M20" s="493">
        <f>'Asset Acquisition'!H41</f>
        <v>0</v>
      </c>
      <c r="N20" s="723" t="s">
        <v>638</v>
      </c>
      <c r="Q20" s="490" t="str">
        <f t="shared" si="11"/>
        <v>CONSOL - CFWD</v>
      </c>
      <c r="R20" s="495" t="str">
        <f>IF(U20&gt;0,"DR",IF(U20&lt;0,"CR",""))</f>
        <v/>
      </c>
      <c r="S20" s="491" t="str">
        <f t="shared" si="6"/>
        <v>IMP7 Goodwill</v>
      </c>
      <c r="T20" s="492" t="str">
        <f t="shared" si="7"/>
        <v>Consolidation Elimination Entry</v>
      </c>
      <c r="U20" s="493">
        <f t="shared" si="8"/>
        <v>0</v>
      </c>
      <c r="V20" s="723" t="s">
        <v>638</v>
      </c>
    </row>
    <row r="21" spans="1:22" x14ac:dyDescent="0.3">
      <c r="A21" s="163" t="str">
        <f>COA!B19</f>
        <v>1200 Prepaid expenses</v>
      </c>
      <c r="C21" s="166">
        <f t="shared" si="0"/>
        <v>0</v>
      </c>
      <c r="D21" s="166">
        <f t="shared" si="1"/>
        <v>0</v>
      </c>
      <c r="E21" s="167"/>
      <c r="F21" s="168">
        <f t="shared" si="3"/>
        <v>0</v>
      </c>
      <c r="I21" s="494" t="str">
        <f t="shared" si="9"/>
        <v>CONSOL - CFWD</v>
      </c>
      <c r="J21" s="519" t="str">
        <f>IF(M21&gt;0,"DR",IF(M21&lt;0,"CR",""))</f>
        <v>CR</v>
      </c>
      <c r="K21" s="711" t="str">
        <f>'Asset Acquisition'!G42</f>
        <v>1600 Investment in Hallor Industries</v>
      </c>
      <c r="L21" s="960" t="str">
        <f>L20</f>
        <v>Consolidation Elimination Entry</v>
      </c>
      <c r="M21" s="712">
        <f>'Asset Acquisition'!H42</f>
        <v>-6000000</v>
      </c>
      <c r="N21" s="961" t="s">
        <v>638</v>
      </c>
      <c r="Q21" s="490" t="str">
        <f t="shared" si="11"/>
        <v>CONSOL - CFWD</v>
      </c>
      <c r="R21" s="495" t="str">
        <f>IF(U21&gt;0,"DR",IF(U21&lt;0,"CR",""))</f>
        <v>CR</v>
      </c>
      <c r="S21" s="491" t="str">
        <f t="shared" si="6"/>
        <v>1600 Investment in Hallor Industries</v>
      </c>
      <c r="T21" s="492" t="str">
        <f t="shared" si="7"/>
        <v>Consolidation Elimination Entry</v>
      </c>
      <c r="U21" s="493">
        <f t="shared" si="8"/>
        <v>-6000000</v>
      </c>
      <c r="V21" s="723" t="s">
        <v>638</v>
      </c>
    </row>
    <row r="22" spans="1:22" x14ac:dyDescent="0.3">
      <c r="A22" s="163" t="str">
        <f>COA!B20</f>
        <v>1300 Current portion of loan receivable</v>
      </c>
      <c r="C22" s="166">
        <f t="shared" si="0"/>
        <v>0</v>
      </c>
      <c r="D22" s="166">
        <f t="shared" si="1"/>
        <v>0</v>
      </c>
      <c r="E22" s="167"/>
      <c r="F22" s="168">
        <f t="shared" si="3"/>
        <v>0</v>
      </c>
      <c r="J22" s="495" t="str">
        <f t="shared" si="2"/>
        <v/>
      </c>
      <c r="K22" s="491"/>
      <c r="L22" s="492"/>
      <c r="M22" s="493"/>
      <c r="N22" s="723"/>
    </row>
    <row r="23" spans="1:22" x14ac:dyDescent="0.3">
      <c r="A23" s="163" t="str">
        <f>COA!B21</f>
        <v>1400 Other current assets</v>
      </c>
      <c r="C23" s="166">
        <f t="shared" si="0"/>
        <v>0</v>
      </c>
      <c r="D23" s="166">
        <f t="shared" si="1"/>
        <v>0</v>
      </c>
      <c r="E23" s="167"/>
      <c r="F23" s="168">
        <f t="shared" si="3"/>
        <v>0</v>
      </c>
      <c r="I23" s="490" t="s">
        <v>745</v>
      </c>
      <c r="J23" s="495" t="str">
        <f t="shared" ref="J23:J24" si="13">IF(M23&gt;0,"DR",IF(M23&lt;0,"CR",""))</f>
        <v/>
      </c>
      <c r="K23" s="491" t="s">
        <v>744</v>
      </c>
      <c r="L23" s="492" t="s">
        <v>746</v>
      </c>
      <c r="M23" s="493">
        <f>ROUND('O&amp;W.V'!C36,0)*0</f>
        <v>0</v>
      </c>
      <c r="N23" s="723" t="s">
        <v>638</v>
      </c>
    </row>
    <row r="24" spans="1:22" x14ac:dyDescent="0.3">
      <c r="A24" s="163" t="str">
        <f>COA!B22</f>
        <v>1420 Intangible assets</v>
      </c>
      <c r="C24" s="166">
        <f t="shared" si="0"/>
        <v>6281822</v>
      </c>
      <c r="D24" s="166">
        <f t="shared" si="1"/>
        <v>0</v>
      </c>
      <c r="E24" s="167"/>
      <c r="F24" s="168">
        <f t="shared" si="3"/>
        <v>6281822</v>
      </c>
      <c r="I24" s="494" t="str">
        <f>I23</f>
        <v>SBC</v>
      </c>
      <c r="J24" s="519" t="str">
        <f t="shared" si="13"/>
        <v/>
      </c>
      <c r="K24" s="711" t="s">
        <v>564</v>
      </c>
      <c r="L24" s="960" t="str">
        <f>L23</f>
        <v>To record share based compensation DK options</v>
      </c>
      <c r="M24" s="712">
        <f>-M23</f>
        <v>0</v>
      </c>
      <c r="N24" s="961" t="s">
        <v>638</v>
      </c>
    </row>
    <row r="25" spans="1:22" x14ac:dyDescent="0.3">
      <c r="A25" s="163" t="str">
        <f>COA!B23</f>
        <v>1421 Accumulated amortization</v>
      </c>
      <c r="C25" s="166">
        <f t="shared" si="0"/>
        <v>-2460380</v>
      </c>
      <c r="D25" s="166">
        <f t="shared" si="1"/>
        <v>0</v>
      </c>
      <c r="E25" s="167"/>
      <c r="F25" s="168">
        <f t="shared" ref="F25" si="14">SUM(C25:E25)</f>
        <v>-2460380</v>
      </c>
      <c r="I25" s="490"/>
      <c r="J25" s="495"/>
      <c r="K25" s="491"/>
      <c r="L25" s="492"/>
      <c r="M25" s="493"/>
      <c r="N25" s="723"/>
    </row>
    <row r="26" spans="1:22" x14ac:dyDescent="0.3">
      <c r="A26" s="163" t="str">
        <f>COA!B24</f>
        <v>1500 Payroll Advances Receivable</v>
      </c>
      <c r="C26" s="166">
        <f t="shared" si="0"/>
        <v>0</v>
      </c>
      <c r="D26" s="166">
        <f t="shared" si="1"/>
        <v>0</v>
      </c>
      <c r="E26" s="167"/>
      <c r="F26" s="168">
        <f t="shared" si="3"/>
        <v>0</v>
      </c>
      <c r="I26" s="490" t="s">
        <v>742</v>
      </c>
      <c r="J26" s="495" t="str">
        <f>IF(M26&gt;0,"DR",IF(M26&lt;0,"CR",""))</f>
        <v/>
      </c>
      <c r="K26" s="491" t="s">
        <v>469</v>
      </c>
      <c r="L26" s="492" t="s">
        <v>809</v>
      </c>
      <c r="M26" s="493">
        <f>ROUND('O&amp;W.V'!D36,0)*0</f>
        <v>0</v>
      </c>
      <c r="N26" s="723" t="s">
        <v>638</v>
      </c>
    </row>
    <row r="27" spans="1:22" x14ac:dyDescent="0.3">
      <c r="A27" s="163" t="str">
        <f>COA!B25</f>
        <v>1500 Intercompany - Due from Hallor Industries Inc.</v>
      </c>
      <c r="C27" s="166">
        <f t="shared" si="0"/>
        <v>0</v>
      </c>
      <c r="D27" s="166">
        <f t="shared" si="1"/>
        <v>0</v>
      </c>
      <c r="E27" s="167"/>
      <c r="F27" s="168">
        <f t="shared" si="3"/>
        <v>0</v>
      </c>
      <c r="I27" s="494" t="str">
        <f>I26</f>
        <v>CON DEBT</v>
      </c>
      <c r="J27" s="519" t="str">
        <f>IF(M27&gt;0,"DR",IF(M27&lt;0,"CR",""))</f>
        <v/>
      </c>
      <c r="K27" s="711" t="s">
        <v>564</v>
      </c>
      <c r="L27" s="960" t="str">
        <f>L26</f>
        <v>Issuance of share warrants on conversion of debt</v>
      </c>
      <c r="M27" s="712">
        <f>-M26</f>
        <v>0</v>
      </c>
      <c r="N27" s="961" t="s">
        <v>638</v>
      </c>
    </row>
    <row r="28" spans="1:22" x14ac:dyDescent="0.3">
      <c r="A28" s="163" t="str">
        <f>COA!B26</f>
        <v>1600 Investment in Hallor Industries</v>
      </c>
      <c r="C28" s="166">
        <f t="shared" si="0"/>
        <v>-6000000</v>
      </c>
      <c r="D28" s="166">
        <f t="shared" si="1"/>
        <v>0</v>
      </c>
      <c r="E28" s="167"/>
      <c r="F28" s="168">
        <f t="shared" si="3"/>
        <v>-6000000</v>
      </c>
      <c r="I28" s="490"/>
      <c r="J28" s="495"/>
      <c r="K28" s="491"/>
      <c r="L28" s="492"/>
      <c r="M28" s="493"/>
      <c r="N28" s="723"/>
    </row>
    <row r="29" spans="1:22" x14ac:dyDescent="0.3">
      <c r="A29" s="163" t="str">
        <f>COA!B27</f>
        <v>1800 Computer Equipment</v>
      </c>
      <c r="C29" s="166">
        <f t="shared" si="0"/>
        <v>0</v>
      </c>
      <c r="D29" s="166">
        <f t="shared" si="1"/>
        <v>0</v>
      </c>
      <c r="E29" s="167"/>
      <c r="F29" s="168">
        <f t="shared" si="3"/>
        <v>0</v>
      </c>
      <c r="I29" s="490" t="s">
        <v>2176</v>
      </c>
      <c r="J29" s="495" t="str">
        <f>IF(M29&gt;0,"DR",IF(M29&lt;0,"CR",""))</f>
        <v>DR</v>
      </c>
      <c r="K29" s="491" t="s">
        <v>469</v>
      </c>
      <c r="L29" s="492" t="s">
        <v>2177</v>
      </c>
      <c r="M29" s="493">
        <f>'IA.1 - Intangible'!R13</f>
        <v>1204016</v>
      </c>
      <c r="N29" s="723" t="s">
        <v>638</v>
      </c>
    </row>
    <row r="30" spans="1:22" x14ac:dyDescent="0.3">
      <c r="A30" s="163" t="str">
        <f>COA!B28</f>
        <v>1801 Computer Equipment:Accumulated Depreciation</v>
      </c>
      <c r="C30" s="166">
        <f t="shared" si="0"/>
        <v>0</v>
      </c>
      <c r="D30" s="166">
        <f t="shared" si="1"/>
        <v>0</v>
      </c>
      <c r="E30" s="167"/>
      <c r="F30" s="168">
        <f t="shared" si="3"/>
        <v>0</v>
      </c>
      <c r="I30" s="494" t="str">
        <f>I29</f>
        <v>CFWD</v>
      </c>
      <c r="J30" s="519" t="str">
        <f>IF(M30&gt;0,"DR",IF(M30&lt;0,"CR",""))</f>
        <v>CR</v>
      </c>
      <c r="K30" s="711" t="s">
        <v>2171</v>
      </c>
      <c r="L30" s="960" t="str">
        <f>L29</f>
        <v>F24 amortization of intangibles</v>
      </c>
      <c r="M30" s="712">
        <f>-M29</f>
        <v>-1204016</v>
      </c>
      <c r="N30" s="961" t="s">
        <v>638</v>
      </c>
    </row>
    <row r="31" spans="1:22" x14ac:dyDescent="0.3">
      <c r="A31" s="163" t="str">
        <f>COA!B29</f>
        <v>1810 Office Furniture</v>
      </c>
      <c r="C31" s="166">
        <f t="shared" si="0"/>
        <v>0</v>
      </c>
      <c r="D31" s="166">
        <f t="shared" si="1"/>
        <v>0</v>
      </c>
      <c r="E31" s="167"/>
      <c r="F31" s="168">
        <f t="shared" si="3"/>
        <v>0</v>
      </c>
      <c r="I31" s="490"/>
      <c r="J31" s="495"/>
      <c r="K31" s="491"/>
      <c r="L31" s="492"/>
      <c r="M31" s="493"/>
      <c r="N31" s="723"/>
    </row>
    <row r="32" spans="1:22" x14ac:dyDescent="0.3">
      <c r="A32" s="163" t="str">
        <f>COA!B30</f>
        <v>1811 Office Furniture:Accumulated Depreciation</v>
      </c>
      <c r="C32" s="166">
        <f t="shared" si="0"/>
        <v>0</v>
      </c>
      <c r="D32" s="166">
        <f t="shared" si="1"/>
        <v>0</v>
      </c>
      <c r="E32" s="167"/>
      <c r="F32" s="168">
        <f t="shared" si="3"/>
        <v>0</v>
      </c>
      <c r="I32" s="490" t="s">
        <v>2186</v>
      </c>
      <c r="J32" s="495" t="str">
        <f>IF(M32&gt;0,"DR",IF(M32&lt;0,"CR",""))</f>
        <v>DR</v>
      </c>
      <c r="K32" s="491" t="s">
        <v>610</v>
      </c>
      <c r="L32" s="492" t="s">
        <v>2178</v>
      </c>
      <c r="M32" s="493">
        <f>'IA.1 - Intangible'!AD13</f>
        <v>1256364</v>
      </c>
      <c r="N32" s="723" t="s">
        <v>638</v>
      </c>
    </row>
    <row r="33" spans="1:14" x14ac:dyDescent="0.3">
      <c r="A33" s="163" t="str">
        <f>COA!B31</f>
        <v>1900 Shop Equipment</v>
      </c>
      <c r="C33" s="166">
        <f t="shared" si="0"/>
        <v>0</v>
      </c>
      <c r="D33" s="166">
        <f t="shared" si="1"/>
        <v>0</v>
      </c>
      <c r="E33" s="167"/>
      <c r="F33" s="168">
        <f t="shared" si="3"/>
        <v>0</v>
      </c>
      <c r="I33" s="494" t="str">
        <f>I32</f>
        <v>F25 Amort</v>
      </c>
      <c r="J33" s="519" t="str">
        <f>IF(M33&gt;0,"DR",IF(M33&lt;0,"CR",""))</f>
        <v>CR</v>
      </c>
      <c r="K33" s="711" t="s">
        <v>2171</v>
      </c>
      <c r="L33" s="960" t="str">
        <f>L32</f>
        <v>F25 amortization of intangibles</v>
      </c>
      <c r="M33" s="712">
        <f>-M32</f>
        <v>-1256364</v>
      </c>
      <c r="N33" s="961" t="s">
        <v>638</v>
      </c>
    </row>
    <row r="34" spans="1:14" x14ac:dyDescent="0.3">
      <c r="A34" s="163" t="str">
        <f>COA!B32</f>
        <v>1901 Shop Equipment:Accum deprec - shop equipment</v>
      </c>
      <c r="C34" s="166">
        <f t="shared" si="0"/>
        <v>0</v>
      </c>
      <c r="D34" s="166">
        <f t="shared" si="1"/>
        <v>0</v>
      </c>
      <c r="E34" s="167"/>
      <c r="F34" s="168">
        <f t="shared" si="3"/>
        <v>0</v>
      </c>
      <c r="I34" s="490"/>
      <c r="J34" s="495"/>
      <c r="K34" s="491"/>
      <c r="L34" s="492"/>
      <c r="M34" s="493"/>
      <c r="N34" s="723"/>
    </row>
    <row r="35" spans="1:14" x14ac:dyDescent="0.3">
      <c r="A35" s="163" t="str">
        <f>COA!B33</f>
        <v>1999 Uncategorized Asset</v>
      </c>
      <c r="C35" s="166">
        <f t="shared" si="0"/>
        <v>0</v>
      </c>
      <c r="D35" s="166">
        <f t="shared" si="1"/>
        <v>0</v>
      </c>
      <c r="E35" s="167"/>
      <c r="F35" s="168">
        <f t="shared" si="3"/>
        <v>0</v>
      </c>
      <c r="I35" s="490" t="s">
        <v>2176</v>
      </c>
      <c r="J35" s="495" t="str">
        <f>IF(M35&gt;0,"DR",IF(M35&lt;0,"CR",""))</f>
        <v/>
      </c>
      <c r="K35" s="491" t="s">
        <v>469</v>
      </c>
      <c r="L35" s="492" t="s">
        <v>2177</v>
      </c>
      <c r="M35" s="493">
        <f>'IA.1 - Intangible'!R19</f>
        <v>0</v>
      </c>
      <c r="N35" s="723" t="s">
        <v>639</v>
      </c>
    </row>
    <row r="36" spans="1:14" x14ac:dyDescent="0.3">
      <c r="A36" s="163" t="str">
        <f>COA!B34</f>
        <v>2000 Accounts Payable (A/P)</v>
      </c>
      <c r="C36" s="166">
        <f t="shared" si="0"/>
        <v>0</v>
      </c>
      <c r="D36" s="166">
        <f t="shared" si="1"/>
        <v>0</v>
      </c>
      <c r="E36" s="167"/>
      <c r="F36" s="168">
        <f t="shared" si="3"/>
        <v>0</v>
      </c>
      <c r="I36" s="494" t="str">
        <f>I35</f>
        <v>CFWD</v>
      </c>
      <c r="J36" s="519" t="str">
        <f>IF(M36&gt;0,"DR",IF(M36&lt;0,"CR",""))</f>
        <v/>
      </c>
      <c r="K36" s="711" t="s">
        <v>2171</v>
      </c>
      <c r="L36" s="960" t="str">
        <f>L35</f>
        <v>F24 amortization of intangibles</v>
      </c>
      <c r="M36" s="712">
        <f>-M35</f>
        <v>0</v>
      </c>
      <c r="N36" s="961" t="s">
        <v>639</v>
      </c>
    </row>
    <row r="37" spans="1:14" x14ac:dyDescent="0.3">
      <c r="A37" s="163" t="str">
        <f>COA!B35</f>
        <v>2000 Accounts Payable</v>
      </c>
      <c r="C37" s="166">
        <f t="shared" si="0"/>
        <v>0</v>
      </c>
      <c r="D37" s="166">
        <f t="shared" si="1"/>
        <v>0</v>
      </c>
      <c r="E37" s="167"/>
      <c r="F37" s="168">
        <f t="shared" si="3"/>
        <v>0</v>
      </c>
      <c r="I37" s="490"/>
      <c r="J37" s="495" t="str">
        <f t="shared" ref="J37:J39" si="15">IF(M37&gt;0,"DR",IF(M37&lt;0,"CR",""))</f>
        <v/>
      </c>
      <c r="K37" s="491"/>
      <c r="L37" s="492"/>
      <c r="M37" s="493"/>
      <c r="N37" s="723"/>
    </row>
    <row r="38" spans="1:14" x14ac:dyDescent="0.3">
      <c r="A38" s="163" t="str">
        <f>COA!B36</f>
        <v>2001 Accounts Payable (A/P) - USD</v>
      </c>
      <c r="C38" s="166">
        <f t="shared" ref="C38:C69" si="16">SUMIFS(M:M,K:K,A38,N:N,$C$3)</f>
        <v>0</v>
      </c>
      <c r="D38" s="166">
        <f t="shared" ref="D38:D69" si="17">SUMIFS(M:M,K:K,A38,N:N,$D$3)</f>
        <v>0</v>
      </c>
      <c r="E38" s="167"/>
      <c r="F38" s="168">
        <f t="shared" si="3"/>
        <v>0</v>
      </c>
      <c r="I38" s="490"/>
      <c r="J38" s="495" t="str">
        <f t="shared" si="15"/>
        <v/>
      </c>
      <c r="K38" s="491"/>
      <c r="L38" s="492"/>
      <c r="M38" s="493"/>
      <c r="N38" s="723"/>
    </row>
    <row r="39" spans="1:14" x14ac:dyDescent="0.3">
      <c r="A39" s="163" t="str">
        <f>COA!B37</f>
        <v>2010 Accrued Liabilities</v>
      </c>
      <c r="C39" s="166">
        <f t="shared" si="16"/>
        <v>0</v>
      </c>
      <c r="D39" s="166">
        <f t="shared" si="17"/>
        <v>0</v>
      </c>
      <c r="E39" s="167"/>
      <c r="F39" s="168">
        <f t="shared" si="3"/>
        <v>0</v>
      </c>
      <c r="I39" s="490"/>
      <c r="J39" s="495" t="str">
        <f t="shared" si="15"/>
        <v/>
      </c>
      <c r="K39" s="491"/>
      <c r="L39" s="492"/>
      <c r="M39" s="493"/>
      <c r="N39" s="723"/>
    </row>
    <row r="40" spans="1:14" x14ac:dyDescent="0.3">
      <c r="A40" s="163" t="str">
        <f>COA!B38</f>
        <v>2030 Cutomer prepayments</v>
      </c>
      <c r="C40" s="166">
        <f t="shared" si="16"/>
        <v>0</v>
      </c>
      <c r="D40" s="166">
        <f t="shared" si="17"/>
        <v>0</v>
      </c>
      <c r="E40" s="167"/>
      <c r="F40" s="168">
        <f t="shared" si="3"/>
        <v>0</v>
      </c>
      <c r="I40" s="490"/>
      <c r="J40" s="495" t="str">
        <f t="shared" ref="J40:J46" si="18">IF(M40&gt;0,"DR",IF(M40&lt;0,"CR",""))</f>
        <v/>
      </c>
      <c r="K40" s="491"/>
      <c r="L40" s="492"/>
      <c r="M40" s="493"/>
      <c r="N40" s="723"/>
    </row>
    <row r="41" spans="1:14" x14ac:dyDescent="0.3">
      <c r="A41" s="163" t="str">
        <f>COA!B39</f>
        <v>2063 Due to RPT - Dean Kneider</v>
      </c>
      <c r="C41" s="166">
        <f t="shared" si="16"/>
        <v>0</v>
      </c>
      <c r="D41" s="166">
        <f t="shared" si="17"/>
        <v>0</v>
      </c>
      <c r="E41" s="167"/>
      <c r="F41" s="168">
        <f t="shared" si="3"/>
        <v>0</v>
      </c>
      <c r="I41" s="490"/>
      <c r="J41" s="495" t="str">
        <f t="shared" si="18"/>
        <v/>
      </c>
      <c r="K41" s="491"/>
      <c r="L41" s="492"/>
      <c r="M41" s="493"/>
      <c r="N41" s="723"/>
    </row>
    <row r="42" spans="1:14" x14ac:dyDescent="0.3">
      <c r="A42" s="163" t="str">
        <f>COA!B40</f>
        <v>2050 Deferred revenue</v>
      </c>
      <c r="C42" s="166">
        <f t="shared" si="16"/>
        <v>0</v>
      </c>
      <c r="D42" s="166">
        <f t="shared" si="17"/>
        <v>0</v>
      </c>
      <c r="E42" s="167"/>
      <c r="F42" s="168">
        <f t="shared" si="3"/>
        <v>0</v>
      </c>
      <c r="I42" s="490"/>
      <c r="J42" s="495" t="str">
        <f t="shared" si="18"/>
        <v/>
      </c>
      <c r="K42" s="491"/>
      <c r="L42" s="492"/>
      <c r="M42" s="493"/>
      <c r="N42" s="723"/>
    </row>
    <row r="43" spans="1:14" x14ac:dyDescent="0.3">
      <c r="A43" s="163" t="str">
        <f>COA!B41</f>
        <v>2100 Accrued Liabilities</v>
      </c>
      <c r="C43" s="166">
        <f t="shared" si="16"/>
        <v>0</v>
      </c>
      <c r="D43" s="166">
        <f t="shared" si="17"/>
        <v>0</v>
      </c>
      <c r="E43" s="167"/>
      <c r="F43" s="168">
        <f t="shared" si="3"/>
        <v>0</v>
      </c>
      <c r="I43" s="490"/>
      <c r="J43" s="495" t="str">
        <f t="shared" si="18"/>
        <v/>
      </c>
      <c r="K43" s="491"/>
      <c r="L43" s="492"/>
      <c r="M43" s="493"/>
      <c r="N43" s="723"/>
    </row>
    <row r="44" spans="1:14" x14ac:dyDescent="0.3">
      <c r="A44" s="163" t="str">
        <f>COA!B42</f>
        <v>2100 Payroll Liabilities</v>
      </c>
      <c r="C44" s="166">
        <f t="shared" si="16"/>
        <v>0</v>
      </c>
      <c r="D44" s="166">
        <f t="shared" si="17"/>
        <v>0</v>
      </c>
      <c r="E44" s="167"/>
      <c r="F44" s="168">
        <f t="shared" si="3"/>
        <v>0</v>
      </c>
      <c r="I44" s="490"/>
      <c r="J44" s="495" t="str">
        <f t="shared" si="18"/>
        <v/>
      </c>
      <c r="K44" s="491"/>
      <c r="L44" s="492"/>
      <c r="M44" s="493"/>
      <c r="N44" s="723"/>
    </row>
    <row r="45" spans="1:14" x14ac:dyDescent="0.3">
      <c r="A45" s="163" t="str">
        <f>COA!B43</f>
        <v>2110 Payroll Liabilities:Payroll Taxes</v>
      </c>
      <c r="C45" s="166">
        <f t="shared" si="16"/>
        <v>0</v>
      </c>
      <c r="D45" s="166">
        <f t="shared" si="17"/>
        <v>0</v>
      </c>
      <c r="E45" s="167"/>
      <c r="F45" s="168">
        <f t="shared" si="3"/>
        <v>0</v>
      </c>
      <c r="I45" s="490"/>
      <c r="J45" s="495" t="str">
        <f t="shared" si="18"/>
        <v/>
      </c>
      <c r="K45" s="491"/>
      <c r="L45" s="492"/>
      <c r="M45" s="493"/>
      <c r="N45" s="723"/>
    </row>
    <row r="46" spans="1:14" x14ac:dyDescent="0.3">
      <c r="A46" s="163" t="str">
        <f>COA!B44</f>
        <v>2120 Payroll Liabilities:Vacation Pay Due</v>
      </c>
      <c r="C46" s="166">
        <f t="shared" si="16"/>
        <v>0</v>
      </c>
      <c r="D46" s="166">
        <f t="shared" si="17"/>
        <v>0</v>
      </c>
      <c r="E46" s="167"/>
      <c r="F46" s="168">
        <f t="shared" si="3"/>
        <v>0</v>
      </c>
      <c r="I46" s="490"/>
      <c r="J46" s="495" t="str">
        <f t="shared" si="18"/>
        <v/>
      </c>
      <c r="K46" s="491"/>
      <c r="L46" s="492"/>
      <c r="M46" s="493"/>
      <c r="N46" s="723"/>
    </row>
    <row r="47" spans="1:14" x14ac:dyDescent="0.3">
      <c r="A47" s="163" t="str">
        <f>COA!B45</f>
        <v>2130 Payroll Liabilities:WCB to be paid/(refunded)</v>
      </c>
      <c r="C47" s="166">
        <f t="shared" si="16"/>
        <v>0</v>
      </c>
      <c r="D47" s="166">
        <f t="shared" si="17"/>
        <v>0</v>
      </c>
      <c r="E47" s="167"/>
      <c r="F47" s="168">
        <f t="shared" si="3"/>
        <v>0</v>
      </c>
    </row>
    <row r="48" spans="1:14" x14ac:dyDescent="0.3">
      <c r="A48" s="163" t="str">
        <f>COA!B46</f>
        <v>2140 Payroll Liabilities:Vacation Pay Payable</v>
      </c>
      <c r="C48" s="166">
        <f t="shared" si="16"/>
        <v>0</v>
      </c>
      <c r="D48" s="166">
        <f t="shared" si="17"/>
        <v>0</v>
      </c>
      <c r="E48" s="167"/>
      <c r="F48" s="168">
        <f t="shared" si="3"/>
        <v>0</v>
      </c>
    </row>
    <row r="49" spans="1:14" x14ac:dyDescent="0.3">
      <c r="A49" s="163" t="str">
        <f>COA!B47</f>
        <v>2200 PST Payable (BC)</v>
      </c>
      <c r="C49" s="166">
        <f t="shared" si="16"/>
        <v>0</v>
      </c>
      <c r="D49" s="166">
        <f t="shared" si="17"/>
        <v>0</v>
      </c>
      <c r="E49" s="167"/>
      <c r="F49" s="168">
        <f t="shared" si="3"/>
        <v>0</v>
      </c>
    </row>
    <row r="50" spans="1:14" x14ac:dyDescent="0.3">
      <c r="A50" s="163" t="str">
        <f>COA!B48</f>
        <v>2200 GST Payable/(Refund)</v>
      </c>
      <c r="C50" s="166">
        <f t="shared" si="16"/>
        <v>0</v>
      </c>
      <c r="D50" s="166">
        <f t="shared" si="17"/>
        <v>0</v>
      </c>
      <c r="E50" s="167"/>
      <c r="F50" s="168">
        <f t="shared" si="3"/>
        <v>0</v>
      </c>
    </row>
    <row r="51" spans="1:14" x14ac:dyDescent="0.3">
      <c r="A51" s="163" t="str">
        <f>COA!B49</f>
        <v>2201 PST Suspense (BC)</v>
      </c>
      <c r="C51" s="166">
        <f t="shared" si="16"/>
        <v>0</v>
      </c>
      <c r="D51" s="166">
        <f t="shared" si="17"/>
        <v>0</v>
      </c>
      <c r="E51" s="167"/>
      <c r="F51" s="168">
        <f t="shared" si="3"/>
        <v>0</v>
      </c>
    </row>
    <row r="52" spans="1:14" x14ac:dyDescent="0.3">
      <c r="A52" s="163" t="str">
        <f>COA!B50</f>
        <v>2210 GST Payable/(Refund):GST Paid on Purchases</v>
      </c>
      <c r="C52" s="166">
        <f t="shared" si="16"/>
        <v>0</v>
      </c>
      <c r="D52" s="166">
        <f t="shared" si="17"/>
        <v>0</v>
      </c>
      <c r="E52" s="167"/>
      <c r="F52" s="168">
        <f t="shared" si="3"/>
        <v>0</v>
      </c>
    </row>
    <row r="53" spans="1:14" x14ac:dyDescent="0.3">
      <c r="A53" s="163" t="str">
        <f>COA!B51</f>
        <v>2220 GST Payable/(Refund):GST Collected on Sales</v>
      </c>
      <c r="C53" s="166">
        <f t="shared" si="16"/>
        <v>0</v>
      </c>
      <c r="D53" s="166">
        <f t="shared" si="17"/>
        <v>0</v>
      </c>
      <c r="E53" s="167"/>
      <c r="F53" s="168">
        <f t="shared" si="3"/>
        <v>0</v>
      </c>
    </row>
    <row r="54" spans="1:14" x14ac:dyDescent="0.3">
      <c r="A54" s="163" t="str">
        <f>COA!B52</f>
        <v>2210 GST/HST Payable</v>
      </c>
      <c r="C54" s="166">
        <f t="shared" si="16"/>
        <v>0</v>
      </c>
      <c r="D54" s="166">
        <f t="shared" si="17"/>
        <v>0</v>
      </c>
      <c r="E54" s="167"/>
      <c r="F54" s="168">
        <f t="shared" si="3"/>
        <v>0</v>
      </c>
    </row>
    <row r="55" spans="1:14" x14ac:dyDescent="0.3">
      <c r="A55" s="163" t="str">
        <f>COA!B53</f>
        <v>2230 GST Payable/(Refund):GST to Paid/(refunded)</v>
      </c>
      <c r="C55" s="166">
        <f t="shared" si="16"/>
        <v>0</v>
      </c>
      <c r="D55" s="166">
        <f t="shared" si="17"/>
        <v>0</v>
      </c>
      <c r="E55" s="167"/>
      <c r="F55" s="168">
        <f t="shared" si="3"/>
        <v>0</v>
      </c>
    </row>
    <row r="56" spans="1:14" x14ac:dyDescent="0.3">
      <c r="A56" s="163" t="str">
        <f>COA!B54</f>
        <v>2211 GST/HST Suspense</v>
      </c>
      <c r="C56" s="166">
        <f t="shared" si="16"/>
        <v>0</v>
      </c>
      <c r="D56" s="166">
        <f t="shared" si="17"/>
        <v>0</v>
      </c>
      <c r="E56" s="167"/>
      <c r="F56" s="168">
        <f t="shared" si="3"/>
        <v>0</v>
      </c>
    </row>
    <row r="57" spans="1:14" x14ac:dyDescent="0.3">
      <c r="A57" s="163" t="str">
        <f>COA!B55</f>
        <v>2201 GST and HST Suspense</v>
      </c>
      <c r="C57" s="166">
        <f t="shared" si="16"/>
        <v>0</v>
      </c>
      <c r="D57" s="166">
        <f t="shared" si="17"/>
        <v>0</v>
      </c>
      <c r="E57" s="167"/>
      <c r="F57" s="168">
        <f t="shared" si="3"/>
        <v>0</v>
      </c>
    </row>
    <row r="58" spans="1:14" x14ac:dyDescent="0.3">
      <c r="A58" s="163" t="str">
        <f>COA!B56</f>
        <v>2202 Receiver General Suspense</v>
      </c>
      <c r="C58" s="166">
        <f t="shared" si="16"/>
        <v>0</v>
      </c>
      <c r="D58" s="166">
        <f t="shared" si="17"/>
        <v>0</v>
      </c>
      <c r="E58" s="167"/>
      <c r="F58" s="168">
        <f t="shared" si="3"/>
        <v>0</v>
      </c>
      <c r="I58" s="490"/>
      <c r="J58" s="495"/>
      <c r="K58" s="491"/>
      <c r="L58" s="492"/>
      <c r="M58" s="493"/>
      <c r="N58" s="723"/>
    </row>
    <row r="59" spans="1:14" x14ac:dyDescent="0.3">
      <c r="A59" s="163" t="str">
        <f>COA!B57</f>
        <v>2280 PST Payable</v>
      </c>
      <c r="C59" s="166">
        <f t="shared" si="16"/>
        <v>0</v>
      </c>
      <c r="D59" s="166">
        <f t="shared" si="17"/>
        <v>0</v>
      </c>
      <c r="E59" s="167"/>
      <c r="F59" s="168">
        <f t="shared" si="3"/>
        <v>0</v>
      </c>
      <c r="I59" s="490"/>
      <c r="J59" s="495"/>
      <c r="K59" s="491"/>
      <c r="L59" s="492"/>
      <c r="M59" s="493"/>
      <c r="N59" s="723"/>
    </row>
    <row r="60" spans="1:14" x14ac:dyDescent="0.3">
      <c r="A60" s="163" t="str">
        <f>COA!B58</f>
        <v>2240 PST Payable:PST Collected on Sales</v>
      </c>
      <c r="C60" s="166">
        <f t="shared" si="16"/>
        <v>0</v>
      </c>
      <c r="D60" s="166">
        <f t="shared" si="17"/>
        <v>0</v>
      </c>
      <c r="E60" s="167"/>
      <c r="F60" s="168">
        <f t="shared" si="3"/>
        <v>0</v>
      </c>
      <c r="I60" s="490"/>
      <c r="J60" s="495"/>
      <c r="K60" s="491"/>
      <c r="L60" s="492"/>
      <c r="M60" s="493"/>
      <c r="N60" s="723"/>
    </row>
    <row r="61" spans="1:14" x14ac:dyDescent="0.3">
      <c r="A61" s="163" t="str">
        <f>COA!B59</f>
        <v>2245 PST Payable:PST Payable</v>
      </c>
      <c r="C61" s="166">
        <f t="shared" si="16"/>
        <v>0</v>
      </c>
      <c r="D61" s="166">
        <f t="shared" si="17"/>
        <v>0</v>
      </c>
      <c r="E61" s="167"/>
      <c r="F61" s="168">
        <f t="shared" si="3"/>
        <v>0</v>
      </c>
      <c r="I61" s="490"/>
      <c r="J61" s="495"/>
      <c r="K61" s="491"/>
      <c r="L61" s="492"/>
      <c r="M61" s="493"/>
      <c r="N61" s="723"/>
    </row>
    <row r="62" spans="1:14" x14ac:dyDescent="0.3">
      <c r="A62" s="163" t="str">
        <f>COA!B60</f>
        <v>2300 Corporate Tax Payable</v>
      </c>
      <c r="C62" s="166">
        <f t="shared" si="16"/>
        <v>0</v>
      </c>
      <c r="D62" s="166">
        <f t="shared" si="17"/>
        <v>0</v>
      </c>
      <c r="E62" s="167"/>
      <c r="F62" s="168">
        <f t="shared" si="3"/>
        <v>0</v>
      </c>
      <c r="I62" s="490"/>
      <c r="J62" s="495"/>
      <c r="K62" s="491"/>
      <c r="L62" s="492"/>
      <c r="M62" s="493"/>
      <c r="N62" s="723"/>
    </row>
    <row r="63" spans="1:14" x14ac:dyDescent="0.3">
      <c r="A63" s="163" t="str">
        <f>COA!B61</f>
        <v>2500 Due to/(from) related parties</v>
      </c>
      <c r="C63" s="166">
        <f t="shared" si="16"/>
        <v>0</v>
      </c>
      <c r="D63" s="166">
        <f t="shared" si="17"/>
        <v>0</v>
      </c>
      <c r="E63" s="167"/>
      <c r="F63" s="168">
        <f t="shared" si="3"/>
        <v>0</v>
      </c>
      <c r="I63" s="490"/>
      <c r="J63" s="495"/>
      <c r="K63" s="491"/>
      <c r="L63" s="492"/>
      <c r="M63" s="493"/>
      <c r="N63" s="723"/>
    </row>
    <row r="64" spans="1:14" x14ac:dyDescent="0.3">
      <c r="A64" s="163" t="str">
        <f>COA!B62</f>
        <v>2501 Due to/(from) related parties:Due To/From SAK2</v>
      </c>
      <c r="C64" s="166">
        <f t="shared" si="16"/>
        <v>0</v>
      </c>
      <c r="D64" s="166">
        <f t="shared" si="17"/>
        <v>0</v>
      </c>
      <c r="E64" s="167"/>
      <c r="F64" s="168">
        <f t="shared" si="3"/>
        <v>0</v>
      </c>
      <c r="I64" s="490"/>
      <c r="J64" s="495"/>
      <c r="K64" s="491"/>
      <c r="L64" s="492"/>
      <c r="M64" s="493"/>
      <c r="N64" s="723"/>
    </row>
    <row r="65" spans="1:14" x14ac:dyDescent="0.3">
      <c r="A65" s="163" t="str">
        <f>COA!B63</f>
        <v>2502 Due to/(from) related parties:Due To/From SAK6</v>
      </c>
      <c r="C65" s="166">
        <f t="shared" si="16"/>
        <v>0</v>
      </c>
      <c r="D65" s="166">
        <f t="shared" si="17"/>
        <v>0</v>
      </c>
      <c r="E65" s="167"/>
      <c r="F65" s="168">
        <f t="shared" si="3"/>
        <v>0</v>
      </c>
      <c r="I65" s="490"/>
      <c r="J65" s="495"/>
      <c r="K65" s="491"/>
      <c r="L65" s="492"/>
      <c r="M65" s="493"/>
      <c r="N65" s="723"/>
    </row>
    <row r="66" spans="1:14" x14ac:dyDescent="0.3">
      <c r="A66" s="163" t="str">
        <f>COA!B64</f>
        <v>2503 Due to/(from) related parties:Due To/From UpCapital</v>
      </c>
      <c r="C66" s="166">
        <f t="shared" si="16"/>
        <v>0</v>
      </c>
      <c r="D66" s="166">
        <f t="shared" si="17"/>
        <v>0</v>
      </c>
      <c r="E66" s="167"/>
      <c r="F66" s="168">
        <f t="shared" si="3"/>
        <v>0</v>
      </c>
      <c r="I66" s="490"/>
      <c r="J66" s="495"/>
      <c r="K66" s="491"/>
      <c r="L66" s="492"/>
      <c r="M66" s="493"/>
      <c r="N66" s="723"/>
    </row>
    <row r="67" spans="1:14" x14ac:dyDescent="0.3">
      <c r="A67" s="163" t="str">
        <f>COA!B65</f>
        <v>2504 Due to/(from) related parties:Shareholder's Loan</v>
      </c>
      <c r="C67" s="166">
        <f t="shared" si="16"/>
        <v>0</v>
      </c>
      <c r="D67" s="166">
        <f t="shared" si="17"/>
        <v>0</v>
      </c>
      <c r="E67" s="167"/>
      <c r="F67" s="168">
        <f t="shared" si="3"/>
        <v>0</v>
      </c>
      <c r="I67" s="490"/>
      <c r="J67" s="495"/>
      <c r="K67" s="491"/>
      <c r="L67" s="492"/>
      <c r="M67" s="493"/>
      <c r="N67" s="723"/>
    </row>
    <row r="68" spans="1:14" x14ac:dyDescent="0.3">
      <c r="A68" s="163" t="str">
        <f>COA!B66</f>
        <v>2600 Current portion of loans and borrowings</v>
      </c>
      <c r="C68" s="166">
        <f t="shared" si="16"/>
        <v>0</v>
      </c>
      <c r="D68" s="166">
        <f t="shared" si="17"/>
        <v>0</v>
      </c>
      <c r="E68" s="167"/>
      <c r="F68" s="168">
        <f t="shared" si="3"/>
        <v>0</v>
      </c>
      <c r="I68" s="490"/>
      <c r="J68" s="495"/>
      <c r="K68" s="491"/>
      <c r="L68" s="492"/>
      <c r="M68" s="493"/>
      <c r="N68" s="723"/>
    </row>
    <row r="69" spans="1:14" x14ac:dyDescent="0.3">
      <c r="A69" s="163" t="str">
        <f>COA!B67</f>
        <v>2600 Due to RPT - Diane Halston</v>
      </c>
      <c r="C69" s="166">
        <f t="shared" si="16"/>
        <v>0</v>
      </c>
      <c r="D69" s="166">
        <f t="shared" si="17"/>
        <v>0</v>
      </c>
      <c r="E69" s="167"/>
      <c r="F69" s="168">
        <f t="shared" si="3"/>
        <v>0</v>
      </c>
      <c r="I69" s="490"/>
      <c r="J69" s="495"/>
      <c r="K69" s="491"/>
      <c r="L69" s="492"/>
      <c r="M69" s="493"/>
      <c r="N69" s="723"/>
    </row>
    <row r="70" spans="1:14" x14ac:dyDescent="0.3">
      <c r="A70" s="163" t="str">
        <f>COA!B68</f>
        <v>2601 Due to RPT - Brett Halston</v>
      </c>
      <c r="C70" s="166">
        <f t="shared" ref="C70:C101" si="19">SUMIFS(M:M,K:K,A70,N:N,$C$3)</f>
        <v>0</v>
      </c>
      <c r="D70" s="166">
        <f t="shared" ref="D70:D101" si="20">SUMIFS(M:M,K:K,A70,N:N,$D$3)</f>
        <v>0</v>
      </c>
      <c r="E70" s="167"/>
      <c r="F70" s="168">
        <f t="shared" si="3"/>
        <v>0</v>
      </c>
      <c r="I70" s="490"/>
      <c r="J70" s="495"/>
      <c r="K70" s="491"/>
      <c r="L70" s="492"/>
      <c r="M70" s="493"/>
      <c r="N70" s="723"/>
    </row>
    <row r="71" spans="1:14" x14ac:dyDescent="0.3">
      <c r="A71" s="163" t="str">
        <f>COA!B69</f>
        <v>2602 Due to RPT - Keith Halston</v>
      </c>
      <c r="C71" s="166">
        <f t="shared" si="19"/>
        <v>0</v>
      </c>
      <c r="D71" s="166">
        <f t="shared" si="20"/>
        <v>0</v>
      </c>
      <c r="E71" s="167"/>
      <c r="F71" s="168">
        <f t="shared" si="3"/>
        <v>0</v>
      </c>
      <c r="J71" s="495" t="str">
        <f t="shared" ref="J71:J78" si="21">IF(M71&gt;0,"DR",IF(M71&lt;0,"CR",""))</f>
        <v/>
      </c>
      <c r="K71" s="491"/>
      <c r="N71" s="723"/>
    </row>
    <row r="72" spans="1:14" x14ac:dyDescent="0.3">
      <c r="A72" s="163" t="str">
        <f>COA!B70</f>
        <v>2650 Loans and borrowings</v>
      </c>
      <c r="C72" s="166">
        <f t="shared" si="19"/>
        <v>0</v>
      </c>
      <c r="D72" s="166">
        <f t="shared" si="20"/>
        <v>0</v>
      </c>
      <c r="E72" s="167"/>
      <c r="F72" s="168">
        <f t="shared" ref="F72:F135" si="22">SUM(C72:E72)</f>
        <v>0</v>
      </c>
      <c r="J72" s="495" t="str">
        <f t="shared" si="21"/>
        <v/>
      </c>
      <c r="K72" s="491"/>
      <c r="N72" s="723"/>
    </row>
    <row r="73" spans="1:14" x14ac:dyDescent="0.3">
      <c r="A73" s="163" t="str">
        <f>COA!B71</f>
        <v>2650 Loan Payable - current</v>
      </c>
      <c r="C73" s="166">
        <f t="shared" si="19"/>
        <v>0</v>
      </c>
      <c r="D73" s="166">
        <f t="shared" si="20"/>
        <v>0</v>
      </c>
      <c r="E73" s="167"/>
      <c r="F73" s="168">
        <f t="shared" si="22"/>
        <v>0</v>
      </c>
      <c r="J73" s="495" t="str">
        <f t="shared" si="21"/>
        <v/>
      </c>
      <c r="K73" s="491"/>
      <c r="N73" s="723"/>
    </row>
    <row r="74" spans="1:14" x14ac:dyDescent="0.3">
      <c r="A74" s="163" t="str">
        <f>COA!B72</f>
        <v>2651 Loan Payable - non-current</v>
      </c>
      <c r="C74" s="166">
        <f t="shared" si="19"/>
        <v>0</v>
      </c>
      <c r="D74" s="166">
        <f t="shared" si="20"/>
        <v>0</v>
      </c>
      <c r="E74" s="167"/>
      <c r="F74" s="168">
        <f t="shared" si="22"/>
        <v>0</v>
      </c>
      <c r="J74" s="495" t="str">
        <f t="shared" si="21"/>
        <v/>
      </c>
      <c r="K74" s="491"/>
      <c r="N74" s="723"/>
    </row>
    <row r="75" spans="1:14" x14ac:dyDescent="0.3">
      <c r="A75" s="163" t="str">
        <f>COA!B73</f>
        <v>2700 Share subscription payable</v>
      </c>
      <c r="C75" s="166">
        <f t="shared" si="19"/>
        <v>0</v>
      </c>
      <c r="D75" s="166">
        <f t="shared" si="20"/>
        <v>0</v>
      </c>
      <c r="E75" s="167"/>
      <c r="F75" s="168">
        <f t="shared" si="22"/>
        <v>0</v>
      </c>
      <c r="J75" s="495" t="str">
        <f t="shared" si="21"/>
        <v/>
      </c>
      <c r="K75" s="491"/>
      <c r="N75" s="723"/>
    </row>
    <row r="76" spans="1:14" x14ac:dyDescent="0.3">
      <c r="A76" s="163" t="str">
        <f>COA!B74</f>
        <v>2700 Due to Shareholders</v>
      </c>
      <c r="C76" s="166">
        <f t="shared" si="19"/>
        <v>0</v>
      </c>
      <c r="D76" s="166">
        <f t="shared" si="20"/>
        <v>0</v>
      </c>
      <c r="E76" s="167"/>
      <c r="F76" s="168">
        <f t="shared" si="22"/>
        <v>0</v>
      </c>
      <c r="J76" s="495" t="str">
        <f t="shared" si="21"/>
        <v/>
      </c>
      <c r="K76" s="491"/>
      <c r="N76" s="723"/>
    </row>
    <row r="77" spans="1:14" x14ac:dyDescent="0.3">
      <c r="A77" s="163" t="str">
        <f>COA!B75</f>
        <v>2705 Due to Shareholders:Due to SH - James Taylor</v>
      </c>
      <c r="C77" s="166">
        <f t="shared" si="19"/>
        <v>0</v>
      </c>
      <c r="D77" s="166">
        <f t="shared" si="20"/>
        <v>0</v>
      </c>
      <c r="E77" s="167"/>
      <c r="F77" s="168">
        <f t="shared" si="22"/>
        <v>0</v>
      </c>
      <c r="J77" s="495" t="str">
        <f t="shared" si="21"/>
        <v/>
      </c>
      <c r="K77" s="491"/>
      <c r="N77" s="723"/>
    </row>
    <row r="78" spans="1:14" x14ac:dyDescent="0.3">
      <c r="A78" s="163" t="str">
        <f>COA!B76</f>
        <v>2706 Due to Shareholders:Due to SH - Keith Halston</v>
      </c>
      <c r="C78" s="166">
        <f t="shared" si="19"/>
        <v>0</v>
      </c>
      <c r="D78" s="166">
        <f t="shared" si="20"/>
        <v>0</v>
      </c>
      <c r="E78" s="167"/>
      <c r="F78" s="168">
        <f t="shared" si="22"/>
        <v>0</v>
      </c>
      <c r="J78" s="495" t="str">
        <f t="shared" si="21"/>
        <v/>
      </c>
      <c r="K78" s="491"/>
      <c r="N78" s="723"/>
    </row>
    <row r="79" spans="1:14" x14ac:dyDescent="0.3">
      <c r="A79" s="163" t="str">
        <f>COA!B77</f>
        <v>2800 Current portion - convertible debt</v>
      </c>
      <c r="C79" s="166">
        <f t="shared" si="19"/>
        <v>0</v>
      </c>
      <c r="D79" s="166">
        <f t="shared" si="20"/>
        <v>0</v>
      </c>
      <c r="E79" s="167"/>
      <c r="F79" s="168">
        <f t="shared" si="22"/>
        <v>0</v>
      </c>
      <c r="J79" s="495" t="str">
        <f t="shared" ref="J79:J125" si="23">IF(M79&gt;0,"DR",IF(M79&lt;0,"CR",""))</f>
        <v/>
      </c>
      <c r="K79" s="491"/>
      <c r="N79" s="723"/>
    </row>
    <row r="80" spans="1:14" x14ac:dyDescent="0.3">
      <c r="A80" s="163" t="str">
        <f>COA!B78</f>
        <v>2801 long-term portion - convertible debt</v>
      </c>
      <c r="C80" s="166">
        <f t="shared" si="19"/>
        <v>0</v>
      </c>
      <c r="D80" s="166">
        <f t="shared" si="20"/>
        <v>0</v>
      </c>
      <c r="E80" s="167"/>
      <c r="F80" s="168">
        <f t="shared" si="22"/>
        <v>0</v>
      </c>
      <c r="J80" s="495" t="str">
        <f t="shared" si="23"/>
        <v/>
      </c>
      <c r="K80" s="491"/>
      <c r="N80" s="723"/>
    </row>
    <row r="81" spans="1:14" x14ac:dyDescent="0.3">
      <c r="A81" s="163" t="str">
        <f>COA!B79</f>
        <v>2802 Derivative liability</v>
      </c>
      <c r="C81" s="166">
        <f t="shared" si="19"/>
        <v>0</v>
      </c>
      <c r="D81" s="166">
        <f t="shared" si="20"/>
        <v>0</v>
      </c>
      <c r="E81" s="167"/>
      <c r="F81" s="168">
        <f t="shared" si="22"/>
        <v>0</v>
      </c>
      <c r="J81" s="495" t="str">
        <f t="shared" si="23"/>
        <v/>
      </c>
      <c r="K81" s="491"/>
      <c r="N81" s="723"/>
    </row>
    <row r="82" spans="1:14" x14ac:dyDescent="0.3">
      <c r="A82" s="163" t="str">
        <f>COA!B80</f>
        <v>2803 Accrued loan interest</v>
      </c>
      <c r="C82" s="166">
        <f t="shared" si="19"/>
        <v>0</v>
      </c>
      <c r="D82" s="166">
        <f t="shared" si="20"/>
        <v>0</v>
      </c>
      <c r="E82" s="167"/>
      <c r="F82" s="168">
        <f t="shared" si="22"/>
        <v>0</v>
      </c>
      <c r="J82" s="495" t="str">
        <f t="shared" si="23"/>
        <v/>
      </c>
      <c r="K82" s="491"/>
      <c r="N82" s="723"/>
    </row>
    <row r="83" spans="1:14" x14ac:dyDescent="0.3">
      <c r="A83" s="163" t="str">
        <f>COA!B81</f>
        <v>2900 Intercompany - due to Hallor Group Inc.</v>
      </c>
      <c r="C83" s="166">
        <f t="shared" si="19"/>
        <v>0</v>
      </c>
      <c r="D83" s="166">
        <f t="shared" si="20"/>
        <v>0</v>
      </c>
      <c r="E83" s="167"/>
      <c r="F83" s="168">
        <f t="shared" si="22"/>
        <v>0</v>
      </c>
      <c r="J83" s="495" t="str">
        <f t="shared" si="23"/>
        <v/>
      </c>
      <c r="K83" s="491"/>
      <c r="N83" s="723"/>
    </row>
    <row r="84" spans="1:14" x14ac:dyDescent="0.3">
      <c r="A84" s="163" t="str">
        <f>COA!B82</f>
        <v>3000 Share capital</v>
      </c>
      <c r="C84" s="166">
        <f t="shared" si="19"/>
        <v>0</v>
      </c>
      <c r="D84" s="166">
        <f t="shared" si="20"/>
        <v>0</v>
      </c>
      <c r="E84" s="167"/>
      <c r="F84" s="168">
        <f t="shared" si="22"/>
        <v>0</v>
      </c>
      <c r="J84" s="495" t="str">
        <f t="shared" si="23"/>
        <v/>
      </c>
      <c r="K84" s="491"/>
      <c r="N84" s="723"/>
    </row>
    <row r="85" spans="1:14" x14ac:dyDescent="0.3">
      <c r="A85" s="163" t="str">
        <f>COA!B83</f>
        <v>3000 Opening Bal Equity</v>
      </c>
      <c r="C85" s="166">
        <f t="shared" si="19"/>
        <v>-1698</v>
      </c>
      <c r="D85" s="166">
        <f t="shared" si="20"/>
        <v>0</v>
      </c>
      <c r="E85" s="167"/>
      <c r="F85" s="168">
        <f t="shared" si="22"/>
        <v>-1698</v>
      </c>
      <c r="J85" s="495" t="str">
        <f t="shared" si="23"/>
        <v/>
      </c>
      <c r="K85" s="491"/>
      <c r="N85" s="723"/>
    </row>
    <row r="86" spans="1:14" x14ac:dyDescent="0.3">
      <c r="A86" s="163" t="str">
        <f>COA!B84</f>
        <v>3001 Share capital:Common Shares</v>
      </c>
      <c r="C86" s="166">
        <f t="shared" si="19"/>
        <v>0</v>
      </c>
      <c r="D86" s="166">
        <f t="shared" si="20"/>
        <v>0</v>
      </c>
      <c r="E86" s="167"/>
      <c r="F86" s="168">
        <f t="shared" si="22"/>
        <v>0</v>
      </c>
      <c r="J86" s="495" t="str">
        <f t="shared" si="23"/>
        <v/>
      </c>
      <c r="K86" s="491"/>
      <c r="N86" s="723"/>
    </row>
    <row r="87" spans="1:14" x14ac:dyDescent="0.3">
      <c r="A87" s="163" t="str">
        <f>COA!B85</f>
        <v>3010 Share issuance cost</v>
      </c>
      <c r="C87" s="166">
        <f t="shared" si="19"/>
        <v>0</v>
      </c>
      <c r="D87" s="166">
        <f t="shared" si="20"/>
        <v>0</v>
      </c>
      <c r="E87" s="167"/>
      <c r="F87" s="168">
        <f t="shared" si="22"/>
        <v>0</v>
      </c>
      <c r="J87" s="495" t="str">
        <f t="shared" si="23"/>
        <v/>
      </c>
      <c r="K87" s="491"/>
      <c r="N87" s="723"/>
    </row>
    <row r="88" spans="1:14" x14ac:dyDescent="0.3">
      <c r="A88" s="163" t="str">
        <f>COA!B86</f>
        <v>3100 Warrant reserve</v>
      </c>
      <c r="C88" s="166">
        <f t="shared" si="19"/>
        <v>0</v>
      </c>
      <c r="D88" s="166">
        <f t="shared" si="20"/>
        <v>0</v>
      </c>
      <c r="E88" s="167"/>
      <c r="F88" s="168">
        <f t="shared" si="22"/>
        <v>0</v>
      </c>
      <c r="J88" s="495" t="str">
        <f t="shared" si="23"/>
        <v/>
      </c>
      <c r="K88" s="491"/>
      <c r="N88" s="723"/>
    </row>
    <row r="89" spans="1:14" x14ac:dyDescent="0.3">
      <c r="A89" s="163" t="str">
        <f>COA!B87</f>
        <v>3100 Common Shares</v>
      </c>
      <c r="C89" s="166">
        <f t="shared" si="19"/>
        <v>0</v>
      </c>
      <c r="D89" s="166">
        <f t="shared" si="20"/>
        <v>0</v>
      </c>
      <c r="E89" s="167"/>
      <c r="F89" s="168">
        <f t="shared" si="22"/>
        <v>0</v>
      </c>
      <c r="J89" s="495" t="str">
        <f t="shared" si="23"/>
        <v/>
      </c>
      <c r="K89" s="491"/>
      <c r="N89" s="723"/>
    </row>
    <row r="90" spans="1:14" x14ac:dyDescent="0.3">
      <c r="A90" s="163" t="str">
        <f>COA!B88</f>
        <v>3105 Common Shares:Class A Shares</v>
      </c>
      <c r="C90" s="166">
        <f t="shared" si="19"/>
        <v>24</v>
      </c>
      <c r="D90" s="166">
        <f t="shared" si="20"/>
        <v>0</v>
      </c>
      <c r="E90" s="167"/>
      <c r="F90" s="168">
        <f t="shared" si="22"/>
        <v>24</v>
      </c>
      <c r="J90" s="495" t="str">
        <f t="shared" si="23"/>
        <v/>
      </c>
      <c r="K90" s="491"/>
      <c r="N90" s="723"/>
    </row>
    <row r="91" spans="1:14" x14ac:dyDescent="0.3">
      <c r="A91" s="163" t="str">
        <f>COA!B89</f>
        <v>3110 Common Shares:Class B Shares</v>
      </c>
      <c r="C91" s="166">
        <f t="shared" si="19"/>
        <v>12</v>
      </c>
      <c r="D91" s="166">
        <f t="shared" si="20"/>
        <v>0</v>
      </c>
      <c r="E91" s="167"/>
      <c r="F91" s="168">
        <f t="shared" si="22"/>
        <v>12</v>
      </c>
      <c r="J91" s="495" t="str">
        <f t="shared" si="23"/>
        <v/>
      </c>
      <c r="K91" s="491"/>
      <c r="N91" s="723"/>
    </row>
    <row r="92" spans="1:14" x14ac:dyDescent="0.3">
      <c r="A92" s="163" t="str">
        <f>COA!B90</f>
        <v>3115 Common Shares:Class C Shares</v>
      </c>
      <c r="C92" s="166">
        <f t="shared" si="19"/>
        <v>12</v>
      </c>
      <c r="D92" s="166">
        <f t="shared" si="20"/>
        <v>0</v>
      </c>
      <c r="E92" s="167"/>
      <c r="F92" s="168">
        <f t="shared" si="22"/>
        <v>12</v>
      </c>
      <c r="J92" s="495" t="str">
        <f t="shared" si="23"/>
        <v/>
      </c>
      <c r="K92" s="491"/>
      <c r="N92" s="723"/>
    </row>
    <row r="93" spans="1:14" x14ac:dyDescent="0.3">
      <c r="A93" s="163" t="str">
        <f>COA!B91</f>
        <v>3200 Capital contribution</v>
      </c>
      <c r="C93" s="166">
        <f t="shared" si="19"/>
        <v>59350</v>
      </c>
      <c r="D93" s="166">
        <f t="shared" si="20"/>
        <v>0</v>
      </c>
      <c r="E93" s="167"/>
      <c r="F93" s="168">
        <f t="shared" si="22"/>
        <v>59350</v>
      </c>
      <c r="J93" s="495" t="str">
        <f t="shared" si="23"/>
        <v/>
      </c>
      <c r="K93" s="491"/>
      <c r="N93" s="723"/>
    </row>
    <row r="94" spans="1:14" x14ac:dyDescent="0.3">
      <c r="A94" s="163" t="str">
        <f>COA!B92</f>
        <v>3500 Opening Balance Equity</v>
      </c>
      <c r="C94" s="166">
        <f t="shared" si="19"/>
        <v>0</v>
      </c>
      <c r="D94" s="166">
        <f t="shared" si="20"/>
        <v>0</v>
      </c>
      <c r="E94" s="167"/>
      <c r="F94" s="168">
        <f t="shared" si="22"/>
        <v>0</v>
      </c>
      <c r="J94" s="495" t="str">
        <f t="shared" si="23"/>
        <v/>
      </c>
      <c r="K94" s="491"/>
      <c r="N94" s="723"/>
    </row>
    <row r="95" spans="1:14" x14ac:dyDescent="0.3">
      <c r="A95" s="163" t="str">
        <f>COA!B93</f>
        <v>3500 Revaluation surplus</v>
      </c>
      <c r="C95" s="166">
        <f t="shared" si="19"/>
        <v>0</v>
      </c>
      <c r="D95" s="166">
        <f t="shared" si="20"/>
        <v>0</v>
      </c>
      <c r="E95" s="167"/>
      <c r="F95" s="168">
        <f t="shared" si="22"/>
        <v>0</v>
      </c>
      <c r="J95" s="495" t="str">
        <f t="shared" si="23"/>
        <v/>
      </c>
      <c r="K95" s="491"/>
      <c r="N95" s="723"/>
    </row>
    <row r="96" spans="1:14" x14ac:dyDescent="0.3">
      <c r="A96" s="163" t="str">
        <f>COA!B94</f>
        <v>3501 Retained Earnings</v>
      </c>
      <c r="C96" s="166">
        <f t="shared" si="19"/>
        <v>1204016</v>
      </c>
      <c r="D96" s="166">
        <f t="shared" si="20"/>
        <v>0</v>
      </c>
      <c r="E96" s="167"/>
      <c r="F96" s="168">
        <f t="shared" si="22"/>
        <v>1204016</v>
      </c>
      <c r="J96" s="495" t="str">
        <f t="shared" si="23"/>
        <v/>
      </c>
      <c r="K96" s="491"/>
      <c r="N96" s="723"/>
    </row>
    <row r="97" spans="1:14" x14ac:dyDescent="0.3">
      <c r="A97" s="163" t="str">
        <f>COA!B95</f>
        <v>3900 Retained Earnings</v>
      </c>
      <c r="C97" s="166">
        <f t="shared" si="19"/>
        <v>-339522</v>
      </c>
      <c r="D97" s="166">
        <f t="shared" si="20"/>
        <v>0</v>
      </c>
      <c r="E97" s="167"/>
      <c r="F97" s="168">
        <f t="shared" si="22"/>
        <v>-339522</v>
      </c>
      <c r="J97" s="495" t="str">
        <f t="shared" si="23"/>
        <v/>
      </c>
      <c r="K97" s="491"/>
      <c r="N97" s="723"/>
    </row>
    <row r="98" spans="1:14" x14ac:dyDescent="0.3">
      <c r="A98" s="163" t="str">
        <f>COA!B96</f>
        <v>5000 Revenue</v>
      </c>
      <c r="C98" s="166">
        <f t="shared" si="19"/>
        <v>0</v>
      </c>
      <c r="D98" s="166">
        <f t="shared" si="20"/>
        <v>0</v>
      </c>
      <c r="E98" s="167"/>
      <c r="F98" s="168">
        <f t="shared" si="22"/>
        <v>0</v>
      </c>
      <c r="J98" s="495" t="str">
        <f t="shared" si="23"/>
        <v/>
      </c>
      <c r="K98" s="491"/>
      <c r="N98" s="723"/>
    </row>
    <row r="99" spans="1:14" x14ac:dyDescent="0.3">
      <c r="A99" s="163" t="str">
        <f>COA!B97</f>
        <v>5000 Utility Vehicle Sales</v>
      </c>
      <c r="C99" s="166">
        <f t="shared" si="19"/>
        <v>0</v>
      </c>
      <c r="D99" s="166">
        <f t="shared" si="20"/>
        <v>0</v>
      </c>
      <c r="E99" s="167"/>
      <c r="F99" s="168">
        <f t="shared" si="22"/>
        <v>0</v>
      </c>
      <c r="J99" s="495" t="str">
        <f t="shared" si="23"/>
        <v/>
      </c>
      <c r="K99" s="491"/>
      <c r="N99" s="723"/>
    </row>
    <row r="100" spans="1:14" x14ac:dyDescent="0.3">
      <c r="A100" s="163" t="str">
        <f>COA!B98</f>
        <v>5001 Other General Sales</v>
      </c>
      <c r="C100" s="166">
        <f t="shared" si="19"/>
        <v>0</v>
      </c>
      <c r="D100" s="166">
        <f t="shared" si="20"/>
        <v>0</v>
      </c>
      <c r="E100" s="167"/>
      <c r="F100" s="168">
        <f t="shared" si="22"/>
        <v>0</v>
      </c>
      <c r="J100" s="495" t="str">
        <f t="shared" si="23"/>
        <v/>
      </c>
      <c r="K100" s="491"/>
      <c r="N100" s="723"/>
    </row>
    <row r="101" spans="1:14" x14ac:dyDescent="0.3">
      <c r="A101" s="163" t="str">
        <f>COA!B99</f>
        <v>5002 Equipment parts sale</v>
      </c>
      <c r="C101" s="166">
        <f t="shared" si="19"/>
        <v>0</v>
      </c>
      <c r="D101" s="166">
        <f t="shared" si="20"/>
        <v>0</v>
      </c>
      <c r="E101" s="167"/>
      <c r="F101" s="168">
        <f t="shared" si="22"/>
        <v>0</v>
      </c>
      <c r="J101" s="495" t="str">
        <f t="shared" si="23"/>
        <v/>
      </c>
      <c r="K101" s="491"/>
      <c r="N101" s="723"/>
    </row>
    <row r="102" spans="1:14" x14ac:dyDescent="0.3">
      <c r="A102" s="163" t="str">
        <f>COA!B100</f>
        <v>5003 Labour service</v>
      </c>
      <c r="C102" s="166">
        <f t="shared" ref="C102:C133" si="24">SUMIFS(M:M,K:K,A102,N:N,$C$3)</f>
        <v>0</v>
      </c>
      <c r="D102" s="166">
        <f t="shared" ref="D102:D133" si="25">SUMIFS(M:M,K:K,A102,N:N,$D$3)</f>
        <v>0</v>
      </c>
      <c r="E102" s="167"/>
      <c r="F102" s="168">
        <f t="shared" si="22"/>
        <v>0</v>
      </c>
      <c r="J102" s="495" t="str">
        <f t="shared" si="23"/>
        <v/>
      </c>
      <c r="K102" s="491"/>
      <c r="N102" s="723"/>
    </row>
    <row r="103" spans="1:14" x14ac:dyDescent="0.3">
      <c r="A103" s="163" t="str">
        <f>COA!B101</f>
        <v>5004 Shop Supplies Sales</v>
      </c>
      <c r="C103" s="166">
        <f t="shared" si="24"/>
        <v>0</v>
      </c>
      <c r="D103" s="166">
        <f t="shared" si="25"/>
        <v>0</v>
      </c>
      <c r="E103" s="167"/>
      <c r="F103" s="168">
        <f t="shared" si="22"/>
        <v>0</v>
      </c>
      <c r="J103" s="495" t="str">
        <f t="shared" si="23"/>
        <v/>
      </c>
      <c r="K103" s="491"/>
      <c r="N103" s="723"/>
    </row>
    <row r="104" spans="1:14" x14ac:dyDescent="0.3">
      <c r="A104" s="163" t="str">
        <f>COA!B102</f>
        <v>5006 Markup</v>
      </c>
      <c r="C104" s="166">
        <f t="shared" si="24"/>
        <v>0</v>
      </c>
      <c r="D104" s="166">
        <f t="shared" si="25"/>
        <v>0</v>
      </c>
      <c r="E104" s="167"/>
      <c r="F104" s="168">
        <f t="shared" si="22"/>
        <v>0</v>
      </c>
      <c r="J104" s="495" t="str">
        <f t="shared" si="23"/>
        <v/>
      </c>
      <c r="K104" s="491"/>
      <c r="N104" s="723"/>
    </row>
    <row r="105" spans="1:14" x14ac:dyDescent="0.3">
      <c r="A105" s="163" t="str">
        <f>COA!B103</f>
        <v>5400 Government grant income</v>
      </c>
      <c r="C105" s="166">
        <f t="shared" si="24"/>
        <v>0</v>
      </c>
      <c r="D105" s="166">
        <f t="shared" si="25"/>
        <v>0</v>
      </c>
      <c r="E105" s="167"/>
      <c r="F105" s="168">
        <f t="shared" si="22"/>
        <v>0</v>
      </c>
      <c r="J105" s="495" t="str">
        <f t="shared" si="23"/>
        <v/>
      </c>
      <c r="K105" s="491"/>
      <c r="N105" s="723"/>
    </row>
    <row r="106" spans="1:14" x14ac:dyDescent="0.3">
      <c r="A106" s="163" t="str">
        <f>COA!B104</f>
        <v>5498 Interest income</v>
      </c>
      <c r="C106" s="166">
        <f t="shared" si="24"/>
        <v>0</v>
      </c>
      <c r="D106" s="166">
        <f t="shared" si="25"/>
        <v>0</v>
      </c>
      <c r="E106" s="167"/>
      <c r="F106" s="168">
        <f t="shared" si="22"/>
        <v>0</v>
      </c>
      <c r="J106" s="495" t="str">
        <f t="shared" si="23"/>
        <v/>
      </c>
      <c r="K106" s="491"/>
      <c r="N106" s="723"/>
    </row>
    <row r="107" spans="1:14" x14ac:dyDescent="0.3">
      <c r="A107" s="163" t="str">
        <f>COA!B105</f>
        <v>5499 Other Income</v>
      </c>
      <c r="C107" s="166">
        <f t="shared" si="24"/>
        <v>0</v>
      </c>
      <c r="D107" s="166">
        <f t="shared" si="25"/>
        <v>0</v>
      </c>
      <c r="E107" s="167"/>
      <c r="F107" s="168">
        <f t="shared" si="22"/>
        <v>0</v>
      </c>
      <c r="J107" s="495" t="str">
        <f t="shared" si="23"/>
        <v/>
      </c>
      <c r="K107" s="491"/>
      <c r="N107" s="723"/>
    </row>
    <row r="108" spans="1:14" x14ac:dyDescent="0.3">
      <c r="A108" s="163" t="str">
        <f>COA!B106</f>
        <v>5500 Cost of Goods Sold</v>
      </c>
      <c r="C108" s="166">
        <f t="shared" si="24"/>
        <v>0</v>
      </c>
      <c r="D108" s="166">
        <f t="shared" si="25"/>
        <v>0</v>
      </c>
      <c r="E108" s="167"/>
      <c r="F108" s="168">
        <f t="shared" si="22"/>
        <v>0</v>
      </c>
      <c r="J108" s="495" t="str">
        <f t="shared" si="23"/>
        <v/>
      </c>
      <c r="K108" s="491"/>
      <c r="N108" s="723"/>
    </row>
    <row r="109" spans="1:14" x14ac:dyDescent="0.3">
      <c r="A109" s="163" t="str">
        <f>COA!B107</f>
        <v>5510 Cost of Goods Sold:Parts and components  - COS</v>
      </c>
      <c r="C109" s="166">
        <f t="shared" si="24"/>
        <v>0</v>
      </c>
      <c r="D109" s="166">
        <f t="shared" si="25"/>
        <v>0</v>
      </c>
      <c r="E109" s="167"/>
      <c r="F109" s="168">
        <f t="shared" si="22"/>
        <v>0</v>
      </c>
      <c r="J109" s="495" t="str">
        <f t="shared" si="23"/>
        <v/>
      </c>
      <c r="K109" s="491"/>
      <c r="N109" s="723"/>
    </row>
    <row r="110" spans="1:14" x14ac:dyDescent="0.3">
      <c r="A110" s="163" t="str">
        <f>COA!B108</f>
        <v>5515 Cost of Goods Sold:Engineering  - COS</v>
      </c>
      <c r="C110" s="166">
        <f t="shared" si="24"/>
        <v>0</v>
      </c>
      <c r="D110" s="166">
        <f t="shared" si="25"/>
        <v>0</v>
      </c>
      <c r="E110" s="167"/>
      <c r="F110" s="168">
        <f t="shared" si="22"/>
        <v>0</v>
      </c>
      <c r="J110" s="495" t="str">
        <f t="shared" si="23"/>
        <v/>
      </c>
      <c r="K110" s="491"/>
      <c r="N110" s="723"/>
    </row>
    <row r="111" spans="1:14" x14ac:dyDescent="0.3">
      <c r="A111" s="163" t="str">
        <f>COA!B109</f>
        <v>5520 Cost of Goods Sold:Subcontracting  - COS</v>
      </c>
      <c r="C111" s="166">
        <f t="shared" si="24"/>
        <v>0</v>
      </c>
      <c r="D111" s="166">
        <f t="shared" si="25"/>
        <v>0</v>
      </c>
      <c r="E111" s="167"/>
      <c r="F111" s="168">
        <f t="shared" si="22"/>
        <v>0</v>
      </c>
      <c r="J111" s="495" t="str">
        <f t="shared" si="23"/>
        <v/>
      </c>
      <c r="K111" s="491"/>
      <c r="N111" s="723"/>
    </row>
    <row r="112" spans="1:14" x14ac:dyDescent="0.3">
      <c r="A112" s="163" t="str">
        <f>COA!B110</f>
        <v>5525 Cost of Goods Sold:Shipping  - COS</v>
      </c>
      <c r="C112" s="166">
        <f t="shared" si="24"/>
        <v>0</v>
      </c>
      <c r="D112" s="166">
        <f t="shared" si="25"/>
        <v>0</v>
      </c>
      <c r="E112" s="167"/>
      <c r="F112" s="168">
        <f t="shared" si="22"/>
        <v>0</v>
      </c>
      <c r="J112" s="495" t="str">
        <f t="shared" si="23"/>
        <v/>
      </c>
      <c r="K112" s="491"/>
      <c r="N112" s="723"/>
    </row>
    <row r="113" spans="1:14" x14ac:dyDescent="0.3">
      <c r="A113" s="163" t="str">
        <f>COA!B111</f>
        <v>5530 Cost of Goods Sold:Disposal/Landfill  - COS</v>
      </c>
      <c r="C113" s="166">
        <f t="shared" si="24"/>
        <v>0</v>
      </c>
      <c r="D113" s="166">
        <f t="shared" si="25"/>
        <v>0</v>
      </c>
      <c r="E113" s="167"/>
      <c r="F113" s="168">
        <f t="shared" si="22"/>
        <v>0</v>
      </c>
      <c r="J113" s="495" t="str">
        <f t="shared" si="23"/>
        <v/>
      </c>
      <c r="K113" s="491"/>
      <c r="N113" s="723"/>
    </row>
    <row r="114" spans="1:14" x14ac:dyDescent="0.3">
      <c r="A114" s="163" t="str">
        <f>COA!B112</f>
        <v>5535 Cost of Goods Sold:Inventory Write Off  - COS</v>
      </c>
      <c r="C114" s="166">
        <f t="shared" si="24"/>
        <v>0</v>
      </c>
      <c r="D114" s="166">
        <f t="shared" si="25"/>
        <v>0</v>
      </c>
      <c r="E114" s="167"/>
      <c r="F114" s="168">
        <f t="shared" si="22"/>
        <v>0</v>
      </c>
      <c r="J114" s="495" t="str">
        <f t="shared" si="23"/>
        <v/>
      </c>
      <c r="K114" s="491"/>
      <c r="N114" s="723"/>
    </row>
    <row r="115" spans="1:14" x14ac:dyDescent="0.3">
      <c r="A115" s="163" t="str">
        <f>COA!B113</f>
        <v>5540 Cost of Goods Sold:Equipment Fuel  - COS</v>
      </c>
      <c r="C115" s="166">
        <f t="shared" si="24"/>
        <v>0</v>
      </c>
      <c r="D115" s="166">
        <f t="shared" si="25"/>
        <v>0</v>
      </c>
      <c r="E115" s="167"/>
      <c r="F115" s="168">
        <f t="shared" si="22"/>
        <v>0</v>
      </c>
      <c r="J115" s="495" t="str">
        <f t="shared" si="23"/>
        <v/>
      </c>
      <c r="K115" s="491"/>
      <c r="N115" s="723"/>
    </row>
    <row r="116" spans="1:14" x14ac:dyDescent="0.3">
      <c r="A116" s="163" t="str">
        <f>COA!B114</f>
        <v>5545 Cost of Goods Sold:Equipment Leasing  - COS</v>
      </c>
      <c r="C116" s="166">
        <f t="shared" si="24"/>
        <v>0</v>
      </c>
      <c r="D116" s="166">
        <f t="shared" si="25"/>
        <v>0</v>
      </c>
      <c r="E116" s="167"/>
      <c r="F116" s="168">
        <f t="shared" si="22"/>
        <v>0</v>
      </c>
      <c r="J116" s="495" t="str">
        <f t="shared" si="23"/>
        <v/>
      </c>
      <c r="K116" s="491"/>
      <c r="N116" s="723"/>
    </row>
    <row r="117" spans="1:14" x14ac:dyDescent="0.3">
      <c r="A117" s="163" t="str">
        <f>COA!B115</f>
        <v>5511 Supplies and materials - COS</v>
      </c>
      <c r="C117" s="166">
        <f t="shared" si="24"/>
        <v>0</v>
      </c>
      <c r="D117" s="166">
        <f t="shared" si="25"/>
        <v>0</v>
      </c>
      <c r="E117" s="167"/>
      <c r="F117" s="168">
        <f t="shared" si="22"/>
        <v>0</v>
      </c>
      <c r="J117" s="495" t="str">
        <f t="shared" si="23"/>
        <v/>
      </c>
      <c r="K117" s="491"/>
      <c r="N117" s="723"/>
    </row>
    <row r="118" spans="1:14" x14ac:dyDescent="0.3">
      <c r="A118" s="163" t="str">
        <f>COA!B116</f>
        <v>5998 Uncategorized Income</v>
      </c>
      <c r="C118" s="166">
        <f t="shared" si="24"/>
        <v>0</v>
      </c>
      <c r="D118" s="166">
        <f t="shared" si="25"/>
        <v>0</v>
      </c>
      <c r="E118" s="167"/>
      <c r="F118" s="168">
        <f t="shared" si="22"/>
        <v>0</v>
      </c>
      <c r="J118" s="495" t="str">
        <f t="shared" si="23"/>
        <v/>
      </c>
      <c r="N118" s="723"/>
    </row>
    <row r="119" spans="1:14" x14ac:dyDescent="0.3">
      <c r="A119" s="163" t="str">
        <f>COA!B117</f>
        <v>5999 Uncategorized Income</v>
      </c>
      <c r="C119" s="166">
        <f t="shared" si="24"/>
        <v>0</v>
      </c>
      <c r="D119" s="166">
        <f t="shared" si="25"/>
        <v>0</v>
      </c>
      <c r="E119" s="167"/>
      <c r="F119" s="168">
        <f t="shared" si="22"/>
        <v>0</v>
      </c>
      <c r="J119" s="495" t="str">
        <f t="shared" si="23"/>
        <v/>
      </c>
      <c r="N119" s="723"/>
    </row>
    <row r="120" spans="1:14" x14ac:dyDescent="0.3">
      <c r="A120" s="163" t="str">
        <f>COA!B118</f>
        <v>5999 Unapplied Cash Payment Income</v>
      </c>
      <c r="C120" s="166">
        <f t="shared" si="24"/>
        <v>0</v>
      </c>
      <c r="D120" s="166">
        <f t="shared" si="25"/>
        <v>0</v>
      </c>
      <c r="E120" s="167"/>
      <c r="F120" s="168">
        <f t="shared" si="22"/>
        <v>0</v>
      </c>
      <c r="J120" s="495" t="str">
        <f t="shared" si="23"/>
        <v/>
      </c>
      <c r="N120" s="723"/>
    </row>
    <row r="121" spans="1:14" x14ac:dyDescent="0.3">
      <c r="A121" s="163" t="str">
        <f>COA!B119</f>
        <v>6000 Payroll Expenses</v>
      </c>
      <c r="C121" s="166">
        <f t="shared" si="24"/>
        <v>0</v>
      </c>
      <c r="D121" s="166">
        <f t="shared" si="25"/>
        <v>0</v>
      </c>
      <c r="E121" s="167"/>
      <c r="F121" s="168">
        <f t="shared" si="22"/>
        <v>0</v>
      </c>
      <c r="J121" s="495" t="str">
        <f t="shared" si="23"/>
        <v/>
      </c>
      <c r="N121" s="723"/>
    </row>
    <row r="122" spans="1:14" x14ac:dyDescent="0.3">
      <c r="A122" s="163" t="str">
        <f>COA!B120</f>
        <v>6001 Payroll Expenses:Management Salaries</v>
      </c>
      <c r="C122" s="166">
        <f t="shared" si="24"/>
        <v>0</v>
      </c>
      <c r="D122" s="166">
        <f t="shared" si="25"/>
        <v>0</v>
      </c>
      <c r="E122" s="167"/>
      <c r="F122" s="168">
        <f t="shared" si="22"/>
        <v>0</v>
      </c>
      <c r="J122" s="495" t="str">
        <f t="shared" si="23"/>
        <v/>
      </c>
      <c r="N122" s="723"/>
    </row>
    <row r="123" spans="1:14" x14ac:dyDescent="0.3">
      <c r="A123" s="163" t="str">
        <f>COA!B121</f>
        <v>6002 Payroll Expenses:Wages</v>
      </c>
      <c r="C123" s="166">
        <f t="shared" si="24"/>
        <v>0</v>
      </c>
      <c r="D123" s="166">
        <f t="shared" si="25"/>
        <v>0</v>
      </c>
      <c r="E123" s="167"/>
      <c r="F123" s="168">
        <f t="shared" si="22"/>
        <v>0</v>
      </c>
      <c r="J123" s="495" t="str">
        <f t="shared" si="23"/>
        <v/>
      </c>
      <c r="N123" s="723"/>
    </row>
    <row r="124" spans="1:14" x14ac:dyDescent="0.3">
      <c r="A124" s="163" t="str">
        <f>COA!B122</f>
        <v>6003 Payroll Expenses:Vacation Pay</v>
      </c>
      <c r="C124" s="166">
        <f t="shared" si="24"/>
        <v>0</v>
      </c>
      <c r="D124" s="166">
        <f t="shared" si="25"/>
        <v>0</v>
      </c>
      <c r="E124" s="167"/>
      <c r="F124" s="168">
        <f t="shared" si="22"/>
        <v>0</v>
      </c>
      <c r="J124" s="495" t="str">
        <f t="shared" si="23"/>
        <v/>
      </c>
      <c r="N124" s="723"/>
    </row>
    <row r="125" spans="1:14" x14ac:dyDescent="0.3">
      <c r="A125" s="163" t="str">
        <f>COA!B123</f>
        <v>6004 Payroll Expenses:Employer Taxes</v>
      </c>
      <c r="C125" s="166">
        <f t="shared" si="24"/>
        <v>0</v>
      </c>
      <c r="D125" s="166">
        <f t="shared" si="25"/>
        <v>0</v>
      </c>
      <c r="E125" s="167"/>
      <c r="F125" s="168">
        <f t="shared" si="22"/>
        <v>0</v>
      </c>
      <c r="J125" s="495" t="str">
        <f t="shared" si="23"/>
        <v/>
      </c>
      <c r="N125" s="723"/>
    </row>
    <row r="126" spans="1:14" x14ac:dyDescent="0.3">
      <c r="A126" s="163" t="str">
        <f>COA!B124</f>
        <v>6005 Payroll Expenses:WCB Expense</v>
      </c>
      <c r="C126" s="166">
        <f t="shared" si="24"/>
        <v>0</v>
      </c>
      <c r="D126" s="166">
        <f t="shared" si="25"/>
        <v>0</v>
      </c>
      <c r="E126" s="167"/>
      <c r="F126" s="168">
        <f t="shared" si="22"/>
        <v>0</v>
      </c>
      <c r="N126" s="723"/>
    </row>
    <row r="127" spans="1:14" x14ac:dyDescent="0.3">
      <c r="A127" s="163" t="str">
        <f>COA!B125</f>
        <v>6010 Other G&amp;A</v>
      </c>
      <c r="C127" s="166">
        <f t="shared" si="24"/>
        <v>0</v>
      </c>
      <c r="D127" s="166">
        <f t="shared" si="25"/>
        <v>0</v>
      </c>
      <c r="E127" s="167"/>
      <c r="F127" s="168">
        <f t="shared" si="22"/>
        <v>0</v>
      </c>
      <c r="N127" s="723"/>
    </row>
    <row r="128" spans="1:14" x14ac:dyDescent="0.3">
      <c r="A128" s="163" t="str">
        <f>COA!B126</f>
        <v>6011 Bank charges</v>
      </c>
      <c r="C128" s="166">
        <f t="shared" si="24"/>
        <v>0</v>
      </c>
      <c r="D128" s="166">
        <f t="shared" si="25"/>
        <v>0</v>
      </c>
      <c r="E128" s="167"/>
      <c r="F128" s="168">
        <f t="shared" si="22"/>
        <v>0</v>
      </c>
      <c r="N128" s="723"/>
    </row>
    <row r="129" spans="1:14" x14ac:dyDescent="0.3">
      <c r="A129" s="163" t="str">
        <f>COA!B127</f>
        <v>6012 Bad debts</v>
      </c>
      <c r="C129" s="166">
        <f t="shared" si="24"/>
        <v>0</v>
      </c>
      <c r="D129" s="166">
        <f t="shared" si="25"/>
        <v>0</v>
      </c>
      <c r="E129" s="167"/>
      <c r="F129" s="168">
        <f t="shared" si="22"/>
        <v>0</v>
      </c>
      <c r="N129" s="723"/>
    </row>
    <row r="130" spans="1:14" x14ac:dyDescent="0.3">
      <c r="A130" s="163" t="str">
        <f>COA!B128</f>
        <v>6012 Bad Debt</v>
      </c>
      <c r="C130" s="166">
        <f t="shared" si="24"/>
        <v>0</v>
      </c>
      <c r="D130" s="166">
        <f t="shared" si="25"/>
        <v>0</v>
      </c>
      <c r="E130" s="167"/>
      <c r="F130" s="168">
        <f t="shared" si="22"/>
        <v>0</v>
      </c>
      <c r="N130" s="723"/>
    </row>
    <row r="131" spans="1:14" x14ac:dyDescent="0.3">
      <c r="A131" s="163" t="str">
        <f>COA!B129</f>
        <v>6013 Interest expense</v>
      </c>
      <c r="C131" s="166">
        <f t="shared" si="24"/>
        <v>0</v>
      </c>
      <c r="D131" s="166">
        <f t="shared" si="25"/>
        <v>0</v>
      </c>
      <c r="E131" s="167"/>
      <c r="F131" s="168">
        <f t="shared" si="22"/>
        <v>0</v>
      </c>
      <c r="N131" s="723"/>
    </row>
    <row r="132" spans="1:14" x14ac:dyDescent="0.3">
      <c r="A132" s="163" t="str">
        <f>COA!B130</f>
        <v>6015 Accounting Fees</v>
      </c>
      <c r="C132" s="166">
        <f t="shared" si="24"/>
        <v>0</v>
      </c>
      <c r="D132" s="166">
        <f t="shared" si="25"/>
        <v>0</v>
      </c>
      <c r="E132" s="167"/>
      <c r="F132" s="168">
        <f t="shared" si="22"/>
        <v>0</v>
      </c>
      <c r="N132" s="723"/>
    </row>
    <row r="133" spans="1:14" x14ac:dyDescent="0.3">
      <c r="A133" s="163" t="str">
        <f>COA!B131</f>
        <v>6015 Accounting &amp; Legal</v>
      </c>
      <c r="C133" s="166">
        <f t="shared" si="24"/>
        <v>0</v>
      </c>
      <c r="D133" s="166">
        <f t="shared" si="25"/>
        <v>0</v>
      </c>
      <c r="E133" s="167"/>
      <c r="F133" s="168">
        <f t="shared" si="22"/>
        <v>0</v>
      </c>
      <c r="N133" s="723"/>
    </row>
    <row r="134" spans="1:14" x14ac:dyDescent="0.3">
      <c r="A134" s="163" t="str">
        <f>COA!B132</f>
        <v>6016 Legal and professional fees</v>
      </c>
      <c r="C134" s="166">
        <f t="shared" ref="C134:C165" si="26">SUMIFS(M:M,K:K,A134,N:N,$C$3)</f>
        <v>0</v>
      </c>
      <c r="D134" s="166">
        <f t="shared" ref="D134:D165" si="27">SUMIFS(M:M,K:K,A134,N:N,$D$3)</f>
        <v>0</v>
      </c>
      <c r="E134" s="167"/>
      <c r="F134" s="168">
        <f t="shared" si="22"/>
        <v>0</v>
      </c>
      <c r="N134" s="723"/>
    </row>
    <row r="135" spans="1:14" x14ac:dyDescent="0.3">
      <c r="A135" s="163" t="str">
        <f>COA!B133</f>
        <v>6016 Consulting Expense</v>
      </c>
      <c r="C135" s="166">
        <f t="shared" si="26"/>
        <v>0</v>
      </c>
      <c r="D135" s="166">
        <f t="shared" si="27"/>
        <v>0</v>
      </c>
      <c r="E135" s="167"/>
      <c r="F135" s="168">
        <f t="shared" si="22"/>
        <v>0</v>
      </c>
      <c r="N135" s="723"/>
    </row>
    <row r="136" spans="1:14" x14ac:dyDescent="0.3">
      <c r="A136" s="163" t="str">
        <f>COA!B134</f>
        <v>6017 Consulting Fees</v>
      </c>
      <c r="C136" s="166">
        <f t="shared" si="26"/>
        <v>0</v>
      </c>
      <c r="D136" s="166">
        <f t="shared" si="27"/>
        <v>0</v>
      </c>
      <c r="E136" s="167"/>
      <c r="F136" s="168">
        <f t="shared" ref="F136:F160" si="28">SUM(C136:E136)</f>
        <v>0</v>
      </c>
      <c r="N136" s="723"/>
    </row>
    <row r="137" spans="1:14" x14ac:dyDescent="0.3">
      <c r="A137" s="163" t="str">
        <f>COA!B135</f>
        <v>6018 Dues and Subscription</v>
      </c>
      <c r="C137" s="166">
        <f t="shared" si="26"/>
        <v>0</v>
      </c>
      <c r="D137" s="166">
        <f t="shared" si="27"/>
        <v>0</v>
      </c>
      <c r="E137" s="167"/>
      <c r="F137" s="168">
        <f t="shared" si="28"/>
        <v>0</v>
      </c>
      <c r="N137" s="723"/>
    </row>
    <row r="138" spans="1:14" x14ac:dyDescent="0.3">
      <c r="A138" s="163" t="str">
        <f>COA!B136</f>
        <v>6020 Advertising &amp; Promotion</v>
      </c>
      <c r="C138" s="166">
        <f t="shared" si="26"/>
        <v>0</v>
      </c>
      <c r="D138" s="166">
        <f t="shared" si="27"/>
        <v>0</v>
      </c>
      <c r="E138" s="167"/>
      <c r="F138" s="168">
        <f t="shared" si="28"/>
        <v>0</v>
      </c>
      <c r="N138" s="723"/>
    </row>
    <row r="139" spans="1:14" x14ac:dyDescent="0.3">
      <c r="A139" s="163" t="str">
        <f>COA!B137</f>
        <v>6021 Tradeshows and conventions</v>
      </c>
      <c r="C139" s="166">
        <f t="shared" si="26"/>
        <v>0</v>
      </c>
      <c r="D139" s="166">
        <f t="shared" si="27"/>
        <v>0</v>
      </c>
      <c r="E139" s="167"/>
      <c r="F139" s="168">
        <f t="shared" si="28"/>
        <v>0</v>
      </c>
      <c r="N139" s="723"/>
    </row>
    <row r="140" spans="1:14" x14ac:dyDescent="0.3">
      <c r="A140" s="163" t="str">
        <f>COA!B138</f>
        <v>6025 Dues and Subscriptions</v>
      </c>
      <c r="C140" s="166">
        <f t="shared" si="26"/>
        <v>0</v>
      </c>
      <c r="D140" s="166">
        <f t="shared" si="27"/>
        <v>0</v>
      </c>
      <c r="E140" s="167"/>
      <c r="F140" s="168">
        <f t="shared" si="28"/>
        <v>0</v>
      </c>
      <c r="N140" s="723"/>
    </row>
    <row r="141" spans="1:14" x14ac:dyDescent="0.3">
      <c r="A141" s="163" t="str">
        <f>COA!B139</f>
        <v>6025 Automobile</v>
      </c>
      <c r="C141" s="166">
        <f t="shared" si="26"/>
        <v>0</v>
      </c>
      <c r="D141" s="166">
        <f t="shared" si="27"/>
        <v>0</v>
      </c>
      <c r="E141" s="167"/>
      <c r="F141" s="168">
        <f t="shared" si="28"/>
        <v>0</v>
      </c>
      <c r="N141" s="723"/>
    </row>
    <row r="142" spans="1:14" x14ac:dyDescent="0.3">
      <c r="A142" s="163" t="str">
        <f>COA!B140</f>
        <v>6026 Fuel / Industrial Gas</v>
      </c>
      <c r="C142" s="166">
        <f t="shared" si="26"/>
        <v>0</v>
      </c>
      <c r="D142" s="166">
        <f t="shared" si="27"/>
        <v>0</v>
      </c>
      <c r="E142" s="167"/>
      <c r="F142" s="168">
        <f t="shared" si="28"/>
        <v>0</v>
      </c>
      <c r="N142" s="723"/>
    </row>
    <row r="143" spans="1:14" x14ac:dyDescent="0.3">
      <c r="A143" s="163" t="str">
        <f>COA!B141</f>
        <v>6030 Communications</v>
      </c>
      <c r="C143" s="166">
        <f t="shared" si="26"/>
        <v>0</v>
      </c>
      <c r="D143" s="166">
        <f t="shared" si="27"/>
        <v>0</v>
      </c>
      <c r="E143" s="167"/>
      <c r="F143" s="168">
        <f t="shared" si="28"/>
        <v>0</v>
      </c>
      <c r="N143" s="723"/>
    </row>
    <row r="144" spans="1:14" x14ac:dyDescent="0.3">
      <c r="A144" s="163" t="str">
        <f>COA!B142</f>
        <v>6031 IT Expense</v>
      </c>
      <c r="C144" s="166">
        <f t="shared" si="26"/>
        <v>0</v>
      </c>
      <c r="D144" s="166">
        <f t="shared" si="27"/>
        <v>0</v>
      </c>
      <c r="E144" s="167"/>
      <c r="F144" s="168">
        <f t="shared" si="28"/>
        <v>0</v>
      </c>
      <c r="N144" s="723"/>
    </row>
    <row r="145" spans="1:14" x14ac:dyDescent="0.3">
      <c r="A145" s="163" t="str">
        <f>COA!B143</f>
        <v>6040 Meals and entertainment</v>
      </c>
      <c r="C145" s="166">
        <f t="shared" si="26"/>
        <v>0</v>
      </c>
      <c r="D145" s="166">
        <f t="shared" si="27"/>
        <v>0</v>
      </c>
      <c r="E145" s="167"/>
      <c r="F145" s="168">
        <f t="shared" si="28"/>
        <v>0</v>
      </c>
      <c r="N145" s="723"/>
    </row>
    <row r="146" spans="1:14" x14ac:dyDescent="0.3">
      <c r="A146" s="163" t="str">
        <f>COA!B144</f>
        <v>6041 Travel Meals</v>
      </c>
      <c r="C146" s="166">
        <f t="shared" si="26"/>
        <v>0</v>
      </c>
      <c r="D146" s="166">
        <f t="shared" si="27"/>
        <v>0</v>
      </c>
      <c r="E146" s="167"/>
      <c r="F146" s="168">
        <f t="shared" si="28"/>
        <v>0</v>
      </c>
      <c r="N146" s="723"/>
    </row>
    <row r="147" spans="1:14" x14ac:dyDescent="0.3">
      <c r="A147" s="163" t="str">
        <f>COA!B145</f>
        <v>6042 Travel</v>
      </c>
      <c r="C147" s="166">
        <f t="shared" si="26"/>
        <v>0</v>
      </c>
      <c r="D147" s="166">
        <f t="shared" si="27"/>
        <v>0</v>
      </c>
      <c r="E147" s="167"/>
      <c r="F147" s="168">
        <f t="shared" si="28"/>
        <v>0</v>
      </c>
      <c r="N147" s="723"/>
    </row>
    <row r="148" spans="1:14" x14ac:dyDescent="0.3">
      <c r="A148" s="163" t="str">
        <f>COA!B146</f>
        <v>6043 Transfer agent and regulatory expenses</v>
      </c>
      <c r="C148" s="166">
        <f t="shared" si="26"/>
        <v>0</v>
      </c>
      <c r="D148" s="166">
        <f t="shared" si="27"/>
        <v>0</v>
      </c>
      <c r="E148" s="167"/>
      <c r="F148" s="168">
        <f t="shared" si="28"/>
        <v>0</v>
      </c>
      <c r="N148" s="723"/>
    </row>
    <row r="149" spans="1:14" x14ac:dyDescent="0.3">
      <c r="A149" s="163" t="str">
        <f>COA!B147</f>
        <v>6050 Insurance</v>
      </c>
      <c r="C149" s="166">
        <f t="shared" si="26"/>
        <v>0</v>
      </c>
      <c r="D149" s="166">
        <f t="shared" si="27"/>
        <v>0</v>
      </c>
      <c r="E149" s="167"/>
      <c r="F149" s="168">
        <f t="shared" si="28"/>
        <v>0</v>
      </c>
      <c r="N149" s="723"/>
    </row>
    <row r="150" spans="1:14" x14ac:dyDescent="0.3">
      <c r="A150" s="163" t="str">
        <f>COA!B148</f>
        <v>6060 Office expenses</v>
      </c>
      <c r="C150" s="166">
        <f t="shared" si="26"/>
        <v>0</v>
      </c>
      <c r="D150" s="166">
        <f t="shared" si="27"/>
        <v>0</v>
      </c>
      <c r="E150" s="167"/>
      <c r="F150" s="168">
        <f t="shared" si="28"/>
        <v>0</v>
      </c>
      <c r="N150" s="723"/>
    </row>
    <row r="151" spans="1:14" x14ac:dyDescent="0.3">
      <c r="A151" s="163" t="str">
        <f>COA!B149</f>
        <v>6060 Repairs and Maintenance</v>
      </c>
      <c r="C151" s="166">
        <f t="shared" si="26"/>
        <v>0</v>
      </c>
      <c r="D151" s="166">
        <f t="shared" si="27"/>
        <v>0</v>
      </c>
      <c r="E151" s="167"/>
      <c r="F151" s="168">
        <f t="shared" si="28"/>
        <v>0</v>
      </c>
      <c r="N151" s="723"/>
    </row>
    <row r="152" spans="1:14" x14ac:dyDescent="0.3">
      <c r="A152" s="163" t="str">
        <f>COA!B150</f>
        <v>6061 Other general and administrative expenses</v>
      </c>
      <c r="C152" s="166">
        <f t="shared" si="26"/>
        <v>0</v>
      </c>
      <c r="D152" s="166">
        <f t="shared" si="27"/>
        <v>0</v>
      </c>
      <c r="E152" s="167"/>
      <c r="F152" s="168">
        <f t="shared" si="28"/>
        <v>0</v>
      </c>
      <c r="N152" s="723"/>
    </row>
    <row r="153" spans="1:14" x14ac:dyDescent="0.3">
      <c r="A153" s="163" t="str">
        <f>COA!B151</f>
        <v>6065 Rent</v>
      </c>
      <c r="C153" s="166">
        <f t="shared" si="26"/>
        <v>0</v>
      </c>
      <c r="D153" s="166">
        <f t="shared" si="27"/>
        <v>0</v>
      </c>
      <c r="E153" s="167"/>
      <c r="F153" s="168">
        <f t="shared" si="28"/>
        <v>0</v>
      </c>
      <c r="N153" s="723"/>
    </row>
    <row r="154" spans="1:14" x14ac:dyDescent="0.3">
      <c r="A154" s="163" t="str">
        <f>COA!B152</f>
        <v>6066 Utilities</v>
      </c>
      <c r="C154" s="166">
        <f t="shared" si="26"/>
        <v>0</v>
      </c>
      <c r="D154" s="166">
        <f t="shared" si="27"/>
        <v>0</v>
      </c>
      <c r="E154" s="167"/>
      <c r="F154" s="168">
        <f t="shared" si="28"/>
        <v>0</v>
      </c>
      <c r="N154" s="723"/>
    </row>
    <row r="155" spans="1:14" x14ac:dyDescent="0.3">
      <c r="A155" s="163" t="str">
        <f>COA!B153</f>
        <v>6068 Shipping, Freight, and Delivery</v>
      </c>
      <c r="C155" s="166">
        <f t="shared" si="26"/>
        <v>0</v>
      </c>
      <c r="D155" s="166">
        <f t="shared" si="27"/>
        <v>0</v>
      </c>
      <c r="E155" s="167"/>
      <c r="F155" s="168">
        <f t="shared" si="28"/>
        <v>0</v>
      </c>
      <c r="N155" s="723"/>
    </row>
    <row r="156" spans="1:14" x14ac:dyDescent="0.3">
      <c r="A156" s="163" t="str">
        <f>COA!B154</f>
        <v>6070 Office Supplies</v>
      </c>
      <c r="C156" s="166">
        <f t="shared" si="26"/>
        <v>0</v>
      </c>
      <c r="D156" s="166">
        <f t="shared" si="27"/>
        <v>0</v>
      </c>
      <c r="E156" s="167"/>
      <c r="F156" s="168">
        <f t="shared" si="28"/>
        <v>0</v>
      </c>
      <c r="N156" s="723"/>
    </row>
    <row r="157" spans="1:14" x14ac:dyDescent="0.3">
      <c r="A157" s="163" t="str">
        <f>COA!B155</f>
        <v>6075 Minor shop tools</v>
      </c>
      <c r="C157" s="166">
        <f t="shared" si="26"/>
        <v>0</v>
      </c>
      <c r="D157" s="166">
        <f t="shared" si="27"/>
        <v>0</v>
      </c>
      <c r="E157" s="167"/>
      <c r="F157" s="168">
        <f t="shared" si="28"/>
        <v>0</v>
      </c>
      <c r="N157" s="723"/>
    </row>
    <row r="158" spans="1:14" x14ac:dyDescent="0.3">
      <c r="A158" s="163" t="str">
        <f>COA!B156</f>
        <v>6076 Disposal/Landfill</v>
      </c>
      <c r="C158" s="166">
        <f t="shared" si="26"/>
        <v>0</v>
      </c>
      <c r="D158" s="166">
        <f t="shared" si="27"/>
        <v>0</v>
      </c>
      <c r="E158" s="167"/>
      <c r="F158" s="168">
        <f t="shared" si="28"/>
        <v>0</v>
      </c>
      <c r="N158" s="723"/>
    </row>
    <row r="159" spans="1:14" x14ac:dyDescent="0.3">
      <c r="A159" s="163" t="str">
        <f>COA!B157</f>
        <v>6080 PST Expense (BC)</v>
      </c>
      <c r="C159" s="166">
        <f t="shared" si="26"/>
        <v>0</v>
      </c>
      <c r="D159" s="166">
        <f t="shared" si="27"/>
        <v>0</v>
      </c>
      <c r="E159" s="167"/>
      <c r="F159" s="168">
        <f t="shared" si="28"/>
        <v>0</v>
      </c>
      <c r="N159" s="723"/>
    </row>
    <row r="160" spans="1:14" x14ac:dyDescent="0.3">
      <c r="A160" s="163" t="str">
        <f>COA!B158</f>
        <v>6080 Shop and other supplies</v>
      </c>
      <c r="C160" s="166">
        <f t="shared" si="26"/>
        <v>0</v>
      </c>
      <c r="D160" s="166">
        <f t="shared" si="27"/>
        <v>0</v>
      </c>
      <c r="E160" s="167"/>
      <c r="F160" s="168">
        <f t="shared" si="28"/>
        <v>0</v>
      </c>
      <c r="N160" s="723"/>
    </row>
    <row r="161" spans="1:14" x14ac:dyDescent="0.3">
      <c r="A161" s="163" t="str">
        <f>COA!B159</f>
        <v>6085 Depreciation</v>
      </c>
      <c r="C161" s="166">
        <f t="shared" si="26"/>
        <v>1256364</v>
      </c>
      <c r="D161" s="166">
        <f t="shared" si="27"/>
        <v>0</v>
      </c>
      <c r="E161" s="167"/>
      <c r="F161" s="168">
        <f t="shared" ref="F161" si="29">SUM(C161:E161)</f>
        <v>1256364</v>
      </c>
      <c r="N161" s="723"/>
    </row>
    <row r="162" spans="1:14" x14ac:dyDescent="0.3">
      <c r="A162" s="163" t="str">
        <f>COA!B160</f>
        <v>6090 Corporate Tax Expense</v>
      </c>
      <c r="C162" s="166">
        <f t="shared" si="26"/>
        <v>0</v>
      </c>
      <c r="D162" s="166">
        <f t="shared" si="27"/>
        <v>0</v>
      </c>
      <c r="E162" s="167"/>
      <c r="F162" s="168">
        <f t="shared" ref="F162:F166" si="30">SUM(C162:E162)</f>
        <v>0</v>
      </c>
      <c r="N162" s="723"/>
    </row>
    <row r="163" spans="1:14" x14ac:dyDescent="0.3">
      <c r="A163" s="163" t="str">
        <f>COA!B161</f>
        <v>6092 Penalties</v>
      </c>
      <c r="C163" s="166">
        <f t="shared" si="26"/>
        <v>0</v>
      </c>
      <c r="D163" s="166">
        <f t="shared" si="27"/>
        <v>0</v>
      </c>
      <c r="E163" s="167"/>
      <c r="F163" s="168">
        <f t="shared" si="30"/>
        <v>0</v>
      </c>
      <c r="N163" s="723"/>
    </row>
    <row r="164" spans="1:14" x14ac:dyDescent="0.3">
      <c r="A164" s="163" t="str">
        <f>COA!B162</f>
        <v>6092 Penalities</v>
      </c>
      <c r="C164" s="166">
        <f t="shared" si="26"/>
        <v>0</v>
      </c>
      <c r="D164" s="166">
        <f t="shared" si="27"/>
        <v>0</v>
      </c>
      <c r="E164" s="167"/>
      <c r="F164" s="168">
        <f t="shared" si="30"/>
        <v>0</v>
      </c>
      <c r="N164" s="723"/>
    </row>
    <row r="165" spans="1:14" x14ac:dyDescent="0.3">
      <c r="A165" s="163" t="str">
        <f>COA!B163</f>
        <v>6100 Listing expense</v>
      </c>
      <c r="C165" s="166">
        <f t="shared" si="26"/>
        <v>0</v>
      </c>
      <c r="D165" s="166">
        <f t="shared" si="27"/>
        <v>0</v>
      </c>
      <c r="E165" s="167"/>
      <c r="F165" s="168">
        <f t="shared" si="30"/>
        <v>0</v>
      </c>
      <c r="N165" s="723"/>
    </row>
    <row r="166" spans="1:14" x14ac:dyDescent="0.3">
      <c r="A166" s="163" t="str">
        <f>COA!B164</f>
        <v>6300 Unapplied Cash Bill Payment Expense</v>
      </c>
      <c r="C166" s="166">
        <f t="shared" ref="C166:C183" si="31">SUMIFS(M:M,K:K,A166,N:N,$C$3)</f>
        <v>0</v>
      </c>
      <c r="D166" s="166">
        <f t="shared" ref="D166:D183" si="32">SUMIFS(M:M,K:K,A166,N:N,$D$3)</f>
        <v>0</v>
      </c>
      <c r="E166" s="167"/>
      <c r="F166" s="168">
        <f t="shared" si="30"/>
        <v>0</v>
      </c>
      <c r="N166" s="723"/>
    </row>
    <row r="167" spans="1:14" x14ac:dyDescent="0.3">
      <c r="A167" s="163" t="str">
        <f>COA!B165</f>
        <v>6300 Design and modeling</v>
      </c>
      <c r="C167" s="166">
        <f t="shared" si="31"/>
        <v>0</v>
      </c>
      <c r="D167" s="166">
        <f t="shared" si="32"/>
        <v>0</v>
      </c>
      <c r="E167" s="167"/>
      <c r="F167" s="168">
        <f t="shared" ref="F167" si="33">SUM(C167:E167)</f>
        <v>0</v>
      </c>
      <c r="N167" s="723"/>
    </row>
    <row r="168" spans="1:14" x14ac:dyDescent="0.3">
      <c r="A168" s="163" t="str">
        <f>COA!B166</f>
        <v>6350 Other labor costs</v>
      </c>
      <c r="C168" s="166">
        <f t="shared" si="31"/>
        <v>0</v>
      </c>
      <c r="D168" s="166">
        <f t="shared" si="32"/>
        <v>0</v>
      </c>
      <c r="E168" s="167"/>
      <c r="F168" s="168">
        <f t="shared" ref="F168:F169" si="34">SUM(C168:E168)</f>
        <v>0</v>
      </c>
      <c r="N168" s="723"/>
    </row>
    <row r="169" spans="1:14" x14ac:dyDescent="0.3">
      <c r="A169" s="163" t="str">
        <f>COA!B167</f>
        <v>6997 Unapplied Cash Bill Payment Expense</v>
      </c>
      <c r="C169" s="166">
        <f t="shared" si="31"/>
        <v>0</v>
      </c>
      <c r="D169" s="166">
        <f t="shared" si="32"/>
        <v>0</v>
      </c>
      <c r="E169" s="167"/>
      <c r="F169" s="168">
        <f t="shared" si="34"/>
        <v>0</v>
      </c>
      <c r="N169" s="723"/>
    </row>
    <row r="170" spans="1:14" x14ac:dyDescent="0.3">
      <c r="A170" s="163" t="str">
        <f>COA!B168</f>
        <v>6998 Uncategorized Expense</v>
      </c>
      <c r="C170" s="166">
        <f t="shared" si="31"/>
        <v>0</v>
      </c>
      <c r="D170" s="166">
        <f t="shared" si="32"/>
        <v>0</v>
      </c>
      <c r="E170" s="167"/>
      <c r="F170" s="168">
        <f t="shared" ref="F170:F171" si="35">SUM(C170:E170)</f>
        <v>0</v>
      </c>
      <c r="N170" s="723"/>
    </row>
    <row r="171" spans="1:14" x14ac:dyDescent="0.3">
      <c r="A171" s="163" t="str">
        <f>COA!B169</f>
        <v>6999 Miscellaneous</v>
      </c>
      <c r="C171" s="166">
        <f t="shared" si="31"/>
        <v>0</v>
      </c>
      <c r="D171" s="166">
        <f t="shared" si="32"/>
        <v>0</v>
      </c>
      <c r="E171" s="167"/>
      <c r="F171" s="168">
        <f t="shared" si="35"/>
        <v>0</v>
      </c>
      <c r="N171" s="723"/>
    </row>
    <row r="172" spans="1:14" x14ac:dyDescent="0.3">
      <c r="A172" s="163" t="str">
        <f>COA!B170</f>
        <v>7000 Reconciliation Discrepancies</v>
      </c>
      <c r="C172" s="166">
        <f t="shared" si="31"/>
        <v>0</v>
      </c>
      <c r="D172" s="166">
        <f t="shared" si="32"/>
        <v>0</v>
      </c>
      <c r="E172" s="167"/>
      <c r="F172" s="168">
        <f t="shared" ref="F172:F173" si="36">SUM(C172:E172)</f>
        <v>0</v>
      </c>
      <c r="N172" s="723"/>
    </row>
    <row r="173" spans="1:14" x14ac:dyDescent="0.3">
      <c r="A173" s="163" t="str">
        <f>COA!B171</f>
        <v>8000 Exchange Gain or Loss</v>
      </c>
      <c r="C173" s="166">
        <f t="shared" si="31"/>
        <v>0</v>
      </c>
      <c r="D173" s="166">
        <f t="shared" si="32"/>
        <v>0</v>
      </c>
      <c r="E173" s="167"/>
      <c r="F173" s="168">
        <f t="shared" si="36"/>
        <v>0</v>
      </c>
      <c r="N173" s="723"/>
    </row>
    <row r="174" spans="1:14" x14ac:dyDescent="0.3">
      <c r="A174" s="163" t="str">
        <f>COA!B172</f>
        <v>IMP1 - Warranty expense</v>
      </c>
      <c r="C174" s="166">
        <f t="shared" si="31"/>
        <v>0</v>
      </c>
      <c r="D174" s="166">
        <f t="shared" si="32"/>
        <v>0</v>
      </c>
      <c r="E174" s="167"/>
      <c r="F174" s="168">
        <f t="shared" ref="F174:F177" si="37">SUM(C174:E174)</f>
        <v>0</v>
      </c>
      <c r="N174" s="723"/>
    </row>
    <row r="175" spans="1:14" x14ac:dyDescent="0.3">
      <c r="A175" s="163" t="str">
        <f>COA!B173</f>
        <v>IMP2 - Engineering expense</v>
      </c>
      <c r="C175" s="166">
        <f t="shared" si="31"/>
        <v>0</v>
      </c>
      <c r="D175" s="166">
        <f t="shared" si="32"/>
        <v>0</v>
      </c>
      <c r="E175" s="167"/>
      <c r="F175" s="168">
        <f t="shared" si="37"/>
        <v>0</v>
      </c>
      <c r="N175" s="723"/>
    </row>
    <row r="176" spans="1:14" x14ac:dyDescent="0.3">
      <c r="A176" s="163" t="str">
        <f>COA!B174</f>
        <v>IMP3 - Commission expense</v>
      </c>
      <c r="C176" s="166">
        <f t="shared" si="31"/>
        <v>0</v>
      </c>
      <c r="D176" s="166">
        <f t="shared" si="32"/>
        <v>0</v>
      </c>
      <c r="E176" s="167"/>
      <c r="F176" s="168">
        <f t="shared" si="37"/>
        <v>0</v>
      </c>
      <c r="N176" s="723"/>
    </row>
    <row r="177" spans="1:14" x14ac:dyDescent="0.3">
      <c r="A177" s="163" t="str">
        <f>COA!B175</f>
        <v>IMP4 - Warranty Liability</v>
      </c>
      <c r="C177" s="166">
        <f t="shared" si="31"/>
        <v>0</v>
      </c>
      <c r="D177" s="166">
        <f t="shared" si="32"/>
        <v>0</v>
      </c>
      <c r="E177" s="167"/>
      <c r="F177" s="168">
        <f t="shared" si="37"/>
        <v>0</v>
      </c>
      <c r="N177" s="723"/>
    </row>
    <row r="178" spans="1:14" x14ac:dyDescent="0.3">
      <c r="A178" s="163" t="str">
        <f>COA!B176</f>
        <v>IMP5 - R&amp;D</v>
      </c>
      <c r="C178" s="166">
        <f t="shared" si="31"/>
        <v>0</v>
      </c>
      <c r="D178" s="166">
        <f t="shared" si="32"/>
        <v>0</v>
      </c>
      <c r="E178" s="167"/>
      <c r="F178" s="168">
        <f t="shared" ref="F178" si="38">SUM(C178:E178)</f>
        <v>0</v>
      </c>
      <c r="N178" s="723"/>
    </row>
    <row r="179" spans="1:14" x14ac:dyDescent="0.3">
      <c r="A179" s="163" t="str">
        <f>COA!B177</f>
        <v>IMP6 - Acquisition costs</v>
      </c>
      <c r="C179" s="166">
        <f t="shared" si="31"/>
        <v>0</v>
      </c>
      <c r="D179" s="166">
        <f t="shared" si="32"/>
        <v>0</v>
      </c>
      <c r="E179" s="167"/>
      <c r="F179" s="168">
        <f t="shared" ref="F179:F182" si="39">SUM(C179:E179)</f>
        <v>0</v>
      </c>
      <c r="N179" s="723"/>
    </row>
    <row r="180" spans="1:14" x14ac:dyDescent="0.3">
      <c r="A180" s="163" t="str">
        <f>COA!B178</f>
        <v>IMP9 - Share-based compensation</v>
      </c>
      <c r="C180" s="166">
        <f t="shared" si="31"/>
        <v>0</v>
      </c>
      <c r="D180" s="166">
        <f t="shared" si="32"/>
        <v>0</v>
      </c>
      <c r="E180" s="167"/>
      <c r="F180" s="168">
        <f t="shared" si="39"/>
        <v>0</v>
      </c>
      <c r="N180" s="723"/>
    </row>
    <row r="181" spans="1:14" x14ac:dyDescent="0.3">
      <c r="A181" s="163" t="str">
        <f>COA!B179</f>
        <v>6200 Accretion expense</v>
      </c>
      <c r="C181" s="166">
        <f t="shared" si="31"/>
        <v>0</v>
      </c>
      <c r="D181" s="166">
        <f t="shared" si="32"/>
        <v>0</v>
      </c>
      <c r="E181" s="167"/>
      <c r="F181" s="168">
        <f t="shared" si="39"/>
        <v>0</v>
      </c>
      <c r="N181" s="723"/>
    </row>
    <row r="182" spans="1:14" x14ac:dyDescent="0.3">
      <c r="A182" s="163" t="str">
        <f>COA!B180</f>
        <v>6250 Finance expense</v>
      </c>
      <c r="C182" s="166">
        <f t="shared" si="31"/>
        <v>0</v>
      </c>
      <c r="D182" s="166">
        <f t="shared" si="32"/>
        <v>0</v>
      </c>
      <c r="E182" s="167"/>
      <c r="F182" s="168">
        <f t="shared" si="39"/>
        <v>0</v>
      </c>
      <c r="N182" s="723"/>
    </row>
    <row r="183" spans="1:14" x14ac:dyDescent="0.3">
      <c r="A183" s="163" t="str">
        <f>COA!B181</f>
        <v>6086 Amortization</v>
      </c>
      <c r="C183" s="166">
        <f t="shared" si="31"/>
        <v>0</v>
      </c>
      <c r="D183" s="166">
        <f t="shared" si="32"/>
        <v>0</v>
      </c>
      <c r="E183" s="167"/>
      <c r="F183" s="168">
        <f t="shared" ref="F183" si="40">SUM(C183:E183)</f>
        <v>0</v>
      </c>
      <c r="N183" s="723"/>
    </row>
    <row r="184" spans="1:14" x14ac:dyDescent="0.3">
      <c r="A184" s="162"/>
      <c r="C184" s="166"/>
      <c r="D184" s="166"/>
      <c r="E184" s="167"/>
      <c r="F184" s="168">
        <f t="shared" ref="F184" si="41">SUM(C184:E184)</f>
        <v>0</v>
      </c>
      <c r="N184" s="723"/>
    </row>
    <row r="185" spans="1:14" x14ac:dyDescent="0.3">
      <c r="A185" s="259" t="s">
        <v>259</v>
      </c>
      <c r="B185" s="175"/>
      <c r="C185" s="187">
        <f>SUM(C6:C184)</f>
        <v>0</v>
      </c>
      <c r="D185" s="187">
        <f>SUM(D6:D184)</f>
        <v>0</v>
      </c>
      <c r="E185" s="175"/>
      <c r="F185" s="187">
        <f>SUM(F6:F184)</f>
        <v>0</v>
      </c>
      <c r="N185" s="723"/>
    </row>
  </sheetData>
  <autoFilter ref="A5:N185" xr:uid="{7C41FBDC-FD3F-426B-BED6-48E93AB74F57}"/>
  <mergeCells count="2">
    <mergeCell ref="C3:C4"/>
    <mergeCell ref="D3:D4"/>
  </mergeCells>
  <phoneticPr fontId="42" type="noConversion"/>
  <dataValidations count="3">
    <dataValidation type="list" allowBlank="1" showInputMessage="1" showErrorMessage="1" sqref="N6:N55 V13:V21" xr:uid="{9289C375-EA98-4FD3-8129-578706387539}">
      <formula1>$K$1:$K$3</formula1>
    </dataValidation>
    <dataValidation type="list" allowBlank="1" showInputMessage="1" showErrorMessage="1" sqref="K6:K7 K9:K47 K58:K132 S13:S21" xr:uid="{42DF0A6E-A0C0-4571-A8F6-CC326B4C1E2C}">
      <formula1>$A$6:$A$184</formula1>
    </dataValidation>
    <dataValidation type="list" allowBlank="1" showInputMessage="1" showErrorMessage="1" sqref="N58:N185" xr:uid="{7DDBA632-6BF5-4182-BD92-3361F8C74BAB}">
      <formula1>$J$1:$J$3</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A058-927C-4177-B8C5-8C3CC3F9A534}">
  <sheetPr>
    <tabColor rgb="FF00FF99"/>
  </sheetPr>
  <dimension ref="A1:V179"/>
  <sheetViews>
    <sheetView workbookViewId="0"/>
  </sheetViews>
  <sheetFormatPr defaultRowHeight="14.4" outlineLevelCol="1" x14ac:dyDescent="0.3"/>
  <cols>
    <col min="1" max="1" width="56.109375" style="163" bestFit="1" customWidth="1"/>
    <col min="2" max="2" width="5.5546875" customWidth="1"/>
    <col min="3" max="4" width="18.5546875" hidden="1" customWidth="1" outlineLevel="1"/>
    <col min="5" max="5" width="3" customWidth="1" collapsed="1"/>
    <col min="6" max="6" width="16.44140625" customWidth="1"/>
    <col min="7" max="7" width="2.5546875" customWidth="1"/>
    <col min="8" max="8" width="5.5546875" style="483" customWidth="1"/>
    <col min="9" max="9" width="2.6640625" customWidth="1"/>
    <col min="10" max="11" width="18.5546875" hidden="1" customWidth="1" outlineLevel="1"/>
    <col min="12" max="12" width="3" customWidth="1" collapsed="1"/>
    <col min="13" max="13" width="16.44140625" customWidth="1"/>
    <col min="14" max="14" width="7.44140625" style="484" customWidth="1"/>
    <col min="15" max="15" width="12.21875" customWidth="1"/>
    <col min="16" max="16" width="11.21875" style="159" customWidth="1"/>
    <col min="17" max="17" width="30.109375" bestFit="1" customWidth="1"/>
    <col min="18" max="18" width="29.33203125" bestFit="1" customWidth="1"/>
    <col min="19" max="19" width="18.33203125" style="499" bestFit="1" customWidth="1"/>
    <col min="20" max="20" width="15.5546875" customWidth="1"/>
    <col min="21" max="21" width="17.6640625" style="159" bestFit="1" customWidth="1"/>
    <col min="22" max="22" width="7.44140625" style="484" customWidth="1"/>
  </cols>
  <sheetData>
    <row r="1" spans="1:21" x14ac:dyDescent="0.3">
      <c r="A1" s="259" t="s">
        <v>259</v>
      </c>
      <c r="B1" s="175"/>
      <c r="C1" s="187">
        <f>SUM(C7:C179)</f>
        <v>0</v>
      </c>
      <c r="D1" s="187">
        <f>SUM(D7:D179)</f>
        <v>0</v>
      </c>
      <c r="E1" s="175"/>
      <c r="F1" s="187">
        <f>SUM(F7:F179)</f>
        <v>0</v>
      </c>
      <c r="H1" s="482"/>
      <c r="J1" s="187">
        <f>SUM(J7:J179)</f>
        <v>0</v>
      </c>
      <c r="K1" s="187">
        <f>SUM(K7:K179)</f>
        <v>0</v>
      </c>
      <c r="L1" s="175"/>
      <c r="M1" s="187">
        <f>SUM(M7:M179)</f>
        <v>0</v>
      </c>
      <c r="O1" s="175"/>
      <c r="Q1" s="745" t="s">
        <v>638</v>
      </c>
      <c r="S1" s="529" t="str">
        <f>F2</f>
        <v>3 months</v>
      </c>
      <c r="T1" s="527" t="str">
        <f>M2</f>
        <v>year ended</v>
      </c>
    </row>
    <row r="2" spans="1:21" ht="18.75" customHeight="1" x14ac:dyDescent="0.3">
      <c r="A2" s="161" t="s">
        <v>257</v>
      </c>
      <c r="C2" s="528" t="str">
        <f>INPUTS!$B$16</f>
        <v>3 months</v>
      </c>
      <c r="D2" s="528" t="str">
        <f>INPUTS!$B$16</f>
        <v>3 months</v>
      </c>
      <c r="E2" s="490"/>
      <c r="F2" s="528" t="str">
        <f>INPUTS!$B$16</f>
        <v>3 months</v>
      </c>
      <c r="J2" s="528" t="str">
        <f>_xlfn.XLOOKUP(INPUTS!$B$3,INPUTS!$A$16:$A$19,INPUTS!$B$16:$B$19,"n/a",0,1)</f>
        <v>year ended</v>
      </c>
      <c r="K2" s="528" t="str">
        <f>_xlfn.XLOOKUP(INPUTS!$B$3,INPUTS!$A$16:$A$19,INPUTS!$B$16:$B$19,"n/a",0,1)</f>
        <v>year ended</v>
      </c>
      <c r="M2" s="528" t="str">
        <f>_xlfn.XLOOKUP(INPUTS!$B$3,INPUTS!$A$16:$A$19,INPUTS!$B$16:$B$19,"n/a",0,1)</f>
        <v>year ended</v>
      </c>
      <c r="Q2" s="745" t="s">
        <v>639</v>
      </c>
      <c r="R2" s="209" t="s">
        <v>393</v>
      </c>
      <c r="S2" s="496">
        <f>SUMIF(T$7:T$1048576,S1,S$7:S$1048576)</f>
        <v>0</v>
      </c>
      <c r="T2" s="489">
        <f>SUMIF(T$7:T$1048576,T1,S$7:S$1048576)</f>
        <v>0</v>
      </c>
      <c r="U2" s="721"/>
    </row>
    <row r="3" spans="1:21" ht="40.35" customHeight="1" x14ac:dyDescent="0.3">
      <c r="A3" s="209" t="s">
        <v>270</v>
      </c>
      <c r="C3" s="210" t="s">
        <v>638</v>
      </c>
      <c r="D3" s="210" t="s">
        <v>639</v>
      </c>
      <c r="F3" s="973" t="s">
        <v>646</v>
      </c>
      <c r="H3" s="481"/>
      <c r="J3" s="210" t="s">
        <v>638</v>
      </c>
      <c r="K3" s="210" t="s">
        <v>639</v>
      </c>
      <c r="M3" s="973" t="s">
        <v>646</v>
      </c>
      <c r="R3" s="209"/>
      <c r="S3" s="498"/>
    </row>
    <row r="4" spans="1:21" ht="28.8" x14ac:dyDescent="0.3">
      <c r="A4" s="715">
        <f>currentperiod_end_date</f>
        <v>45838</v>
      </c>
      <c r="C4" s="921" t="s">
        <v>395</v>
      </c>
      <c r="D4" s="921" t="s">
        <v>395</v>
      </c>
      <c r="F4" s="172" t="s">
        <v>256</v>
      </c>
      <c r="H4" s="481"/>
      <c r="J4" s="921" t="s">
        <v>395</v>
      </c>
      <c r="K4" s="921" t="s">
        <v>395</v>
      </c>
      <c r="M4" s="172" t="s">
        <v>256</v>
      </c>
    </row>
    <row r="5" spans="1:21" x14ac:dyDescent="0.3">
      <c r="A5" s="161" t="s">
        <v>215</v>
      </c>
      <c r="C5" s="921"/>
      <c r="D5" s="921"/>
      <c r="F5" s="777"/>
      <c r="H5" s="481"/>
      <c r="J5" s="921"/>
      <c r="K5" s="921"/>
      <c r="M5" s="777"/>
      <c r="U5" s="722"/>
    </row>
    <row r="6" spans="1:21" ht="28.8" x14ac:dyDescent="0.3">
      <c r="A6" s="161"/>
      <c r="C6" s="174" t="s">
        <v>258</v>
      </c>
      <c r="D6" s="174" t="s">
        <v>258</v>
      </c>
      <c r="F6" s="174" t="s">
        <v>258</v>
      </c>
      <c r="H6" s="481"/>
      <c r="J6" s="174" t="s">
        <v>258</v>
      </c>
      <c r="K6" s="174" t="s">
        <v>258</v>
      </c>
      <c r="M6" s="174" t="s">
        <v>258</v>
      </c>
      <c r="O6" s="494" t="s">
        <v>394</v>
      </c>
      <c r="P6" s="519" t="s">
        <v>258</v>
      </c>
      <c r="Q6" s="486" t="s">
        <v>389</v>
      </c>
      <c r="R6" s="485" t="s">
        <v>390</v>
      </c>
      <c r="S6" s="497" t="s">
        <v>391</v>
      </c>
      <c r="T6" s="488" t="s">
        <v>392</v>
      </c>
      <c r="U6" s="488" t="s">
        <v>637</v>
      </c>
    </row>
    <row r="7" spans="1:21" x14ac:dyDescent="0.3">
      <c r="A7" s="162" t="str">
        <f>COA!B5</f>
        <v>1000 Chequing - 5002829</v>
      </c>
      <c r="C7" s="166">
        <f t="shared" ref="C7:C38" si="0">SUMIFS($S:$S,$Q:$Q,$A7,$T:$T,$C$2,$U:$U,C$3)</f>
        <v>0</v>
      </c>
      <c r="D7" s="166">
        <f t="shared" ref="D7:D38" si="1">SUMIFS($S:$S,$Q:$Q,$A7,$T:$T,$D$2,$U:$U,D$3)</f>
        <v>0</v>
      </c>
      <c r="E7" s="167"/>
      <c r="F7" s="168">
        <f>SUM(C7:E7)</f>
        <v>0</v>
      </c>
      <c r="H7" s="481"/>
      <c r="J7" s="166">
        <f t="shared" ref="J7:J38" si="2">SUMIFS($S:$S,$Q:$Q,$A7,$T:$T,$J$2,$U:$U,J$3)</f>
        <v>0</v>
      </c>
      <c r="K7" s="166">
        <f t="shared" ref="K7:K38" si="3">SUMIFS($S:$S,$Q:$Q,$A7,$T:$T,$K$2,$U:$U,K$3)</f>
        <v>0</v>
      </c>
      <c r="L7" s="167"/>
      <c r="M7" s="168">
        <f>SUM(J7:L7)</f>
        <v>0</v>
      </c>
      <c r="O7" s="490"/>
      <c r="P7" s="495"/>
      <c r="Q7" s="491"/>
      <c r="R7" s="492"/>
      <c r="S7" s="493"/>
      <c r="T7" s="723"/>
      <c r="U7" s="723"/>
    </row>
    <row r="8" spans="1:21" x14ac:dyDescent="0.3">
      <c r="A8" s="162" t="str">
        <f>COA!B6</f>
        <v>1000 Undeposited Funds</v>
      </c>
      <c r="C8" s="166">
        <f t="shared" si="0"/>
        <v>0</v>
      </c>
      <c r="D8" s="166">
        <f t="shared" si="1"/>
        <v>0</v>
      </c>
      <c r="E8" s="167"/>
      <c r="F8" s="168">
        <f t="shared" ref="F8:F54" si="4">SUM(C8:E8)</f>
        <v>0</v>
      </c>
      <c r="H8" s="482"/>
      <c r="J8" s="166">
        <f t="shared" si="2"/>
        <v>0</v>
      </c>
      <c r="K8" s="166">
        <f t="shared" si="3"/>
        <v>0</v>
      </c>
      <c r="L8" s="167"/>
      <c r="M8" s="168">
        <f t="shared" ref="M8:M54" si="5">SUM(J8:L8)</f>
        <v>0</v>
      </c>
      <c r="O8" s="490" t="s">
        <v>2186</v>
      </c>
      <c r="P8" s="495" t="str">
        <f>IF(S8&gt;0,"DR",IF(S8&lt;0,"CR",""))</f>
        <v>DR</v>
      </c>
      <c r="Q8" s="491" t="s">
        <v>610</v>
      </c>
      <c r="R8" s="492" t="s">
        <v>2178</v>
      </c>
      <c r="S8" s="493">
        <f>'AJE.1 - F25'!M32</f>
        <v>1256364</v>
      </c>
      <c r="T8" s="723" t="s">
        <v>371</v>
      </c>
      <c r="U8" s="723" t="s">
        <v>638</v>
      </c>
    </row>
    <row r="9" spans="1:21" x14ac:dyDescent="0.3">
      <c r="A9" s="162" t="str">
        <f>COA!B7</f>
        <v>1001 Petty Cash</v>
      </c>
      <c r="C9" s="166">
        <f t="shared" si="0"/>
        <v>0</v>
      </c>
      <c r="D9" s="166">
        <f t="shared" si="1"/>
        <v>0</v>
      </c>
      <c r="E9" s="167"/>
      <c r="F9" s="168">
        <f t="shared" si="4"/>
        <v>0</v>
      </c>
      <c r="H9" s="482"/>
      <c r="J9" s="166">
        <f t="shared" si="2"/>
        <v>0</v>
      </c>
      <c r="K9" s="166">
        <f t="shared" si="3"/>
        <v>0</v>
      </c>
      <c r="L9" s="167"/>
      <c r="M9" s="168">
        <f t="shared" si="5"/>
        <v>0</v>
      </c>
      <c r="O9" s="494" t="str">
        <f>O8</f>
        <v>F25 Amort</v>
      </c>
      <c r="P9" s="519" t="str">
        <f>IF(S9&gt;0,"DR",IF(S9&lt;0,"CR",""))</f>
        <v>CR</v>
      </c>
      <c r="Q9" s="711" t="s">
        <v>2171</v>
      </c>
      <c r="R9" s="960" t="str">
        <f>R8</f>
        <v>F25 amortization of intangibles</v>
      </c>
      <c r="S9" s="712">
        <f>-S8</f>
        <v>-1256364</v>
      </c>
      <c r="T9" s="961" t="s">
        <v>371</v>
      </c>
      <c r="U9" s="961" t="s">
        <v>638</v>
      </c>
    </row>
    <row r="10" spans="1:21" x14ac:dyDescent="0.3">
      <c r="A10" s="162" t="str">
        <f>COA!B8</f>
        <v>1002 TD - Chequing 1869</v>
      </c>
      <c r="C10" s="166">
        <f t="shared" si="0"/>
        <v>0</v>
      </c>
      <c r="D10" s="166">
        <f t="shared" si="1"/>
        <v>0</v>
      </c>
      <c r="E10" s="167"/>
      <c r="F10" s="168">
        <f t="shared" si="4"/>
        <v>0</v>
      </c>
      <c r="H10" s="482"/>
      <c r="J10" s="166">
        <f t="shared" si="2"/>
        <v>0</v>
      </c>
      <c r="K10" s="166">
        <f t="shared" si="3"/>
        <v>0</v>
      </c>
      <c r="L10" s="167"/>
      <c r="M10" s="168">
        <f t="shared" si="5"/>
        <v>0</v>
      </c>
      <c r="O10" s="490"/>
      <c r="P10" s="495" t="str">
        <f t="shared" ref="P10:P60" si="6">IF(S10&gt;0,"DR",IF(S10&lt;0,"CR",""))</f>
        <v/>
      </c>
      <c r="Q10" s="491"/>
      <c r="R10" s="492"/>
      <c r="S10" s="493"/>
      <c r="T10" s="490"/>
      <c r="U10" s="723"/>
    </row>
    <row r="11" spans="1:21" x14ac:dyDescent="0.3">
      <c r="A11" s="162" t="str">
        <f>COA!B9</f>
        <v>1003 TD - Savings 2407</v>
      </c>
      <c r="C11" s="166">
        <f t="shared" si="0"/>
        <v>0</v>
      </c>
      <c r="D11" s="166">
        <f t="shared" si="1"/>
        <v>0</v>
      </c>
      <c r="E11" s="167"/>
      <c r="F11" s="168">
        <f t="shared" si="4"/>
        <v>0</v>
      </c>
      <c r="H11" s="482"/>
      <c r="J11" s="166">
        <f t="shared" si="2"/>
        <v>0</v>
      </c>
      <c r="K11" s="166">
        <f t="shared" si="3"/>
        <v>0</v>
      </c>
      <c r="L11" s="167"/>
      <c r="M11" s="168">
        <f t="shared" si="5"/>
        <v>0</v>
      </c>
      <c r="O11" s="490"/>
      <c r="P11" s="495" t="str">
        <f t="shared" si="6"/>
        <v/>
      </c>
      <c r="Q11" s="491"/>
      <c r="R11" s="492"/>
      <c r="S11" s="493"/>
      <c r="T11" s="490"/>
      <c r="U11" s="723"/>
    </row>
    <row r="12" spans="1:21" x14ac:dyDescent="0.3">
      <c r="A12" s="162" t="str">
        <f>COA!B10</f>
        <v>1004 TD - Visa 7692</v>
      </c>
      <c r="C12" s="166">
        <f t="shared" si="0"/>
        <v>0</v>
      </c>
      <c r="D12" s="166">
        <f t="shared" si="1"/>
        <v>0</v>
      </c>
      <c r="E12" s="167"/>
      <c r="F12" s="168">
        <f t="shared" si="4"/>
        <v>0</v>
      </c>
      <c r="H12" s="482"/>
      <c r="J12" s="166">
        <f t="shared" si="2"/>
        <v>0</v>
      </c>
      <c r="K12" s="166">
        <f t="shared" si="3"/>
        <v>0</v>
      </c>
      <c r="L12" s="167"/>
      <c r="M12" s="168">
        <f t="shared" si="5"/>
        <v>0</v>
      </c>
      <c r="O12" s="490"/>
      <c r="P12" s="495" t="str">
        <f t="shared" si="6"/>
        <v/>
      </c>
      <c r="Q12" s="491"/>
      <c r="R12" s="492"/>
      <c r="S12" s="493"/>
      <c r="T12" s="490"/>
      <c r="U12" s="723"/>
    </row>
    <row r="13" spans="1:21" x14ac:dyDescent="0.3">
      <c r="A13" s="162" t="str">
        <f>COA!B11</f>
        <v>1005 Undeposited Funds</v>
      </c>
      <c r="C13" s="166">
        <f t="shared" si="0"/>
        <v>0</v>
      </c>
      <c r="D13" s="166">
        <f t="shared" si="1"/>
        <v>0</v>
      </c>
      <c r="E13" s="167"/>
      <c r="F13" s="168">
        <f t="shared" si="4"/>
        <v>0</v>
      </c>
      <c r="H13" s="482"/>
      <c r="J13" s="166">
        <f t="shared" si="2"/>
        <v>0</v>
      </c>
      <c r="K13" s="166">
        <f t="shared" si="3"/>
        <v>0</v>
      </c>
      <c r="L13" s="167"/>
      <c r="M13" s="168">
        <f t="shared" si="5"/>
        <v>0</v>
      </c>
      <c r="O13" s="490"/>
      <c r="P13" s="495" t="str">
        <f t="shared" si="6"/>
        <v/>
      </c>
      <c r="Q13" s="491"/>
      <c r="R13" s="492"/>
      <c r="S13" s="493"/>
      <c r="T13" s="490"/>
      <c r="U13" s="723"/>
    </row>
    <row r="14" spans="1:21" x14ac:dyDescent="0.3">
      <c r="A14" s="162" t="str">
        <f>COA!B12</f>
        <v>1005 Interior Savings - 5224</v>
      </c>
      <c r="C14" s="166">
        <f t="shared" si="0"/>
        <v>0</v>
      </c>
      <c r="D14" s="166">
        <f t="shared" si="1"/>
        <v>0</v>
      </c>
      <c r="E14" s="167"/>
      <c r="F14" s="168">
        <f t="shared" si="4"/>
        <v>0</v>
      </c>
      <c r="H14" s="482"/>
      <c r="J14" s="166">
        <f t="shared" si="2"/>
        <v>0</v>
      </c>
      <c r="K14" s="166">
        <f t="shared" si="3"/>
        <v>0</v>
      </c>
      <c r="L14" s="167"/>
      <c r="M14" s="168">
        <f t="shared" si="5"/>
        <v>0</v>
      </c>
      <c r="O14" s="490"/>
      <c r="P14" s="495" t="str">
        <f t="shared" si="6"/>
        <v/>
      </c>
      <c r="Q14" s="491"/>
      <c r="R14" s="492"/>
      <c r="S14" s="493"/>
      <c r="T14" s="490"/>
      <c r="U14" s="723"/>
    </row>
    <row r="15" spans="1:21" x14ac:dyDescent="0.3">
      <c r="A15" s="162" t="str">
        <f>COA!B13</f>
        <v>1006 Interior Savings - Member Shares 5182</v>
      </c>
      <c r="C15" s="166">
        <f t="shared" si="0"/>
        <v>0</v>
      </c>
      <c r="D15" s="166">
        <f t="shared" si="1"/>
        <v>0</v>
      </c>
      <c r="E15" s="167"/>
      <c r="F15" s="168">
        <f t="shared" si="4"/>
        <v>0</v>
      </c>
      <c r="H15" s="482"/>
      <c r="J15" s="166">
        <f t="shared" si="2"/>
        <v>0</v>
      </c>
      <c r="K15" s="166">
        <f t="shared" si="3"/>
        <v>0</v>
      </c>
      <c r="L15" s="167"/>
      <c r="M15" s="168">
        <f t="shared" si="5"/>
        <v>0</v>
      </c>
      <c r="O15" s="490"/>
      <c r="P15" s="495" t="str">
        <f t="shared" si="6"/>
        <v/>
      </c>
      <c r="Q15" s="491"/>
      <c r="R15" s="492"/>
      <c r="S15" s="493"/>
      <c r="T15" s="490"/>
      <c r="U15" s="723"/>
    </row>
    <row r="16" spans="1:21" x14ac:dyDescent="0.3">
      <c r="A16" s="162" t="str">
        <f>COA!B14</f>
        <v>1010 Bank - suspense</v>
      </c>
      <c r="C16" s="166">
        <f t="shared" si="0"/>
        <v>0</v>
      </c>
      <c r="D16" s="166">
        <f t="shared" si="1"/>
        <v>0</v>
      </c>
      <c r="E16" s="167"/>
      <c r="F16" s="168">
        <f t="shared" si="4"/>
        <v>0</v>
      </c>
      <c r="H16" s="482"/>
      <c r="J16" s="166">
        <f t="shared" si="2"/>
        <v>0</v>
      </c>
      <c r="K16" s="166">
        <f t="shared" si="3"/>
        <v>0</v>
      </c>
      <c r="L16" s="167"/>
      <c r="M16" s="168">
        <f t="shared" si="5"/>
        <v>0</v>
      </c>
      <c r="O16" s="490"/>
      <c r="P16" s="495" t="str">
        <f t="shared" si="6"/>
        <v/>
      </c>
      <c r="Q16" s="491"/>
      <c r="R16" s="492"/>
      <c r="S16" s="493"/>
      <c r="T16" s="490"/>
      <c r="U16" s="723"/>
    </row>
    <row r="17" spans="1:21" x14ac:dyDescent="0.3">
      <c r="A17" s="162" t="str">
        <f>COA!B15</f>
        <v>1100 Accounts Receivable (A/R)</v>
      </c>
      <c r="C17" s="166">
        <f t="shared" si="0"/>
        <v>0</v>
      </c>
      <c r="D17" s="166">
        <f t="shared" si="1"/>
        <v>0</v>
      </c>
      <c r="E17" s="167"/>
      <c r="F17" s="168">
        <f t="shared" si="4"/>
        <v>0</v>
      </c>
      <c r="H17" s="482"/>
      <c r="J17" s="166">
        <f t="shared" si="2"/>
        <v>0</v>
      </c>
      <c r="K17" s="166">
        <f t="shared" si="3"/>
        <v>0</v>
      </c>
      <c r="L17" s="167"/>
      <c r="M17" s="168">
        <f t="shared" si="5"/>
        <v>0</v>
      </c>
      <c r="O17" s="490"/>
      <c r="P17" s="495" t="str">
        <f t="shared" si="6"/>
        <v/>
      </c>
      <c r="Q17" s="491"/>
      <c r="R17" s="492"/>
      <c r="S17" s="493"/>
      <c r="T17" s="490"/>
      <c r="U17" s="723"/>
    </row>
    <row r="18" spans="1:21" x14ac:dyDescent="0.3">
      <c r="A18" s="162" t="str">
        <f>COA!B16</f>
        <v>1100 Accounts Receivable</v>
      </c>
      <c r="C18" s="166">
        <f t="shared" si="0"/>
        <v>0</v>
      </c>
      <c r="D18" s="166">
        <f t="shared" si="1"/>
        <v>0</v>
      </c>
      <c r="E18" s="167"/>
      <c r="F18" s="168">
        <f t="shared" si="4"/>
        <v>0</v>
      </c>
      <c r="H18" s="482"/>
      <c r="J18" s="166">
        <f t="shared" si="2"/>
        <v>0</v>
      </c>
      <c r="K18" s="166">
        <f t="shared" si="3"/>
        <v>0</v>
      </c>
      <c r="L18" s="167"/>
      <c r="M18" s="168">
        <f t="shared" si="5"/>
        <v>0</v>
      </c>
      <c r="O18" s="490"/>
      <c r="P18" s="495" t="str">
        <f t="shared" si="6"/>
        <v/>
      </c>
      <c r="Q18" s="491"/>
      <c r="R18" s="492"/>
      <c r="S18" s="493"/>
      <c r="T18" s="490"/>
      <c r="U18" s="723"/>
    </row>
    <row r="19" spans="1:21" x14ac:dyDescent="0.3">
      <c r="A19" s="162" t="str">
        <f>COA!B17</f>
        <v>1120 Work in progress inventory</v>
      </c>
      <c r="C19" s="166">
        <f t="shared" si="0"/>
        <v>0</v>
      </c>
      <c r="D19" s="166">
        <f t="shared" si="1"/>
        <v>0</v>
      </c>
      <c r="E19" s="167"/>
      <c r="F19" s="168">
        <f t="shared" si="4"/>
        <v>0</v>
      </c>
      <c r="H19" s="482"/>
      <c r="J19" s="166">
        <f t="shared" si="2"/>
        <v>0</v>
      </c>
      <c r="K19" s="166">
        <f t="shared" si="3"/>
        <v>0</v>
      </c>
      <c r="L19" s="167"/>
      <c r="M19" s="168">
        <f t="shared" si="5"/>
        <v>0</v>
      </c>
      <c r="O19" s="490"/>
      <c r="P19" s="495" t="str">
        <f t="shared" si="6"/>
        <v/>
      </c>
      <c r="Q19" s="491"/>
      <c r="R19" s="492"/>
      <c r="S19" s="493"/>
      <c r="T19" s="490"/>
      <c r="U19" s="723"/>
    </row>
    <row r="20" spans="1:21" x14ac:dyDescent="0.3">
      <c r="A20" s="162" t="str">
        <f>COA!B18</f>
        <v>1020 Prepaid expenses</v>
      </c>
      <c r="C20" s="166">
        <f t="shared" si="0"/>
        <v>0</v>
      </c>
      <c r="D20" s="166">
        <f t="shared" si="1"/>
        <v>0</v>
      </c>
      <c r="E20" s="167"/>
      <c r="F20" s="168">
        <f t="shared" si="4"/>
        <v>0</v>
      </c>
      <c r="H20" s="482"/>
      <c r="J20" s="166">
        <f t="shared" si="2"/>
        <v>0</v>
      </c>
      <c r="K20" s="166">
        <f t="shared" si="3"/>
        <v>0</v>
      </c>
      <c r="L20" s="167"/>
      <c r="M20" s="168">
        <f t="shared" si="5"/>
        <v>0</v>
      </c>
      <c r="O20" s="490"/>
      <c r="P20" s="495" t="str">
        <f t="shared" si="6"/>
        <v/>
      </c>
      <c r="Q20" s="491"/>
      <c r="R20" s="492"/>
      <c r="S20" s="493"/>
      <c r="T20" s="490"/>
      <c r="U20" s="723"/>
    </row>
    <row r="21" spans="1:21" x14ac:dyDescent="0.3">
      <c r="A21" s="162" t="str">
        <f>COA!B19</f>
        <v>1200 Prepaid expenses</v>
      </c>
      <c r="C21" s="166">
        <f t="shared" si="0"/>
        <v>0</v>
      </c>
      <c r="D21" s="166">
        <f t="shared" si="1"/>
        <v>0</v>
      </c>
      <c r="E21" s="167"/>
      <c r="F21" s="168">
        <f t="shared" si="4"/>
        <v>0</v>
      </c>
      <c r="H21" s="482"/>
      <c r="J21" s="166">
        <f t="shared" si="2"/>
        <v>0</v>
      </c>
      <c r="K21" s="166">
        <f t="shared" si="3"/>
        <v>0</v>
      </c>
      <c r="L21" s="167"/>
      <c r="M21" s="168">
        <f t="shared" si="5"/>
        <v>0</v>
      </c>
      <c r="O21" s="490"/>
      <c r="P21" s="495" t="str">
        <f t="shared" si="6"/>
        <v/>
      </c>
      <c r="Q21" s="491"/>
      <c r="R21" s="492"/>
      <c r="S21" s="493"/>
      <c r="T21" s="490"/>
      <c r="U21" s="723"/>
    </row>
    <row r="22" spans="1:21" x14ac:dyDescent="0.3">
      <c r="A22" s="162" t="str">
        <f>COA!B20</f>
        <v>1300 Current portion of loan receivable</v>
      </c>
      <c r="C22" s="166">
        <f t="shared" si="0"/>
        <v>0</v>
      </c>
      <c r="D22" s="166">
        <f t="shared" si="1"/>
        <v>0</v>
      </c>
      <c r="E22" s="167"/>
      <c r="F22" s="168">
        <f t="shared" si="4"/>
        <v>0</v>
      </c>
      <c r="H22" s="482"/>
      <c r="J22" s="166">
        <f t="shared" si="2"/>
        <v>0</v>
      </c>
      <c r="K22" s="166">
        <f t="shared" si="3"/>
        <v>0</v>
      </c>
      <c r="L22" s="167"/>
      <c r="M22" s="168">
        <f t="shared" si="5"/>
        <v>0</v>
      </c>
      <c r="O22" s="490"/>
      <c r="P22" s="495" t="str">
        <f t="shared" si="6"/>
        <v/>
      </c>
      <c r="Q22" s="491"/>
      <c r="R22" s="492"/>
      <c r="S22" s="493"/>
      <c r="T22" s="490"/>
      <c r="U22" s="723"/>
    </row>
    <row r="23" spans="1:21" x14ac:dyDescent="0.3">
      <c r="A23" s="162" t="str">
        <f>COA!B21</f>
        <v>1400 Other current assets</v>
      </c>
      <c r="C23" s="166">
        <f t="shared" si="0"/>
        <v>0</v>
      </c>
      <c r="D23" s="166">
        <f t="shared" si="1"/>
        <v>0</v>
      </c>
      <c r="E23" s="167"/>
      <c r="F23" s="168">
        <f t="shared" si="4"/>
        <v>0</v>
      </c>
      <c r="H23" s="482"/>
      <c r="J23" s="166">
        <f t="shared" si="2"/>
        <v>0</v>
      </c>
      <c r="K23" s="166">
        <f t="shared" si="3"/>
        <v>0</v>
      </c>
      <c r="L23" s="167"/>
      <c r="M23" s="168">
        <f t="shared" si="5"/>
        <v>0</v>
      </c>
      <c r="O23" s="490"/>
      <c r="P23" s="495" t="str">
        <f t="shared" si="6"/>
        <v/>
      </c>
      <c r="Q23" s="491"/>
      <c r="R23" s="492"/>
      <c r="S23" s="493"/>
      <c r="T23" s="490"/>
      <c r="U23" s="723"/>
    </row>
    <row r="24" spans="1:21" x14ac:dyDescent="0.3">
      <c r="A24" s="162" t="e">
        <f>COA!#REF!</f>
        <v>#REF!</v>
      </c>
      <c r="C24" s="166">
        <f t="shared" si="0"/>
        <v>0</v>
      </c>
      <c r="D24" s="166">
        <f t="shared" si="1"/>
        <v>0</v>
      </c>
      <c r="E24" s="167"/>
      <c r="F24" s="168">
        <f t="shared" si="4"/>
        <v>0</v>
      </c>
      <c r="H24" s="482"/>
      <c r="J24" s="166">
        <f t="shared" si="2"/>
        <v>0</v>
      </c>
      <c r="K24" s="166">
        <f t="shared" si="3"/>
        <v>0</v>
      </c>
      <c r="L24" s="167"/>
      <c r="M24" s="168">
        <f t="shared" si="5"/>
        <v>0</v>
      </c>
      <c r="O24" s="490"/>
      <c r="P24" s="495" t="str">
        <f t="shared" si="6"/>
        <v/>
      </c>
      <c r="Q24" s="491"/>
      <c r="R24" s="492"/>
      <c r="S24" s="493"/>
      <c r="T24" s="490"/>
      <c r="U24" s="723"/>
    </row>
    <row r="25" spans="1:21" x14ac:dyDescent="0.3">
      <c r="A25" s="162" t="str">
        <f>COA!B22</f>
        <v>1420 Intangible assets</v>
      </c>
      <c r="C25" s="166">
        <f t="shared" si="0"/>
        <v>0</v>
      </c>
      <c r="D25" s="166">
        <f t="shared" si="1"/>
        <v>0</v>
      </c>
      <c r="E25" s="167"/>
      <c r="F25" s="168">
        <f t="shared" si="4"/>
        <v>0</v>
      </c>
      <c r="H25" s="482"/>
      <c r="J25" s="166">
        <f t="shared" si="2"/>
        <v>0</v>
      </c>
      <c r="K25" s="166">
        <f t="shared" si="3"/>
        <v>0</v>
      </c>
      <c r="L25" s="167"/>
      <c r="M25" s="168">
        <f t="shared" si="5"/>
        <v>0</v>
      </c>
      <c r="O25" s="490"/>
      <c r="P25" s="495" t="str">
        <f t="shared" si="6"/>
        <v/>
      </c>
      <c r="Q25" s="491"/>
      <c r="R25" s="492"/>
      <c r="S25" s="493"/>
      <c r="T25" s="490"/>
      <c r="U25" s="723"/>
    </row>
    <row r="26" spans="1:21" x14ac:dyDescent="0.3">
      <c r="A26" s="162" t="str">
        <f>COA!B23</f>
        <v>1421 Accumulated amortization</v>
      </c>
      <c r="C26" s="166">
        <f t="shared" si="0"/>
        <v>0</v>
      </c>
      <c r="D26" s="166">
        <f t="shared" si="1"/>
        <v>0</v>
      </c>
      <c r="E26" s="167"/>
      <c r="F26" s="168">
        <f t="shared" ref="F26" si="7">SUM(C26:E26)</f>
        <v>0</v>
      </c>
      <c r="H26" s="482"/>
      <c r="J26" s="166">
        <f t="shared" si="2"/>
        <v>-1256364</v>
      </c>
      <c r="K26" s="166">
        <f t="shared" si="3"/>
        <v>0</v>
      </c>
      <c r="L26" s="167"/>
      <c r="M26" s="168">
        <f t="shared" ref="M26" si="8">SUM(J26:L26)</f>
        <v>-1256364</v>
      </c>
      <c r="O26" s="490"/>
      <c r="P26" s="495" t="str">
        <f t="shared" si="6"/>
        <v/>
      </c>
      <c r="Q26" s="491"/>
      <c r="R26" s="492"/>
      <c r="S26" s="493"/>
      <c r="T26" s="490"/>
      <c r="U26" s="723"/>
    </row>
    <row r="27" spans="1:21" x14ac:dyDescent="0.3">
      <c r="A27" s="162" t="str">
        <f>COA!B24</f>
        <v>1500 Payroll Advances Receivable</v>
      </c>
      <c r="C27" s="166">
        <f t="shared" si="0"/>
        <v>0</v>
      </c>
      <c r="D27" s="166">
        <f t="shared" si="1"/>
        <v>0</v>
      </c>
      <c r="E27" s="167"/>
      <c r="F27" s="168">
        <f t="shared" si="4"/>
        <v>0</v>
      </c>
      <c r="H27" s="482"/>
      <c r="J27" s="166">
        <f t="shared" si="2"/>
        <v>0</v>
      </c>
      <c r="K27" s="166">
        <f t="shared" si="3"/>
        <v>0</v>
      </c>
      <c r="L27" s="167"/>
      <c r="M27" s="168">
        <f t="shared" si="5"/>
        <v>0</v>
      </c>
      <c r="O27" s="490"/>
      <c r="P27" s="495" t="str">
        <f t="shared" si="6"/>
        <v/>
      </c>
      <c r="Q27" s="491"/>
      <c r="R27" s="492"/>
      <c r="S27" s="493"/>
      <c r="T27" s="490"/>
      <c r="U27" s="723"/>
    </row>
    <row r="28" spans="1:21" x14ac:dyDescent="0.3">
      <c r="A28" s="162" t="str">
        <f>COA!B25</f>
        <v>1500 Intercompany - Due from Hallor Industries Inc.</v>
      </c>
      <c r="C28" s="166">
        <f t="shared" si="0"/>
        <v>0</v>
      </c>
      <c r="D28" s="166">
        <f t="shared" si="1"/>
        <v>0</v>
      </c>
      <c r="E28" s="167"/>
      <c r="F28" s="168">
        <f t="shared" si="4"/>
        <v>0</v>
      </c>
      <c r="H28" s="482"/>
      <c r="J28" s="166">
        <f t="shared" si="2"/>
        <v>0</v>
      </c>
      <c r="K28" s="166">
        <f t="shared" si="3"/>
        <v>0</v>
      </c>
      <c r="L28" s="167"/>
      <c r="M28" s="168">
        <f t="shared" si="5"/>
        <v>0</v>
      </c>
      <c r="O28" s="490"/>
      <c r="P28" s="495" t="str">
        <f t="shared" si="6"/>
        <v/>
      </c>
      <c r="Q28" s="491"/>
      <c r="R28" s="492"/>
      <c r="S28" s="493"/>
      <c r="T28" s="490"/>
      <c r="U28" s="723"/>
    </row>
    <row r="29" spans="1:21" x14ac:dyDescent="0.3">
      <c r="A29" s="162" t="str">
        <f>COA!B26</f>
        <v>1600 Investment in Hallor Industries</v>
      </c>
      <c r="C29" s="166">
        <f t="shared" si="0"/>
        <v>0</v>
      </c>
      <c r="D29" s="166">
        <f t="shared" si="1"/>
        <v>0</v>
      </c>
      <c r="E29" s="167"/>
      <c r="F29" s="168">
        <f t="shared" si="4"/>
        <v>0</v>
      </c>
      <c r="H29" s="482"/>
      <c r="J29" s="166">
        <f t="shared" si="2"/>
        <v>0</v>
      </c>
      <c r="K29" s="166">
        <f t="shared" si="3"/>
        <v>0</v>
      </c>
      <c r="L29" s="167"/>
      <c r="M29" s="168">
        <f t="shared" si="5"/>
        <v>0</v>
      </c>
      <c r="O29" s="490"/>
      <c r="P29" s="495" t="str">
        <f t="shared" si="6"/>
        <v/>
      </c>
      <c r="Q29" s="491"/>
      <c r="R29" s="492"/>
      <c r="S29" s="493"/>
      <c r="T29" s="490"/>
      <c r="U29" s="723"/>
    </row>
    <row r="30" spans="1:21" x14ac:dyDescent="0.3">
      <c r="A30" s="162" t="str">
        <f>COA!B27</f>
        <v>1800 Computer Equipment</v>
      </c>
      <c r="C30" s="166">
        <f t="shared" si="0"/>
        <v>0</v>
      </c>
      <c r="D30" s="166">
        <f t="shared" si="1"/>
        <v>0</v>
      </c>
      <c r="E30" s="167"/>
      <c r="F30" s="168">
        <f t="shared" si="4"/>
        <v>0</v>
      </c>
      <c r="H30" s="482"/>
      <c r="J30" s="166">
        <f t="shared" si="2"/>
        <v>0</v>
      </c>
      <c r="K30" s="166">
        <f t="shared" si="3"/>
        <v>0</v>
      </c>
      <c r="L30" s="167"/>
      <c r="M30" s="168">
        <f t="shared" si="5"/>
        <v>0</v>
      </c>
      <c r="O30" s="490"/>
      <c r="P30" s="495" t="str">
        <f t="shared" si="6"/>
        <v/>
      </c>
      <c r="Q30" s="491"/>
      <c r="R30" s="492"/>
      <c r="S30" s="493"/>
      <c r="T30" s="490"/>
      <c r="U30" s="723"/>
    </row>
    <row r="31" spans="1:21" x14ac:dyDescent="0.3">
      <c r="A31" s="162" t="str">
        <f>COA!B28</f>
        <v>1801 Computer Equipment:Accumulated Depreciation</v>
      </c>
      <c r="C31" s="166">
        <f t="shared" si="0"/>
        <v>0</v>
      </c>
      <c r="D31" s="166">
        <f t="shared" si="1"/>
        <v>0</v>
      </c>
      <c r="E31" s="167"/>
      <c r="F31" s="168">
        <f t="shared" si="4"/>
        <v>0</v>
      </c>
      <c r="H31" s="482"/>
      <c r="J31" s="166">
        <f t="shared" si="2"/>
        <v>0</v>
      </c>
      <c r="K31" s="166">
        <f t="shared" si="3"/>
        <v>0</v>
      </c>
      <c r="L31" s="167"/>
      <c r="M31" s="168">
        <f t="shared" si="5"/>
        <v>0</v>
      </c>
      <c r="O31" s="490"/>
      <c r="P31" s="495" t="str">
        <f t="shared" si="6"/>
        <v/>
      </c>
      <c r="Q31" s="491"/>
      <c r="R31" s="492"/>
      <c r="S31" s="493"/>
      <c r="T31" s="490"/>
      <c r="U31" s="723"/>
    </row>
    <row r="32" spans="1:21" x14ac:dyDescent="0.3">
      <c r="A32" s="162" t="str">
        <f>COA!B29</f>
        <v>1810 Office Furniture</v>
      </c>
      <c r="C32" s="166">
        <f t="shared" si="0"/>
        <v>0</v>
      </c>
      <c r="D32" s="166">
        <f t="shared" si="1"/>
        <v>0</v>
      </c>
      <c r="E32" s="167"/>
      <c r="F32" s="168">
        <f t="shared" si="4"/>
        <v>0</v>
      </c>
      <c r="H32" s="482"/>
      <c r="J32" s="166">
        <f t="shared" si="2"/>
        <v>0</v>
      </c>
      <c r="K32" s="166">
        <f t="shared" si="3"/>
        <v>0</v>
      </c>
      <c r="L32" s="167"/>
      <c r="M32" s="168">
        <f t="shared" si="5"/>
        <v>0</v>
      </c>
      <c r="O32" s="490"/>
      <c r="P32" s="495" t="str">
        <f t="shared" si="6"/>
        <v/>
      </c>
      <c r="Q32" s="491"/>
      <c r="R32" s="492"/>
      <c r="S32" s="493"/>
      <c r="T32" s="490"/>
      <c r="U32" s="723"/>
    </row>
    <row r="33" spans="1:21" x14ac:dyDescent="0.3">
      <c r="A33" s="162" t="str">
        <f>COA!B30</f>
        <v>1811 Office Furniture:Accumulated Depreciation</v>
      </c>
      <c r="C33" s="166">
        <f t="shared" si="0"/>
        <v>0</v>
      </c>
      <c r="D33" s="166">
        <f t="shared" si="1"/>
        <v>0</v>
      </c>
      <c r="E33" s="167"/>
      <c r="F33" s="168">
        <f t="shared" si="4"/>
        <v>0</v>
      </c>
      <c r="H33" s="482"/>
      <c r="J33" s="166">
        <f t="shared" si="2"/>
        <v>0</v>
      </c>
      <c r="K33" s="166">
        <f t="shared" si="3"/>
        <v>0</v>
      </c>
      <c r="L33" s="167"/>
      <c r="M33" s="168">
        <f t="shared" si="5"/>
        <v>0</v>
      </c>
      <c r="O33" s="490"/>
      <c r="P33" s="495" t="str">
        <f t="shared" si="6"/>
        <v/>
      </c>
      <c r="Q33" s="491"/>
      <c r="R33" s="492"/>
      <c r="S33" s="493"/>
      <c r="T33" s="490"/>
      <c r="U33" s="723"/>
    </row>
    <row r="34" spans="1:21" x14ac:dyDescent="0.3">
      <c r="A34" s="162" t="str">
        <f>COA!B31</f>
        <v>1900 Shop Equipment</v>
      </c>
      <c r="C34" s="166">
        <f t="shared" si="0"/>
        <v>0</v>
      </c>
      <c r="D34" s="166">
        <f t="shared" si="1"/>
        <v>0</v>
      </c>
      <c r="E34" s="167"/>
      <c r="F34" s="168">
        <f t="shared" si="4"/>
        <v>0</v>
      </c>
      <c r="H34" s="482"/>
      <c r="J34" s="166">
        <f t="shared" si="2"/>
        <v>0</v>
      </c>
      <c r="K34" s="166">
        <f t="shared" si="3"/>
        <v>0</v>
      </c>
      <c r="L34" s="167"/>
      <c r="M34" s="168">
        <f t="shared" si="5"/>
        <v>0</v>
      </c>
      <c r="O34" s="490"/>
      <c r="P34" s="495" t="str">
        <f t="shared" si="6"/>
        <v/>
      </c>
      <c r="Q34" s="491"/>
      <c r="R34" s="492"/>
      <c r="S34" s="493"/>
      <c r="T34" s="490"/>
      <c r="U34" s="723"/>
    </row>
    <row r="35" spans="1:21" x14ac:dyDescent="0.3">
      <c r="A35" s="162" t="str">
        <f>COA!B32</f>
        <v>1901 Shop Equipment:Accum deprec - shop equipment</v>
      </c>
      <c r="C35" s="166">
        <f t="shared" si="0"/>
        <v>0</v>
      </c>
      <c r="D35" s="166">
        <f t="shared" si="1"/>
        <v>0</v>
      </c>
      <c r="E35" s="167"/>
      <c r="F35" s="168">
        <f t="shared" si="4"/>
        <v>0</v>
      </c>
      <c r="H35" s="482"/>
      <c r="J35" s="166">
        <f t="shared" si="2"/>
        <v>0</v>
      </c>
      <c r="K35" s="166">
        <f t="shared" si="3"/>
        <v>0</v>
      </c>
      <c r="L35" s="167"/>
      <c r="M35" s="168">
        <f t="shared" si="5"/>
        <v>0</v>
      </c>
      <c r="O35" s="490"/>
      <c r="P35" s="495" t="str">
        <f t="shared" si="6"/>
        <v/>
      </c>
      <c r="Q35" s="491"/>
      <c r="R35" s="492"/>
      <c r="S35" s="493"/>
      <c r="T35" s="490"/>
      <c r="U35" s="723"/>
    </row>
    <row r="36" spans="1:21" x14ac:dyDescent="0.3">
      <c r="A36" s="162" t="str">
        <f>COA!B33</f>
        <v>1999 Uncategorized Asset</v>
      </c>
      <c r="C36" s="166">
        <f t="shared" si="0"/>
        <v>0</v>
      </c>
      <c r="D36" s="166">
        <f t="shared" si="1"/>
        <v>0</v>
      </c>
      <c r="E36" s="167"/>
      <c r="F36" s="168">
        <f t="shared" si="4"/>
        <v>0</v>
      </c>
      <c r="H36" s="482"/>
      <c r="J36" s="166">
        <f t="shared" si="2"/>
        <v>0</v>
      </c>
      <c r="K36" s="166">
        <f t="shared" si="3"/>
        <v>0</v>
      </c>
      <c r="L36" s="167"/>
      <c r="M36" s="168">
        <f t="shared" si="5"/>
        <v>0</v>
      </c>
      <c r="O36" s="490"/>
      <c r="P36" s="495" t="str">
        <f t="shared" si="6"/>
        <v/>
      </c>
      <c r="Q36" s="491"/>
      <c r="R36" s="492"/>
      <c r="S36" s="493"/>
      <c r="T36" s="490"/>
      <c r="U36" s="723"/>
    </row>
    <row r="37" spans="1:21" x14ac:dyDescent="0.3">
      <c r="A37" s="162" t="str">
        <f>COA!B34</f>
        <v>2000 Accounts Payable (A/P)</v>
      </c>
      <c r="C37" s="166">
        <f t="shared" si="0"/>
        <v>0</v>
      </c>
      <c r="D37" s="166">
        <f t="shared" si="1"/>
        <v>0</v>
      </c>
      <c r="E37" s="167"/>
      <c r="F37" s="168">
        <f t="shared" si="4"/>
        <v>0</v>
      </c>
      <c r="H37" s="482"/>
      <c r="J37" s="166">
        <f t="shared" si="2"/>
        <v>0</v>
      </c>
      <c r="K37" s="166">
        <f t="shared" si="3"/>
        <v>0</v>
      </c>
      <c r="L37" s="167"/>
      <c r="M37" s="168">
        <f t="shared" si="5"/>
        <v>0</v>
      </c>
      <c r="O37" s="490"/>
      <c r="P37" s="495" t="str">
        <f t="shared" si="6"/>
        <v/>
      </c>
      <c r="Q37" s="491"/>
      <c r="R37" s="492"/>
      <c r="S37" s="493"/>
      <c r="T37" s="490"/>
      <c r="U37" s="723"/>
    </row>
    <row r="38" spans="1:21" x14ac:dyDescent="0.3">
      <c r="A38" s="162" t="str">
        <f>COA!B35</f>
        <v>2000 Accounts Payable</v>
      </c>
      <c r="C38" s="166">
        <f t="shared" si="0"/>
        <v>0</v>
      </c>
      <c r="D38" s="166">
        <f t="shared" si="1"/>
        <v>0</v>
      </c>
      <c r="E38" s="167"/>
      <c r="F38" s="168">
        <f t="shared" si="4"/>
        <v>0</v>
      </c>
      <c r="H38" s="482"/>
      <c r="J38" s="166">
        <f t="shared" si="2"/>
        <v>0</v>
      </c>
      <c r="K38" s="166">
        <f t="shared" si="3"/>
        <v>0</v>
      </c>
      <c r="L38" s="167"/>
      <c r="M38" s="168">
        <f t="shared" si="5"/>
        <v>0</v>
      </c>
      <c r="O38" s="490"/>
      <c r="P38" s="495" t="str">
        <f t="shared" si="6"/>
        <v/>
      </c>
      <c r="Q38" s="491"/>
      <c r="R38" s="492"/>
      <c r="S38" s="493"/>
      <c r="T38" s="490"/>
      <c r="U38" s="723"/>
    </row>
    <row r="39" spans="1:21" x14ac:dyDescent="0.3">
      <c r="A39" s="162" t="str">
        <f>COA!B36</f>
        <v>2001 Accounts Payable (A/P) - USD</v>
      </c>
      <c r="C39" s="166">
        <f t="shared" ref="C39:C70" si="9">SUMIFS($S:$S,$Q:$Q,$A39,$T:$T,$C$2,$U:$U,C$3)</f>
        <v>0</v>
      </c>
      <c r="D39" s="166">
        <f t="shared" ref="D39:D70" si="10">SUMIFS($S:$S,$Q:$Q,$A39,$T:$T,$D$2,$U:$U,D$3)</f>
        <v>0</v>
      </c>
      <c r="E39" s="167"/>
      <c r="F39" s="168">
        <f t="shared" si="4"/>
        <v>0</v>
      </c>
      <c r="H39" s="482"/>
      <c r="J39" s="166">
        <f t="shared" ref="J39:J70" si="11">SUMIFS($S:$S,$Q:$Q,$A39,$T:$T,$J$2,$U:$U,J$3)</f>
        <v>0</v>
      </c>
      <c r="K39" s="166">
        <f t="shared" ref="K39:K70" si="12">SUMIFS($S:$S,$Q:$Q,$A39,$T:$T,$K$2,$U:$U,K$3)</f>
        <v>0</v>
      </c>
      <c r="L39" s="167"/>
      <c r="M39" s="168">
        <f t="shared" si="5"/>
        <v>0</v>
      </c>
      <c r="O39" s="490"/>
      <c r="P39" s="495" t="str">
        <f t="shared" si="6"/>
        <v/>
      </c>
      <c r="Q39" s="491"/>
      <c r="R39" s="492"/>
      <c r="S39" s="493"/>
      <c r="T39" s="490"/>
      <c r="U39" s="723"/>
    </row>
    <row r="40" spans="1:21" x14ac:dyDescent="0.3">
      <c r="A40" s="162" t="str">
        <f>COA!B37</f>
        <v>2010 Accrued Liabilities</v>
      </c>
      <c r="C40" s="166">
        <f t="shared" si="9"/>
        <v>0</v>
      </c>
      <c r="D40" s="166">
        <f t="shared" si="10"/>
        <v>0</v>
      </c>
      <c r="E40" s="167"/>
      <c r="F40" s="168">
        <f t="shared" si="4"/>
        <v>0</v>
      </c>
      <c r="H40" s="482"/>
      <c r="J40" s="166">
        <f t="shared" si="11"/>
        <v>0</v>
      </c>
      <c r="K40" s="166">
        <f t="shared" si="12"/>
        <v>0</v>
      </c>
      <c r="L40" s="167"/>
      <c r="M40" s="168">
        <f t="shared" si="5"/>
        <v>0</v>
      </c>
      <c r="O40" s="490"/>
      <c r="P40" s="495" t="str">
        <f t="shared" si="6"/>
        <v/>
      </c>
      <c r="Q40" s="491"/>
      <c r="R40" s="492"/>
      <c r="S40" s="493"/>
      <c r="T40" s="490"/>
      <c r="U40" s="723"/>
    </row>
    <row r="41" spans="1:21" x14ac:dyDescent="0.3">
      <c r="A41" s="162" t="str">
        <f>COA!B38</f>
        <v>2030 Cutomer prepayments</v>
      </c>
      <c r="C41" s="166">
        <f t="shared" si="9"/>
        <v>0</v>
      </c>
      <c r="D41" s="166">
        <f t="shared" si="10"/>
        <v>0</v>
      </c>
      <c r="E41" s="167"/>
      <c r="F41" s="168">
        <f t="shared" si="4"/>
        <v>0</v>
      </c>
      <c r="H41" s="482"/>
      <c r="J41" s="166">
        <f t="shared" si="11"/>
        <v>0</v>
      </c>
      <c r="K41" s="166">
        <f t="shared" si="12"/>
        <v>0</v>
      </c>
      <c r="L41" s="167"/>
      <c r="M41" s="168">
        <f t="shared" si="5"/>
        <v>0</v>
      </c>
      <c r="O41" s="490"/>
      <c r="P41" s="495" t="str">
        <f t="shared" si="6"/>
        <v/>
      </c>
      <c r="Q41" s="491"/>
      <c r="R41" s="492"/>
      <c r="S41" s="493"/>
      <c r="T41" s="490"/>
      <c r="U41" s="723"/>
    </row>
    <row r="42" spans="1:21" x14ac:dyDescent="0.3">
      <c r="A42" s="162" t="str">
        <f>COA!B41</f>
        <v>2100 Accrued Liabilities</v>
      </c>
      <c r="C42" s="166">
        <f t="shared" si="9"/>
        <v>0</v>
      </c>
      <c r="D42" s="166">
        <f t="shared" si="10"/>
        <v>0</v>
      </c>
      <c r="E42" s="167"/>
      <c r="F42" s="168">
        <f t="shared" si="4"/>
        <v>0</v>
      </c>
      <c r="H42" s="482"/>
      <c r="J42" s="166">
        <f t="shared" si="11"/>
        <v>0</v>
      </c>
      <c r="K42" s="166">
        <f t="shared" si="12"/>
        <v>0</v>
      </c>
      <c r="L42" s="167"/>
      <c r="M42" s="168">
        <f t="shared" si="5"/>
        <v>0</v>
      </c>
      <c r="O42" s="490"/>
      <c r="P42" s="495" t="str">
        <f t="shared" si="6"/>
        <v/>
      </c>
      <c r="Q42" s="491"/>
      <c r="R42" s="492"/>
      <c r="S42" s="493"/>
      <c r="T42" s="490"/>
      <c r="U42" s="723"/>
    </row>
    <row r="43" spans="1:21" x14ac:dyDescent="0.3">
      <c r="A43" s="162" t="str">
        <f>COA!B42</f>
        <v>2100 Payroll Liabilities</v>
      </c>
      <c r="C43" s="166">
        <f t="shared" si="9"/>
        <v>0</v>
      </c>
      <c r="D43" s="166">
        <f t="shared" si="10"/>
        <v>0</v>
      </c>
      <c r="E43" s="167"/>
      <c r="F43" s="168">
        <f t="shared" si="4"/>
        <v>0</v>
      </c>
      <c r="H43" s="482"/>
      <c r="J43" s="166">
        <f t="shared" si="11"/>
        <v>0</v>
      </c>
      <c r="K43" s="166">
        <f t="shared" si="12"/>
        <v>0</v>
      </c>
      <c r="L43" s="167"/>
      <c r="M43" s="168">
        <f t="shared" si="5"/>
        <v>0</v>
      </c>
      <c r="O43" s="490"/>
      <c r="P43" s="495" t="str">
        <f t="shared" si="6"/>
        <v/>
      </c>
      <c r="Q43" s="491"/>
      <c r="R43" s="492"/>
      <c r="S43" s="493"/>
      <c r="T43" s="490"/>
      <c r="U43" s="723"/>
    </row>
    <row r="44" spans="1:21" x14ac:dyDescent="0.3">
      <c r="A44" s="162" t="str">
        <f>COA!B43</f>
        <v>2110 Payroll Liabilities:Payroll Taxes</v>
      </c>
      <c r="C44" s="166">
        <f t="shared" si="9"/>
        <v>0</v>
      </c>
      <c r="D44" s="166">
        <f t="shared" si="10"/>
        <v>0</v>
      </c>
      <c r="E44" s="167"/>
      <c r="F44" s="168">
        <f t="shared" si="4"/>
        <v>0</v>
      </c>
      <c r="H44" s="482"/>
      <c r="J44" s="166">
        <f t="shared" si="11"/>
        <v>0</v>
      </c>
      <c r="K44" s="166">
        <f t="shared" si="12"/>
        <v>0</v>
      </c>
      <c r="L44" s="167"/>
      <c r="M44" s="168">
        <f t="shared" si="5"/>
        <v>0</v>
      </c>
      <c r="O44" s="490"/>
      <c r="P44" s="495" t="str">
        <f t="shared" si="6"/>
        <v/>
      </c>
      <c r="Q44" s="491"/>
      <c r="R44" s="492"/>
      <c r="S44" s="493"/>
      <c r="T44" s="490"/>
      <c r="U44" s="723"/>
    </row>
    <row r="45" spans="1:21" x14ac:dyDescent="0.3">
      <c r="A45" s="162" t="str">
        <f>COA!B44</f>
        <v>2120 Payroll Liabilities:Vacation Pay Due</v>
      </c>
      <c r="C45" s="166">
        <f t="shared" si="9"/>
        <v>0</v>
      </c>
      <c r="D45" s="166">
        <f t="shared" si="10"/>
        <v>0</v>
      </c>
      <c r="E45" s="167"/>
      <c r="F45" s="168">
        <f t="shared" si="4"/>
        <v>0</v>
      </c>
      <c r="H45" s="482"/>
      <c r="J45" s="166">
        <f t="shared" si="11"/>
        <v>0</v>
      </c>
      <c r="K45" s="166">
        <f t="shared" si="12"/>
        <v>0</v>
      </c>
      <c r="L45" s="167"/>
      <c r="M45" s="168">
        <f t="shared" si="5"/>
        <v>0</v>
      </c>
      <c r="O45" s="490"/>
      <c r="P45" s="495" t="str">
        <f t="shared" si="6"/>
        <v/>
      </c>
      <c r="Q45" s="491"/>
      <c r="R45" s="492"/>
      <c r="S45" s="493"/>
      <c r="T45" s="490"/>
      <c r="U45" s="723"/>
    </row>
    <row r="46" spans="1:21" x14ac:dyDescent="0.3">
      <c r="A46" s="162" t="str">
        <f>COA!B45</f>
        <v>2130 Payroll Liabilities:WCB to be paid/(refunded)</v>
      </c>
      <c r="C46" s="166">
        <f t="shared" si="9"/>
        <v>0</v>
      </c>
      <c r="D46" s="166">
        <f t="shared" si="10"/>
        <v>0</v>
      </c>
      <c r="E46" s="167"/>
      <c r="F46" s="168">
        <f t="shared" si="4"/>
        <v>0</v>
      </c>
      <c r="H46" s="482"/>
      <c r="J46" s="166">
        <f t="shared" si="11"/>
        <v>0</v>
      </c>
      <c r="K46" s="166">
        <f t="shared" si="12"/>
        <v>0</v>
      </c>
      <c r="L46" s="167"/>
      <c r="M46" s="168">
        <f t="shared" si="5"/>
        <v>0</v>
      </c>
      <c r="O46" s="490"/>
      <c r="P46" s="495" t="str">
        <f t="shared" si="6"/>
        <v/>
      </c>
      <c r="Q46" s="491"/>
      <c r="R46" s="492"/>
      <c r="S46" s="493"/>
      <c r="T46" s="490"/>
      <c r="U46" s="723"/>
    </row>
    <row r="47" spans="1:21" x14ac:dyDescent="0.3">
      <c r="A47" s="162" t="str">
        <f>COA!B46</f>
        <v>2140 Payroll Liabilities:Vacation Pay Payable</v>
      </c>
      <c r="C47" s="166">
        <f t="shared" si="9"/>
        <v>0</v>
      </c>
      <c r="D47" s="166">
        <f t="shared" si="10"/>
        <v>0</v>
      </c>
      <c r="E47" s="167"/>
      <c r="F47" s="168">
        <f t="shared" si="4"/>
        <v>0</v>
      </c>
      <c r="H47" s="482"/>
      <c r="J47" s="166">
        <f t="shared" si="11"/>
        <v>0</v>
      </c>
      <c r="K47" s="166">
        <f t="shared" si="12"/>
        <v>0</v>
      </c>
      <c r="L47" s="167"/>
      <c r="M47" s="168">
        <f t="shared" si="5"/>
        <v>0</v>
      </c>
      <c r="O47" s="490"/>
      <c r="P47" s="495" t="str">
        <f t="shared" si="6"/>
        <v/>
      </c>
      <c r="Q47" s="491"/>
      <c r="R47" s="492"/>
      <c r="S47" s="493"/>
      <c r="T47" s="490"/>
      <c r="U47" s="723"/>
    </row>
    <row r="48" spans="1:21" x14ac:dyDescent="0.3">
      <c r="A48" s="162" t="str">
        <f>COA!B47</f>
        <v>2200 PST Payable (BC)</v>
      </c>
      <c r="C48" s="166">
        <f t="shared" si="9"/>
        <v>0</v>
      </c>
      <c r="D48" s="166">
        <f t="shared" si="10"/>
        <v>0</v>
      </c>
      <c r="E48" s="167"/>
      <c r="F48" s="168">
        <f t="shared" si="4"/>
        <v>0</v>
      </c>
      <c r="H48" s="482"/>
      <c r="J48" s="166">
        <f t="shared" si="11"/>
        <v>0</v>
      </c>
      <c r="K48" s="166">
        <f t="shared" si="12"/>
        <v>0</v>
      </c>
      <c r="L48" s="167"/>
      <c r="M48" s="168">
        <f t="shared" si="5"/>
        <v>0</v>
      </c>
      <c r="O48" s="490"/>
      <c r="P48" s="495" t="str">
        <f t="shared" si="6"/>
        <v/>
      </c>
      <c r="Q48" s="491"/>
      <c r="R48" s="492"/>
      <c r="S48" s="493"/>
      <c r="T48" s="490"/>
      <c r="U48" s="723"/>
    </row>
    <row r="49" spans="1:21" x14ac:dyDescent="0.3">
      <c r="A49" s="162" t="str">
        <f>COA!B48</f>
        <v>2200 GST Payable/(Refund)</v>
      </c>
      <c r="C49" s="166">
        <f t="shared" si="9"/>
        <v>0</v>
      </c>
      <c r="D49" s="166">
        <f t="shared" si="10"/>
        <v>0</v>
      </c>
      <c r="E49" s="167"/>
      <c r="F49" s="168">
        <f t="shared" si="4"/>
        <v>0</v>
      </c>
      <c r="H49" s="482"/>
      <c r="J49" s="166">
        <f t="shared" si="11"/>
        <v>0</v>
      </c>
      <c r="K49" s="166">
        <f t="shared" si="12"/>
        <v>0</v>
      </c>
      <c r="L49" s="167"/>
      <c r="M49" s="168">
        <f t="shared" si="5"/>
        <v>0</v>
      </c>
      <c r="O49" s="490"/>
      <c r="P49" s="495" t="str">
        <f t="shared" si="6"/>
        <v/>
      </c>
      <c r="Q49" s="491"/>
      <c r="R49" s="492"/>
      <c r="S49" s="493"/>
      <c r="T49" s="490"/>
      <c r="U49" s="723"/>
    </row>
    <row r="50" spans="1:21" x14ac:dyDescent="0.3">
      <c r="A50" s="162" t="str">
        <f>COA!B49</f>
        <v>2201 PST Suspense (BC)</v>
      </c>
      <c r="C50" s="166">
        <f t="shared" si="9"/>
        <v>0</v>
      </c>
      <c r="D50" s="166">
        <f t="shared" si="10"/>
        <v>0</v>
      </c>
      <c r="E50" s="167"/>
      <c r="F50" s="168">
        <f t="shared" si="4"/>
        <v>0</v>
      </c>
      <c r="H50" s="482"/>
      <c r="J50" s="166">
        <f t="shared" si="11"/>
        <v>0</v>
      </c>
      <c r="K50" s="166">
        <f t="shared" si="12"/>
        <v>0</v>
      </c>
      <c r="L50" s="167"/>
      <c r="M50" s="168">
        <f t="shared" si="5"/>
        <v>0</v>
      </c>
      <c r="O50" s="490"/>
      <c r="P50" s="495" t="str">
        <f t="shared" si="6"/>
        <v/>
      </c>
      <c r="Q50" s="491"/>
      <c r="R50" s="492"/>
      <c r="S50" s="493"/>
      <c r="T50" s="490"/>
      <c r="U50" s="723"/>
    </row>
    <row r="51" spans="1:21" x14ac:dyDescent="0.3">
      <c r="A51" s="162" t="str">
        <f>COA!B50</f>
        <v>2210 GST Payable/(Refund):GST Paid on Purchases</v>
      </c>
      <c r="C51" s="166">
        <f t="shared" si="9"/>
        <v>0</v>
      </c>
      <c r="D51" s="166">
        <f t="shared" si="10"/>
        <v>0</v>
      </c>
      <c r="E51" s="167"/>
      <c r="F51" s="168">
        <f t="shared" si="4"/>
        <v>0</v>
      </c>
      <c r="H51" s="482"/>
      <c r="J51" s="166">
        <f t="shared" si="11"/>
        <v>0</v>
      </c>
      <c r="K51" s="166">
        <f t="shared" si="12"/>
        <v>0</v>
      </c>
      <c r="L51" s="167"/>
      <c r="M51" s="168">
        <f t="shared" si="5"/>
        <v>0</v>
      </c>
      <c r="O51" s="490"/>
      <c r="P51" s="495" t="str">
        <f t="shared" si="6"/>
        <v/>
      </c>
      <c r="Q51" s="491"/>
      <c r="R51" s="492"/>
      <c r="S51" s="493"/>
      <c r="T51" s="490"/>
      <c r="U51" s="723"/>
    </row>
    <row r="52" spans="1:21" x14ac:dyDescent="0.3">
      <c r="A52" s="162" t="str">
        <f>COA!B51</f>
        <v>2220 GST Payable/(Refund):GST Collected on Sales</v>
      </c>
      <c r="C52" s="166">
        <f t="shared" si="9"/>
        <v>0</v>
      </c>
      <c r="D52" s="166">
        <f t="shared" si="10"/>
        <v>0</v>
      </c>
      <c r="E52" s="167"/>
      <c r="F52" s="168">
        <f t="shared" si="4"/>
        <v>0</v>
      </c>
      <c r="H52" s="482"/>
      <c r="J52" s="166">
        <f t="shared" si="11"/>
        <v>0</v>
      </c>
      <c r="K52" s="166">
        <f t="shared" si="12"/>
        <v>0</v>
      </c>
      <c r="L52" s="167"/>
      <c r="M52" s="168">
        <f t="shared" si="5"/>
        <v>0</v>
      </c>
      <c r="O52" s="490"/>
      <c r="P52" s="495" t="str">
        <f t="shared" si="6"/>
        <v/>
      </c>
      <c r="Q52" s="491"/>
      <c r="R52" s="492"/>
      <c r="S52" s="493"/>
      <c r="T52" s="490"/>
      <c r="U52" s="723"/>
    </row>
    <row r="53" spans="1:21" x14ac:dyDescent="0.3">
      <c r="A53" s="162" t="str">
        <f>COA!B52</f>
        <v>2210 GST/HST Payable</v>
      </c>
      <c r="C53" s="166">
        <f t="shared" si="9"/>
        <v>0</v>
      </c>
      <c r="D53" s="166">
        <f t="shared" si="10"/>
        <v>0</v>
      </c>
      <c r="E53" s="167"/>
      <c r="F53" s="168">
        <f t="shared" si="4"/>
        <v>0</v>
      </c>
      <c r="H53" s="482"/>
      <c r="J53" s="166">
        <f t="shared" si="11"/>
        <v>0</v>
      </c>
      <c r="K53" s="166">
        <f t="shared" si="12"/>
        <v>0</v>
      </c>
      <c r="L53" s="167"/>
      <c r="M53" s="168">
        <f t="shared" si="5"/>
        <v>0</v>
      </c>
      <c r="O53" s="490"/>
      <c r="P53" s="495" t="str">
        <f t="shared" si="6"/>
        <v/>
      </c>
      <c r="Q53" s="491"/>
      <c r="R53" s="492"/>
      <c r="S53" s="493"/>
      <c r="T53" s="490"/>
      <c r="U53" s="723"/>
    </row>
    <row r="54" spans="1:21" x14ac:dyDescent="0.3">
      <c r="A54" s="162" t="str">
        <f>COA!B53</f>
        <v>2230 GST Payable/(Refund):GST to Paid/(refunded)</v>
      </c>
      <c r="C54" s="166">
        <f t="shared" si="9"/>
        <v>0</v>
      </c>
      <c r="D54" s="166">
        <f t="shared" si="10"/>
        <v>0</v>
      </c>
      <c r="E54" s="167"/>
      <c r="F54" s="168">
        <f t="shared" si="4"/>
        <v>0</v>
      </c>
      <c r="H54" s="482"/>
      <c r="J54" s="166">
        <f t="shared" si="11"/>
        <v>0</v>
      </c>
      <c r="K54" s="166">
        <f t="shared" si="12"/>
        <v>0</v>
      </c>
      <c r="L54" s="167"/>
      <c r="M54" s="168">
        <f t="shared" si="5"/>
        <v>0</v>
      </c>
      <c r="O54" s="490"/>
      <c r="P54" s="495" t="str">
        <f t="shared" si="6"/>
        <v/>
      </c>
      <c r="Q54" s="491"/>
      <c r="R54" s="492"/>
      <c r="S54" s="493"/>
      <c r="T54" s="490"/>
      <c r="U54" s="723"/>
    </row>
    <row r="55" spans="1:21" x14ac:dyDescent="0.3">
      <c r="A55" s="162" t="str">
        <f>COA!B54</f>
        <v>2211 GST/HST Suspense</v>
      </c>
      <c r="C55" s="166">
        <f t="shared" si="9"/>
        <v>0</v>
      </c>
      <c r="D55" s="166">
        <f t="shared" si="10"/>
        <v>0</v>
      </c>
      <c r="E55" s="167"/>
      <c r="F55" s="168">
        <f t="shared" ref="F55:F179" si="13">SUM(C55:E55)</f>
        <v>0</v>
      </c>
      <c r="H55" s="482"/>
      <c r="J55" s="166">
        <f t="shared" si="11"/>
        <v>0</v>
      </c>
      <c r="K55" s="166">
        <f t="shared" si="12"/>
        <v>0</v>
      </c>
      <c r="L55" s="167"/>
      <c r="M55" s="168">
        <f t="shared" ref="M55:M179" si="14">SUM(J55:L55)</f>
        <v>0</v>
      </c>
      <c r="O55" s="490"/>
      <c r="P55" s="495" t="str">
        <f t="shared" si="6"/>
        <v/>
      </c>
      <c r="Q55" s="491"/>
      <c r="R55" s="492"/>
      <c r="S55" s="493"/>
      <c r="T55" s="490"/>
      <c r="U55" s="723"/>
    </row>
    <row r="56" spans="1:21" x14ac:dyDescent="0.3">
      <c r="A56" s="162" t="str">
        <f>COA!B55</f>
        <v>2201 GST and HST Suspense</v>
      </c>
      <c r="C56" s="166">
        <f t="shared" si="9"/>
        <v>0</v>
      </c>
      <c r="D56" s="166">
        <f t="shared" si="10"/>
        <v>0</v>
      </c>
      <c r="E56" s="167"/>
      <c r="F56" s="168">
        <f t="shared" ref="F56:F118" si="15">SUM(C56:E56)</f>
        <v>0</v>
      </c>
      <c r="H56" s="482"/>
      <c r="J56" s="166">
        <f t="shared" si="11"/>
        <v>0</v>
      </c>
      <c r="K56" s="166">
        <f t="shared" si="12"/>
        <v>0</v>
      </c>
      <c r="L56" s="167"/>
      <c r="M56" s="168">
        <f t="shared" ref="M56:M118" si="16">SUM(J56:L56)</f>
        <v>0</v>
      </c>
      <c r="O56" s="490"/>
      <c r="P56" s="495" t="str">
        <f t="shared" si="6"/>
        <v/>
      </c>
      <c r="Q56" s="491"/>
      <c r="R56" s="492"/>
      <c r="S56" s="493"/>
      <c r="T56" s="490"/>
      <c r="U56" s="723"/>
    </row>
    <row r="57" spans="1:21" x14ac:dyDescent="0.3">
      <c r="A57" s="162" t="str">
        <f>COA!B56</f>
        <v>2202 Receiver General Suspense</v>
      </c>
      <c r="C57" s="166">
        <f t="shared" si="9"/>
        <v>0</v>
      </c>
      <c r="D57" s="166">
        <f t="shared" si="10"/>
        <v>0</v>
      </c>
      <c r="E57" s="167"/>
      <c r="F57" s="168">
        <f t="shared" si="15"/>
        <v>0</v>
      </c>
      <c r="H57" s="482"/>
      <c r="J57" s="166">
        <f t="shared" si="11"/>
        <v>0</v>
      </c>
      <c r="K57" s="166">
        <f t="shared" si="12"/>
        <v>0</v>
      </c>
      <c r="L57" s="167"/>
      <c r="M57" s="168">
        <f t="shared" si="16"/>
        <v>0</v>
      </c>
      <c r="O57" s="490"/>
      <c r="P57" s="495" t="str">
        <f t="shared" si="6"/>
        <v/>
      </c>
      <c r="Q57" s="491"/>
      <c r="R57" s="492"/>
      <c r="S57" s="493"/>
      <c r="T57" s="490"/>
      <c r="U57" s="723"/>
    </row>
    <row r="58" spans="1:21" x14ac:dyDescent="0.3">
      <c r="A58" s="162" t="str">
        <f>COA!B57</f>
        <v>2280 PST Payable</v>
      </c>
      <c r="C58" s="166">
        <f t="shared" si="9"/>
        <v>0</v>
      </c>
      <c r="D58" s="166">
        <f t="shared" si="10"/>
        <v>0</v>
      </c>
      <c r="E58" s="167"/>
      <c r="F58" s="168">
        <f t="shared" si="15"/>
        <v>0</v>
      </c>
      <c r="H58" s="482"/>
      <c r="J58" s="166">
        <f t="shared" si="11"/>
        <v>0</v>
      </c>
      <c r="K58" s="166">
        <f t="shared" si="12"/>
        <v>0</v>
      </c>
      <c r="L58" s="167"/>
      <c r="M58" s="168">
        <f t="shared" si="16"/>
        <v>0</v>
      </c>
      <c r="O58" s="490"/>
      <c r="P58" s="495" t="str">
        <f t="shared" si="6"/>
        <v/>
      </c>
      <c r="Q58" s="491"/>
      <c r="R58" s="492"/>
      <c r="S58" s="493"/>
      <c r="T58" s="490"/>
      <c r="U58" s="723"/>
    </row>
    <row r="59" spans="1:21" x14ac:dyDescent="0.3">
      <c r="A59" s="162" t="str">
        <f>COA!B58</f>
        <v>2240 PST Payable:PST Collected on Sales</v>
      </c>
      <c r="C59" s="166">
        <f t="shared" si="9"/>
        <v>0</v>
      </c>
      <c r="D59" s="166">
        <f t="shared" si="10"/>
        <v>0</v>
      </c>
      <c r="E59" s="167"/>
      <c r="F59" s="168">
        <f t="shared" si="15"/>
        <v>0</v>
      </c>
      <c r="H59" s="482"/>
      <c r="J59" s="166">
        <f t="shared" si="11"/>
        <v>0</v>
      </c>
      <c r="K59" s="166">
        <f t="shared" si="12"/>
        <v>0</v>
      </c>
      <c r="L59" s="167"/>
      <c r="M59" s="168">
        <f t="shared" si="16"/>
        <v>0</v>
      </c>
      <c r="O59" s="490"/>
      <c r="P59" s="495" t="str">
        <f t="shared" si="6"/>
        <v/>
      </c>
      <c r="Q59" s="491"/>
      <c r="R59" s="492"/>
      <c r="S59" s="493"/>
      <c r="T59" s="490"/>
      <c r="U59" s="723"/>
    </row>
    <row r="60" spans="1:21" x14ac:dyDescent="0.3">
      <c r="A60" s="162" t="str">
        <f>COA!B59</f>
        <v>2245 PST Payable:PST Payable</v>
      </c>
      <c r="C60" s="166">
        <f t="shared" si="9"/>
        <v>0</v>
      </c>
      <c r="D60" s="166">
        <f t="shared" si="10"/>
        <v>0</v>
      </c>
      <c r="E60" s="167"/>
      <c r="F60" s="168">
        <f t="shared" si="15"/>
        <v>0</v>
      </c>
      <c r="H60" s="482"/>
      <c r="J60" s="166">
        <f t="shared" si="11"/>
        <v>0</v>
      </c>
      <c r="K60" s="166">
        <f t="shared" si="12"/>
        <v>0</v>
      </c>
      <c r="L60" s="167"/>
      <c r="M60" s="168">
        <f t="shared" si="16"/>
        <v>0</v>
      </c>
      <c r="O60" s="490"/>
      <c r="P60" s="495" t="str">
        <f t="shared" si="6"/>
        <v/>
      </c>
      <c r="Q60" s="491"/>
      <c r="R60" s="492"/>
      <c r="S60" s="493"/>
      <c r="T60" s="490"/>
      <c r="U60" s="723"/>
    </row>
    <row r="61" spans="1:21" x14ac:dyDescent="0.3">
      <c r="A61" s="162" t="str">
        <f>COA!B60</f>
        <v>2300 Corporate Tax Payable</v>
      </c>
      <c r="C61" s="166">
        <f t="shared" si="9"/>
        <v>0</v>
      </c>
      <c r="D61" s="166">
        <f t="shared" si="10"/>
        <v>0</v>
      </c>
      <c r="E61" s="167"/>
      <c r="F61" s="168">
        <f t="shared" si="15"/>
        <v>0</v>
      </c>
      <c r="H61" s="482"/>
      <c r="J61" s="166">
        <f t="shared" si="11"/>
        <v>0</v>
      </c>
      <c r="K61" s="166">
        <f t="shared" si="12"/>
        <v>0</v>
      </c>
      <c r="L61" s="167"/>
      <c r="M61" s="168">
        <f t="shared" si="16"/>
        <v>0</v>
      </c>
      <c r="O61" s="208"/>
      <c r="P61" s="501"/>
      <c r="Q61" s="491"/>
      <c r="R61" s="500"/>
      <c r="T61" s="490"/>
      <c r="U61" s="723"/>
    </row>
    <row r="62" spans="1:21" x14ac:dyDescent="0.3">
      <c r="A62" s="162" t="str">
        <f>COA!B61</f>
        <v>2500 Due to/(from) related parties</v>
      </c>
      <c r="C62" s="166">
        <f t="shared" si="9"/>
        <v>0</v>
      </c>
      <c r="D62" s="166">
        <f t="shared" si="10"/>
        <v>0</v>
      </c>
      <c r="E62" s="167"/>
      <c r="F62" s="168">
        <f t="shared" si="15"/>
        <v>0</v>
      </c>
      <c r="H62" s="482"/>
      <c r="J62" s="166">
        <f t="shared" si="11"/>
        <v>0</v>
      </c>
      <c r="K62" s="166">
        <f t="shared" si="12"/>
        <v>0</v>
      </c>
      <c r="L62" s="167"/>
      <c r="M62" s="168">
        <f t="shared" si="16"/>
        <v>0</v>
      </c>
      <c r="O62" s="208"/>
      <c r="P62" s="501"/>
      <c r="Q62" s="491"/>
      <c r="R62" s="500"/>
      <c r="T62" s="490"/>
      <c r="U62" s="723"/>
    </row>
    <row r="63" spans="1:21" x14ac:dyDescent="0.3">
      <c r="A63" s="162" t="str">
        <f>COA!B62</f>
        <v>2501 Due to/(from) related parties:Due To/From SAK2</v>
      </c>
      <c r="C63" s="166">
        <f t="shared" si="9"/>
        <v>0</v>
      </c>
      <c r="D63" s="166">
        <f t="shared" si="10"/>
        <v>0</v>
      </c>
      <c r="E63" s="167"/>
      <c r="F63" s="168">
        <f t="shared" si="15"/>
        <v>0</v>
      </c>
      <c r="H63" s="482"/>
      <c r="J63" s="166">
        <f t="shared" si="11"/>
        <v>0</v>
      </c>
      <c r="K63" s="166">
        <f t="shared" si="12"/>
        <v>0</v>
      </c>
      <c r="L63" s="167"/>
      <c r="M63" s="168">
        <f t="shared" si="16"/>
        <v>0</v>
      </c>
      <c r="O63" s="208"/>
      <c r="P63" s="501"/>
      <c r="Q63" s="491"/>
      <c r="R63" s="500"/>
      <c r="T63" s="490"/>
      <c r="U63" s="723"/>
    </row>
    <row r="64" spans="1:21" x14ac:dyDescent="0.3">
      <c r="A64" s="162" t="str">
        <f>COA!B63</f>
        <v>2502 Due to/(from) related parties:Due To/From SAK6</v>
      </c>
      <c r="C64" s="166">
        <f t="shared" si="9"/>
        <v>0</v>
      </c>
      <c r="D64" s="166">
        <f t="shared" si="10"/>
        <v>0</v>
      </c>
      <c r="E64" s="167"/>
      <c r="F64" s="168">
        <f t="shared" si="15"/>
        <v>0</v>
      </c>
      <c r="H64" s="482"/>
      <c r="J64" s="166">
        <f t="shared" si="11"/>
        <v>0</v>
      </c>
      <c r="K64" s="166">
        <f t="shared" si="12"/>
        <v>0</v>
      </c>
      <c r="L64" s="167"/>
      <c r="M64" s="168">
        <f t="shared" si="16"/>
        <v>0</v>
      </c>
      <c r="O64" s="208"/>
      <c r="P64" s="501"/>
      <c r="Q64" s="491"/>
      <c r="R64" s="500"/>
      <c r="T64" s="490"/>
      <c r="U64" s="723"/>
    </row>
    <row r="65" spans="1:21" x14ac:dyDescent="0.3">
      <c r="A65" s="162" t="str">
        <f>COA!B64</f>
        <v>2503 Due to/(from) related parties:Due To/From UpCapital</v>
      </c>
      <c r="C65" s="166">
        <f t="shared" si="9"/>
        <v>0</v>
      </c>
      <c r="D65" s="166">
        <f t="shared" si="10"/>
        <v>0</v>
      </c>
      <c r="E65" s="167"/>
      <c r="F65" s="168">
        <f t="shared" si="15"/>
        <v>0</v>
      </c>
      <c r="H65" s="482"/>
      <c r="J65" s="166">
        <f t="shared" si="11"/>
        <v>0</v>
      </c>
      <c r="K65" s="166">
        <f t="shared" si="12"/>
        <v>0</v>
      </c>
      <c r="L65" s="167"/>
      <c r="M65" s="168">
        <f t="shared" si="16"/>
        <v>0</v>
      </c>
      <c r="O65" s="208"/>
      <c r="P65" s="501"/>
      <c r="Q65" s="491"/>
      <c r="R65" s="500"/>
      <c r="T65" s="490"/>
      <c r="U65" s="723"/>
    </row>
    <row r="66" spans="1:21" x14ac:dyDescent="0.3">
      <c r="A66" s="162" t="str">
        <f>COA!B65</f>
        <v>2504 Due to/(from) related parties:Shareholder's Loan</v>
      </c>
      <c r="C66" s="166">
        <f t="shared" si="9"/>
        <v>0</v>
      </c>
      <c r="D66" s="166">
        <f t="shared" si="10"/>
        <v>0</v>
      </c>
      <c r="E66" s="167"/>
      <c r="F66" s="168">
        <f t="shared" si="15"/>
        <v>0</v>
      </c>
      <c r="H66" s="482"/>
      <c r="J66" s="166">
        <f t="shared" si="11"/>
        <v>0</v>
      </c>
      <c r="K66" s="166">
        <f t="shared" si="12"/>
        <v>0</v>
      </c>
      <c r="L66" s="167"/>
      <c r="M66" s="168">
        <f t="shared" si="16"/>
        <v>0</v>
      </c>
      <c r="O66" s="208"/>
      <c r="P66" s="501"/>
      <c r="Q66" s="491"/>
      <c r="R66" s="500"/>
      <c r="T66" s="490"/>
      <c r="U66" s="723"/>
    </row>
    <row r="67" spans="1:21" x14ac:dyDescent="0.3">
      <c r="A67" s="162" t="str">
        <f>COA!B66</f>
        <v>2600 Current portion of loans and borrowings</v>
      </c>
      <c r="C67" s="166">
        <f t="shared" si="9"/>
        <v>0</v>
      </c>
      <c r="D67" s="166">
        <f t="shared" si="10"/>
        <v>0</v>
      </c>
      <c r="E67" s="167"/>
      <c r="F67" s="168">
        <f t="shared" si="15"/>
        <v>0</v>
      </c>
      <c r="H67" s="482"/>
      <c r="J67" s="166">
        <f t="shared" si="11"/>
        <v>0</v>
      </c>
      <c r="K67" s="166">
        <f t="shared" si="12"/>
        <v>0</v>
      </c>
      <c r="L67" s="167"/>
      <c r="M67" s="168">
        <f t="shared" si="16"/>
        <v>0</v>
      </c>
      <c r="O67" s="208"/>
      <c r="P67" s="501"/>
      <c r="Q67" s="491"/>
      <c r="R67" s="500"/>
      <c r="T67" s="490"/>
      <c r="U67" s="723"/>
    </row>
    <row r="68" spans="1:21" x14ac:dyDescent="0.3">
      <c r="A68" s="162" t="str">
        <f>COA!B67</f>
        <v>2600 Due to RPT - Diane Halston</v>
      </c>
      <c r="C68" s="166">
        <f t="shared" si="9"/>
        <v>0</v>
      </c>
      <c r="D68" s="166">
        <f t="shared" si="10"/>
        <v>0</v>
      </c>
      <c r="E68" s="167"/>
      <c r="F68" s="168">
        <f t="shared" si="15"/>
        <v>0</v>
      </c>
      <c r="H68" s="482"/>
      <c r="J68" s="166">
        <f t="shared" si="11"/>
        <v>0</v>
      </c>
      <c r="K68" s="166">
        <f t="shared" si="12"/>
        <v>0</v>
      </c>
      <c r="L68" s="167"/>
      <c r="M68" s="168">
        <f t="shared" si="16"/>
        <v>0</v>
      </c>
      <c r="O68" s="208"/>
      <c r="P68" s="501"/>
      <c r="Q68" s="491"/>
      <c r="R68" s="500"/>
      <c r="T68" s="490"/>
      <c r="U68" s="723"/>
    </row>
    <row r="69" spans="1:21" x14ac:dyDescent="0.3">
      <c r="A69" s="162" t="str">
        <f>COA!B68</f>
        <v>2601 Due to RPT - Brett Halston</v>
      </c>
      <c r="C69" s="166">
        <f t="shared" si="9"/>
        <v>0</v>
      </c>
      <c r="D69" s="166">
        <f t="shared" si="10"/>
        <v>0</v>
      </c>
      <c r="E69" s="167"/>
      <c r="F69" s="168">
        <f t="shared" si="15"/>
        <v>0</v>
      </c>
      <c r="H69" s="482"/>
      <c r="J69" s="166">
        <f t="shared" si="11"/>
        <v>0</v>
      </c>
      <c r="K69" s="166">
        <f t="shared" si="12"/>
        <v>0</v>
      </c>
      <c r="L69" s="167"/>
      <c r="M69" s="168">
        <f t="shared" si="16"/>
        <v>0</v>
      </c>
      <c r="O69" s="208"/>
      <c r="P69" s="501"/>
      <c r="Q69" s="491"/>
      <c r="R69" s="500"/>
      <c r="T69" s="490"/>
      <c r="U69" s="723"/>
    </row>
    <row r="70" spans="1:21" x14ac:dyDescent="0.3">
      <c r="A70" s="162" t="str">
        <f>COA!B69</f>
        <v>2602 Due to RPT - Keith Halston</v>
      </c>
      <c r="C70" s="166">
        <f t="shared" si="9"/>
        <v>0</v>
      </c>
      <c r="D70" s="166">
        <f t="shared" si="10"/>
        <v>0</v>
      </c>
      <c r="E70" s="167"/>
      <c r="F70" s="168">
        <f t="shared" si="15"/>
        <v>0</v>
      </c>
      <c r="H70" s="482"/>
      <c r="J70" s="166">
        <f t="shared" si="11"/>
        <v>0</v>
      </c>
      <c r="K70" s="166">
        <f t="shared" si="12"/>
        <v>0</v>
      </c>
      <c r="L70" s="167"/>
      <c r="M70" s="168">
        <f t="shared" si="16"/>
        <v>0</v>
      </c>
      <c r="O70" s="208"/>
      <c r="P70" s="501"/>
      <c r="Q70" s="491"/>
      <c r="R70" s="500"/>
      <c r="T70" s="490"/>
      <c r="U70" s="723"/>
    </row>
    <row r="71" spans="1:21" x14ac:dyDescent="0.3">
      <c r="A71" s="162" t="str">
        <f>COA!B70</f>
        <v>2650 Loans and borrowings</v>
      </c>
      <c r="C71" s="166">
        <f t="shared" ref="C71:C102" si="17">SUMIFS($S:$S,$Q:$Q,$A71,$T:$T,$C$2,$U:$U,C$3)</f>
        <v>0</v>
      </c>
      <c r="D71" s="166">
        <f t="shared" ref="D71:D102" si="18">SUMIFS($S:$S,$Q:$Q,$A71,$T:$T,$D$2,$U:$U,D$3)</f>
        <v>0</v>
      </c>
      <c r="E71" s="167"/>
      <c r="F71" s="168">
        <f t="shared" si="15"/>
        <v>0</v>
      </c>
      <c r="H71" s="482"/>
      <c r="J71" s="166">
        <f t="shared" ref="J71:J102" si="19">SUMIFS($S:$S,$Q:$Q,$A71,$T:$T,$J$2,$U:$U,J$3)</f>
        <v>0</v>
      </c>
      <c r="K71" s="166">
        <f t="shared" ref="K71:K102" si="20">SUMIFS($S:$S,$Q:$Q,$A71,$T:$T,$K$2,$U:$U,K$3)</f>
        <v>0</v>
      </c>
      <c r="L71" s="167"/>
      <c r="M71" s="168">
        <f t="shared" si="16"/>
        <v>0</v>
      </c>
      <c r="O71" s="208"/>
      <c r="P71" s="501"/>
      <c r="Q71" s="491"/>
      <c r="R71" s="500"/>
      <c r="T71" s="490"/>
      <c r="U71" s="723"/>
    </row>
    <row r="72" spans="1:21" x14ac:dyDescent="0.3">
      <c r="A72" s="162" t="str">
        <f>COA!B71</f>
        <v>2650 Loan Payable - current</v>
      </c>
      <c r="C72" s="166">
        <f t="shared" si="17"/>
        <v>0</v>
      </c>
      <c r="D72" s="166">
        <f t="shared" si="18"/>
        <v>0</v>
      </c>
      <c r="E72" s="167"/>
      <c r="F72" s="168">
        <f t="shared" si="15"/>
        <v>0</v>
      </c>
      <c r="H72" s="482"/>
      <c r="J72" s="166">
        <f t="shared" si="19"/>
        <v>0</v>
      </c>
      <c r="K72" s="166">
        <f t="shared" si="20"/>
        <v>0</v>
      </c>
      <c r="L72" s="167"/>
      <c r="M72" s="168">
        <f t="shared" si="16"/>
        <v>0</v>
      </c>
      <c r="O72" s="208"/>
      <c r="P72" s="501"/>
      <c r="Q72" s="491"/>
      <c r="R72" s="500"/>
      <c r="T72" s="490"/>
      <c r="U72" s="723"/>
    </row>
    <row r="73" spans="1:21" x14ac:dyDescent="0.3">
      <c r="A73" s="162" t="str">
        <f>COA!B72</f>
        <v>2651 Loan Payable - non-current</v>
      </c>
      <c r="C73" s="166">
        <f t="shared" si="17"/>
        <v>0</v>
      </c>
      <c r="D73" s="166">
        <f t="shared" si="18"/>
        <v>0</v>
      </c>
      <c r="E73" s="167"/>
      <c r="F73" s="168">
        <f t="shared" si="15"/>
        <v>0</v>
      </c>
      <c r="H73" s="482"/>
      <c r="J73" s="166">
        <f t="shared" si="19"/>
        <v>0</v>
      </c>
      <c r="K73" s="166">
        <f t="shared" si="20"/>
        <v>0</v>
      </c>
      <c r="L73" s="167"/>
      <c r="M73" s="168">
        <f t="shared" si="16"/>
        <v>0</v>
      </c>
      <c r="O73" s="208"/>
      <c r="P73" s="501"/>
      <c r="Q73" s="491"/>
      <c r="R73" s="500"/>
      <c r="T73" s="490"/>
      <c r="U73" s="723"/>
    </row>
    <row r="74" spans="1:21" x14ac:dyDescent="0.3">
      <c r="A74" s="162" t="str">
        <f>COA!B73</f>
        <v>2700 Share subscription payable</v>
      </c>
      <c r="C74" s="166">
        <f t="shared" si="17"/>
        <v>0</v>
      </c>
      <c r="D74" s="166">
        <f t="shared" si="18"/>
        <v>0</v>
      </c>
      <c r="E74" s="167"/>
      <c r="F74" s="168">
        <f t="shared" si="15"/>
        <v>0</v>
      </c>
      <c r="H74" s="482"/>
      <c r="J74" s="166">
        <f t="shared" si="19"/>
        <v>0</v>
      </c>
      <c r="K74" s="166">
        <f t="shared" si="20"/>
        <v>0</v>
      </c>
      <c r="L74" s="167"/>
      <c r="M74" s="168">
        <f t="shared" si="16"/>
        <v>0</v>
      </c>
      <c r="O74" s="208"/>
      <c r="P74" s="501"/>
      <c r="Q74" s="491"/>
      <c r="R74" s="500"/>
      <c r="T74" s="490"/>
      <c r="U74" s="723"/>
    </row>
    <row r="75" spans="1:21" x14ac:dyDescent="0.3">
      <c r="A75" s="162" t="str">
        <f>COA!B74</f>
        <v>2700 Due to Shareholders</v>
      </c>
      <c r="C75" s="166">
        <f t="shared" si="17"/>
        <v>0</v>
      </c>
      <c r="D75" s="166">
        <f t="shared" si="18"/>
        <v>0</v>
      </c>
      <c r="E75" s="167"/>
      <c r="F75" s="168">
        <f t="shared" si="15"/>
        <v>0</v>
      </c>
      <c r="H75" s="482"/>
      <c r="J75" s="166">
        <f t="shared" si="19"/>
        <v>0</v>
      </c>
      <c r="K75" s="166">
        <f t="shared" si="20"/>
        <v>0</v>
      </c>
      <c r="L75" s="167"/>
      <c r="M75" s="168">
        <f t="shared" si="16"/>
        <v>0</v>
      </c>
      <c r="O75" s="208"/>
      <c r="P75" s="501"/>
      <c r="Q75" s="491"/>
      <c r="R75" s="500"/>
      <c r="T75" s="490"/>
      <c r="U75" s="723"/>
    </row>
    <row r="76" spans="1:21" x14ac:dyDescent="0.3">
      <c r="A76" s="162" t="str">
        <f>COA!B75</f>
        <v>2705 Due to Shareholders:Due to SH - James Taylor</v>
      </c>
      <c r="C76" s="166">
        <f t="shared" si="17"/>
        <v>0</v>
      </c>
      <c r="D76" s="166">
        <f t="shared" si="18"/>
        <v>0</v>
      </c>
      <c r="E76" s="167"/>
      <c r="F76" s="168">
        <f t="shared" si="15"/>
        <v>0</v>
      </c>
      <c r="H76" s="482"/>
      <c r="J76" s="166">
        <f t="shared" si="19"/>
        <v>0</v>
      </c>
      <c r="K76" s="166">
        <f t="shared" si="20"/>
        <v>0</v>
      </c>
      <c r="L76" s="167"/>
      <c r="M76" s="168">
        <f t="shared" si="16"/>
        <v>0</v>
      </c>
      <c r="O76" s="208"/>
      <c r="P76" s="501"/>
      <c r="Q76" s="491"/>
      <c r="R76" s="500"/>
      <c r="T76" s="490"/>
      <c r="U76" s="723"/>
    </row>
    <row r="77" spans="1:21" x14ac:dyDescent="0.3">
      <c r="A77" s="162" t="str">
        <f>COA!B76</f>
        <v>2706 Due to Shareholders:Due to SH - Keith Halston</v>
      </c>
      <c r="C77" s="166">
        <f t="shared" si="17"/>
        <v>0</v>
      </c>
      <c r="D77" s="166">
        <f t="shared" si="18"/>
        <v>0</v>
      </c>
      <c r="E77" s="167"/>
      <c r="F77" s="168">
        <f t="shared" si="15"/>
        <v>0</v>
      </c>
      <c r="H77" s="482"/>
      <c r="J77" s="166">
        <f t="shared" si="19"/>
        <v>0</v>
      </c>
      <c r="K77" s="166">
        <f t="shared" si="20"/>
        <v>0</v>
      </c>
      <c r="L77" s="167"/>
      <c r="M77" s="168">
        <f t="shared" si="16"/>
        <v>0</v>
      </c>
      <c r="O77" s="208"/>
      <c r="P77" s="501"/>
      <c r="Q77" s="491"/>
      <c r="R77" s="500"/>
      <c r="T77" s="490"/>
      <c r="U77" s="723"/>
    </row>
    <row r="78" spans="1:21" x14ac:dyDescent="0.3">
      <c r="A78" s="162" t="str">
        <f>COA!B77</f>
        <v>2800 Current portion - convertible debt</v>
      </c>
      <c r="C78" s="166">
        <f t="shared" si="17"/>
        <v>0</v>
      </c>
      <c r="D78" s="166">
        <f t="shared" si="18"/>
        <v>0</v>
      </c>
      <c r="E78" s="167"/>
      <c r="F78" s="168">
        <f t="shared" si="15"/>
        <v>0</v>
      </c>
      <c r="H78" s="482"/>
      <c r="J78" s="166">
        <f t="shared" si="19"/>
        <v>0</v>
      </c>
      <c r="K78" s="166">
        <f t="shared" si="20"/>
        <v>0</v>
      </c>
      <c r="L78" s="167"/>
      <c r="M78" s="168">
        <f t="shared" si="16"/>
        <v>0</v>
      </c>
      <c r="O78" s="208"/>
      <c r="P78" s="501"/>
      <c r="Q78" s="491"/>
      <c r="R78" s="500"/>
      <c r="T78" s="490"/>
      <c r="U78" s="723"/>
    </row>
    <row r="79" spans="1:21" x14ac:dyDescent="0.3">
      <c r="A79" s="162" t="str">
        <f>COA!B78</f>
        <v>2801 long-term portion - convertible debt</v>
      </c>
      <c r="C79" s="166">
        <f t="shared" si="17"/>
        <v>0</v>
      </c>
      <c r="D79" s="166">
        <f t="shared" si="18"/>
        <v>0</v>
      </c>
      <c r="E79" s="167"/>
      <c r="F79" s="168">
        <f t="shared" si="15"/>
        <v>0</v>
      </c>
      <c r="H79" s="482"/>
      <c r="J79" s="166">
        <f t="shared" si="19"/>
        <v>0</v>
      </c>
      <c r="K79" s="166">
        <f t="shared" si="20"/>
        <v>0</v>
      </c>
      <c r="L79" s="167"/>
      <c r="M79" s="168">
        <f t="shared" si="16"/>
        <v>0</v>
      </c>
      <c r="O79" s="208"/>
      <c r="P79" s="501"/>
      <c r="Q79" s="491"/>
      <c r="R79" s="500"/>
      <c r="T79" s="490"/>
      <c r="U79" s="723"/>
    </row>
    <row r="80" spans="1:21" x14ac:dyDescent="0.3">
      <c r="A80" s="162" t="str">
        <f>COA!B79</f>
        <v>2802 Derivative liability</v>
      </c>
      <c r="C80" s="166">
        <f t="shared" si="17"/>
        <v>0</v>
      </c>
      <c r="D80" s="166">
        <f t="shared" si="18"/>
        <v>0</v>
      </c>
      <c r="E80" s="167"/>
      <c r="F80" s="168">
        <f t="shared" si="15"/>
        <v>0</v>
      </c>
      <c r="H80" s="482"/>
      <c r="J80" s="166">
        <f t="shared" si="19"/>
        <v>0</v>
      </c>
      <c r="K80" s="166">
        <f t="shared" si="20"/>
        <v>0</v>
      </c>
      <c r="L80" s="167"/>
      <c r="M80" s="168">
        <f t="shared" si="16"/>
        <v>0</v>
      </c>
      <c r="O80" s="208"/>
      <c r="P80" s="501"/>
      <c r="Q80" s="491"/>
      <c r="R80" s="500"/>
      <c r="T80" s="490"/>
      <c r="U80" s="723"/>
    </row>
    <row r="81" spans="1:21" x14ac:dyDescent="0.3">
      <c r="A81" s="162" t="str">
        <f>COA!B81</f>
        <v>2900 Intercompany - due to Hallor Group Inc.</v>
      </c>
      <c r="C81" s="166">
        <f t="shared" si="17"/>
        <v>0</v>
      </c>
      <c r="D81" s="166">
        <f t="shared" si="18"/>
        <v>0</v>
      </c>
      <c r="E81" s="167"/>
      <c r="F81" s="168">
        <f t="shared" si="15"/>
        <v>0</v>
      </c>
      <c r="H81" s="482"/>
      <c r="J81" s="166">
        <f t="shared" si="19"/>
        <v>0</v>
      </c>
      <c r="K81" s="166">
        <f t="shared" si="20"/>
        <v>0</v>
      </c>
      <c r="L81" s="167"/>
      <c r="M81" s="168">
        <f t="shared" si="16"/>
        <v>0</v>
      </c>
      <c r="O81" s="208"/>
      <c r="P81" s="501"/>
      <c r="Q81" s="491"/>
      <c r="R81" s="500"/>
      <c r="T81" s="490"/>
      <c r="U81" s="723"/>
    </row>
    <row r="82" spans="1:21" x14ac:dyDescent="0.3">
      <c r="A82" s="162" t="str">
        <f>COA!B82</f>
        <v>3000 Share capital</v>
      </c>
      <c r="C82" s="166">
        <f t="shared" si="17"/>
        <v>0</v>
      </c>
      <c r="D82" s="166">
        <f t="shared" si="18"/>
        <v>0</v>
      </c>
      <c r="E82" s="167"/>
      <c r="F82" s="168">
        <f t="shared" si="15"/>
        <v>0</v>
      </c>
      <c r="H82" s="482"/>
      <c r="J82" s="166">
        <f t="shared" si="19"/>
        <v>0</v>
      </c>
      <c r="K82" s="166">
        <f t="shared" si="20"/>
        <v>0</v>
      </c>
      <c r="L82" s="167"/>
      <c r="M82" s="168">
        <f t="shared" si="16"/>
        <v>0</v>
      </c>
      <c r="O82" s="208"/>
      <c r="P82" s="501"/>
      <c r="Q82" s="491"/>
      <c r="R82" s="500"/>
      <c r="T82" s="490"/>
      <c r="U82" s="723"/>
    </row>
    <row r="83" spans="1:21" x14ac:dyDescent="0.3">
      <c r="A83" s="162" t="str">
        <f>COA!B83</f>
        <v>3000 Opening Bal Equity</v>
      </c>
      <c r="C83" s="166">
        <f t="shared" si="17"/>
        <v>0</v>
      </c>
      <c r="D83" s="166">
        <f t="shared" si="18"/>
        <v>0</v>
      </c>
      <c r="E83" s="167"/>
      <c r="F83" s="168">
        <f t="shared" si="15"/>
        <v>0</v>
      </c>
      <c r="H83" s="482"/>
      <c r="J83" s="166">
        <f t="shared" si="19"/>
        <v>0</v>
      </c>
      <c r="K83" s="166">
        <f t="shared" si="20"/>
        <v>0</v>
      </c>
      <c r="L83" s="167"/>
      <c r="M83" s="168">
        <f t="shared" si="16"/>
        <v>0</v>
      </c>
      <c r="O83" s="208"/>
      <c r="P83" s="501"/>
      <c r="Q83" s="491"/>
      <c r="R83" s="500"/>
      <c r="T83" s="490"/>
      <c r="U83" s="723"/>
    </row>
    <row r="84" spans="1:21" x14ac:dyDescent="0.3">
      <c r="A84" s="162" t="str">
        <f>COA!B84</f>
        <v>3001 Share capital:Common Shares</v>
      </c>
      <c r="C84" s="166">
        <f t="shared" si="17"/>
        <v>0</v>
      </c>
      <c r="D84" s="166">
        <f t="shared" si="18"/>
        <v>0</v>
      </c>
      <c r="E84" s="167"/>
      <c r="F84" s="168">
        <f t="shared" si="15"/>
        <v>0</v>
      </c>
      <c r="H84" s="482"/>
      <c r="J84" s="166">
        <f t="shared" si="19"/>
        <v>0</v>
      </c>
      <c r="K84" s="166">
        <f t="shared" si="20"/>
        <v>0</v>
      </c>
      <c r="L84" s="167"/>
      <c r="M84" s="168">
        <f t="shared" si="16"/>
        <v>0</v>
      </c>
      <c r="O84" s="208"/>
      <c r="P84" s="501"/>
      <c r="Q84" s="491"/>
      <c r="R84" s="500"/>
      <c r="T84" s="490"/>
      <c r="U84" s="723"/>
    </row>
    <row r="85" spans="1:21" x14ac:dyDescent="0.3">
      <c r="A85" s="162" t="str">
        <f>COA!B85</f>
        <v>3010 Share issuance cost</v>
      </c>
      <c r="C85" s="166">
        <f t="shared" si="17"/>
        <v>0</v>
      </c>
      <c r="D85" s="166">
        <f t="shared" si="18"/>
        <v>0</v>
      </c>
      <c r="E85" s="167"/>
      <c r="F85" s="168">
        <f t="shared" si="15"/>
        <v>0</v>
      </c>
      <c r="H85" s="482"/>
      <c r="J85" s="166">
        <f t="shared" si="19"/>
        <v>0</v>
      </c>
      <c r="K85" s="166">
        <f t="shared" si="20"/>
        <v>0</v>
      </c>
      <c r="L85" s="167"/>
      <c r="M85" s="168">
        <f t="shared" si="16"/>
        <v>0</v>
      </c>
      <c r="O85" s="208"/>
      <c r="P85" s="501"/>
      <c r="Q85" s="500"/>
      <c r="R85" s="500"/>
      <c r="T85" s="490"/>
      <c r="U85" s="723"/>
    </row>
    <row r="86" spans="1:21" x14ac:dyDescent="0.3">
      <c r="A86" s="162" t="str">
        <f>COA!B86</f>
        <v>3100 Warrant reserve</v>
      </c>
      <c r="C86" s="166">
        <f t="shared" si="17"/>
        <v>0</v>
      </c>
      <c r="D86" s="166">
        <f t="shared" si="18"/>
        <v>0</v>
      </c>
      <c r="E86" s="167"/>
      <c r="F86" s="168">
        <f t="shared" si="15"/>
        <v>0</v>
      </c>
      <c r="H86" s="482"/>
      <c r="J86" s="166">
        <f t="shared" si="19"/>
        <v>0</v>
      </c>
      <c r="K86" s="166">
        <f t="shared" si="20"/>
        <v>0</v>
      </c>
      <c r="L86" s="167"/>
      <c r="M86" s="168">
        <f t="shared" si="16"/>
        <v>0</v>
      </c>
      <c r="O86" s="208"/>
      <c r="P86" s="501"/>
      <c r="Q86" s="500"/>
      <c r="R86" s="500"/>
      <c r="T86" s="490"/>
      <c r="U86" s="723"/>
    </row>
    <row r="87" spans="1:21" x14ac:dyDescent="0.3">
      <c r="A87" s="162" t="str">
        <f>COA!B87</f>
        <v>3100 Common Shares</v>
      </c>
      <c r="C87" s="166">
        <f t="shared" si="17"/>
        <v>0</v>
      </c>
      <c r="D87" s="166">
        <f t="shared" si="18"/>
        <v>0</v>
      </c>
      <c r="E87" s="167"/>
      <c r="F87" s="168">
        <f t="shared" si="15"/>
        <v>0</v>
      </c>
      <c r="H87" s="482"/>
      <c r="J87" s="166">
        <f t="shared" si="19"/>
        <v>0</v>
      </c>
      <c r="K87" s="166">
        <f t="shared" si="20"/>
        <v>0</v>
      </c>
      <c r="L87" s="167"/>
      <c r="M87" s="168">
        <f t="shared" si="16"/>
        <v>0</v>
      </c>
      <c r="O87" s="208"/>
      <c r="P87" s="501"/>
      <c r="Q87" s="500"/>
      <c r="R87" s="500"/>
      <c r="T87" s="490"/>
      <c r="U87" s="723"/>
    </row>
    <row r="88" spans="1:21" x14ac:dyDescent="0.3">
      <c r="A88" s="162" t="str">
        <f>COA!B88</f>
        <v>3105 Common Shares:Class A Shares</v>
      </c>
      <c r="C88" s="166">
        <f t="shared" si="17"/>
        <v>0</v>
      </c>
      <c r="D88" s="166">
        <f t="shared" si="18"/>
        <v>0</v>
      </c>
      <c r="E88" s="167"/>
      <c r="F88" s="168">
        <f t="shared" si="15"/>
        <v>0</v>
      </c>
      <c r="H88" s="482"/>
      <c r="J88" s="166">
        <f t="shared" si="19"/>
        <v>0</v>
      </c>
      <c r="K88" s="166">
        <f t="shared" si="20"/>
        <v>0</v>
      </c>
      <c r="L88" s="167"/>
      <c r="M88" s="168">
        <f t="shared" si="16"/>
        <v>0</v>
      </c>
      <c r="O88" s="208"/>
      <c r="P88" s="501"/>
      <c r="Q88" s="500"/>
      <c r="R88" s="500"/>
      <c r="T88" s="490"/>
      <c r="U88" s="723"/>
    </row>
    <row r="89" spans="1:21" x14ac:dyDescent="0.3">
      <c r="A89" s="162" t="str">
        <f>COA!B89</f>
        <v>3110 Common Shares:Class B Shares</v>
      </c>
      <c r="C89" s="166">
        <f t="shared" si="17"/>
        <v>0</v>
      </c>
      <c r="D89" s="166">
        <f t="shared" si="18"/>
        <v>0</v>
      </c>
      <c r="E89" s="167"/>
      <c r="F89" s="168">
        <f t="shared" si="15"/>
        <v>0</v>
      </c>
      <c r="H89" s="482"/>
      <c r="J89" s="166">
        <f t="shared" si="19"/>
        <v>0</v>
      </c>
      <c r="K89" s="166">
        <f t="shared" si="20"/>
        <v>0</v>
      </c>
      <c r="L89" s="167"/>
      <c r="M89" s="168">
        <f t="shared" si="16"/>
        <v>0</v>
      </c>
      <c r="O89" s="208"/>
      <c r="P89" s="501"/>
      <c r="Q89" s="500"/>
      <c r="R89" s="500"/>
      <c r="T89" s="490"/>
      <c r="U89" s="723"/>
    </row>
    <row r="90" spans="1:21" x14ac:dyDescent="0.3">
      <c r="A90" s="162" t="str">
        <f>COA!B90</f>
        <v>3115 Common Shares:Class C Shares</v>
      </c>
      <c r="C90" s="166">
        <f t="shared" si="17"/>
        <v>0</v>
      </c>
      <c r="D90" s="166">
        <f t="shared" si="18"/>
        <v>0</v>
      </c>
      <c r="E90" s="167"/>
      <c r="F90" s="168">
        <f t="shared" si="15"/>
        <v>0</v>
      </c>
      <c r="H90" s="482"/>
      <c r="J90" s="166">
        <f t="shared" si="19"/>
        <v>0</v>
      </c>
      <c r="K90" s="166">
        <f t="shared" si="20"/>
        <v>0</v>
      </c>
      <c r="L90" s="167"/>
      <c r="M90" s="168">
        <f t="shared" si="16"/>
        <v>0</v>
      </c>
      <c r="O90" s="208"/>
      <c r="P90" s="501"/>
      <c r="Q90" s="500"/>
      <c r="R90" s="500"/>
      <c r="T90" s="490"/>
      <c r="U90" s="723"/>
    </row>
    <row r="91" spans="1:21" x14ac:dyDescent="0.3">
      <c r="A91" s="162" t="str">
        <f>COA!B91</f>
        <v>3200 Capital contribution</v>
      </c>
      <c r="C91" s="166">
        <f t="shared" si="17"/>
        <v>0</v>
      </c>
      <c r="D91" s="166">
        <f t="shared" si="18"/>
        <v>0</v>
      </c>
      <c r="E91" s="167"/>
      <c r="F91" s="168">
        <f t="shared" si="15"/>
        <v>0</v>
      </c>
      <c r="H91" s="482"/>
      <c r="J91" s="166">
        <f t="shared" si="19"/>
        <v>0</v>
      </c>
      <c r="K91" s="166">
        <f t="shared" si="20"/>
        <v>0</v>
      </c>
      <c r="L91" s="167"/>
      <c r="M91" s="168">
        <f t="shared" si="16"/>
        <v>0</v>
      </c>
      <c r="O91" s="208"/>
      <c r="P91" s="501"/>
      <c r="Q91" s="500"/>
      <c r="R91" s="500"/>
      <c r="T91" s="490"/>
      <c r="U91" s="723"/>
    </row>
    <row r="92" spans="1:21" x14ac:dyDescent="0.3">
      <c r="A92" s="162" t="str">
        <f>COA!B92</f>
        <v>3500 Opening Balance Equity</v>
      </c>
      <c r="C92" s="166">
        <f t="shared" si="17"/>
        <v>0</v>
      </c>
      <c r="D92" s="166">
        <f t="shared" si="18"/>
        <v>0</v>
      </c>
      <c r="E92" s="167"/>
      <c r="F92" s="168">
        <f t="shared" si="15"/>
        <v>0</v>
      </c>
      <c r="H92" s="482"/>
      <c r="J92" s="166">
        <f t="shared" si="19"/>
        <v>0</v>
      </c>
      <c r="K92" s="166">
        <f t="shared" si="20"/>
        <v>0</v>
      </c>
      <c r="L92" s="167"/>
      <c r="M92" s="168">
        <f t="shared" si="16"/>
        <v>0</v>
      </c>
      <c r="O92" s="208"/>
      <c r="P92" s="501"/>
      <c r="Q92" s="500"/>
      <c r="R92" s="500"/>
      <c r="T92" s="490"/>
      <c r="U92" s="723"/>
    </row>
    <row r="93" spans="1:21" x14ac:dyDescent="0.3">
      <c r="A93" s="162" t="str">
        <f>COA!B94</f>
        <v>3501 Retained Earnings</v>
      </c>
      <c r="C93" s="166">
        <f t="shared" si="17"/>
        <v>0</v>
      </c>
      <c r="D93" s="166">
        <f t="shared" si="18"/>
        <v>0</v>
      </c>
      <c r="E93" s="167"/>
      <c r="F93" s="168">
        <f t="shared" si="15"/>
        <v>0</v>
      </c>
      <c r="H93" s="482"/>
      <c r="J93" s="166">
        <f t="shared" si="19"/>
        <v>0</v>
      </c>
      <c r="K93" s="166">
        <f t="shared" si="20"/>
        <v>0</v>
      </c>
      <c r="L93" s="167"/>
      <c r="M93" s="168">
        <f t="shared" si="16"/>
        <v>0</v>
      </c>
      <c r="O93" s="208"/>
      <c r="P93" s="501"/>
      <c r="Q93" s="500"/>
      <c r="R93" s="500"/>
      <c r="T93" s="490"/>
      <c r="U93" s="723"/>
    </row>
    <row r="94" spans="1:21" x14ac:dyDescent="0.3">
      <c r="A94" s="162" t="str">
        <f>COA!B95</f>
        <v>3900 Retained Earnings</v>
      </c>
      <c r="C94" s="166">
        <f t="shared" si="17"/>
        <v>0</v>
      </c>
      <c r="D94" s="166">
        <f t="shared" si="18"/>
        <v>0</v>
      </c>
      <c r="E94" s="167"/>
      <c r="F94" s="168">
        <f t="shared" si="15"/>
        <v>0</v>
      </c>
      <c r="H94" s="482"/>
      <c r="J94" s="166">
        <f t="shared" si="19"/>
        <v>0</v>
      </c>
      <c r="K94" s="166">
        <f t="shared" si="20"/>
        <v>0</v>
      </c>
      <c r="L94" s="167"/>
      <c r="M94" s="168">
        <f t="shared" si="16"/>
        <v>0</v>
      </c>
      <c r="O94" s="208"/>
      <c r="P94" s="501"/>
      <c r="Q94" s="500"/>
      <c r="R94" s="500"/>
      <c r="T94" s="490"/>
      <c r="U94" s="723"/>
    </row>
    <row r="95" spans="1:21" x14ac:dyDescent="0.3">
      <c r="A95" s="162" t="str">
        <f>COA!B96</f>
        <v>5000 Revenue</v>
      </c>
      <c r="C95" s="166">
        <f t="shared" si="17"/>
        <v>0</v>
      </c>
      <c r="D95" s="166">
        <f t="shared" si="18"/>
        <v>0</v>
      </c>
      <c r="E95" s="167"/>
      <c r="F95" s="168">
        <f t="shared" si="15"/>
        <v>0</v>
      </c>
      <c r="H95" s="482"/>
      <c r="J95" s="166">
        <f t="shared" si="19"/>
        <v>0</v>
      </c>
      <c r="K95" s="166">
        <f t="shared" si="20"/>
        <v>0</v>
      </c>
      <c r="L95" s="167"/>
      <c r="M95" s="168">
        <f t="shared" si="16"/>
        <v>0</v>
      </c>
      <c r="O95" s="208"/>
      <c r="P95" s="501"/>
      <c r="Q95" s="500"/>
      <c r="R95" s="500"/>
      <c r="T95" s="490"/>
      <c r="U95" s="723"/>
    </row>
    <row r="96" spans="1:21" x14ac:dyDescent="0.3">
      <c r="A96" s="162" t="str">
        <f>COA!B97</f>
        <v>5000 Utility Vehicle Sales</v>
      </c>
      <c r="C96" s="166">
        <f t="shared" si="17"/>
        <v>0</v>
      </c>
      <c r="D96" s="166">
        <f t="shared" si="18"/>
        <v>0</v>
      </c>
      <c r="E96" s="167"/>
      <c r="F96" s="168">
        <f t="shared" si="15"/>
        <v>0</v>
      </c>
      <c r="H96" s="482"/>
      <c r="J96" s="166">
        <f t="shared" si="19"/>
        <v>0</v>
      </c>
      <c r="K96" s="166">
        <f t="shared" si="20"/>
        <v>0</v>
      </c>
      <c r="L96" s="167"/>
      <c r="M96" s="168">
        <f t="shared" si="16"/>
        <v>0</v>
      </c>
      <c r="O96" s="208"/>
      <c r="P96" s="501"/>
      <c r="Q96" s="500"/>
      <c r="R96" s="500"/>
      <c r="T96" s="490"/>
      <c r="U96" s="723"/>
    </row>
    <row r="97" spans="1:21" x14ac:dyDescent="0.3">
      <c r="A97" s="162" t="str">
        <f>COA!B98</f>
        <v>5001 Other General Sales</v>
      </c>
      <c r="C97" s="166">
        <f t="shared" si="17"/>
        <v>0</v>
      </c>
      <c r="D97" s="166">
        <f t="shared" si="18"/>
        <v>0</v>
      </c>
      <c r="E97" s="167"/>
      <c r="F97" s="168">
        <f t="shared" si="15"/>
        <v>0</v>
      </c>
      <c r="H97" s="482"/>
      <c r="J97" s="166">
        <f t="shared" si="19"/>
        <v>0</v>
      </c>
      <c r="K97" s="166">
        <f t="shared" si="20"/>
        <v>0</v>
      </c>
      <c r="L97" s="167"/>
      <c r="M97" s="168">
        <f t="shared" si="16"/>
        <v>0</v>
      </c>
      <c r="O97" s="208"/>
      <c r="P97" s="501"/>
      <c r="Q97" s="500"/>
      <c r="R97" s="500"/>
      <c r="T97" s="490"/>
      <c r="U97" s="723"/>
    </row>
    <row r="98" spans="1:21" x14ac:dyDescent="0.3">
      <c r="A98" s="162" t="str">
        <f>COA!B99</f>
        <v>5002 Equipment parts sale</v>
      </c>
      <c r="C98" s="166">
        <f t="shared" si="17"/>
        <v>0</v>
      </c>
      <c r="D98" s="166">
        <f t="shared" si="18"/>
        <v>0</v>
      </c>
      <c r="E98" s="167"/>
      <c r="F98" s="168">
        <f t="shared" si="15"/>
        <v>0</v>
      </c>
      <c r="H98" s="482"/>
      <c r="J98" s="166">
        <f t="shared" si="19"/>
        <v>0</v>
      </c>
      <c r="K98" s="166">
        <f t="shared" si="20"/>
        <v>0</v>
      </c>
      <c r="L98" s="167"/>
      <c r="M98" s="168">
        <f t="shared" si="16"/>
        <v>0</v>
      </c>
      <c r="O98" s="208"/>
      <c r="P98" s="501"/>
      <c r="Q98" s="500"/>
      <c r="R98" s="500"/>
      <c r="T98" s="490"/>
      <c r="U98" s="723"/>
    </row>
    <row r="99" spans="1:21" x14ac:dyDescent="0.3">
      <c r="A99" s="162" t="str">
        <f>COA!B100</f>
        <v>5003 Labour service</v>
      </c>
      <c r="C99" s="166">
        <f t="shared" si="17"/>
        <v>0</v>
      </c>
      <c r="D99" s="166">
        <f t="shared" si="18"/>
        <v>0</v>
      </c>
      <c r="E99" s="167"/>
      <c r="F99" s="168">
        <f t="shared" si="15"/>
        <v>0</v>
      </c>
      <c r="H99" s="482"/>
      <c r="J99" s="166">
        <f t="shared" si="19"/>
        <v>0</v>
      </c>
      <c r="K99" s="166">
        <f t="shared" si="20"/>
        <v>0</v>
      </c>
      <c r="L99" s="167"/>
      <c r="M99" s="168">
        <f t="shared" si="16"/>
        <v>0</v>
      </c>
      <c r="O99" s="208"/>
      <c r="P99" s="501"/>
      <c r="Q99" s="500"/>
      <c r="R99" s="500"/>
      <c r="T99" s="490"/>
      <c r="U99" s="723"/>
    </row>
    <row r="100" spans="1:21" x14ac:dyDescent="0.3">
      <c r="A100" s="162" t="str">
        <f>COA!B101</f>
        <v>5004 Shop Supplies Sales</v>
      </c>
      <c r="C100" s="166">
        <f t="shared" si="17"/>
        <v>0</v>
      </c>
      <c r="D100" s="166">
        <f t="shared" si="18"/>
        <v>0</v>
      </c>
      <c r="E100" s="167"/>
      <c r="F100" s="168">
        <f t="shared" si="15"/>
        <v>0</v>
      </c>
      <c r="H100" s="482"/>
      <c r="J100" s="166">
        <f t="shared" si="19"/>
        <v>0</v>
      </c>
      <c r="K100" s="166">
        <f t="shared" si="20"/>
        <v>0</v>
      </c>
      <c r="L100" s="167"/>
      <c r="M100" s="168">
        <f t="shared" si="16"/>
        <v>0</v>
      </c>
      <c r="O100" s="208"/>
      <c r="P100" s="501"/>
      <c r="Q100" s="500"/>
      <c r="R100" s="500"/>
      <c r="T100" s="490"/>
      <c r="U100" s="723"/>
    </row>
    <row r="101" spans="1:21" x14ac:dyDescent="0.3">
      <c r="A101" s="162" t="str">
        <f>COA!B102</f>
        <v>5006 Markup</v>
      </c>
      <c r="C101" s="166">
        <f t="shared" si="17"/>
        <v>0</v>
      </c>
      <c r="D101" s="166">
        <f t="shared" si="18"/>
        <v>0</v>
      </c>
      <c r="E101" s="167"/>
      <c r="F101" s="168">
        <f t="shared" si="15"/>
        <v>0</v>
      </c>
      <c r="H101" s="482"/>
      <c r="J101" s="166">
        <f t="shared" si="19"/>
        <v>0</v>
      </c>
      <c r="K101" s="166">
        <f t="shared" si="20"/>
        <v>0</v>
      </c>
      <c r="L101" s="167"/>
      <c r="M101" s="168">
        <f t="shared" si="16"/>
        <v>0</v>
      </c>
      <c r="O101" s="208"/>
      <c r="P101" s="501"/>
      <c r="Q101" s="500"/>
      <c r="R101" s="500"/>
      <c r="T101" s="490"/>
      <c r="U101" s="723"/>
    </row>
    <row r="102" spans="1:21" x14ac:dyDescent="0.3">
      <c r="A102" s="162" t="str">
        <f>COA!B104</f>
        <v>5498 Interest income</v>
      </c>
      <c r="C102" s="166">
        <f t="shared" si="17"/>
        <v>0</v>
      </c>
      <c r="D102" s="166">
        <f t="shared" si="18"/>
        <v>0</v>
      </c>
      <c r="E102" s="167"/>
      <c r="F102" s="168">
        <f t="shared" si="15"/>
        <v>0</v>
      </c>
      <c r="H102" s="482"/>
      <c r="J102" s="166">
        <f t="shared" si="19"/>
        <v>0</v>
      </c>
      <c r="K102" s="166">
        <f t="shared" si="20"/>
        <v>0</v>
      </c>
      <c r="L102" s="167"/>
      <c r="M102" s="168">
        <f t="shared" si="16"/>
        <v>0</v>
      </c>
      <c r="O102" s="208"/>
      <c r="P102" s="501"/>
      <c r="Q102" s="500"/>
      <c r="R102" s="500"/>
      <c r="T102" s="490"/>
      <c r="U102" s="723"/>
    </row>
    <row r="103" spans="1:21" x14ac:dyDescent="0.3">
      <c r="A103" s="162" t="str">
        <f>COA!B105</f>
        <v>5499 Other Income</v>
      </c>
      <c r="C103" s="166">
        <f t="shared" ref="C103:C134" si="21">SUMIFS($S:$S,$Q:$Q,$A103,$T:$T,$C$2,$U:$U,C$3)</f>
        <v>0</v>
      </c>
      <c r="D103" s="166">
        <f t="shared" ref="D103:D134" si="22">SUMIFS($S:$S,$Q:$Q,$A103,$T:$T,$D$2,$U:$U,D$3)</f>
        <v>0</v>
      </c>
      <c r="E103" s="167"/>
      <c r="F103" s="168">
        <f t="shared" si="15"/>
        <v>0</v>
      </c>
      <c r="H103" s="482"/>
      <c r="J103" s="166">
        <f t="shared" ref="J103:J134" si="23">SUMIFS($S:$S,$Q:$Q,$A103,$T:$T,$J$2,$U:$U,J$3)</f>
        <v>0</v>
      </c>
      <c r="K103" s="166">
        <f t="shared" ref="K103:K134" si="24">SUMIFS($S:$S,$Q:$Q,$A103,$T:$T,$K$2,$U:$U,K$3)</f>
        <v>0</v>
      </c>
      <c r="L103" s="167"/>
      <c r="M103" s="168">
        <f t="shared" si="16"/>
        <v>0</v>
      </c>
      <c r="O103" s="208"/>
      <c r="P103" s="501"/>
      <c r="Q103" s="500"/>
      <c r="R103" s="500"/>
      <c r="T103" s="490"/>
      <c r="U103" s="723"/>
    </row>
    <row r="104" spans="1:21" x14ac:dyDescent="0.3">
      <c r="A104" s="162" t="str">
        <f>COA!B106</f>
        <v>5500 Cost of Goods Sold</v>
      </c>
      <c r="C104" s="166">
        <f t="shared" si="21"/>
        <v>0</v>
      </c>
      <c r="D104" s="166">
        <f t="shared" si="22"/>
        <v>0</v>
      </c>
      <c r="E104" s="167"/>
      <c r="F104" s="168">
        <f t="shared" si="15"/>
        <v>0</v>
      </c>
      <c r="H104" s="482"/>
      <c r="J104" s="166">
        <f t="shared" si="23"/>
        <v>0</v>
      </c>
      <c r="K104" s="166">
        <f t="shared" si="24"/>
        <v>0</v>
      </c>
      <c r="L104" s="167"/>
      <c r="M104" s="168">
        <f t="shared" si="16"/>
        <v>0</v>
      </c>
      <c r="O104" s="208"/>
      <c r="P104" s="501"/>
      <c r="Q104" s="500"/>
      <c r="R104" s="500"/>
      <c r="T104" s="490"/>
      <c r="U104" s="723"/>
    </row>
    <row r="105" spans="1:21" x14ac:dyDescent="0.3">
      <c r="A105" s="162" t="str">
        <f>COA!B107</f>
        <v>5510 Cost of Goods Sold:Parts and components  - COS</v>
      </c>
      <c r="C105" s="166">
        <f t="shared" si="21"/>
        <v>0</v>
      </c>
      <c r="D105" s="166">
        <f t="shared" si="22"/>
        <v>0</v>
      </c>
      <c r="E105" s="167"/>
      <c r="F105" s="168">
        <f t="shared" si="15"/>
        <v>0</v>
      </c>
      <c r="H105" s="482"/>
      <c r="J105" s="166">
        <f t="shared" si="23"/>
        <v>0</v>
      </c>
      <c r="K105" s="166">
        <f t="shared" si="24"/>
        <v>0</v>
      </c>
      <c r="L105" s="167"/>
      <c r="M105" s="168">
        <f t="shared" si="16"/>
        <v>0</v>
      </c>
      <c r="O105" s="208"/>
      <c r="P105" s="501"/>
      <c r="Q105" s="500"/>
      <c r="R105" s="500"/>
      <c r="T105" s="490"/>
      <c r="U105" s="723"/>
    </row>
    <row r="106" spans="1:21" x14ac:dyDescent="0.3">
      <c r="A106" s="162" t="str">
        <f>COA!B108</f>
        <v>5515 Cost of Goods Sold:Engineering  - COS</v>
      </c>
      <c r="C106" s="166">
        <f t="shared" si="21"/>
        <v>0</v>
      </c>
      <c r="D106" s="166">
        <f t="shared" si="22"/>
        <v>0</v>
      </c>
      <c r="E106" s="167"/>
      <c r="F106" s="168">
        <f t="shared" si="15"/>
        <v>0</v>
      </c>
      <c r="H106" s="482"/>
      <c r="J106" s="166">
        <f t="shared" si="23"/>
        <v>0</v>
      </c>
      <c r="K106" s="166">
        <f t="shared" si="24"/>
        <v>0</v>
      </c>
      <c r="L106" s="167"/>
      <c r="M106" s="168">
        <f t="shared" si="16"/>
        <v>0</v>
      </c>
      <c r="O106" s="208"/>
      <c r="P106" s="501"/>
      <c r="Q106" s="500"/>
      <c r="R106" s="500"/>
      <c r="T106" s="490"/>
      <c r="U106" s="723"/>
    </row>
    <row r="107" spans="1:21" x14ac:dyDescent="0.3">
      <c r="A107" s="162" t="str">
        <f>COA!B109</f>
        <v>5520 Cost of Goods Sold:Subcontracting  - COS</v>
      </c>
      <c r="C107" s="166">
        <f t="shared" si="21"/>
        <v>0</v>
      </c>
      <c r="D107" s="166">
        <f t="shared" si="22"/>
        <v>0</v>
      </c>
      <c r="E107" s="167"/>
      <c r="F107" s="168">
        <f t="shared" si="15"/>
        <v>0</v>
      </c>
      <c r="H107" s="482"/>
      <c r="J107" s="166">
        <f t="shared" si="23"/>
        <v>0</v>
      </c>
      <c r="K107" s="166">
        <f t="shared" si="24"/>
        <v>0</v>
      </c>
      <c r="L107" s="167"/>
      <c r="M107" s="168">
        <f t="shared" si="16"/>
        <v>0</v>
      </c>
      <c r="O107" s="208"/>
      <c r="P107" s="501"/>
      <c r="Q107" s="500"/>
      <c r="R107" s="500"/>
      <c r="T107" s="490"/>
      <c r="U107" s="723"/>
    </row>
    <row r="108" spans="1:21" x14ac:dyDescent="0.3">
      <c r="A108" s="162" t="str">
        <f>COA!B110</f>
        <v>5525 Cost of Goods Sold:Shipping  - COS</v>
      </c>
      <c r="C108" s="166">
        <f t="shared" si="21"/>
        <v>0</v>
      </c>
      <c r="D108" s="166">
        <f t="shared" si="22"/>
        <v>0</v>
      </c>
      <c r="E108" s="167"/>
      <c r="F108" s="168">
        <f t="shared" si="15"/>
        <v>0</v>
      </c>
      <c r="H108" s="482"/>
      <c r="J108" s="166">
        <f t="shared" si="23"/>
        <v>0</v>
      </c>
      <c r="K108" s="166">
        <f t="shared" si="24"/>
        <v>0</v>
      </c>
      <c r="L108" s="167"/>
      <c r="M108" s="168">
        <f t="shared" si="16"/>
        <v>0</v>
      </c>
      <c r="O108" s="208"/>
      <c r="P108" s="501"/>
      <c r="Q108" s="500"/>
      <c r="R108" s="500"/>
      <c r="T108" s="490"/>
      <c r="U108" s="723"/>
    </row>
    <row r="109" spans="1:21" x14ac:dyDescent="0.3">
      <c r="A109" s="162" t="str">
        <f>COA!B111</f>
        <v>5530 Cost of Goods Sold:Disposal/Landfill  - COS</v>
      </c>
      <c r="C109" s="166">
        <f t="shared" si="21"/>
        <v>0</v>
      </c>
      <c r="D109" s="166">
        <f t="shared" si="22"/>
        <v>0</v>
      </c>
      <c r="E109" s="167"/>
      <c r="F109" s="168">
        <f t="shared" si="15"/>
        <v>0</v>
      </c>
      <c r="H109" s="482"/>
      <c r="J109" s="166">
        <f t="shared" si="23"/>
        <v>0</v>
      </c>
      <c r="K109" s="166">
        <f t="shared" si="24"/>
        <v>0</v>
      </c>
      <c r="L109" s="167"/>
      <c r="M109" s="168">
        <f t="shared" si="16"/>
        <v>0</v>
      </c>
      <c r="O109" s="208"/>
      <c r="P109" s="501"/>
      <c r="Q109" s="500"/>
      <c r="R109" s="500"/>
      <c r="T109" s="490"/>
      <c r="U109" s="723"/>
    </row>
    <row r="110" spans="1:21" x14ac:dyDescent="0.3">
      <c r="A110" s="162" t="str">
        <f>COA!B112</f>
        <v>5535 Cost of Goods Sold:Inventory Write Off  - COS</v>
      </c>
      <c r="C110" s="166">
        <f t="shared" si="21"/>
        <v>0</v>
      </c>
      <c r="D110" s="166">
        <f t="shared" si="22"/>
        <v>0</v>
      </c>
      <c r="E110" s="167"/>
      <c r="F110" s="168">
        <f t="shared" si="15"/>
        <v>0</v>
      </c>
      <c r="H110" s="482"/>
      <c r="J110" s="166">
        <f t="shared" si="23"/>
        <v>0</v>
      </c>
      <c r="K110" s="166">
        <f t="shared" si="24"/>
        <v>0</v>
      </c>
      <c r="L110" s="167"/>
      <c r="M110" s="168">
        <f t="shared" si="16"/>
        <v>0</v>
      </c>
      <c r="O110" s="208"/>
      <c r="P110" s="501"/>
      <c r="Q110" s="500"/>
      <c r="R110" s="500"/>
      <c r="T110" s="490"/>
      <c r="U110" s="723"/>
    </row>
    <row r="111" spans="1:21" x14ac:dyDescent="0.3">
      <c r="A111" s="162" t="str">
        <f>COA!B113</f>
        <v>5540 Cost of Goods Sold:Equipment Fuel  - COS</v>
      </c>
      <c r="C111" s="166">
        <f t="shared" si="21"/>
        <v>0</v>
      </c>
      <c r="D111" s="166">
        <f t="shared" si="22"/>
        <v>0</v>
      </c>
      <c r="E111" s="167"/>
      <c r="F111" s="168">
        <f t="shared" si="15"/>
        <v>0</v>
      </c>
      <c r="H111" s="482"/>
      <c r="J111" s="166">
        <f t="shared" si="23"/>
        <v>0</v>
      </c>
      <c r="K111" s="166">
        <f t="shared" si="24"/>
        <v>0</v>
      </c>
      <c r="L111" s="167"/>
      <c r="M111" s="168">
        <f t="shared" si="16"/>
        <v>0</v>
      </c>
      <c r="O111" s="208"/>
      <c r="P111" s="501"/>
      <c r="Q111" s="500"/>
      <c r="R111" s="500"/>
      <c r="T111" s="490"/>
      <c r="U111" s="723"/>
    </row>
    <row r="112" spans="1:21" x14ac:dyDescent="0.3">
      <c r="A112" s="162" t="str">
        <f>COA!B114</f>
        <v>5545 Cost of Goods Sold:Equipment Leasing  - COS</v>
      </c>
      <c r="C112" s="166">
        <f t="shared" si="21"/>
        <v>0</v>
      </c>
      <c r="D112" s="166">
        <f t="shared" si="22"/>
        <v>0</v>
      </c>
      <c r="E112" s="167"/>
      <c r="F112" s="168">
        <f t="shared" si="15"/>
        <v>0</v>
      </c>
      <c r="H112" s="482"/>
      <c r="J112" s="166">
        <f t="shared" si="23"/>
        <v>0</v>
      </c>
      <c r="K112" s="166">
        <f t="shared" si="24"/>
        <v>0</v>
      </c>
      <c r="L112" s="167"/>
      <c r="M112" s="168">
        <f t="shared" si="16"/>
        <v>0</v>
      </c>
      <c r="O112" s="208"/>
      <c r="P112" s="501"/>
      <c r="Q112" s="500"/>
      <c r="R112" s="500"/>
      <c r="T112" s="490"/>
      <c r="U112" s="723"/>
    </row>
    <row r="113" spans="1:21" x14ac:dyDescent="0.3">
      <c r="A113" s="162" t="str">
        <f>COA!B115</f>
        <v>5511 Supplies and materials - COS</v>
      </c>
      <c r="C113" s="166">
        <f t="shared" si="21"/>
        <v>0</v>
      </c>
      <c r="D113" s="166">
        <f t="shared" si="22"/>
        <v>0</v>
      </c>
      <c r="E113" s="167"/>
      <c r="F113" s="168">
        <f t="shared" si="15"/>
        <v>0</v>
      </c>
      <c r="H113" s="482"/>
      <c r="J113" s="166">
        <f t="shared" si="23"/>
        <v>0</v>
      </c>
      <c r="K113" s="166">
        <f t="shared" si="24"/>
        <v>0</v>
      </c>
      <c r="L113" s="167"/>
      <c r="M113" s="168">
        <f t="shared" si="16"/>
        <v>0</v>
      </c>
      <c r="O113" s="208"/>
      <c r="P113" s="501"/>
      <c r="Q113" s="500"/>
      <c r="R113" s="500"/>
      <c r="T113" s="490"/>
      <c r="U113" s="723"/>
    </row>
    <row r="114" spans="1:21" x14ac:dyDescent="0.3">
      <c r="A114" s="162" t="str">
        <f>COA!B116</f>
        <v>5998 Uncategorized Income</v>
      </c>
      <c r="C114" s="166">
        <f t="shared" si="21"/>
        <v>0</v>
      </c>
      <c r="D114" s="166">
        <f t="shared" si="22"/>
        <v>0</v>
      </c>
      <c r="E114" s="167"/>
      <c r="F114" s="168">
        <f t="shared" si="15"/>
        <v>0</v>
      </c>
      <c r="H114" s="482"/>
      <c r="J114" s="166">
        <f t="shared" si="23"/>
        <v>0</v>
      </c>
      <c r="K114" s="166">
        <f t="shared" si="24"/>
        <v>0</v>
      </c>
      <c r="L114" s="167"/>
      <c r="M114" s="168">
        <f t="shared" si="16"/>
        <v>0</v>
      </c>
      <c r="O114" s="208"/>
      <c r="P114" s="501"/>
      <c r="Q114" s="500"/>
      <c r="R114" s="500"/>
      <c r="T114" s="490"/>
      <c r="U114" s="723"/>
    </row>
    <row r="115" spans="1:21" x14ac:dyDescent="0.3">
      <c r="A115" s="162" t="str">
        <f>COA!B117</f>
        <v>5999 Uncategorized Income</v>
      </c>
      <c r="C115" s="166">
        <f t="shared" si="21"/>
        <v>0</v>
      </c>
      <c r="D115" s="166">
        <f t="shared" si="22"/>
        <v>0</v>
      </c>
      <c r="E115" s="167"/>
      <c r="F115" s="168">
        <f t="shared" si="15"/>
        <v>0</v>
      </c>
      <c r="H115" s="482"/>
      <c r="J115" s="166">
        <f t="shared" si="23"/>
        <v>0</v>
      </c>
      <c r="K115" s="166">
        <f t="shared" si="24"/>
        <v>0</v>
      </c>
      <c r="L115" s="167"/>
      <c r="M115" s="168">
        <f t="shared" si="16"/>
        <v>0</v>
      </c>
      <c r="O115" s="208"/>
      <c r="P115" s="501"/>
      <c r="Q115" s="500"/>
      <c r="R115" s="500"/>
      <c r="T115" s="490"/>
      <c r="U115" s="723"/>
    </row>
    <row r="116" spans="1:21" x14ac:dyDescent="0.3">
      <c r="A116" s="162" t="str">
        <f>COA!B118</f>
        <v>5999 Unapplied Cash Payment Income</v>
      </c>
      <c r="C116" s="166">
        <f t="shared" si="21"/>
        <v>0</v>
      </c>
      <c r="D116" s="166">
        <f t="shared" si="22"/>
        <v>0</v>
      </c>
      <c r="E116" s="167"/>
      <c r="F116" s="168">
        <f t="shared" si="15"/>
        <v>0</v>
      </c>
      <c r="H116" s="482"/>
      <c r="J116" s="166">
        <f t="shared" si="23"/>
        <v>0</v>
      </c>
      <c r="K116" s="166">
        <f t="shared" si="24"/>
        <v>0</v>
      </c>
      <c r="L116" s="167"/>
      <c r="M116" s="168">
        <f t="shared" si="16"/>
        <v>0</v>
      </c>
      <c r="O116" s="208"/>
      <c r="P116" s="501"/>
      <c r="Q116" s="500"/>
      <c r="R116" s="500"/>
      <c r="T116" s="490"/>
      <c r="U116" s="723"/>
    </row>
    <row r="117" spans="1:21" x14ac:dyDescent="0.3">
      <c r="A117" s="162" t="str">
        <f>COA!B119</f>
        <v>6000 Payroll Expenses</v>
      </c>
      <c r="C117" s="166">
        <f t="shared" si="21"/>
        <v>0</v>
      </c>
      <c r="D117" s="166">
        <f t="shared" si="22"/>
        <v>0</v>
      </c>
      <c r="E117" s="167"/>
      <c r="F117" s="168">
        <f t="shared" si="15"/>
        <v>0</v>
      </c>
      <c r="H117" s="482"/>
      <c r="J117" s="166">
        <f t="shared" si="23"/>
        <v>0</v>
      </c>
      <c r="K117" s="166">
        <f t="shared" si="24"/>
        <v>0</v>
      </c>
      <c r="L117" s="167"/>
      <c r="M117" s="168">
        <f t="shared" si="16"/>
        <v>0</v>
      </c>
      <c r="O117" s="208"/>
      <c r="P117" s="501"/>
      <c r="Q117" s="500"/>
      <c r="R117" s="500"/>
      <c r="T117" s="490"/>
      <c r="U117" s="723"/>
    </row>
    <row r="118" spans="1:21" x14ac:dyDescent="0.3">
      <c r="A118" s="162" t="str">
        <f>COA!B120</f>
        <v>6001 Payroll Expenses:Management Salaries</v>
      </c>
      <c r="C118" s="166">
        <f t="shared" si="21"/>
        <v>0</v>
      </c>
      <c r="D118" s="166">
        <f t="shared" si="22"/>
        <v>0</v>
      </c>
      <c r="E118" s="167"/>
      <c r="F118" s="168">
        <f t="shared" si="15"/>
        <v>0</v>
      </c>
      <c r="H118" s="482"/>
      <c r="J118" s="166">
        <f t="shared" si="23"/>
        <v>0</v>
      </c>
      <c r="K118" s="166">
        <f t="shared" si="24"/>
        <v>0</v>
      </c>
      <c r="L118" s="167"/>
      <c r="M118" s="168">
        <f t="shared" si="16"/>
        <v>0</v>
      </c>
      <c r="O118" s="208"/>
      <c r="P118" s="501"/>
      <c r="Q118" s="500"/>
      <c r="R118" s="500"/>
      <c r="T118" s="490"/>
      <c r="U118" s="723"/>
    </row>
    <row r="119" spans="1:21" x14ac:dyDescent="0.3">
      <c r="A119" s="162" t="str">
        <f>COA!B121</f>
        <v>6002 Payroll Expenses:Wages</v>
      </c>
      <c r="C119" s="166">
        <f t="shared" si="21"/>
        <v>0</v>
      </c>
      <c r="D119" s="166">
        <f t="shared" si="22"/>
        <v>0</v>
      </c>
      <c r="E119" s="167"/>
      <c r="F119" s="168">
        <f t="shared" ref="F119:F135" si="25">SUM(C119:E119)</f>
        <v>0</v>
      </c>
      <c r="H119" s="482"/>
      <c r="J119" s="166">
        <f t="shared" si="23"/>
        <v>0</v>
      </c>
      <c r="K119" s="166">
        <f t="shared" si="24"/>
        <v>0</v>
      </c>
      <c r="L119" s="167"/>
      <c r="M119" s="168">
        <f t="shared" ref="M119:M135" si="26">SUM(J119:L119)</f>
        <v>0</v>
      </c>
      <c r="O119" s="208"/>
      <c r="P119" s="501"/>
      <c r="Q119" s="500"/>
      <c r="R119" s="500"/>
      <c r="T119" s="490"/>
      <c r="U119" s="723"/>
    </row>
    <row r="120" spans="1:21" x14ac:dyDescent="0.3">
      <c r="A120" s="162" t="str">
        <f>COA!B122</f>
        <v>6003 Payroll Expenses:Vacation Pay</v>
      </c>
      <c r="C120" s="166">
        <f t="shared" si="21"/>
        <v>0</v>
      </c>
      <c r="D120" s="166">
        <f t="shared" si="22"/>
        <v>0</v>
      </c>
      <c r="E120" s="167"/>
      <c r="F120" s="168">
        <f t="shared" si="25"/>
        <v>0</v>
      </c>
      <c r="H120" s="482"/>
      <c r="J120" s="166">
        <f t="shared" si="23"/>
        <v>0</v>
      </c>
      <c r="K120" s="166">
        <f t="shared" si="24"/>
        <v>0</v>
      </c>
      <c r="L120" s="167"/>
      <c r="M120" s="168">
        <f t="shared" si="26"/>
        <v>0</v>
      </c>
      <c r="O120" s="208"/>
      <c r="P120" s="501"/>
      <c r="Q120" s="500"/>
      <c r="R120" s="500"/>
      <c r="T120" s="490"/>
      <c r="U120" s="723"/>
    </row>
    <row r="121" spans="1:21" x14ac:dyDescent="0.3">
      <c r="A121" s="162" t="str">
        <f>COA!B123</f>
        <v>6004 Payroll Expenses:Employer Taxes</v>
      </c>
      <c r="C121" s="166">
        <f t="shared" si="21"/>
        <v>0</v>
      </c>
      <c r="D121" s="166">
        <f t="shared" si="22"/>
        <v>0</v>
      </c>
      <c r="E121" s="167"/>
      <c r="F121" s="168">
        <f t="shared" si="25"/>
        <v>0</v>
      </c>
      <c r="H121" s="482"/>
      <c r="J121" s="166">
        <f t="shared" si="23"/>
        <v>0</v>
      </c>
      <c r="K121" s="166">
        <f t="shared" si="24"/>
        <v>0</v>
      </c>
      <c r="L121" s="167"/>
      <c r="M121" s="168">
        <f t="shared" si="26"/>
        <v>0</v>
      </c>
      <c r="O121" s="208"/>
      <c r="P121" s="501"/>
      <c r="Q121" s="500"/>
      <c r="R121" s="500"/>
      <c r="T121" s="490"/>
      <c r="U121" s="723"/>
    </row>
    <row r="122" spans="1:21" x14ac:dyDescent="0.3">
      <c r="A122" s="162" t="str">
        <f>COA!B124</f>
        <v>6005 Payroll Expenses:WCB Expense</v>
      </c>
      <c r="C122" s="166">
        <f t="shared" si="21"/>
        <v>0</v>
      </c>
      <c r="D122" s="166">
        <f t="shared" si="22"/>
        <v>0</v>
      </c>
      <c r="E122" s="167"/>
      <c r="F122" s="168">
        <f t="shared" si="25"/>
        <v>0</v>
      </c>
      <c r="H122" s="482"/>
      <c r="J122" s="166">
        <f t="shared" si="23"/>
        <v>0</v>
      </c>
      <c r="K122" s="166">
        <f t="shared" si="24"/>
        <v>0</v>
      </c>
      <c r="L122" s="167"/>
      <c r="M122" s="168">
        <f t="shared" si="26"/>
        <v>0</v>
      </c>
      <c r="O122" s="208"/>
      <c r="P122" s="501"/>
      <c r="Q122" s="500"/>
      <c r="R122" s="500"/>
      <c r="T122" s="490"/>
      <c r="U122" s="723"/>
    </row>
    <row r="123" spans="1:21" x14ac:dyDescent="0.3">
      <c r="A123" s="162" t="str">
        <f>COA!B125</f>
        <v>6010 Other G&amp;A</v>
      </c>
      <c r="C123" s="166">
        <f t="shared" si="21"/>
        <v>0</v>
      </c>
      <c r="D123" s="166">
        <f t="shared" si="22"/>
        <v>0</v>
      </c>
      <c r="E123" s="167"/>
      <c r="F123" s="168">
        <f t="shared" si="25"/>
        <v>0</v>
      </c>
      <c r="H123" s="482"/>
      <c r="J123" s="166">
        <f t="shared" si="23"/>
        <v>0</v>
      </c>
      <c r="K123" s="166">
        <f t="shared" si="24"/>
        <v>0</v>
      </c>
      <c r="L123" s="167"/>
      <c r="M123" s="168">
        <f t="shared" si="26"/>
        <v>0</v>
      </c>
      <c r="O123" s="208"/>
      <c r="P123" s="501"/>
      <c r="Q123" s="500"/>
      <c r="R123" s="500"/>
      <c r="T123" s="490"/>
      <c r="U123" s="723"/>
    </row>
    <row r="124" spans="1:21" x14ac:dyDescent="0.3">
      <c r="A124" s="162" t="str">
        <f>COA!B126</f>
        <v>6011 Bank charges</v>
      </c>
      <c r="C124" s="166">
        <f t="shared" si="21"/>
        <v>0</v>
      </c>
      <c r="D124" s="166">
        <f t="shared" si="22"/>
        <v>0</v>
      </c>
      <c r="E124" s="167"/>
      <c r="F124" s="168">
        <f t="shared" si="25"/>
        <v>0</v>
      </c>
      <c r="H124" s="482"/>
      <c r="J124" s="166">
        <f t="shared" si="23"/>
        <v>0</v>
      </c>
      <c r="K124" s="166">
        <f t="shared" si="24"/>
        <v>0</v>
      </c>
      <c r="L124" s="167"/>
      <c r="M124" s="168">
        <f t="shared" si="26"/>
        <v>0</v>
      </c>
      <c r="O124" s="208"/>
      <c r="P124" s="501"/>
      <c r="Q124" s="500"/>
      <c r="R124" s="500"/>
      <c r="T124" s="490"/>
      <c r="U124" s="723"/>
    </row>
    <row r="125" spans="1:21" x14ac:dyDescent="0.3">
      <c r="A125" s="162" t="str">
        <f>COA!B127</f>
        <v>6012 Bad debts</v>
      </c>
      <c r="C125" s="166">
        <f t="shared" si="21"/>
        <v>0</v>
      </c>
      <c r="D125" s="166">
        <f t="shared" si="22"/>
        <v>0</v>
      </c>
      <c r="E125" s="167"/>
      <c r="F125" s="168">
        <f t="shared" si="25"/>
        <v>0</v>
      </c>
      <c r="H125" s="482"/>
      <c r="J125" s="166">
        <f t="shared" si="23"/>
        <v>0</v>
      </c>
      <c r="K125" s="166">
        <f t="shared" si="24"/>
        <v>0</v>
      </c>
      <c r="L125" s="167"/>
      <c r="M125" s="168">
        <f t="shared" si="26"/>
        <v>0</v>
      </c>
      <c r="O125" s="208"/>
      <c r="P125" s="501"/>
      <c r="Q125" s="500"/>
      <c r="R125" s="500"/>
      <c r="T125" s="490"/>
      <c r="U125" s="723"/>
    </row>
    <row r="126" spans="1:21" x14ac:dyDescent="0.3">
      <c r="A126" s="162" t="str">
        <f>COA!B128</f>
        <v>6012 Bad Debt</v>
      </c>
      <c r="C126" s="166">
        <f t="shared" si="21"/>
        <v>0</v>
      </c>
      <c r="D126" s="166">
        <f t="shared" si="22"/>
        <v>0</v>
      </c>
      <c r="E126" s="167"/>
      <c r="F126" s="168">
        <f t="shared" si="25"/>
        <v>0</v>
      </c>
      <c r="H126" s="482"/>
      <c r="J126" s="166">
        <f t="shared" si="23"/>
        <v>0</v>
      </c>
      <c r="K126" s="166">
        <f t="shared" si="24"/>
        <v>0</v>
      </c>
      <c r="L126" s="167"/>
      <c r="M126" s="168">
        <f t="shared" si="26"/>
        <v>0</v>
      </c>
      <c r="O126" s="208"/>
      <c r="P126" s="501"/>
      <c r="Q126" s="500"/>
      <c r="R126" s="500"/>
      <c r="T126" s="490"/>
      <c r="U126" s="723"/>
    </row>
    <row r="127" spans="1:21" x14ac:dyDescent="0.3">
      <c r="A127" s="162" t="str">
        <f>COA!B129</f>
        <v>6013 Interest expense</v>
      </c>
      <c r="C127" s="166">
        <f t="shared" si="21"/>
        <v>0</v>
      </c>
      <c r="D127" s="166">
        <f t="shared" si="22"/>
        <v>0</v>
      </c>
      <c r="E127" s="167"/>
      <c r="F127" s="168">
        <f t="shared" si="25"/>
        <v>0</v>
      </c>
      <c r="H127" s="482"/>
      <c r="J127" s="166">
        <f t="shared" si="23"/>
        <v>0</v>
      </c>
      <c r="K127" s="166">
        <f t="shared" si="24"/>
        <v>0</v>
      </c>
      <c r="L127" s="167"/>
      <c r="M127" s="168">
        <f t="shared" si="26"/>
        <v>0</v>
      </c>
      <c r="O127" s="208"/>
      <c r="P127" s="501"/>
      <c r="Q127" s="500"/>
      <c r="R127" s="500"/>
      <c r="T127" s="490"/>
      <c r="U127" s="723"/>
    </row>
    <row r="128" spans="1:21" x14ac:dyDescent="0.3">
      <c r="A128" s="162" t="str">
        <f>COA!B130</f>
        <v>6015 Accounting Fees</v>
      </c>
      <c r="C128" s="166">
        <f t="shared" si="21"/>
        <v>0</v>
      </c>
      <c r="D128" s="166">
        <f t="shared" si="22"/>
        <v>0</v>
      </c>
      <c r="E128" s="167"/>
      <c r="F128" s="168">
        <f t="shared" si="25"/>
        <v>0</v>
      </c>
      <c r="H128" s="482"/>
      <c r="J128" s="166">
        <f t="shared" si="23"/>
        <v>0</v>
      </c>
      <c r="K128" s="166">
        <f t="shared" si="24"/>
        <v>0</v>
      </c>
      <c r="L128" s="167"/>
      <c r="M128" s="168">
        <f t="shared" si="26"/>
        <v>0</v>
      </c>
      <c r="O128" s="208"/>
      <c r="P128" s="501"/>
      <c r="Q128" s="500"/>
      <c r="R128" s="500"/>
      <c r="T128" s="490"/>
      <c r="U128" s="723"/>
    </row>
    <row r="129" spans="1:21" x14ac:dyDescent="0.3">
      <c r="A129" s="162" t="str">
        <f>COA!B131</f>
        <v>6015 Accounting &amp; Legal</v>
      </c>
      <c r="C129" s="166">
        <f t="shared" si="21"/>
        <v>0</v>
      </c>
      <c r="D129" s="166">
        <f t="shared" si="22"/>
        <v>0</v>
      </c>
      <c r="E129" s="167"/>
      <c r="F129" s="168">
        <f t="shared" si="25"/>
        <v>0</v>
      </c>
      <c r="H129" s="482"/>
      <c r="J129" s="166">
        <f t="shared" si="23"/>
        <v>0</v>
      </c>
      <c r="K129" s="166">
        <f t="shared" si="24"/>
        <v>0</v>
      </c>
      <c r="L129" s="167"/>
      <c r="M129" s="168">
        <f t="shared" si="26"/>
        <v>0</v>
      </c>
      <c r="O129" s="208"/>
      <c r="P129" s="501"/>
      <c r="Q129" s="500"/>
      <c r="R129" s="500"/>
      <c r="T129" s="490"/>
      <c r="U129" s="723"/>
    </row>
    <row r="130" spans="1:21" x14ac:dyDescent="0.3">
      <c r="A130" s="162" t="str">
        <f>COA!B132</f>
        <v>6016 Legal and professional fees</v>
      </c>
      <c r="C130" s="166">
        <f t="shared" si="21"/>
        <v>0</v>
      </c>
      <c r="D130" s="166">
        <f t="shared" si="22"/>
        <v>0</v>
      </c>
      <c r="E130" s="167"/>
      <c r="F130" s="168">
        <f t="shared" si="25"/>
        <v>0</v>
      </c>
      <c r="H130" s="482"/>
      <c r="J130" s="166">
        <f t="shared" si="23"/>
        <v>0</v>
      </c>
      <c r="K130" s="166">
        <f t="shared" si="24"/>
        <v>0</v>
      </c>
      <c r="L130" s="167"/>
      <c r="M130" s="168">
        <f t="shared" si="26"/>
        <v>0</v>
      </c>
      <c r="O130" s="208"/>
      <c r="P130" s="501"/>
      <c r="Q130" s="500"/>
      <c r="R130" s="500"/>
      <c r="T130" s="490"/>
      <c r="U130" s="723"/>
    </row>
    <row r="131" spans="1:21" x14ac:dyDescent="0.3">
      <c r="A131" s="162" t="str">
        <f>COA!B133</f>
        <v>6016 Consulting Expense</v>
      </c>
      <c r="C131" s="166">
        <f t="shared" si="21"/>
        <v>0</v>
      </c>
      <c r="D131" s="166">
        <f t="shared" si="22"/>
        <v>0</v>
      </c>
      <c r="E131" s="167"/>
      <c r="F131" s="168">
        <f t="shared" si="25"/>
        <v>0</v>
      </c>
      <c r="H131" s="482"/>
      <c r="J131" s="166">
        <f t="shared" si="23"/>
        <v>0</v>
      </c>
      <c r="K131" s="166">
        <f t="shared" si="24"/>
        <v>0</v>
      </c>
      <c r="L131" s="167"/>
      <c r="M131" s="168">
        <f t="shared" si="26"/>
        <v>0</v>
      </c>
      <c r="O131" s="208"/>
      <c r="P131" s="501"/>
      <c r="Q131" s="500"/>
      <c r="R131" s="500"/>
      <c r="T131" s="490"/>
      <c r="U131" s="723"/>
    </row>
    <row r="132" spans="1:21" x14ac:dyDescent="0.3">
      <c r="A132" s="162" t="str">
        <f>COA!B134</f>
        <v>6017 Consulting Fees</v>
      </c>
      <c r="C132" s="166">
        <f t="shared" si="21"/>
        <v>0</v>
      </c>
      <c r="D132" s="166">
        <f t="shared" si="22"/>
        <v>0</v>
      </c>
      <c r="E132" s="167"/>
      <c r="F132" s="168">
        <f t="shared" si="25"/>
        <v>0</v>
      </c>
      <c r="H132" s="482"/>
      <c r="J132" s="166">
        <f t="shared" si="23"/>
        <v>0</v>
      </c>
      <c r="K132" s="166">
        <f t="shared" si="24"/>
        <v>0</v>
      </c>
      <c r="L132" s="167"/>
      <c r="M132" s="168">
        <f t="shared" si="26"/>
        <v>0</v>
      </c>
      <c r="O132" s="208"/>
      <c r="P132" s="501"/>
      <c r="Q132" s="500"/>
      <c r="R132" s="500"/>
      <c r="T132" s="490"/>
      <c r="U132" s="723"/>
    </row>
    <row r="133" spans="1:21" x14ac:dyDescent="0.3">
      <c r="A133" s="162" t="str">
        <f>COA!B135</f>
        <v>6018 Dues and Subscription</v>
      </c>
      <c r="C133" s="166">
        <f t="shared" si="21"/>
        <v>0</v>
      </c>
      <c r="D133" s="166">
        <f t="shared" si="22"/>
        <v>0</v>
      </c>
      <c r="E133" s="167"/>
      <c r="F133" s="168">
        <f t="shared" si="25"/>
        <v>0</v>
      </c>
      <c r="H133" s="482"/>
      <c r="J133" s="166">
        <f t="shared" si="23"/>
        <v>0</v>
      </c>
      <c r="K133" s="166">
        <f t="shared" si="24"/>
        <v>0</v>
      </c>
      <c r="L133" s="167"/>
      <c r="M133" s="168">
        <f t="shared" si="26"/>
        <v>0</v>
      </c>
      <c r="O133" s="208"/>
      <c r="P133" s="501"/>
      <c r="Q133" s="500"/>
      <c r="R133" s="500"/>
      <c r="T133" s="490"/>
      <c r="U133" s="723"/>
    </row>
    <row r="134" spans="1:21" x14ac:dyDescent="0.3">
      <c r="A134" s="162" t="str">
        <f>COA!B136</f>
        <v>6020 Advertising &amp; Promotion</v>
      </c>
      <c r="C134" s="166">
        <f t="shared" si="21"/>
        <v>0</v>
      </c>
      <c r="D134" s="166">
        <f t="shared" si="22"/>
        <v>0</v>
      </c>
      <c r="E134" s="167"/>
      <c r="F134" s="168">
        <f t="shared" si="25"/>
        <v>0</v>
      </c>
      <c r="H134" s="482"/>
      <c r="J134" s="166">
        <f t="shared" si="23"/>
        <v>0</v>
      </c>
      <c r="K134" s="166">
        <f t="shared" si="24"/>
        <v>0</v>
      </c>
      <c r="L134" s="167"/>
      <c r="M134" s="168">
        <f t="shared" si="26"/>
        <v>0</v>
      </c>
      <c r="O134" s="208"/>
      <c r="P134" s="501"/>
      <c r="Q134" s="500"/>
      <c r="R134" s="500"/>
      <c r="T134" s="490"/>
      <c r="U134" s="723"/>
    </row>
    <row r="135" spans="1:21" x14ac:dyDescent="0.3">
      <c r="A135" s="162" t="str">
        <f>COA!B137</f>
        <v>6021 Tradeshows and conventions</v>
      </c>
      <c r="C135" s="166">
        <f t="shared" ref="C135:C166" si="27">SUMIFS($S:$S,$Q:$Q,$A135,$T:$T,$C$2,$U:$U,C$3)</f>
        <v>0</v>
      </c>
      <c r="D135" s="166">
        <f t="shared" ref="D135:D166" si="28">SUMIFS($S:$S,$Q:$Q,$A135,$T:$T,$D$2,$U:$U,D$3)</f>
        <v>0</v>
      </c>
      <c r="E135" s="167"/>
      <c r="F135" s="168">
        <f t="shared" si="25"/>
        <v>0</v>
      </c>
      <c r="H135" s="482"/>
      <c r="J135" s="166">
        <f t="shared" ref="J135:J166" si="29">SUMIFS($S:$S,$Q:$Q,$A135,$T:$T,$J$2,$U:$U,J$3)</f>
        <v>0</v>
      </c>
      <c r="K135" s="166">
        <f t="shared" ref="K135:K166" si="30">SUMIFS($S:$S,$Q:$Q,$A135,$T:$T,$K$2,$U:$U,K$3)</f>
        <v>0</v>
      </c>
      <c r="L135" s="167"/>
      <c r="M135" s="168">
        <f t="shared" si="26"/>
        <v>0</v>
      </c>
      <c r="O135" s="208"/>
      <c r="P135" s="501"/>
      <c r="Q135" s="500"/>
      <c r="R135" s="500"/>
      <c r="T135" s="490"/>
      <c r="U135" s="723"/>
    </row>
    <row r="136" spans="1:21" x14ac:dyDescent="0.3">
      <c r="A136" s="162" t="str">
        <f>COA!B138</f>
        <v>6025 Dues and Subscriptions</v>
      </c>
      <c r="C136" s="166">
        <f t="shared" si="27"/>
        <v>0</v>
      </c>
      <c r="D136" s="166">
        <f t="shared" si="28"/>
        <v>0</v>
      </c>
      <c r="E136" s="167"/>
      <c r="F136" s="168">
        <f t="shared" ref="F136:F146" si="31">SUM(C136:E136)</f>
        <v>0</v>
      </c>
      <c r="H136" s="482"/>
      <c r="J136" s="166">
        <f t="shared" si="29"/>
        <v>0</v>
      </c>
      <c r="K136" s="166">
        <f t="shared" si="30"/>
        <v>0</v>
      </c>
      <c r="L136" s="167"/>
      <c r="M136" s="168">
        <f t="shared" ref="M136:M146" si="32">SUM(J136:L136)</f>
        <v>0</v>
      </c>
      <c r="O136" s="208"/>
      <c r="P136" s="501"/>
      <c r="Q136" s="500"/>
      <c r="R136" s="500"/>
      <c r="T136" s="490"/>
      <c r="U136" s="723"/>
    </row>
    <row r="137" spans="1:21" x14ac:dyDescent="0.3">
      <c r="A137" s="162" t="str">
        <f>COA!B139</f>
        <v>6025 Automobile</v>
      </c>
      <c r="C137" s="166">
        <f t="shared" si="27"/>
        <v>0</v>
      </c>
      <c r="D137" s="166">
        <f t="shared" si="28"/>
        <v>0</v>
      </c>
      <c r="E137" s="167"/>
      <c r="F137" s="168">
        <f t="shared" si="31"/>
        <v>0</v>
      </c>
      <c r="H137" s="482"/>
      <c r="J137" s="166">
        <f t="shared" si="29"/>
        <v>0</v>
      </c>
      <c r="K137" s="166">
        <f t="shared" si="30"/>
        <v>0</v>
      </c>
      <c r="L137" s="167"/>
      <c r="M137" s="168">
        <f t="shared" si="32"/>
        <v>0</v>
      </c>
      <c r="O137" s="208"/>
      <c r="P137" s="501"/>
      <c r="Q137" s="500"/>
      <c r="R137" s="500"/>
      <c r="T137" s="490"/>
      <c r="U137" s="723"/>
    </row>
    <row r="138" spans="1:21" x14ac:dyDescent="0.3">
      <c r="A138" s="162" t="str">
        <f>COA!B140</f>
        <v>6026 Fuel / Industrial Gas</v>
      </c>
      <c r="C138" s="166">
        <f t="shared" si="27"/>
        <v>0</v>
      </c>
      <c r="D138" s="166">
        <f t="shared" si="28"/>
        <v>0</v>
      </c>
      <c r="E138" s="167"/>
      <c r="F138" s="168">
        <f t="shared" si="31"/>
        <v>0</v>
      </c>
      <c r="H138" s="482"/>
      <c r="J138" s="166">
        <f t="shared" si="29"/>
        <v>0</v>
      </c>
      <c r="K138" s="166">
        <f t="shared" si="30"/>
        <v>0</v>
      </c>
      <c r="L138" s="167"/>
      <c r="M138" s="168">
        <f t="shared" si="32"/>
        <v>0</v>
      </c>
      <c r="O138" s="208"/>
      <c r="P138" s="501"/>
      <c r="Q138" s="500"/>
      <c r="R138" s="500"/>
      <c r="T138" s="490"/>
      <c r="U138" s="723"/>
    </row>
    <row r="139" spans="1:21" x14ac:dyDescent="0.3">
      <c r="A139" s="162" t="str">
        <f>COA!B141</f>
        <v>6030 Communications</v>
      </c>
      <c r="C139" s="166">
        <f t="shared" si="27"/>
        <v>0</v>
      </c>
      <c r="D139" s="166">
        <f t="shared" si="28"/>
        <v>0</v>
      </c>
      <c r="E139" s="167"/>
      <c r="F139" s="168">
        <f t="shared" si="31"/>
        <v>0</v>
      </c>
      <c r="H139" s="482"/>
      <c r="J139" s="166">
        <f t="shared" si="29"/>
        <v>0</v>
      </c>
      <c r="K139" s="166">
        <f t="shared" si="30"/>
        <v>0</v>
      </c>
      <c r="L139" s="167"/>
      <c r="M139" s="168">
        <f t="shared" si="32"/>
        <v>0</v>
      </c>
      <c r="O139" s="208"/>
      <c r="P139" s="501"/>
      <c r="Q139" s="500"/>
      <c r="R139" s="500"/>
      <c r="T139" s="490"/>
      <c r="U139" s="723"/>
    </row>
    <row r="140" spans="1:21" x14ac:dyDescent="0.3">
      <c r="A140" s="162" t="str">
        <f>COA!B142</f>
        <v>6031 IT Expense</v>
      </c>
      <c r="C140" s="166">
        <f t="shared" si="27"/>
        <v>0</v>
      </c>
      <c r="D140" s="166">
        <f t="shared" si="28"/>
        <v>0</v>
      </c>
      <c r="E140" s="167"/>
      <c r="F140" s="168">
        <f t="shared" si="31"/>
        <v>0</v>
      </c>
      <c r="H140" s="482"/>
      <c r="J140" s="166">
        <f t="shared" si="29"/>
        <v>0</v>
      </c>
      <c r="K140" s="166">
        <f t="shared" si="30"/>
        <v>0</v>
      </c>
      <c r="L140" s="167"/>
      <c r="M140" s="168">
        <f t="shared" si="32"/>
        <v>0</v>
      </c>
      <c r="O140" s="208"/>
      <c r="P140" s="501"/>
      <c r="Q140" s="500"/>
      <c r="R140" s="500"/>
      <c r="T140" s="490"/>
      <c r="U140" s="723"/>
    </row>
    <row r="141" spans="1:21" x14ac:dyDescent="0.3">
      <c r="A141" s="162" t="str">
        <f>COA!B143</f>
        <v>6040 Meals and entertainment</v>
      </c>
      <c r="C141" s="166">
        <f t="shared" si="27"/>
        <v>0</v>
      </c>
      <c r="D141" s="166">
        <f t="shared" si="28"/>
        <v>0</v>
      </c>
      <c r="E141" s="167"/>
      <c r="F141" s="168">
        <f t="shared" si="31"/>
        <v>0</v>
      </c>
      <c r="H141" s="482"/>
      <c r="J141" s="166">
        <f t="shared" si="29"/>
        <v>0</v>
      </c>
      <c r="K141" s="166">
        <f t="shared" si="30"/>
        <v>0</v>
      </c>
      <c r="L141" s="167"/>
      <c r="M141" s="168">
        <f t="shared" si="32"/>
        <v>0</v>
      </c>
      <c r="O141" s="208"/>
      <c r="P141" s="501"/>
      <c r="Q141" s="500"/>
      <c r="R141" s="500"/>
      <c r="T141" s="490"/>
      <c r="U141" s="723"/>
    </row>
    <row r="142" spans="1:21" x14ac:dyDescent="0.3">
      <c r="A142" s="162" t="str">
        <f>COA!B144</f>
        <v>6041 Travel Meals</v>
      </c>
      <c r="C142" s="166">
        <f t="shared" si="27"/>
        <v>0</v>
      </c>
      <c r="D142" s="166">
        <f t="shared" si="28"/>
        <v>0</v>
      </c>
      <c r="E142" s="167"/>
      <c r="F142" s="168">
        <f t="shared" si="31"/>
        <v>0</v>
      </c>
      <c r="H142" s="482"/>
      <c r="J142" s="166">
        <f t="shared" si="29"/>
        <v>0</v>
      </c>
      <c r="K142" s="166">
        <f t="shared" si="30"/>
        <v>0</v>
      </c>
      <c r="L142" s="167"/>
      <c r="M142" s="168">
        <f t="shared" si="32"/>
        <v>0</v>
      </c>
      <c r="O142" s="208"/>
      <c r="P142" s="501"/>
      <c r="Q142" s="500"/>
      <c r="R142" s="500"/>
      <c r="T142" s="490"/>
      <c r="U142" s="723"/>
    </row>
    <row r="143" spans="1:21" x14ac:dyDescent="0.3">
      <c r="A143" s="162" t="str">
        <f>COA!B145</f>
        <v>6042 Travel</v>
      </c>
      <c r="C143" s="166">
        <f t="shared" si="27"/>
        <v>0</v>
      </c>
      <c r="D143" s="166">
        <f t="shared" si="28"/>
        <v>0</v>
      </c>
      <c r="E143" s="167"/>
      <c r="F143" s="168">
        <f t="shared" si="31"/>
        <v>0</v>
      </c>
      <c r="H143" s="482"/>
      <c r="J143" s="166">
        <f t="shared" si="29"/>
        <v>0</v>
      </c>
      <c r="K143" s="166">
        <f t="shared" si="30"/>
        <v>0</v>
      </c>
      <c r="L143" s="167"/>
      <c r="M143" s="168">
        <f t="shared" si="32"/>
        <v>0</v>
      </c>
      <c r="O143" s="208"/>
      <c r="P143" s="501"/>
      <c r="Q143" s="500"/>
      <c r="R143" s="500"/>
      <c r="T143" s="490"/>
      <c r="U143" s="723"/>
    </row>
    <row r="144" spans="1:21" x14ac:dyDescent="0.3">
      <c r="A144" s="162" t="str">
        <f>COA!B146</f>
        <v>6043 Transfer agent and regulatory expenses</v>
      </c>
      <c r="C144" s="166">
        <f t="shared" si="27"/>
        <v>0</v>
      </c>
      <c r="D144" s="166">
        <f t="shared" si="28"/>
        <v>0</v>
      </c>
      <c r="E144" s="167"/>
      <c r="F144" s="168">
        <f t="shared" si="31"/>
        <v>0</v>
      </c>
      <c r="H144" s="482"/>
      <c r="J144" s="166">
        <f t="shared" si="29"/>
        <v>0</v>
      </c>
      <c r="K144" s="166">
        <f t="shared" si="30"/>
        <v>0</v>
      </c>
      <c r="L144" s="167"/>
      <c r="M144" s="168">
        <f t="shared" si="32"/>
        <v>0</v>
      </c>
      <c r="O144" s="208"/>
      <c r="P144" s="501"/>
      <c r="Q144" s="500"/>
      <c r="R144" s="500"/>
      <c r="T144" s="490"/>
      <c r="U144" s="723"/>
    </row>
    <row r="145" spans="1:21" x14ac:dyDescent="0.3">
      <c r="A145" s="162" t="str">
        <f>COA!B147</f>
        <v>6050 Insurance</v>
      </c>
      <c r="C145" s="166">
        <f t="shared" si="27"/>
        <v>0</v>
      </c>
      <c r="D145" s="166">
        <f t="shared" si="28"/>
        <v>0</v>
      </c>
      <c r="E145" s="167"/>
      <c r="F145" s="168">
        <f t="shared" si="31"/>
        <v>0</v>
      </c>
      <c r="H145" s="482"/>
      <c r="J145" s="166">
        <f t="shared" si="29"/>
        <v>0</v>
      </c>
      <c r="K145" s="166">
        <f t="shared" si="30"/>
        <v>0</v>
      </c>
      <c r="L145" s="167"/>
      <c r="M145" s="168">
        <f t="shared" si="32"/>
        <v>0</v>
      </c>
      <c r="O145" s="208"/>
      <c r="P145" s="501"/>
      <c r="Q145" s="500"/>
      <c r="R145" s="500"/>
      <c r="T145" s="490"/>
      <c r="U145" s="723"/>
    </row>
    <row r="146" spans="1:21" x14ac:dyDescent="0.3">
      <c r="A146" s="162" t="str">
        <f>COA!B148</f>
        <v>6060 Office expenses</v>
      </c>
      <c r="C146" s="166">
        <f t="shared" si="27"/>
        <v>0</v>
      </c>
      <c r="D146" s="166">
        <f t="shared" si="28"/>
        <v>0</v>
      </c>
      <c r="E146" s="167"/>
      <c r="F146" s="168">
        <f t="shared" si="31"/>
        <v>0</v>
      </c>
      <c r="H146" s="482"/>
      <c r="J146" s="166">
        <f t="shared" si="29"/>
        <v>0</v>
      </c>
      <c r="K146" s="166">
        <f t="shared" si="30"/>
        <v>0</v>
      </c>
      <c r="L146" s="167"/>
      <c r="M146" s="168">
        <f t="shared" si="32"/>
        <v>0</v>
      </c>
      <c r="O146" s="208"/>
      <c r="P146" s="501"/>
      <c r="Q146" s="500"/>
      <c r="R146" s="500"/>
      <c r="T146" s="490"/>
      <c r="U146" s="723"/>
    </row>
    <row r="147" spans="1:21" x14ac:dyDescent="0.3">
      <c r="A147" s="162" t="str">
        <f>COA!B149</f>
        <v>6060 Repairs and Maintenance</v>
      </c>
      <c r="C147" s="166">
        <f t="shared" si="27"/>
        <v>0</v>
      </c>
      <c r="D147" s="166">
        <f t="shared" si="28"/>
        <v>0</v>
      </c>
      <c r="E147" s="167"/>
      <c r="F147" s="168">
        <f t="shared" ref="F147:F173" si="33">SUM(C147:E147)</f>
        <v>0</v>
      </c>
      <c r="H147" s="482"/>
      <c r="J147" s="166">
        <f t="shared" si="29"/>
        <v>0</v>
      </c>
      <c r="K147" s="166">
        <f t="shared" si="30"/>
        <v>0</v>
      </c>
      <c r="L147" s="167"/>
      <c r="M147" s="168">
        <f t="shared" ref="M147:M173" si="34">SUM(J147:L147)</f>
        <v>0</v>
      </c>
      <c r="O147" s="208"/>
      <c r="P147" s="501"/>
      <c r="Q147" s="500"/>
      <c r="R147" s="500"/>
      <c r="T147" s="490"/>
      <c r="U147" s="723"/>
    </row>
    <row r="148" spans="1:21" x14ac:dyDescent="0.3">
      <c r="A148" s="162" t="str">
        <f>COA!B150</f>
        <v>6061 Other general and administrative expenses</v>
      </c>
      <c r="C148" s="166">
        <f t="shared" si="27"/>
        <v>0</v>
      </c>
      <c r="D148" s="166">
        <f t="shared" si="28"/>
        <v>0</v>
      </c>
      <c r="E148" s="167"/>
      <c r="F148" s="168">
        <f t="shared" si="33"/>
        <v>0</v>
      </c>
      <c r="H148" s="482"/>
      <c r="J148" s="166">
        <f t="shared" si="29"/>
        <v>0</v>
      </c>
      <c r="K148" s="166">
        <f t="shared" si="30"/>
        <v>0</v>
      </c>
      <c r="L148" s="167"/>
      <c r="M148" s="168">
        <f t="shared" si="34"/>
        <v>0</v>
      </c>
      <c r="O148" s="208"/>
      <c r="P148" s="501"/>
      <c r="Q148" s="500"/>
      <c r="R148" s="500"/>
      <c r="T148" s="490"/>
      <c r="U148" s="723"/>
    </row>
    <row r="149" spans="1:21" x14ac:dyDescent="0.3">
      <c r="A149" s="162" t="str">
        <f>COA!B151</f>
        <v>6065 Rent</v>
      </c>
      <c r="C149" s="166">
        <f t="shared" si="27"/>
        <v>0</v>
      </c>
      <c r="D149" s="166">
        <f t="shared" si="28"/>
        <v>0</v>
      </c>
      <c r="E149" s="167"/>
      <c r="F149" s="168">
        <f t="shared" si="33"/>
        <v>0</v>
      </c>
      <c r="H149" s="482"/>
      <c r="J149" s="166">
        <f t="shared" si="29"/>
        <v>0</v>
      </c>
      <c r="K149" s="166">
        <f t="shared" si="30"/>
        <v>0</v>
      </c>
      <c r="L149" s="167"/>
      <c r="M149" s="168">
        <f t="shared" si="34"/>
        <v>0</v>
      </c>
      <c r="O149" s="208"/>
      <c r="P149" s="501"/>
      <c r="Q149" s="500"/>
      <c r="R149" s="500"/>
      <c r="T149" s="490"/>
      <c r="U149" s="723"/>
    </row>
    <row r="150" spans="1:21" x14ac:dyDescent="0.3">
      <c r="A150" s="162" t="str">
        <f>COA!B152</f>
        <v>6066 Utilities</v>
      </c>
      <c r="C150" s="166">
        <f t="shared" si="27"/>
        <v>0</v>
      </c>
      <c r="D150" s="166">
        <f t="shared" si="28"/>
        <v>0</v>
      </c>
      <c r="E150" s="167"/>
      <c r="F150" s="168">
        <f t="shared" si="33"/>
        <v>0</v>
      </c>
      <c r="H150" s="482"/>
      <c r="J150" s="166">
        <f t="shared" si="29"/>
        <v>0</v>
      </c>
      <c r="K150" s="166">
        <f t="shared" si="30"/>
        <v>0</v>
      </c>
      <c r="L150" s="167"/>
      <c r="M150" s="168">
        <f t="shared" si="34"/>
        <v>0</v>
      </c>
      <c r="O150" s="208"/>
      <c r="P150" s="501"/>
      <c r="Q150" s="500"/>
      <c r="R150" s="500"/>
      <c r="T150" s="490"/>
      <c r="U150" s="723"/>
    </row>
    <row r="151" spans="1:21" x14ac:dyDescent="0.3">
      <c r="A151" s="162" t="str">
        <f>COA!B153</f>
        <v>6068 Shipping, Freight, and Delivery</v>
      </c>
      <c r="C151" s="166">
        <f t="shared" si="27"/>
        <v>0</v>
      </c>
      <c r="D151" s="166">
        <f t="shared" si="28"/>
        <v>0</v>
      </c>
      <c r="E151" s="167"/>
      <c r="F151" s="168">
        <f t="shared" si="33"/>
        <v>0</v>
      </c>
      <c r="H151" s="482"/>
      <c r="J151" s="166">
        <f t="shared" si="29"/>
        <v>0</v>
      </c>
      <c r="K151" s="166">
        <f t="shared" si="30"/>
        <v>0</v>
      </c>
      <c r="L151" s="167"/>
      <c r="M151" s="168">
        <f t="shared" si="34"/>
        <v>0</v>
      </c>
      <c r="O151" s="208"/>
      <c r="P151" s="501"/>
      <c r="Q151" s="500"/>
      <c r="R151" s="500"/>
      <c r="T151" s="490"/>
      <c r="U151" s="723"/>
    </row>
    <row r="152" spans="1:21" x14ac:dyDescent="0.3">
      <c r="A152" s="162" t="str">
        <f>COA!B154</f>
        <v>6070 Office Supplies</v>
      </c>
      <c r="C152" s="166">
        <f t="shared" si="27"/>
        <v>0</v>
      </c>
      <c r="D152" s="166">
        <f t="shared" si="28"/>
        <v>0</v>
      </c>
      <c r="E152" s="167"/>
      <c r="F152" s="168">
        <f t="shared" si="33"/>
        <v>0</v>
      </c>
      <c r="H152" s="482"/>
      <c r="J152" s="166">
        <f t="shared" si="29"/>
        <v>0</v>
      </c>
      <c r="K152" s="166">
        <f t="shared" si="30"/>
        <v>0</v>
      </c>
      <c r="L152" s="167"/>
      <c r="M152" s="168">
        <f t="shared" si="34"/>
        <v>0</v>
      </c>
      <c r="O152" s="208"/>
      <c r="P152" s="501"/>
      <c r="Q152" s="500"/>
      <c r="R152" s="500"/>
      <c r="T152" s="490"/>
      <c r="U152" s="723"/>
    </row>
    <row r="153" spans="1:21" x14ac:dyDescent="0.3">
      <c r="A153" s="162" t="str">
        <f>COA!B155</f>
        <v>6075 Minor shop tools</v>
      </c>
      <c r="C153" s="166">
        <f t="shared" si="27"/>
        <v>0</v>
      </c>
      <c r="D153" s="166">
        <f t="shared" si="28"/>
        <v>0</v>
      </c>
      <c r="E153" s="167"/>
      <c r="F153" s="168">
        <f t="shared" si="33"/>
        <v>0</v>
      </c>
      <c r="H153" s="482"/>
      <c r="J153" s="166">
        <f t="shared" si="29"/>
        <v>0</v>
      </c>
      <c r="K153" s="166">
        <f t="shared" si="30"/>
        <v>0</v>
      </c>
      <c r="L153" s="167"/>
      <c r="M153" s="168">
        <f t="shared" si="34"/>
        <v>0</v>
      </c>
      <c r="O153" s="208"/>
      <c r="P153" s="501"/>
      <c r="Q153" s="500"/>
      <c r="R153" s="500"/>
      <c r="T153" s="490"/>
      <c r="U153" s="723"/>
    </row>
    <row r="154" spans="1:21" x14ac:dyDescent="0.3">
      <c r="A154" s="162" t="str">
        <f>COA!B156</f>
        <v>6076 Disposal/Landfill</v>
      </c>
      <c r="C154" s="166">
        <f t="shared" si="27"/>
        <v>0</v>
      </c>
      <c r="D154" s="166">
        <f t="shared" si="28"/>
        <v>0</v>
      </c>
      <c r="E154" s="167"/>
      <c r="F154" s="168">
        <f t="shared" si="33"/>
        <v>0</v>
      </c>
      <c r="H154" s="482"/>
      <c r="J154" s="166">
        <f t="shared" si="29"/>
        <v>0</v>
      </c>
      <c r="K154" s="166">
        <f t="shared" si="30"/>
        <v>0</v>
      </c>
      <c r="L154" s="167"/>
      <c r="M154" s="168">
        <f t="shared" si="34"/>
        <v>0</v>
      </c>
      <c r="O154" s="208"/>
      <c r="P154" s="501"/>
      <c r="Q154" s="500"/>
      <c r="R154" s="500"/>
      <c r="T154" s="490"/>
      <c r="U154" s="723"/>
    </row>
    <row r="155" spans="1:21" x14ac:dyDescent="0.3">
      <c r="A155" s="162" t="str">
        <f>COA!B157</f>
        <v>6080 PST Expense (BC)</v>
      </c>
      <c r="C155" s="166">
        <f t="shared" si="27"/>
        <v>0</v>
      </c>
      <c r="D155" s="166">
        <f t="shared" si="28"/>
        <v>0</v>
      </c>
      <c r="E155" s="167"/>
      <c r="F155" s="168">
        <f t="shared" si="33"/>
        <v>0</v>
      </c>
      <c r="H155" s="482"/>
      <c r="J155" s="166">
        <f t="shared" si="29"/>
        <v>0</v>
      </c>
      <c r="K155" s="166">
        <f t="shared" si="30"/>
        <v>0</v>
      </c>
      <c r="L155" s="167"/>
      <c r="M155" s="168">
        <f t="shared" si="34"/>
        <v>0</v>
      </c>
      <c r="O155" s="208"/>
      <c r="P155" s="501"/>
      <c r="Q155" s="500"/>
      <c r="R155" s="500"/>
      <c r="T155" s="490"/>
      <c r="U155" s="723"/>
    </row>
    <row r="156" spans="1:21" x14ac:dyDescent="0.3">
      <c r="A156" s="162" t="str">
        <f>COA!B158</f>
        <v>6080 Shop and other supplies</v>
      </c>
      <c r="C156" s="166">
        <f t="shared" si="27"/>
        <v>0</v>
      </c>
      <c r="D156" s="166">
        <f t="shared" si="28"/>
        <v>0</v>
      </c>
      <c r="E156" s="167"/>
      <c r="F156" s="168">
        <f t="shared" si="33"/>
        <v>0</v>
      </c>
      <c r="H156" s="482"/>
      <c r="J156" s="166">
        <f t="shared" si="29"/>
        <v>0</v>
      </c>
      <c r="K156" s="166">
        <f t="shared" si="30"/>
        <v>0</v>
      </c>
      <c r="L156" s="167"/>
      <c r="M156" s="168">
        <f t="shared" si="34"/>
        <v>0</v>
      </c>
      <c r="O156" s="208"/>
      <c r="P156" s="501"/>
      <c r="Q156" s="500"/>
      <c r="R156" s="500"/>
      <c r="T156" s="490"/>
      <c r="U156" s="723"/>
    </row>
    <row r="157" spans="1:21" x14ac:dyDescent="0.3">
      <c r="A157" s="162" t="str">
        <f>COA!B159</f>
        <v>6085 Depreciation</v>
      </c>
      <c r="C157" s="166">
        <f t="shared" si="27"/>
        <v>0</v>
      </c>
      <c r="D157" s="166">
        <f t="shared" si="28"/>
        <v>0</v>
      </c>
      <c r="E157" s="167"/>
      <c r="F157" s="168">
        <f t="shared" si="33"/>
        <v>0</v>
      </c>
      <c r="H157" s="482"/>
      <c r="J157" s="166">
        <f t="shared" si="29"/>
        <v>1256364</v>
      </c>
      <c r="K157" s="166">
        <f t="shared" si="30"/>
        <v>0</v>
      </c>
      <c r="L157" s="167"/>
      <c r="M157" s="168">
        <f t="shared" si="34"/>
        <v>1256364</v>
      </c>
      <c r="O157" s="208"/>
      <c r="P157" s="501"/>
      <c r="Q157" s="500"/>
      <c r="R157" s="500"/>
      <c r="T157" s="490"/>
      <c r="U157" s="723"/>
    </row>
    <row r="158" spans="1:21" x14ac:dyDescent="0.3">
      <c r="A158" s="162" t="str">
        <f>COA!B160</f>
        <v>6090 Corporate Tax Expense</v>
      </c>
      <c r="C158" s="166">
        <f t="shared" si="27"/>
        <v>0</v>
      </c>
      <c r="D158" s="166">
        <f t="shared" si="28"/>
        <v>0</v>
      </c>
      <c r="E158" s="167"/>
      <c r="F158" s="168">
        <f t="shared" si="33"/>
        <v>0</v>
      </c>
      <c r="H158" s="482"/>
      <c r="J158" s="166">
        <f t="shared" si="29"/>
        <v>0</v>
      </c>
      <c r="K158" s="166">
        <f t="shared" si="30"/>
        <v>0</v>
      </c>
      <c r="L158" s="167"/>
      <c r="M158" s="168">
        <f t="shared" si="34"/>
        <v>0</v>
      </c>
      <c r="O158" s="208"/>
      <c r="P158" s="501"/>
      <c r="Q158" s="500"/>
      <c r="R158" s="500"/>
      <c r="T158" s="490"/>
      <c r="U158" s="723"/>
    </row>
    <row r="159" spans="1:21" x14ac:dyDescent="0.3">
      <c r="A159" s="162" t="str">
        <f>COA!B161</f>
        <v>6092 Penalties</v>
      </c>
      <c r="C159" s="166">
        <f t="shared" si="27"/>
        <v>0</v>
      </c>
      <c r="D159" s="166">
        <f t="shared" si="28"/>
        <v>0</v>
      </c>
      <c r="E159" s="167"/>
      <c r="F159" s="168">
        <f t="shared" si="33"/>
        <v>0</v>
      </c>
      <c r="H159" s="482"/>
      <c r="J159" s="166">
        <f t="shared" si="29"/>
        <v>0</v>
      </c>
      <c r="K159" s="166">
        <f t="shared" si="30"/>
        <v>0</v>
      </c>
      <c r="L159" s="167"/>
      <c r="M159" s="168">
        <f t="shared" si="34"/>
        <v>0</v>
      </c>
      <c r="O159" s="208"/>
      <c r="P159" s="501"/>
      <c r="Q159" s="500"/>
      <c r="R159" s="500"/>
      <c r="T159" s="490"/>
      <c r="U159" s="723"/>
    </row>
    <row r="160" spans="1:21" x14ac:dyDescent="0.3">
      <c r="A160" s="162" t="str">
        <f>COA!B162</f>
        <v>6092 Penalities</v>
      </c>
      <c r="C160" s="166">
        <f t="shared" si="27"/>
        <v>0</v>
      </c>
      <c r="D160" s="166">
        <f t="shared" si="28"/>
        <v>0</v>
      </c>
      <c r="E160" s="167"/>
      <c r="F160" s="168">
        <f t="shared" si="33"/>
        <v>0</v>
      </c>
      <c r="H160" s="482"/>
      <c r="J160" s="166">
        <f t="shared" si="29"/>
        <v>0</v>
      </c>
      <c r="K160" s="166">
        <f t="shared" si="30"/>
        <v>0</v>
      </c>
      <c r="L160" s="167"/>
      <c r="M160" s="168">
        <f t="shared" si="34"/>
        <v>0</v>
      </c>
      <c r="O160" s="208"/>
      <c r="P160" s="501"/>
      <c r="Q160" s="500"/>
      <c r="R160" s="500"/>
      <c r="T160" s="490"/>
      <c r="U160" s="723"/>
    </row>
    <row r="161" spans="1:21" x14ac:dyDescent="0.3">
      <c r="A161" s="162" t="str">
        <f>COA!B163</f>
        <v>6100 Listing expense</v>
      </c>
      <c r="C161" s="166">
        <f t="shared" si="27"/>
        <v>0</v>
      </c>
      <c r="D161" s="166">
        <f t="shared" si="28"/>
        <v>0</v>
      </c>
      <c r="E161" s="167"/>
      <c r="F161" s="168">
        <f t="shared" si="33"/>
        <v>0</v>
      </c>
      <c r="H161" s="482"/>
      <c r="J161" s="166">
        <f t="shared" si="29"/>
        <v>0</v>
      </c>
      <c r="K161" s="166">
        <f t="shared" si="30"/>
        <v>0</v>
      </c>
      <c r="L161" s="167"/>
      <c r="M161" s="168">
        <f t="shared" si="34"/>
        <v>0</v>
      </c>
      <c r="O161" s="208"/>
      <c r="P161" s="501"/>
      <c r="Q161" s="500"/>
      <c r="R161" s="500"/>
      <c r="T161" s="490"/>
      <c r="U161" s="723"/>
    </row>
    <row r="162" spans="1:21" x14ac:dyDescent="0.3">
      <c r="A162" s="162" t="str">
        <f>COA!B164</f>
        <v>6300 Unapplied Cash Bill Payment Expense</v>
      </c>
      <c r="C162" s="166">
        <f t="shared" si="27"/>
        <v>0</v>
      </c>
      <c r="D162" s="166">
        <f t="shared" si="28"/>
        <v>0</v>
      </c>
      <c r="E162" s="167"/>
      <c r="F162" s="168">
        <f t="shared" si="33"/>
        <v>0</v>
      </c>
      <c r="H162" s="482"/>
      <c r="J162" s="166">
        <f t="shared" si="29"/>
        <v>0</v>
      </c>
      <c r="K162" s="166">
        <f t="shared" si="30"/>
        <v>0</v>
      </c>
      <c r="L162" s="167"/>
      <c r="M162" s="168">
        <f t="shared" si="34"/>
        <v>0</v>
      </c>
      <c r="O162" s="208"/>
      <c r="P162" s="501"/>
      <c r="Q162" s="500"/>
      <c r="R162" s="500"/>
      <c r="T162" s="490"/>
      <c r="U162" s="723"/>
    </row>
    <row r="163" spans="1:21" x14ac:dyDescent="0.3">
      <c r="A163" s="162" t="str">
        <f>COA!B167</f>
        <v>6997 Unapplied Cash Bill Payment Expense</v>
      </c>
      <c r="C163" s="166">
        <f t="shared" si="27"/>
        <v>0</v>
      </c>
      <c r="D163" s="166">
        <f t="shared" si="28"/>
        <v>0</v>
      </c>
      <c r="E163" s="167"/>
      <c r="F163" s="168">
        <f t="shared" si="33"/>
        <v>0</v>
      </c>
      <c r="H163" s="482"/>
      <c r="J163" s="166">
        <f t="shared" si="29"/>
        <v>0</v>
      </c>
      <c r="K163" s="166">
        <f t="shared" si="30"/>
        <v>0</v>
      </c>
      <c r="L163" s="167"/>
      <c r="M163" s="168">
        <f t="shared" si="34"/>
        <v>0</v>
      </c>
      <c r="O163" s="208"/>
      <c r="P163" s="501"/>
      <c r="Q163" s="500"/>
      <c r="R163" s="500"/>
      <c r="T163" s="490"/>
      <c r="U163" s="723"/>
    </row>
    <row r="164" spans="1:21" x14ac:dyDescent="0.3">
      <c r="A164" s="162" t="str">
        <f>COA!B168</f>
        <v>6998 Uncategorized Expense</v>
      </c>
      <c r="C164" s="166">
        <f t="shared" si="27"/>
        <v>0</v>
      </c>
      <c r="D164" s="166">
        <f t="shared" si="28"/>
        <v>0</v>
      </c>
      <c r="E164" s="167"/>
      <c r="F164" s="168">
        <f t="shared" si="33"/>
        <v>0</v>
      </c>
      <c r="H164" s="482"/>
      <c r="J164" s="166">
        <f t="shared" si="29"/>
        <v>0</v>
      </c>
      <c r="K164" s="166">
        <f t="shared" si="30"/>
        <v>0</v>
      </c>
      <c r="L164" s="167"/>
      <c r="M164" s="168">
        <f t="shared" si="34"/>
        <v>0</v>
      </c>
      <c r="O164" s="208"/>
      <c r="P164" s="501"/>
      <c r="Q164" s="500"/>
      <c r="R164" s="500"/>
      <c r="T164" s="490"/>
      <c r="U164" s="723"/>
    </row>
    <row r="165" spans="1:21" x14ac:dyDescent="0.3">
      <c r="A165" s="162" t="str">
        <f>COA!B169</f>
        <v>6999 Miscellaneous</v>
      </c>
      <c r="C165" s="166">
        <f t="shared" si="27"/>
        <v>0</v>
      </c>
      <c r="D165" s="166">
        <f t="shared" si="28"/>
        <v>0</v>
      </c>
      <c r="E165" s="167"/>
      <c r="F165" s="168">
        <f t="shared" si="33"/>
        <v>0</v>
      </c>
      <c r="H165" s="482"/>
      <c r="J165" s="166">
        <f t="shared" si="29"/>
        <v>0</v>
      </c>
      <c r="K165" s="166">
        <f t="shared" si="30"/>
        <v>0</v>
      </c>
      <c r="L165" s="167"/>
      <c r="M165" s="168">
        <f t="shared" si="34"/>
        <v>0</v>
      </c>
      <c r="O165" s="208"/>
      <c r="P165" s="501"/>
      <c r="Q165" s="500"/>
      <c r="R165" s="500"/>
      <c r="T165" s="490"/>
      <c r="U165" s="723"/>
    </row>
    <row r="166" spans="1:21" x14ac:dyDescent="0.3">
      <c r="A166" s="162" t="str">
        <f>COA!B170</f>
        <v>7000 Reconciliation Discrepancies</v>
      </c>
      <c r="C166" s="166">
        <f t="shared" si="27"/>
        <v>0</v>
      </c>
      <c r="D166" s="166">
        <f t="shared" si="28"/>
        <v>0</v>
      </c>
      <c r="E166" s="167"/>
      <c r="F166" s="168">
        <f t="shared" si="33"/>
        <v>0</v>
      </c>
      <c r="H166" s="482"/>
      <c r="J166" s="166">
        <f t="shared" si="29"/>
        <v>0</v>
      </c>
      <c r="K166" s="166">
        <f t="shared" si="30"/>
        <v>0</v>
      </c>
      <c r="L166" s="167"/>
      <c r="M166" s="168">
        <f t="shared" si="34"/>
        <v>0</v>
      </c>
      <c r="O166" s="208"/>
      <c r="P166" s="501"/>
      <c r="Q166" s="500"/>
      <c r="R166" s="500"/>
      <c r="T166" s="490"/>
      <c r="U166" s="723"/>
    </row>
    <row r="167" spans="1:21" x14ac:dyDescent="0.3">
      <c r="A167" s="162" t="str">
        <f>COA!B171</f>
        <v>8000 Exchange Gain or Loss</v>
      </c>
      <c r="C167" s="166">
        <f t="shared" ref="C167:C178" si="35">SUMIFS($S:$S,$Q:$Q,$A167,$T:$T,$C$2,$U:$U,C$3)</f>
        <v>0</v>
      </c>
      <c r="D167" s="166">
        <f t="shared" ref="D167:D178" si="36">SUMIFS($S:$S,$Q:$Q,$A167,$T:$T,$D$2,$U:$U,D$3)</f>
        <v>0</v>
      </c>
      <c r="E167" s="167"/>
      <c r="F167" s="168">
        <f t="shared" si="33"/>
        <v>0</v>
      </c>
      <c r="H167" s="482"/>
      <c r="J167" s="166">
        <f t="shared" ref="J167:J178" si="37">SUMIFS($S:$S,$Q:$Q,$A167,$T:$T,$J$2,$U:$U,J$3)</f>
        <v>0</v>
      </c>
      <c r="K167" s="166">
        <f t="shared" ref="K167:K178" si="38">SUMIFS($S:$S,$Q:$Q,$A167,$T:$T,$K$2,$U:$U,K$3)</f>
        <v>0</v>
      </c>
      <c r="L167" s="167"/>
      <c r="M167" s="168">
        <f t="shared" si="34"/>
        <v>0</v>
      </c>
      <c r="O167" s="208"/>
      <c r="P167" s="501"/>
      <c r="Q167" s="500"/>
      <c r="R167" s="500"/>
      <c r="T167" s="490"/>
      <c r="U167" s="723"/>
    </row>
    <row r="168" spans="1:21" x14ac:dyDescent="0.3">
      <c r="A168" s="162" t="str">
        <f>COA!B172</f>
        <v>IMP1 - Warranty expense</v>
      </c>
      <c r="C168" s="166">
        <f t="shared" si="35"/>
        <v>0</v>
      </c>
      <c r="D168" s="166">
        <f t="shared" si="36"/>
        <v>0</v>
      </c>
      <c r="E168" s="167"/>
      <c r="F168" s="168">
        <f t="shared" si="33"/>
        <v>0</v>
      </c>
      <c r="H168" s="482"/>
      <c r="J168" s="166">
        <f t="shared" si="37"/>
        <v>0</v>
      </c>
      <c r="K168" s="166">
        <f t="shared" si="38"/>
        <v>0</v>
      </c>
      <c r="L168" s="167"/>
      <c r="M168" s="168">
        <f t="shared" si="34"/>
        <v>0</v>
      </c>
      <c r="O168" s="208"/>
      <c r="P168" s="501"/>
      <c r="Q168" s="500"/>
      <c r="R168" s="500"/>
      <c r="T168" s="490"/>
      <c r="U168" s="723"/>
    </row>
    <row r="169" spans="1:21" x14ac:dyDescent="0.3">
      <c r="A169" s="162" t="str">
        <f>COA!B173</f>
        <v>IMP2 - Engineering expense</v>
      </c>
      <c r="C169" s="166">
        <f t="shared" si="35"/>
        <v>0</v>
      </c>
      <c r="D169" s="166">
        <f t="shared" si="36"/>
        <v>0</v>
      </c>
      <c r="E169" s="167"/>
      <c r="F169" s="168">
        <f t="shared" si="33"/>
        <v>0</v>
      </c>
      <c r="H169" s="482"/>
      <c r="J169" s="166">
        <f t="shared" si="37"/>
        <v>0</v>
      </c>
      <c r="K169" s="166">
        <f t="shared" si="38"/>
        <v>0</v>
      </c>
      <c r="L169" s="167"/>
      <c r="M169" s="168">
        <f t="shared" si="34"/>
        <v>0</v>
      </c>
      <c r="O169" s="208"/>
      <c r="P169" s="501"/>
      <c r="Q169" s="500"/>
      <c r="R169" s="500"/>
      <c r="T169" s="490"/>
      <c r="U169" s="723"/>
    </row>
    <row r="170" spans="1:21" x14ac:dyDescent="0.3">
      <c r="A170" s="162" t="str">
        <f>COA!B174</f>
        <v>IMP3 - Commission expense</v>
      </c>
      <c r="C170" s="166">
        <f t="shared" si="35"/>
        <v>0</v>
      </c>
      <c r="D170" s="166">
        <f t="shared" si="36"/>
        <v>0</v>
      </c>
      <c r="E170" s="167"/>
      <c r="F170" s="168">
        <f t="shared" si="33"/>
        <v>0</v>
      </c>
      <c r="H170" s="482"/>
      <c r="J170" s="166">
        <f t="shared" si="37"/>
        <v>0</v>
      </c>
      <c r="K170" s="166">
        <f t="shared" si="38"/>
        <v>0</v>
      </c>
      <c r="L170" s="167"/>
      <c r="M170" s="168">
        <f t="shared" si="34"/>
        <v>0</v>
      </c>
      <c r="O170" s="208"/>
      <c r="P170" s="501"/>
      <c r="Q170" s="500"/>
      <c r="R170" s="500"/>
      <c r="T170" s="490"/>
      <c r="U170" s="723"/>
    </row>
    <row r="171" spans="1:21" x14ac:dyDescent="0.3">
      <c r="A171" s="162" t="str">
        <f>COA!B175</f>
        <v>IMP4 - Warranty Liability</v>
      </c>
      <c r="C171" s="166">
        <f t="shared" si="35"/>
        <v>0</v>
      </c>
      <c r="D171" s="166">
        <f t="shared" si="36"/>
        <v>0</v>
      </c>
      <c r="E171" s="167"/>
      <c r="F171" s="168">
        <f t="shared" si="33"/>
        <v>0</v>
      </c>
      <c r="H171" s="482"/>
      <c r="J171" s="166">
        <f t="shared" si="37"/>
        <v>0</v>
      </c>
      <c r="K171" s="166">
        <f t="shared" si="38"/>
        <v>0</v>
      </c>
      <c r="L171" s="167"/>
      <c r="M171" s="168">
        <f t="shared" si="34"/>
        <v>0</v>
      </c>
      <c r="O171" s="208"/>
      <c r="P171" s="501"/>
      <c r="Q171" s="500"/>
      <c r="R171" s="500"/>
      <c r="T171" s="490"/>
      <c r="U171" s="723"/>
    </row>
    <row r="172" spans="1:21" x14ac:dyDescent="0.3">
      <c r="A172" s="162" t="str">
        <f>COA!B176</f>
        <v>IMP5 - R&amp;D</v>
      </c>
      <c r="C172" s="166">
        <f t="shared" si="35"/>
        <v>0</v>
      </c>
      <c r="D172" s="166">
        <f t="shared" si="36"/>
        <v>0</v>
      </c>
      <c r="E172" s="167"/>
      <c r="F172" s="168">
        <f t="shared" si="33"/>
        <v>0</v>
      </c>
      <c r="H172" s="482"/>
      <c r="J172" s="166">
        <f t="shared" si="37"/>
        <v>0</v>
      </c>
      <c r="K172" s="166">
        <f t="shared" si="38"/>
        <v>0</v>
      </c>
      <c r="L172" s="167"/>
      <c r="M172" s="168">
        <f t="shared" si="34"/>
        <v>0</v>
      </c>
      <c r="O172" s="208"/>
      <c r="P172" s="501"/>
      <c r="Q172" s="500"/>
      <c r="R172" s="500"/>
      <c r="T172" s="490"/>
      <c r="U172" s="723"/>
    </row>
    <row r="173" spans="1:21" x14ac:dyDescent="0.3">
      <c r="A173" s="162" t="str">
        <f>COA!B177</f>
        <v>IMP6 - Acquisition costs</v>
      </c>
      <c r="C173" s="166">
        <f t="shared" si="35"/>
        <v>0</v>
      </c>
      <c r="D173" s="166">
        <f t="shared" si="36"/>
        <v>0</v>
      </c>
      <c r="E173" s="167"/>
      <c r="F173" s="168">
        <f t="shared" si="33"/>
        <v>0</v>
      </c>
      <c r="H173" s="482"/>
      <c r="J173" s="166">
        <f t="shared" si="37"/>
        <v>0</v>
      </c>
      <c r="K173" s="166">
        <f t="shared" si="38"/>
        <v>0</v>
      </c>
      <c r="L173" s="167"/>
      <c r="M173" s="168">
        <f t="shared" si="34"/>
        <v>0</v>
      </c>
      <c r="O173" s="208"/>
      <c r="P173" s="501"/>
      <c r="Q173" s="500"/>
      <c r="R173" s="500"/>
      <c r="T173" s="490"/>
      <c r="U173" s="723"/>
    </row>
    <row r="174" spans="1:21" x14ac:dyDescent="0.3">
      <c r="A174" s="162" t="str">
        <f>COA!B178</f>
        <v>IMP9 - Share-based compensation</v>
      </c>
      <c r="C174" s="166">
        <f t="shared" si="35"/>
        <v>0</v>
      </c>
      <c r="D174" s="166">
        <f t="shared" si="36"/>
        <v>0</v>
      </c>
      <c r="E174" s="167"/>
      <c r="F174" s="168">
        <f t="shared" ref="F174:F175" si="39">SUM(C174:E174)</f>
        <v>0</v>
      </c>
      <c r="H174" s="482"/>
      <c r="J174" s="166">
        <f t="shared" si="37"/>
        <v>0</v>
      </c>
      <c r="K174" s="166">
        <f t="shared" si="38"/>
        <v>0</v>
      </c>
      <c r="L174" s="167"/>
      <c r="M174" s="168">
        <f t="shared" ref="M174:M175" si="40">SUM(J174:L174)</f>
        <v>0</v>
      </c>
      <c r="O174" s="208"/>
      <c r="P174" s="501"/>
      <c r="Q174" s="500"/>
      <c r="R174" s="500"/>
      <c r="T174" s="490"/>
      <c r="U174" s="723"/>
    </row>
    <row r="175" spans="1:21" x14ac:dyDescent="0.3">
      <c r="A175" s="162" t="str">
        <f>COA!B179</f>
        <v>6200 Accretion expense</v>
      </c>
      <c r="C175" s="166">
        <f t="shared" si="35"/>
        <v>0</v>
      </c>
      <c r="D175" s="166">
        <f t="shared" si="36"/>
        <v>0</v>
      </c>
      <c r="E175" s="167"/>
      <c r="F175" s="168">
        <f t="shared" si="39"/>
        <v>0</v>
      </c>
      <c r="H175" s="482"/>
      <c r="J175" s="166">
        <f t="shared" si="37"/>
        <v>0</v>
      </c>
      <c r="K175" s="166">
        <f t="shared" si="38"/>
        <v>0</v>
      </c>
      <c r="L175" s="167"/>
      <c r="M175" s="168">
        <f t="shared" si="40"/>
        <v>0</v>
      </c>
      <c r="O175" s="208"/>
      <c r="P175" s="501"/>
      <c r="Q175" s="500"/>
      <c r="R175" s="500"/>
      <c r="T175" s="490"/>
      <c r="U175" s="723"/>
    </row>
    <row r="176" spans="1:21" x14ac:dyDescent="0.3">
      <c r="A176" s="162" t="e">
        <f>COA!#REF!</f>
        <v>#REF!</v>
      </c>
      <c r="C176" s="166">
        <f t="shared" si="35"/>
        <v>0</v>
      </c>
      <c r="D176" s="166">
        <f t="shared" si="36"/>
        <v>0</v>
      </c>
      <c r="E176" s="167"/>
      <c r="F176" s="168">
        <f t="shared" ref="F176:F178" si="41">SUM(C176:E176)</f>
        <v>0</v>
      </c>
      <c r="H176" s="482"/>
      <c r="J176" s="166">
        <f t="shared" si="37"/>
        <v>0</v>
      </c>
      <c r="K176" s="166">
        <f t="shared" si="38"/>
        <v>0</v>
      </c>
      <c r="L176" s="167"/>
      <c r="M176" s="168">
        <f t="shared" ref="M176:M178" si="42">SUM(J176:L176)</f>
        <v>0</v>
      </c>
      <c r="O176" s="208"/>
      <c r="P176" s="501"/>
      <c r="Q176" s="500"/>
      <c r="R176" s="500"/>
      <c r="T176" s="490"/>
      <c r="U176" s="723"/>
    </row>
    <row r="177" spans="1:21" x14ac:dyDescent="0.3">
      <c r="A177" s="162" t="e">
        <f>COA!#REF!</f>
        <v>#REF!</v>
      </c>
      <c r="C177" s="166">
        <f t="shared" si="35"/>
        <v>0</v>
      </c>
      <c r="D177" s="166">
        <f t="shared" si="36"/>
        <v>0</v>
      </c>
      <c r="E177" s="167"/>
      <c r="F177" s="168">
        <f t="shared" si="41"/>
        <v>0</v>
      </c>
      <c r="H177" s="482"/>
      <c r="J177" s="166">
        <f t="shared" si="37"/>
        <v>0</v>
      </c>
      <c r="K177" s="166">
        <f t="shared" si="38"/>
        <v>0</v>
      </c>
      <c r="L177" s="167"/>
      <c r="M177" s="168">
        <f t="shared" si="42"/>
        <v>0</v>
      </c>
      <c r="O177" s="208"/>
      <c r="P177" s="501"/>
      <c r="Q177" s="500"/>
      <c r="R177" s="500"/>
      <c r="T177" s="490"/>
      <c r="U177" s="723"/>
    </row>
    <row r="178" spans="1:21" x14ac:dyDescent="0.3">
      <c r="A178" s="162" t="e">
        <f>COA!#REF!</f>
        <v>#REF!</v>
      </c>
      <c r="C178" s="166">
        <f t="shared" si="35"/>
        <v>0</v>
      </c>
      <c r="D178" s="166">
        <f t="shared" si="36"/>
        <v>0</v>
      </c>
      <c r="E178" s="167"/>
      <c r="F178" s="168">
        <f t="shared" si="41"/>
        <v>0</v>
      </c>
      <c r="H178" s="482"/>
      <c r="J178" s="166">
        <f t="shared" si="37"/>
        <v>0</v>
      </c>
      <c r="K178" s="166">
        <f t="shared" si="38"/>
        <v>0</v>
      </c>
      <c r="L178" s="167"/>
      <c r="M178" s="168">
        <f t="shared" si="42"/>
        <v>0</v>
      </c>
      <c r="O178" s="208"/>
      <c r="P178" s="501"/>
      <c r="Q178" s="500"/>
      <c r="R178" s="500"/>
      <c r="T178" s="490"/>
      <c r="U178" s="723"/>
    </row>
    <row r="179" spans="1:21" x14ac:dyDescent="0.3">
      <c r="A179" s="164"/>
      <c r="B179" s="165"/>
      <c r="C179" s="169"/>
      <c r="D179" s="169"/>
      <c r="E179" s="170"/>
      <c r="F179" s="171">
        <f t="shared" si="13"/>
        <v>0</v>
      </c>
      <c r="G179" s="165"/>
      <c r="H179" s="972"/>
      <c r="I179" s="165"/>
      <c r="J179" s="169"/>
      <c r="K179" s="169"/>
      <c r="L179" s="170"/>
      <c r="M179" s="171">
        <f t="shared" si="14"/>
        <v>0</v>
      </c>
      <c r="O179" s="208"/>
      <c r="P179" s="501"/>
      <c r="Q179" s="500"/>
      <c r="R179" s="500"/>
      <c r="T179" s="490"/>
      <c r="U179" s="723"/>
    </row>
  </sheetData>
  <autoFilter ref="A4:U179" xr:uid="{8384A058-927C-4177-B8C5-8C3CC3F9A534}"/>
  <phoneticPr fontId="42" type="noConversion"/>
  <dataValidations count="4">
    <dataValidation type="list" allowBlank="1" showInputMessage="1" showErrorMessage="1" sqref="Q10:Q84" xr:uid="{940ADB24-CF2F-435B-A5AF-719E8715EB9C}">
      <formula1>$A$7:$A$179</formula1>
    </dataValidation>
    <dataValidation type="list" allowBlank="1" showInputMessage="1" showErrorMessage="1" sqref="Q7:Q9" xr:uid="{86345B5D-F5CA-418A-A20F-DB3BA953342C}">
      <formula1>$A$6:$A$179</formula1>
    </dataValidation>
    <dataValidation type="list" allowBlank="1" showInputMessage="1" showErrorMessage="1" sqref="U1:U1048576" xr:uid="{75518E2F-8403-43C2-8C9F-E97217B3AE4A}">
      <formula1>$Q$1:$Q$2</formula1>
    </dataValidation>
    <dataValidation type="list" allowBlank="1" showInputMessage="1" showErrorMessage="1" sqref="T7:T75" xr:uid="{D9C98737-D138-416C-89DF-B98D85769F76}">
      <formula1>$S$1:$T$1</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558E06-F983-40B4-BEEB-FF24E27240D6}">
          <x14:formula1>
            <xm:f>INPUTS!$B$16:$B$19</xm:f>
          </x14:formula1>
          <xm:sqref>T76:T179</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8019-A64C-4D72-9306-1E0E0EE47428}">
  <sheetPr>
    <tabColor theme="8" tint="0.79998168889431442"/>
  </sheetPr>
  <dimension ref="A1:O180"/>
  <sheetViews>
    <sheetView workbookViewId="0"/>
  </sheetViews>
  <sheetFormatPr defaultRowHeight="14.4" outlineLevelCol="1" x14ac:dyDescent="0.3"/>
  <cols>
    <col min="1" max="1" width="56.33203125" style="163" bestFit="1" customWidth="1"/>
    <col min="2" max="2" width="5.5546875" customWidth="1"/>
    <col min="3" max="4" width="18.5546875" hidden="1" customWidth="1" outlineLevel="1"/>
    <col min="5" max="5" width="3" customWidth="1" collapsed="1"/>
    <col min="6" max="6" width="16.44140625" customWidth="1"/>
    <col min="7" max="7" width="5.21875" customWidth="1"/>
    <col min="8" max="8" width="5" style="484" customWidth="1"/>
    <col min="9" max="9" width="15" customWidth="1"/>
    <col min="10" max="10" width="20.109375" style="501" bestFit="1" customWidth="1"/>
    <col min="11" max="11" width="37" bestFit="1" customWidth="1"/>
    <col min="12" max="12" width="30.6640625" bestFit="1" customWidth="1"/>
    <col min="13" max="13" width="20.109375" bestFit="1" customWidth="1"/>
    <col min="14" max="14" width="18" style="159" customWidth="1"/>
    <col min="15" max="15" width="5" style="484" customWidth="1"/>
  </cols>
  <sheetData>
    <row r="1" spans="1:14" x14ac:dyDescent="0.3">
      <c r="A1" s="161" t="s">
        <v>257</v>
      </c>
      <c r="C1" s="173" t="s">
        <v>254</v>
      </c>
      <c r="D1" s="1461" t="s">
        <v>255</v>
      </c>
      <c r="F1" s="1597" t="s">
        <v>256</v>
      </c>
      <c r="I1" s="208"/>
      <c r="J1" s="713" t="s">
        <v>638</v>
      </c>
    </row>
    <row r="2" spans="1:14" x14ac:dyDescent="0.3">
      <c r="A2" s="209" t="s">
        <v>640</v>
      </c>
      <c r="C2" s="714">
        <f>SUM(C6:C180)</f>
        <v>0</v>
      </c>
      <c r="D2" s="1462">
        <f>SUM(D6:D180)</f>
        <v>0</v>
      </c>
      <c r="F2" s="1597"/>
      <c r="J2" s="713" t="s">
        <v>639</v>
      </c>
      <c r="L2" s="209" t="s">
        <v>393</v>
      </c>
      <c r="M2" s="489">
        <f>SUM(M6:M180)</f>
        <v>0</v>
      </c>
      <c r="N2" s="721"/>
    </row>
    <row r="3" spans="1:14" ht="18.75" customHeight="1" x14ac:dyDescent="0.3">
      <c r="A3" s="715">
        <f>comp_period_1</f>
        <v>45473</v>
      </c>
      <c r="C3" s="1598" t="str">
        <f>J1</f>
        <v>Hallor Group</v>
      </c>
      <c r="D3" s="1599" t="str">
        <f>J2</f>
        <v>Hallor Industries</v>
      </c>
      <c r="F3" s="1597"/>
    </row>
    <row r="4" spans="1:14" x14ac:dyDescent="0.3">
      <c r="A4" s="161" t="s">
        <v>215</v>
      </c>
      <c r="C4" s="1598"/>
      <c r="D4" s="1599"/>
      <c r="F4" s="1597"/>
    </row>
    <row r="5" spans="1:14" x14ac:dyDescent="0.3">
      <c r="A5" s="161"/>
      <c r="C5" s="174" t="s">
        <v>258</v>
      </c>
      <c r="D5" s="1463" t="s">
        <v>258</v>
      </c>
      <c r="F5" s="172"/>
      <c r="I5" s="494" t="s">
        <v>394</v>
      </c>
      <c r="J5" s="522" t="s">
        <v>258</v>
      </c>
      <c r="K5" s="486" t="s">
        <v>389</v>
      </c>
      <c r="L5" s="485" t="s">
        <v>390</v>
      </c>
      <c r="M5" s="487" t="s">
        <v>391</v>
      </c>
      <c r="N5" s="722" t="s">
        <v>637</v>
      </c>
    </row>
    <row r="6" spans="1:14" ht="18.75" customHeight="1" x14ac:dyDescent="0.3">
      <c r="A6" s="162" t="str">
        <f>COA!B5</f>
        <v>1000 Chequing - 5002829</v>
      </c>
      <c r="C6" s="166">
        <f t="shared" ref="C6:C37" si="0">SUMIFS(M:M,K:K,A6,N:N,$C$3)</f>
        <v>0</v>
      </c>
      <c r="D6" s="168">
        <f t="shared" ref="D6:D37" si="1">SUMIFS(M:M,K:K,A6,N:N,$D$3)</f>
        <v>0</v>
      </c>
      <c r="E6" s="167"/>
      <c r="F6" s="168">
        <f>SUM(C6:E6)</f>
        <v>0</v>
      </c>
      <c r="J6" s="495" t="str">
        <f t="shared" ref="J6:J13" si="2">IF(M6&gt;0,"DR",IF(M6&lt;0,"CR",""))</f>
        <v/>
      </c>
      <c r="K6" s="491"/>
      <c r="L6" s="492"/>
      <c r="M6" s="493"/>
      <c r="N6" s="723"/>
    </row>
    <row r="7" spans="1:14" ht="19.649999999999999" customHeight="1" x14ac:dyDescent="0.3">
      <c r="A7" s="162" t="str">
        <f>COA!B6</f>
        <v>1000 Undeposited Funds</v>
      </c>
      <c r="C7" s="166">
        <f t="shared" si="0"/>
        <v>0</v>
      </c>
      <c r="D7" s="168">
        <f t="shared" si="1"/>
        <v>0</v>
      </c>
      <c r="E7" s="167"/>
      <c r="F7" s="168">
        <f t="shared" ref="F7:F70" si="3">SUM(C7:E7)</f>
        <v>0</v>
      </c>
      <c r="I7" s="490" t="s">
        <v>2173</v>
      </c>
      <c r="J7" s="495" t="str">
        <f t="shared" si="2"/>
        <v>DR</v>
      </c>
      <c r="K7" s="491" t="str">
        <f>'AJE.1 - F25'!K13</f>
        <v>3105 Common Shares:Class A Shares</v>
      </c>
      <c r="L7" s="492" t="str">
        <f>'AJE.1 - F25'!L13</f>
        <v>Consolidation Elimination Entry</v>
      </c>
      <c r="M7" s="493">
        <f>'AJE.1 - F25'!M13</f>
        <v>24</v>
      </c>
      <c r="N7" s="723" t="s">
        <v>638</v>
      </c>
    </row>
    <row r="8" spans="1:14" x14ac:dyDescent="0.3">
      <c r="A8" s="162" t="str">
        <f>COA!B7</f>
        <v>1001 Petty Cash</v>
      </c>
      <c r="C8" s="166">
        <f t="shared" si="0"/>
        <v>0</v>
      </c>
      <c r="D8" s="168">
        <f t="shared" si="1"/>
        <v>0</v>
      </c>
      <c r="E8" s="167"/>
      <c r="F8" s="168">
        <f t="shared" si="3"/>
        <v>0</v>
      </c>
      <c r="I8" s="490" t="str">
        <f>I7</f>
        <v>CONSOL - CFWD</v>
      </c>
      <c r="J8" s="495" t="str">
        <f t="shared" si="2"/>
        <v>DR</v>
      </c>
      <c r="K8" s="491" t="str">
        <f>'AJE.1 - F25'!K14</f>
        <v>3110 Common Shares:Class B Shares</v>
      </c>
      <c r="L8" s="492" t="str">
        <f>'AJE.1 - F25'!L14</f>
        <v>Consolidation Elimination Entry</v>
      </c>
      <c r="M8" s="493">
        <f>'AJE.1 - F25'!M14</f>
        <v>12</v>
      </c>
      <c r="N8" s="723" t="s">
        <v>638</v>
      </c>
    </row>
    <row r="9" spans="1:14" x14ac:dyDescent="0.3">
      <c r="A9" s="162" t="str">
        <f>COA!B8</f>
        <v>1002 TD - Chequing 1869</v>
      </c>
      <c r="C9" s="166">
        <f t="shared" si="0"/>
        <v>0</v>
      </c>
      <c r="D9" s="168">
        <f t="shared" si="1"/>
        <v>0</v>
      </c>
      <c r="E9" s="167"/>
      <c r="F9" s="168">
        <f t="shared" si="3"/>
        <v>0</v>
      </c>
      <c r="I9" s="490" t="str">
        <f t="shared" ref="I9:I15" si="4">I8</f>
        <v>CONSOL - CFWD</v>
      </c>
      <c r="J9" s="495" t="str">
        <f t="shared" si="2"/>
        <v>DR</v>
      </c>
      <c r="K9" s="491" t="str">
        <f>'AJE.1 - F25'!K15</f>
        <v>3115 Common Shares:Class C Shares</v>
      </c>
      <c r="L9" s="492" t="str">
        <f>'AJE.1 - F25'!L15</f>
        <v>Consolidation Elimination Entry</v>
      </c>
      <c r="M9" s="493">
        <f>'AJE.1 - F25'!M15</f>
        <v>12</v>
      </c>
      <c r="N9" s="723" t="s">
        <v>638</v>
      </c>
    </row>
    <row r="10" spans="1:14" x14ac:dyDescent="0.3">
      <c r="A10" s="162" t="str">
        <f>COA!B9</f>
        <v>1003 TD - Savings 2407</v>
      </c>
      <c r="C10" s="166">
        <f t="shared" si="0"/>
        <v>0</v>
      </c>
      <c r="D10" s="168">
        <f t="shared" si="1"/>
        <v>0</v>
      </c>
      <c r="E10" s="167"/>
      <c r="F10" s="168">
        <f t="shared" si="3"/>
        <v>0</v>
      </c>
      <c r="I10" s="490" t="str">
        <f t="shared" si="4"/>
        <v>CONSOL - CFWD</v>
      </c>
      <c r="J10" s="495" t="str">
        <f t="shared" si="2"/>
        <v>CR</v>
      </c>
      <c r="K10" s="491" t="str">
        <f>'AJE.1 - F25'!K16</f>
        <v>3900 Retained Earnings</v>
      </c>
      <c r="L10" s="492" t="str">
        <f>'AJE.1 - F25'!L16</f>
        <v>Consolidation Elimination Entry</v>
      </c>
      <c r="M10" s="493">
        <f>'AJE.1 - F25'!M16</f>
        <v>-339522</v>
      </c>
      <c r="N10" s="723" t="s">
        <v>638</v>
      </c>
    </row>
    <row r="11" spans="1:14" x14ac:dyDescent="0.3">
      <c r="A11" s="162" t="str">
        <f>COA!B10</f>
        <v>1004 TD - Visa 7692</v>
      </c>
      <c r="C11" s="166">
        <f t="shared" si="0"/>
        <v>0</v>
      </c>
      <c r="D11" s="168">
        <f t="shared" si="1"/>
        <v>0</v>
      </c>
      <c r="E11" s="167"/>
      <c r="F11" s="168">
        <f t="shared" si="3"/>
        <v>0</v>
      </c>
      <c r="I11" s="490" t="str">
        <f t="shared" si="4"/>
        <v>CONSOL - CFWD</v>
      </c>
      <c r="J11" s="495" t="str">
        <f t="shared" si="2"/>
        <v>CR</v>
      </c>
      <c r="K11" s="491" t="str">
        <f>'AJE.1 - F25'!K17</f>
        <v>3000 Opening Bal Equity</v>
      </c>
      <c r="L11" s="492" t="str">
        <f>'AJE.1 - F25'!L17</f>
        <v>Consolidation Elimination Entry</v>
      </c>
      <c r="M11" s="493">
        <f>'AJE.1 - F25'!M17</f>
        <v>-1698</v>
      </c>
      <c r="N11" s="723" t="s">
        <v>638</v>
      </c>
    </row>
    <row r="12" spans="1:14" x14ac:dyDescent="0.3">
      <c r="A12" s="162" t="str">
        <f>COA!B11</f>
        <v>1005 Undeposited Funds</v>
      </c>
      <c r="C12" s="166">
        <f t="shared" si="0"/>
        <v>0</v>
      </c>
      <c r="D12" s="168">
        <f t="shared" si="1"/>
        <v>0</v>
      </c>
      <c r="E12" s="167"/>
      <c r="F12" s="168">
        <f t="shared" si="3"/>
        <v>0</v>
      </c>
      <c r="I12" s="490" t="str">
        <f t="shared" si="4"/>
        <v>CONSOL - CFWD</v>
      </c>
      <c r="J12" s="495" t="str">
        <f t="shared" si="2"/>
        <v>DR</v>
      </c>
      <c r="K12" s="491" t="str">
        <f>'AJE.1 - F25'!K18</f>
        <v>3200 Capital contribution</v>
      </c>
      <c r="L12" s="492" t="str">
        <f>'AJE.1 - F25'!L18</f>
        <v>Consolidation Elimination Entry</v>
      </c>
      <c r="M12" s="493">
        <f>'AJE.1 - F25'!M18</f>
        <v>59350</v>
      </c>
      <c r="N12" s="723" t="s">
        <v>638</v>
      </c>
    </row>
    <row r="13" spans="1:14" x14ac:dyDescent="0.3">
      <c r="A13" s="162" t="str">
        <f>COA!B12</f>
        <v>1005 Interior Savings - 5224</v>
      </c>
      <c r="C13" s="166">
        <f t="shared" si="0"/>
        <v>0</v>
      </c>
      <c r="D13" s="168">
        <f t="shared" si="1"/>
        <v>0</v>
      </c>
      <c r="E13" s="167"/>
      <c r="F13" s="168">
        <f t="shared" si="3"/>
        <v>0</v>
      </c>
      <c r="I13" s="490" t="str">
        <f t="shared" si="4"/>
        <v>CONSOL - CFWD</v>
      </c>
      <c r="J13" s="495" t="str">
        <f t="shared" si="2"/>
        <v>DR</v>
      </c>
      <c r="K13" s="491" t="str">
        <f>'AJE.1 - F25'!K19</f>
        <v>1420 Intangible assets</v>
      </c>
      <c r="L13" s="492" t="str">
        <f>'AJE.1 - F25'!L19</f>
        <v>Consolidation Elimination Entry</v>
      </c>
      <c r="M13" s="493">
        <f>'AJE.1 - F25'!M19</f>
        <v>6281822</v>
      </c>
      <c r="N13" s="723" t="s">
        <v>638</v>
      </c>
    </row>
    <row r="14" spans="1:14" x14ac:dyDescent="0.3">
      <c r="A14" s="162" t="str">
        <f>COA!B13</f>
        <v>1006 Interior Savings - Member Shares 5182</v>
      </c>
      <c r="C14" s="166">
        <f t="shared" si="0"/>
        <v>0</v>
      </c>
      <c r="D14" s="168">
        <f t="shared" si="1"/>
        <v>0</v>
      </c>
      <c r="E14" s="167"/>
      <c r="F14" s="168">
        <f t="shared" si="3"/>
        <v>0</v>
      </c>
      <c r="I14" s="490" t="str">
        <f t="shared" si="4"/>
        <v>CONSOL - CFWD</v>
      </c>
      <c r="J14" s="495" t="str">
        <f>IF(M14&gt;0,"DR",IF(M14&lt;0,"CR",""))</f>
        <v/>
      </c>
      <c r="K14" s="491" t="str">
        <f>'AJE.1 - F25'!K20</f>
        <v>IMP7 Goodwill</v>
      </c>
      <c r="L14" s="492" t="str">
        <f>'AJE.1 - F25'!L20</f>
        <v>Consolidation Elimination Entry</v>
      </c>
      <c r="M14" s="493">
        <f>'AJE.1 - F25'!M20</f>
        <v>0</v>
      </c>
      <c r="N14" s="723" t="s">
        <v>638</v>
      </c>
    </row>
    <row r="15" spans="1:14" x14ac:dyDescent="0.3">
      <c r="A15" s="162" t="str">
        <f>COA!B14</f>
        <v>1010 Bank - suspense</v>
      </c>
      <c r="C15" s="166">
        <f t="shared" si="0"/>
        <v>0</v>
      </c>
      <c r="D15" s="168">
        <f t="shared" si="1"/>
        <v>0</v>
      </c>
      <c r="E15" s="167"/>
      <c r="F15" s="168">
        <f t="shared" si="3"/>
        <v>0</v>
      </c>
      <c r="I15" s="494" t="str">
        <f t="shared" si="4"/>
        <v>CONSOL - CFWD</v>
      </c>
      <c r="J15" s="519" t="str">
        <f>IF(M15&gt;0,"DR",IF(M15&lt;0,"CR",""))</f>
        <v>CR</v>
      </c>
      <c r="K15" s="711" t="str">
        <f>'AJE.1 - F25'!K21</f>
        <v>1600 Investment in Hallor Industries</v>
      </c>
      <c r="L15" s="960" t="str">
        <f>'AJE.1 - F25'!L21</f>
        <v>Consolidation Elimination Entry</v>
      </c>
      <c r="M15" s="712">
        <f>'AJE.1 - F25'!M21</f>
        <v>-6000000</v>
      </c>
      <c r="N15" s="961" t="s">
        <v>638</v>
      </c>
    </row>
    <row r="16" spans="1:14" x14ac:dyDescent="0.3">
      <c r="A16" s="162" t="str">
        <f>COA!B15</f>
        <v>1100 Accounts Receivable (A/R)</v>
      </c>
      <c r="C16" s="166">
        <f t="shared" si="0"/>
        <v>0</v>
      </c>
      <c r="D16" s="168">
        <f t="shared" si="1"/>
        <v>0</v>
      </c>
      <c r="E16" s="167"/>
      <c r="F16" s="168">
        <f t="shared" si="3"/>
        <v>0</v>
      </c>
      <c r="J16" s="495" t="str">
        <f t="shared" ref="J16:J35" si="5">IF(M16&gt;0,"DR",IF(M16&lt;0,"CR",""))</f>
        <v/>
      </c>
      <c r="K16" s="491"/>
      <c r="M16" s="493"/>
      <c r="N16" s="723"/>
    </row>
    <row r="17" spans="1:14" x14ac:dyDescent="0.3">
      <c r="A17" s="162" t="str">
        <f>COA!B16</f>
        <v>1100 Accounts Receivable</v>
      </c>
      <c r="C17" s="166">
        <f t="shared" si="0"/>
        <v>0</v>
      </c>
      <c r="D17" s="168">
        <f t="shared" si="1"/>
        <v>0</v>
      </c>
      <c r="E17" s="167"/>
      <c r="F17" s="168">
        <f t="shared" si="3"/>
        <v>0</v>
      </c>
      <c r="I17" s="490"/>
      <c r="J17" s="495"/>
      <c r="K17" s="491"/>
      <c r="L17" s="492"/>
      <c r="M17" s="493"/>
      <c r="N17" s="723"/>
    </row>
    <row r="18" spans="1:14" x14ac:dyDescent="0.3">
      <c r="A18" s="162" t="str">
        <f>COA!B17</f>
        <v>1120 Work in progress inventory</v>
      </c>
      <c r="C18" s="166">
        <f t="shared" si="0"/>
        <v>0</v>
      </c>
      <c r="D18" s="168">
        <f t="shared" si="1"/>
        <v>0</v>
      </c>
      <c r="E18" s="167"/>
      <c r="F18" s="168">
        <f t="shared" si="3"/>
        <v>0</v>
      </c>
      <c r="I18" s="490" t="s">
        <v>2176</v>
      </c>
      <c r="J18" s="495" t="str">
        <f>IF(M18&gt;0,"DR",IF(M18&lt;0,"CR",""))</f>
        <v>DR</v>
      </c>
      <c r="K18" s="491" t="s">
        <v>610</v>
      </c>
      <c r="L18" s="492" t="s">
        <v>2177</v>
      </c>
      <c r="M18" s="493">
        <f>'IA.1 - Intangible'!R13</f>
        <v>1204016</v>
      </c>
      <c r="N18" s="723" t="s">
        <v>638</v>
      </c>
    </row>
    <row r="19" spans="1:14" x14ac:dyDescent="0.3">
      <c r="A19" s="162" t="str">
        <f>COA!B18</f>
        <v>1020 Prepaid expenses</v>
      </c>
      <c r="C19" s="166">
        <f t="shared" si="0"/>
        <v>0</v>
      </c>
      <c r="D19" s="168">
        <f t="shared" si="1"/>
        <v>0</v>
      </c>
      <c r="E19" s="167"/>
      <c r="F19" s="168">
        <f t="shared" si="3"/>
        <v>0</v>
      </c>
      <c r="I19" s="494" t="str">
        <f>I18</f>
        <v>CFWD</v>
      </c>
      <c r="J19" s="519" t="str">
        <f>IF(M19&gt;0,"DR",IF(M19&lt;0,"CR",""))</f>
        <v>CR</v>
      </c>
      <c r="K19" s="711" t="s">
        <v>2171</v>
      </c>
      <c r="L19" s="960" t="str">
        <f>L18</f>
        <v>F24 amortization of intangibles</v>
      </c>
      <c r="M19" s="712">
        <f>-M18</f>
        <v>-1204016</v>
      </c>
      <c r="N19" s="961" t="s">
        <v>638</v>
      </c>
    </row>
    <row r="20" spans="1:14" x14ac:dyDescent="0.3">
      <c r="A20" s="162" t="str">
        <f>COA!B19</f>
        <v>1200 Prepaid expenses</v>
      </c>
      <c r="C20" s="166">
        <f t="shared" si="0"/>
        <v>0</v>
      </c>
      <c r="D20" s="168">
        <f t="shared" si="1"/>
        <v>0</v>
      </c>
      <c r="E20" s="167"/>
      <c r="F20" s="168">
        <f t="shared" si="3"/>
        <v>0</v>
      </c>
      <c r="J20" s="495" t="str">
        <f t="shared" si="5"/>
        <v/>
      </c>
      <c r="K20" s="491"/>
      <c r="N20" s="723"/>
    </row>
    <row r="21" spans="1:14" x14ac:dyDescent="0.3">
      <c r="A21" s="162" t="str">
        <f>COA!B20</f>
        <v>1300 Current portion of loan receivable</v>
      </c>
      <c r="C21" s="166">
        <f t="shared" si="0"/>
        <v>0</v>
      </c>
      <c r="D21" s="168">
        <f t="shared" si="1"/>
        <v>0</v>
      </c>
      <c r="E21" s="167"/>
      <c r="F21" s="168">
        <f t="shared" si="3"/>
        <v>0</v>
      </c>
      <c r="J21" s="495" t="str">
        <f t="shared" si="5"/>
        <v/>
      </c>
      <c r="K21" s="491"/>
      <c r="N21" s="723"/>
    </row>
    <row r="22" spans="1:14" x14ac:dyDescent="0.3">
      <c r="A22" s="162" t="str">
        <f>COA!B21</f>
        <v>1400 Other current assets</v>
      </c>
      <c r="C22" s="166">
        <f t="shared" si="0"/>
        <v>0</v>
      </c>
      <c r="D22" s="168">
        <f t="shared" si="1"/>
        <v>0</v>
      </c>
      <c r="E22" s="167"/>
      <c r="F22" s="168">
        <f t="shared" si="3"/>
        <v>0</v>
      </c>
      <c r="J22" s="495" t="str">
        <f t="shared" si="5"/>
        <v/>
      </c>
      <c r="K22" s="491"/>
      <c r="N22" s="723"/>
    </row>
    <row r="23" spans="1:14" x14ac:dyDescent="0.3">
      <c r="A23" s="162" t="str">
        <f>COA!B22</f>
        <v>1420 Intangible assets</v>
      </c>
      <c r="C23" s="166">
        <f t="shared" si="0"/>
        <v>6281822</v>
      </c>
      <c r="D23" s="168">
        <f t="shared" si="1"/>
        <v>0</v>
      </c>
      <c r="E23" s="167"/>
      <c r="F23" s="168">
        <f t="shared" si="3"/>
        <v>6281822</v>
      </c>
      <c r="J23" s="495" t="str">
        <f t="shared" si="5"/>
        <v/>
      </c>
      <c r="K23" s="491"/>
      <c r="N23" s="723"/>
    </row>
    <row r="24" spans="1:14" x14ac:dyDescent="0.3">
      <c r="A24" s="162" t="str">
        <f>COA!B23</f>
        <v>1421 Accumulated amortization</v>
      </c>
      <c r="C24" s="166">
        <f t="shared" si="0"/>
        <v>-1204016</v>
      </c>
      <c r="D24" s="168">
        <f t="shared" si="1"/>
        <v>0</v>
      </c>
      <c r="E24" s="167"/>
      <c r="F24" s="168">
        <f t="shared" si="3"/>
        <v>-1204016</v>
      </c>
      <c r="J24" s="495" t="str">
        <f t="shared" si="5"/>
        <v/>
      </c>
      <c r="K24" s="491"/>
      <c r="N24" s="723"/>
    </row>
    <row r="25" spans="1:14" x14ac:dyDescent="0.3">
      <c r="A25" s="162" t="str">
        <f>COA!B24</f>
        <v>1500 Payroll Advances Receivable</v>
      </c>
      <c r="C25" s="166">
        <f t="shared" si="0"/>
        <v>0</v>
      </c>
      <c r="D25" s="168">
        <f t="shared" si="1"/>
        <v>0</v>
      </c>
      <c r="E25" s="167"/>
      <c r="F25" s="168">
        <f t="shared" si="3"/>
        <v>0</v>
      </c>
      <c r="J25" s="495" t="str">
        <f t="shared" si="5"/>
        <v/>
      </c>
      <c r="K25" s="491"/>
      <c r="N25" s="723"/>
    </row>
    <row r="26" spans="1:14" x14ac:dyDescent="0.3">
      <c r="A26" s="162" t="str">
        <f>COA!B25</f>
        <v>1500 Intercompany - Due from Hallor Industries Inc.</v>
      </c>
      <c r="C26" s="166">
        <f t="shared" si="0"/>
        <v>0</v>
      </c>
      <c r="D26" s="168">
        <f t="shared" si="1"/>
        <v>0</v>
      </c>
      <c r="E26" s="167"/>
      <c r="F26" s="168">
        <f t="shared" si="3"/>
        <v>0</v>
      </c>
      <c r="J26" s="495" t="str">
        <f t="shared" si="5"/>
        <v/>
      </c>
      <c r="K26" s="491"/>
      <c r="N26" s="723"/>
    </row>
    <row r="27" spans="1:14" x14ac:dyDescent="0.3">
      <c r="A27" s="162" t="str">
        <f>COA!B26</f>
        <v>1600 Investment in Hallor Industries</v>
      </c>
      <c r="C27" s="166">
        <f t="shared" si="0"/>
        <v>-6000000</v>
      </c>
      <c r="D27" s="168">
        <f t="shared" si="1"/>
        <v>0</v>
      </c>
      <c r="E27" s="167"/>
      <c r="F27" s="168">
        <f t="shared" si="3"/>
        <v>-6000000</v>
      </c>
      <c r="J27" s="495" t="str">
        <f t="shared" si="5"/>
        <v/>
      </c>
      <c r="K27" s="491"/>
      <c r="N27" s="723"/>
    </row>
    <row r="28" spans="1:14" x14ac:dyDescent="0.3">
      <c r="A28" s="162" t="str">
        <f>COA!B27</f>
        <v>1800 Computer Equipment</v>
      </c>
      <c r="C28" s="166">
        <f t="shared" si="0"/>
        <v>0</v>
      </c>
      <c r="D28" s="168">
        <f t="shared" si="1"/>
        <v>0</v>
      </c>
      <c r="E28" s="167"/>
      <c r="F28" s="168">
        <f t="shared" si="3"/>
        <v>0</v>
      </c>
      <c r="J28" s="495" t="str">
        <f t="shared" si="5"/>
        <v/>
      </c>
      <c r="K28" s="491"/>
      <c r="N28" s="723"/>
    </row>
    <row r="29" spans="1:14" x14ac:dyDescent="0.3">
      <c r="A29" s="162" t="str">
        <f>COA!B28</f>
        <v>1801 Computer Equipment:Accumulated Depreciation</v>
      </c>
      <c r="C29" s="166">
        <f t="shared" si="0"/>
        <v>0</v>
      </c>
      <c r="D29" s="168">
        <f t="shared" si="1"/>
        <v>0</v>
      </c>
      <c r="E29" s="167"/>
      <c r="F29" s="168">
        <f t="shared" si="3"/>
        <v>0</v>
      </c>
      <c r="J29" s="495" t="str">
        <f t="shared" si="5"/>
        <v/>
      </c>
      <c r="K29" s="491"/>
      <c r="N29" s="723"/>
    </row>
    <row r="30" spans="1:14" ht="18.75" customHeight="1" x14ac:dyDescent="0.3">
      <c r="A30" s="162" t="str">
        <f>COA!B29</f>
        <v>1810 Office Furniture</v>
      </c>
      <c r="C30" s="166">
        <f t="shared" si="0"/>
        <v>0</v>
      </c>
      <c r="D30" s="168">
        <f t="shared" si="1"/>
        <v>0</v>
      </c>
      <c r="E30" s="167"/>
      <c r="F30" s="168">
        <f t="shared" si="3"/>
        <v>0</v>
      </c>
      <c r="J30" s="495" t="str">
        <f t="shared" si="5"/>
        <v/>
      </c>
      <c r="K30" s="491"/>
      <c r="N30" s="723"/>
    </row>
    <row r="31" spans="1:14" ht="19.649999999999999" customHeight="1" x14ac:dyDescent="0.3">
      <c r="A31" s="162" t="str">
        <f>COA!B30</f>
        <v>1811 Office Furniture:Accumulated Depreciation</v>
      </c>
      <c r="C31" s="166">
        <f t="shared" si="0"/>
        <v>0</v>
      </c>
      <c r="D31" s="168">
        <f t="shared" si="1"/>
        <v>0</v>
      </c>
      <c r="E31" s="167"/>
      <c r="F31" s="168">
        <f t="shared" si="3"/>
        <v>0</v>
      </c>
      <c r="J31" s="495" t="str">
        <f t="shared" si="5"/>
        <v/>
      </c>
      <c r="K31" s="491"/>
      <c r="N31" s="723"/>
    </row>
    <row r="32" spans="1:14" x14ac:dyDescent="0.3">
      <c r="A32" s="162" t="str">
        <f>COA!B31</f>
        <v>1900 Shop Equipment</v>
      </c>
      <c r="C32" s="166">
        <f t="shared" si="0"/>
        <v>0</v>
      </c>
      <c r="D32" s="168">
        <f t="shared" si="1"/>
        <v>0</v>
      </c>
      <c r="E32" s="167"/>
      <c r="F32" s="168">
        <f t="shared" si="3"/>
        <v>0</v>
      </c>
      <c r="J32" s="495" t="str">
        <f t="shared" si="5"/>
        <v/>
      </c>
      <c r="K32" s="491"/>
      <c r="N32" s="723"/>
    </row>
    <row r="33" spans="1:14" x14ac:dyDescent="0.3">
      <c r="A33" s="162" t="str">
        <f>COA!B32</f>
        <v>1901 Shop Equipment:Accum deprec - shop equipment</v>
      </c>
      <c r="C33" s="166">
        <f t="shared" si="0"/>
        <v>0</v>
      </c>
      <c r="D33" s="168">
        <f t="shared" si="1"/>
        <v>0</v>
      </c>
      <c r="E33" s="167"/>
      <c r="F33" s="168">
        <f t="shared" si="3"/>
        <v>0</v>
      </c>
      <c r="J33" s="495" t="str">
        <f t="shared" si="5"/>
        <v/>
      </c>
      <c r="K33" s="491"/>
      <c r="N33" s="723"/>
    </row>
    <row r="34" spans="1:14" x14ac:dyDescent="0.3">
      <c r="A34" s="162" t="str">
        <f>COA!B33</f>
        <v>1999 Uncategorized Asset</v>
      </c>
      <c r="C34" s="166">
        <f t="shared" si="0"/>
        <v>0</v>
      </c>
      <c r="D34" s="168">
        <f t="shared" si="1"/>
        <v>0</v>
      </c>
      <c r="E34" s="167"/>
      <c r="F34" s="168">
        <f t="shared" si="3"/>
        <v>0</v>
      </c>
      <c r="J34" s="495" t="str">
        <f t="shared" si="5"/>
        <v/>
      </c>
      <c r="K34" s="491"/>
      <c r="N34" s="723"/>
    </row>
    <row r="35" spans="1:14" x14ac:dyDescent="0.3">
      <c r="A35" s="162" t="str">
        <f>COA!B34</f>
        <v>2000 Accounts Payable (A/P)</v>
      </c>
      <c r="C35" s="166">
        <f t="shared" si="0"/>
        <v>0</v>
      </c>
      <c r="D35" s="168">
        <f t="shared" si="1"/>
        <v>0</v>
      </c>
      <c r="E35" s="167"/>
      <c r="F35" s="168">
        <f t="shared" si="3"/>
        <v>0</v>
      </c>
      <c r="J35" s="495" t="str">
        <f t="shared" si="5"/>
        <v/>
      </c>
      <c r="K35" s="491"/>
      <c r="N35" s="723"/>
    </row>
    <row r="36" spans="1:14" x14ac:dyDescent="0.3">
      <c r="A36" s="162" t="str">
        <f>COA!B35</f>
        <v>2000 Accounts Payable</v>
      </c>
      <c r="C36" s="166">
        <f t="shared" si="0"/>
        <v>0</v>
      </c>
      <c r="D36" s="168">
        <f t="shared" si="1"/>
        <v>0</v>
      </c>
      <c r="E36" s="167"/>
      <c r="F36" s="168">
        <f t="shared" si="3"/>
        <v>0</v>
      </c>
      <c r="K36" s="491"/>
      <c r="N36" s="723"/>
    </row>
    <row r="37" spans="1:14" x14ac:dyDescent="0.3">
      <c r="A37" s="162" t="str">
        <f>COA!B36</f>
        <v>2001 Accounts Payable (A/P) - USD</v>
      </c>
      <c r="C37" s="166">
        <f t="shared" si="0"/>
        <v>0</v>
      </c>
      <c r="D37" s="168">
        <f t="shared" si="1"/>
        <v>0</v>
      </c>
      <c r="E37" s="167"/>
      <c r="F37" s="168">
        <f t="shared" si="3"/>
        <v>0</v>
      </c>
      <c r="K37" s="491"/>
      <c r="N37" s="723"/>
    </row>
    <row r="38" spans="1:14" x14ac:dyDescent="0.3">
      <c r="A38" s="162" t="str">
        <f>COA!B37</f>
        <v>2010 Accrued Liabilities</v>
      </c>
      <c r="C38" s="166">
        <f t="shared" ref="C38:C69" si="6">SUMIFS(M:M,K:K,A38,N:N,$C$3)</f>
        <v>0</v>
      </c>
      <c r="D38" s="168">
        <f t="shared" ref="D38:D69" si="7">SUMIFS(M:M,K:K,A38,N:N,$D$3)</f>
        <v>0</v>
      </c>
      <c r="E38" s="167"/>
      <c r="F38" s="168">
        <f t="shared" si="3"/>
        <v>0</v>
      </c>
      <c r="K38" s="491"/>
      <c r="N38" s="723"/>
    </row>
    <row r="39" spans="1:14" x14ac:dyDescent="0.3">
      <c r="A39" s="162" t="str">
        <f>COA!B38</f>
        <v>2030 Cutomer prepayments</v>
      </c>
      <c r="C39" s="166">
        <f t="shared" si="6"/>
        <v>0</v>
      </c>
      <c r="D39" s="168">
        <f t="shared" si="7"/>
        <v>0</v>
      </c>
      <c r="E39" s="167"/>
      <c r="F39" s="168">
        <f t="shared" si="3"/>
        <v>0</v>
      </c>
      <c r="K39" s="491"/>
      <c r="N39" s="723"/>
    </row>
    <row r="40" spans="1:14" x14ac:dyDescent="0.3">
      <c r="A40" s="162" t="str">
        <f>COA!B41</f>
        <v>2100 Accrued Liabilities</v>
      </c>
      <c r="C40" s="166">
        <f t="shared" si="6"/>
        <v>0</v>
      </c>
      <c r="D40" s="168">
        <f t="shared" si="7"/>
        <v>0</v>
      </c>
      <c r="E40" s="167"/>
      <c r="F40" s="168">
        <f t="shared" si="3"/>
        <v>0</v>
      </c>
      <c r="K40" s="491"/>
      <c r="N40" s="723"/>
    </row>
    <row r="41" spans="1:14" x14ac:dyDescent="0.3">
      <c r="A41" s="162" t="str">
        <f>COA!B42</f>
        <v>2100 Payroll Liabilities</v>
      </c>
      <c r="C41" s="166">
        <f t="shared" si="6"/>
        <v>0</v>
      </c>
      <c r="D41" s="168">
        <f t="shared" si="7"/>
        <v>0</v>
      </c>
      <c r="E41" s="167"/>
      <c r="F41" s="168">
        <f t="shared" si="3"/>
        <v>0</v>
      </c>
      <c r="K41" s="491"/>
      <c r="N41" s="723"/>
    </row>
    <row r="42" spans="1:14" x14ac:dyDescent="0.3">
      <c r="A42" s="162" t="str">
        <f>COA!B43</f>
        <v>2110 Payroll Liabilities:Payroll Taxes</v>
      </c>
      <c r="C42" s="166">
        <f t="shared" si="6"/>
        <v>0</v>
      </c>
      <c r="D42" s="168">
        <f t="shared" si="7"/>
        <v>0</v>
      </c>
      <c r="E42" s="167"/>
      <c r="F42" s="168">
        <f t="shared" si="3"/>
        <v>0</v>
      </c>
      <c r="K42" s="491"/>
      <c r="N42" s="723"/>
    </row>
    <row r="43" spans="1:14" x14ac:dyDescent="0.3">
      <c r="A43" s="162" t="str">
        <f>COA!B44</f>
        <v>2120 Payroll Liabilities:Vacation Pay Due</v>
      </c>
      <c r="C43" s="166">
        <f t="shared" si="6"/>
        <v>0</v>
      </c>
      <c r="D43" s="168">
        <f t="shared" si="7"/>
        <v>0</v>
      </c>
      <c r="E43" s="167"/>
      <c r="F43" s="168">
        <f t="shared" si="3"/>
        <v>0</v>
      </c>
      <c r="K43" s="491"/>
      <c r="N43" s="723"/>
    </row>
    <row r="44" spans="1:14" x14ac:dyDescent="0.3">
      <c r="A44" s="162" t="str">
        <f>COA!B45</f>
        <v>2130 Payroll Liabilities:WCB to be paid/(refunded)</v>
      </c>
      <c r="C44" s="166">
        <f t="shared" si="6"/>
        <v>0</v>
      </c>
      <c r="D44" s="168">
        <f t="shared" si="7"/>
        <v>0</v>
      </c>
      <c r="E44" s="167"/>
      <c r="F44" s="168">
        <f t="shared" si="3"/>
        <v>0</v>
      </c>
      <c r="K44" s="491"/>
      <c r="N44" s="723"/>
    </row>
    <row r="45" spans="1:14" x14ac:dyDescent="0.3">
      <c r="A45" s="162" t="str">
        <f>COA!B46</f>
        <v>2140 Payroll Liabilities:Vacation Pay Payable</v>
      </c>
      <c r="C45" s="166">
        <f t="shared" si="6"/>
        <v>0</v>
      </c>
      <c r="D45" s="168">
        <f t="shared" si="7"/>
        <v>0</v>
      </c>
      <c r="E45" s="167"/>
      <c r="F45" s="168">
        <f t="shared" si="3"/>
        <v>0</v>
      </c>
      <c r="K45" s="491"/>
      <c r="N45" s="723"/>
    </row>
    <row r="46" spans="1:14" x14ac:dyDescent="0.3">
      <c r="A46" s="162" t="str">
        <f>COA!B47</f>
        <v>2200 PST Payable (BC)</v>
      </c>
      <c r="C46" s="166">
        <f t="shared" si="6"/>
        <v>0</v>
      </c>
      <c r="D46" s="168">
        <f t="shared" si="7"/>
        <v>0</v>
      </c>
      <c r="E46" s="167"/>
      <c r="F46" s="168">
        <f t="shared" si="3"/>
        <v>0</v>
      </c>
      <c r="K46" s="491"/>
      <c r="N46" s="723"/>
    </row>
    <row r="47" spans="1:14" x14ac:dyDescent="0.3">
      <c r="A47" s="162" t="str">
        <f>COA!B48</f>
        <v>2200 GST Payable/(Refund)</v>
      </c>
      <c r="C47" s="166">
        <f t="shared" si="6"/>
        <v>0</v>
      </c>
      <c r="D47" s="168">
        <f t="shared" si="7"/>
        <v>0</v>
      </c>
      <c r="E47" s="167"/>
      <c r="F47" s="168">
        <f t="shared" si="3"/>
        <v>0</v>
      </c>
      <c r="K47" s="491"/>
      <c r="N47" s="723"/>
    </row>
    <row r="48" spans="1:14" x14ac:dyDescent="0.3">
      <c r="A48" s="162" t="str">
        <f>COA!B49</f>
        <v>2201 PST Suspense (BC)</v>
      </c>
      <c r="C48" s="166">
        <f t="shared" si="6"/>
        <v>0</v>
      </c>
      <c r="D48" s="168">
        <f t="shared" si="7"/>
        <v>0</v>
      </c>
      <c r="E48" s="167"/>
      <c r="F48" s="168">
        <f t="shared" si="3"/>
        <v>0</v>
      </c>
      <c r="K48" s="491"/>
      <c r="N48" s="723"/>
    </row>
    <row r="49" spans="1:14" x14ac:dyDescent="0.3">
      <c r="A49" s="162" t="str">
        <f>COA!B50</f>
        <v>2210 GST Payable/(Refund):GST Paid on Purchases</v>
      </c>
      <c r="C49" s="166">
        <f t="shared" si="6"/>
        <v>0</v>
      </c>
      <c r="D49" s="168">
        <f t="shared" si="7"/>
        <v>0</v>
      </c>
      <c r="E49" s="167"/>
      <c r="F49" s="168">
        <f t="shared" si="3"/>
        <v>0</v>
      </c>
      <c r="K49" s="491"/>
      <c r="N49" s="723"/>
    </row>
    <row r="50" spans="1:14" x14ac:dyDescent="0.3">
      <c r="A50" s="162" t="str">
        <f>COA!B51</f>
        <v>2220 GST Payable/(Refund):GST Collected on Sales</v>
      </c>
      <c r="C50" s="166">
        <f t="shared" si="6"/>
        <v>0</v>
      </c>
      <c r="D50" s="168">
        <f t="shared" si="7"/>
        <v>0</v>
      </c>
      <c r="E50" s="167"/>
      <c r="F50" s="168">
        <f t="shared" si="3"/>
        <v>0</v>
      </c>
      <c r="K50" s="491"/>
      <c r="N50" s="723"/>
    </row>
    <row r="51" spans="1:14" x14ac:dyDescent="0.3">
      <c r="A51" s="162" t="str">
        <f>COA!B52</f>
        <v>2210 GST/HST Payable</v>
      </c>
      <c r="C51" s="166">
        <f t="shared" si="6"/>
        <v>0</v>
      </c>
      <c r="D51" s="168">
        <f t="shared" si="7"/>
        <v>0</v>
      </c>
      <c r="E51" s="167"/>
      <c r="F51" s="168">
        <f t="shared" si="3"/>
        <v>0</v>
      </c>
      <c r="K51" s="491"/>
      <c r="N51" s="723"/>
    </row>
    <row r="52" spans="1:14" x14ac:dyDescent="0.3">
      <c r="A52" s="162" t="str">
        <f>COA!B53</f>
        <v>2230 GST Payable/(Refund):GST to Paid/(refunded)</v>
      </c>
      <c r="C52" s="166">
        <f t="shared" si="6"/>
        <v>0</v>
      </c>
      <c r="D52" s="168">
        <f t="shared" si="7"/>
        <v>0</v>
      </c>
      <c r="E52" s="167"/>
      <c r="F52" s="168">
        <f t="shared" si="3"/>
        <v>0</v>
      </c>
      <c r="K52" s="491"/>
      <c r="N52" s="723"/>
    </row>
    <row r="53" spans="1:14" x14ac:dyDescent="0.3">
      <c r="A53" s="162" t="str">
        <f>COA!B54</f>
        <v>2211 GST/HST Suspense</v>
      </c>
      <c r="C53" s="166">
        <f t="shared" si="6"/>
        <v>0</v>
      </c>
      <c r="D53" s="168">
        <f t="shared" si="7"/>
        <v>0</v>
      </c>
      <c r="E53" s="167"/>
      <c r="F53" s="168">
        <f t="shared" si="3"/>
        <v>0</v>
      </c>
      <c r="K53" s="491"/>
      <c r="N53" s="723"/>
    </row>
    <row r="54" spans="1:14" x14ac:dyDescent="0.3">
      <c r="A54" s="162" t="str">
        <f>COA!B55</f>
        <v>2201 GST and HST Suspense</v>
      </c>
      <c r="C54" s="166">
        <f t="shared" si="6"/>
        <v>0</v>
      </c>
      <c r="D54" s="168">
        <f t="shared" si="7"/>
        <v>0</v>
      </c>
      <c r="E54" s="167"/>
      <c r="F54" s="168">
        <f t="shared" si="3"/>
        <v>0</v>
      </c>
      <c r="K54" s="491"/>
      <c r="N54" s="723"/>
    </row>
    <row r="55" spans="1:14" x14ac:dyDescent="0.3">
      <c r="A55" s="162" t="str">
        <f>COA!B56</f>
        <v>2202 Receiver General Suspense</v>
      </c>
      <c r="C55" s="166">
        <f t="shared" si="6"/>
        <v>0</v>
      </c>
      <c r="D55" s="168">
        <f t="shared" si="7"/>
        <v>0</v>
      </c>
      <c r="E55" s="167"/>
      <c r="F55" s="168">
        <f t="shared" si="3"/>
        <v>0</v>
      </c>
      <c r="K55" s="491"/>
      <c r="N55" s="723"/>
    </row>
    <row r="56" spans="1:14" x14ac:dyDescent="0.3">
      <c r="A56" s="162" t="str">
        <f>COA!B57</f>
        <v>2280 PST Payable</v>
      </c>
      <c r="C56" s="166">
        <f t="shared" si="6"/>
        <v>0</v>
      </c>
      <c r="D56" s="168">
        <f t="shared" si="7"/>
        <v>0</v>
      </c>
      <c r="E56" s="167"/>
      <c r="F56" s="168">
        <f t="shared" si="3"/>
        <v>0</v>
      </c>
      <c r="K56" s="491"/>
      <c r="N56" s="723"/>
    </row>
    <row r="57" spans="1:14" x14ac:dyDescent="0.3">
      <c r="A57" s="162" t="str">
        <f>COA!B58</f>
        <v>2240 PST Payable:PST Collected on Sales</v>
      </c>
      <c r="C57" s="166">
        <f t="shared" si="6"/>
        <v>0</v>
      </c>
      <c r="D57" s="168">
        <f t="shared" si="7"/>
        <v>0</v>
      </c>
      <c r="E57" s="167"/>
      <c r="F57" s="168">
        <f t="shared" si="3"/>
        <v>0</v>
      </c>
      <c r="K57" s="491"/>
      <c r="N57" s="723"/>
    </row>
    <row r="58" spans="1:14" x14ac:dyDescent="0.3">
      <c r="A58" s="162" t="str">
        <f>COA!B59</f>
        <v>2245 PST Payable:PST Payable</v>
      </c>
      <c r="C58" s="166">
        <f t="shared" si="6"/>
        <v>0</v>
      </c>
      <c r="D58" s="168">
        <f t="shared" si="7"/>
        <v>0</v>
      </c>
      <c r="E58" s="167"/>
      <c r="F58" s="168">
        <f t="shared" si="3"/>
        <v>0</v>
      </c>
      <c r="K58" s="491"/>
      <c r="N58" s="723"/>
    </row>
    <row r="59" spans="1:14" x14ac:dyDescent="0.3">
      <c r="A59" s="162" t="str">
        <f>COA!B60</f>
        <v>2300 Corporate Tax Payable</v>
      </c>
      <c r="C59" s="166">
        <f t="shared" si="6"/>
        <v>0</v>
      </c>
      <c r="D59" s="168">
        <f t="shared" si="7"/>
        <v>0</v>
      </c>
      <c r="E59" s="167"/>
      <c r="F59" s="168">
        <f t="shared" si="3"/>
        <v>0</v>
      </c>
      <c r="K59" s="491"/>
      <c r="N59" s="723"/>
    </row>
    <row r="60" spans="1:14" x14ac:dyDescent="0.3">
      <c r="A60" s="162" t="str">
        <f>COA!B61</f>
        <v>2500 Due to/(from) related parties</v>
      </c>
      <c r="C60" s="166">
        <f t="shared" si="6"/>
        <v>0</v>
      </c>
      <c r="D60" s="168">
        <f t="shared" si="7"/>
        <v>0</v>
      </c>
      <c r="E60" s="167"/>
      <c r="F60" s="168">
        <f t="shared" si="3"/>
        <v>0</v>
      </c>
      <c r="K60" s="491"/>
      <c r="N60" s="723"/>
    </row>
    <row r="61" spans="1:14" x14ac:dyDescent="0.3">
      <c r="A61" s="162" t="str">
        <f>COA!B62</f>
        <v>2501 Due to/(from) related parties:Due To/From SAK2</v>
      </c>
      <c r="C61" s="166">
        <f t="shared" si="6"/>
        <v>0</v>
      </c>
      <c r="D61" s="168">
        <f t="shared" si="7"/>
        <v>0</v>
      </c>
      <c r="E61" s="167"/>
      <c r="F61" s="168">
        <f t="shared" si="3"/>
        <v>0</v>
      </c>
      <c r="K61" s="491"/>
      <c r="N61" s="723"/>
    </row>
    <row r="62" spans="1:14" x14ac:dyDescent="0.3">
      <c r="A62" s="162" t="str">
        <f>COA!B63</f>
        <v>2502 Due to/(from) related parties:Due To/From SAK6</v>
      </c>
      <c r="C62" s="166">
        <f t="shared" si="6"/>
        <v>0</v>
      </c>
      <c r="D62" s="168">
        <f t="shared" si="7"/>
        <v>0</v>
      </c>
      <c r="E62" s="167"/>
      <c r="F62" s="168">
        <f t="shared" si="3"/>
        <v>0</v>
      </c>
      <c r="K62" s="491"/>
      <c r="N62" s="723"/>
    </row>
    <row r="63" spans="1:14" x14ac:dyDescent="0.3">
      <c r="A63" s="162" t="str">
        <f>COA!B64</f>
        <v>2503 Due to/(from) related parties:Due To/From UpCapital</v>
      </c>
      <c r="C63" s="166">
        <f t="shared" si="6"/>
        <v>0</v>
      </c>
      <c r="D63" s="168">
        <f t="shared" si="7"/>
        <v>0</v>
      </c>
      <c r="E63" s="167"/>
      <c r="F63" s="168">
        <f t="shared" si="3"/>
        <v>0</v>
      </c>
      <c r="K63" s="491"/>
      <c r="N63" s="723"/>
    </row>
    <row r="64" spans="1:14" x14ac:dyDescent="0.3">
      <c r="A64" s="162" t="str">
        <f>COA!B65</f>
        <v>2504 Due to/(from) related parties:Shareholder's Loan</v>
      </c>
      <c r="C64" s="166">
        <f t="shared" si="6"/>
        <v>0</v>
      </c>
      <c r="D64" s="168">
        <f t="shared" si="7"/>
        <v>0</v>
      </c>
      <c r="E64" s="167"/>
      <c r="F64" s="168">
        <f t="shared" si="3"/>
        <v>0</v>
      </c>
      <c r="K64" s="491"/>
      <c r="N64" s="723"/>
    </row>
    <row r="65" spans="1:14" x14ac:dyDescent="0.3">
      <c r="A65" s="162" t="str">
        <f>COA!B66</f>
        <v>2600 Current portion of loans and borrowings</v>
      </c>
      <c r="C65" s="166">
        <f t="shared" si="6"/>
        <v>0</v>
      </c>
      <c r="D65" s="168">
        <f t="shared" si="7"/>
        <v>0</v>
      </c>
      <c r="E65" s="167"/>
      <c r="F65" s="168">
        <f t="shared" si="3"/>
        <v>0</v>
      </c>
      <c r="K65" s="491"/>
      <c r="N65" s="723"/>
    </row>
    <row r="66" spans="1:14" x14ac:dyDescent="0.3">
      <c r="A66" s="162" t="str">
        <f>COA!B67</f>
        <v>2600 Due to RPT - Diane Halston</v>
      </c>
      <c r="C66" s="166">
        <f t="shared" si="6"/>
        <v>0</v>
      </c>
      <c r="D66" s="168">
        <f t="shared" si="7"/>
        <v>0</v>
      </c>
      <c r="E66" s="167"/>
      <c r="F66" s="168">
        <f t="shared" si="3"/>
        <v>0</v>
      </c>
      <c r="K66" s="491"/>
      <c r="N66" s="723"/>
    </row>
    <row r="67" spans="1:14" x14ac:dyDescent="0.3">
      <c r="A67" s="162" t="str">
        <f>COA!B68</f>
        <v>2601 Due to RPT - Brett Halston</v>
      </c>
      <c r="C67" s="166">
        <f t="shared" si="6"/>
        <v>0</v>
      </c>
      <c r="D67" s="168">
        <f t="shared" si="7"/>
        <v>0</v>
      </c>
      <c r="E67" s="167"/>
      <c r="F67" s="168">
        <f t="shared" si="3"/>
        <v>0</v>
      </c>
      <c r="K67" s="491"/>
      <c r="N67" s="723"/>
    </row>
    <row r="68" spans="1:14" x14ac:dyDescent="0.3">
      <c r="A68" s="162" t="str">
        <f>COA!B69</f>
        <v>2602 Due to RPT - Keith Halston</v>
      </c>
      <c r="C68" s="166">
        <f t="shared" si="6"/>
        <v>0</v>
      </c>
      <c r="D68" s="168">
        <f t="shared" si="7"/>
        <v>0</v>
      </c>
      <c r="E68" s="167"/>
      <c r="F68" s="168">
        <f t="shared" si="3"/>
        <v>0</v>
      </c>
      <c r="K68" s="491"/>
      <c r="N68" s="723"/>
    </row>
    <row r="69" spans="1:14" x14ac:dyDescent="0.3">
      <c r="A69" s="162" t="str">
        <f>COA!B70</f>
        <v>2650 Loans and borrowings</v>
      </c>
      <c r="C69" s="166">
        <f t="shared" si="6"/>
        <v>0</v>
      </c>
      <c r="D69" s="168">
        <f t="shared" si="7"/>
        <v>0</v>
      </c>
      <c r="E69" s="167"/>
      <c r="F69" s="168">
        <f t="shared" si="3"/>
        <v>0</v>
      </c>
      <c r="K69" s="491"/>
      <c r="N69" s="723"/>
    </row>
    <row r="70" spans="1:14" x14ac:dyDescent="0.3">
      <c r="A70" s="162" t="str">
        <f>COA!B71</f>
        <v>2650 Loan Payable - current</v>
      </c>
      <c r="C70" s="166">
        <f t="shared" ref="C70:C101" si="8">SUMIFS(M:M,K:K,A70,N:N,$C$3)</f>
        <v>0</v>
      </c>
      <c r="D70" s="168">
        <f t="shared" ref="D70:D101" si="9">SUMIFS(M:M,K:K,A70,N:N,$D$3)</f>
        <v>0</v>
      </c>
      <c r="E70" s="167"/>
      <c r="F70" s="168">
        <f t="shared" si="3"/>
        <v>0</v>
      </c>
      <c r="K70" s="491"/>
      <c r="N70" s="723"/>
    </row>
    <row r="71" spans="1:14" x14ac:dyDescent="0.3">
      <c r="A71" s="162" t="str">
        <f>COA!B72</f>
        <v>2651 Loan Payable - non-current</v>
      </c>
      <c r="C71" s="166">
        <f t="shared" si="8"/>
        <v>0</v>
      </c>
      <c r="D71" s="168">
        <f t="shared" si="9"/>
        <v>0</v>
      </c>
      <c r="E71" s="167"/>
      <c r="F71" s="168">
        <f t="shared" ref="F71:F134" si="10">SUM(C71:E71)</f>
        <v>0</v>
      </c>
      <c r="K71" s="491"/>
      <c r="N71" s="723"/>
    </row>
    <row r="72" spans="1:14" x14ac:dyDescent="0.3">
      <c r="A72" s="162" t="str">
        <f>COA!B73</f>
        <v>2700 Share subscription payable</v>
      </c>
      <c r="C72" s="166">
        <f t="shared" si="8"/>
        <v>0</v>
      </c>
      <c r="D72" s="168">
        <f t="shared" si="9"/>
        <v>0</v>
      </c>
      <c r="E72" s="167"/>
      <c r="F72" s="168">
        <f t="shared" si="10"/>
        <v>0</v>
      </c>
      <c r="K72" s="491"/>
      <c r="N72" s="723"/>
    </row>
    <row r="73" spans="1:14" x14ac:dyDescent="0.3">
      <c r="A73" s="162" t="str">
        <f>COA!B74</f>
        <v>2700 Due to Shareholders</v>
      </c>
      <c r="C73" s="166">
        <f t="shared" si="8"/>
        <v>0</v>
      </c>
      <c r="D73" s="168">
        <f t="shared" si="9"/>
        <v>0</v>
      </c>
      <c r="E73" s="167"/>
      <c r="F73" s="168">
        <f t="shared" si="10"/>
        <v>0</v>
      </c>
      <c r="K73" s="491"/>
      <c r="N73" s="723"/>
    </row>
    <row r="74" spans="1:14" x14ac:dyDescent="0.3">
      <c r="A74" s="162" t="str">
        <f>COA!B75</f>
        <v>2705 Due to Shareholders:Due to SH - James Taylor</v>
      </c>
      <c r="C74" s="166">
        <f t="shared" si="8"/>
        <v>0</v>
      </c>
      <c r="D74" s="168">
        <f t="shared" si="9"/>
        <v>0</v>
      </c>
      <c r="E74" s="167"/>
      <c r="F74" s="168">
        <f t="shared" si="10"/>
        <v>0</v>
      </c>
      <c r="K74" s="491"/>
      <c r="N74" s="723"/>
    </row>
    <row r="75" spans="1:14" x14ac:dyDescent="0.3">
      <c r="A75" s="162" t="str">
        <f>COA!B76</f>
        <v>2706 Due to Shareholders:Due to SH - Keith Halston</v>
      </c>
      <c r="C75" s="166">
        <f t="shared" si="8"/>
        <v>0</v>
      </c>
      <c r="D75" s="168">
        <f t="shared" si="9"/>
        <v>0</v>
      </c>
      <c r="E75" s="167"/>
      <c r="F75" s="168">
        <f t="shared" si="10"/>
        <v>0</v>
      </c>
      <c r="K75" s="491"/>
      <c r="N75" s="723"/>
    </row>
    <row r="76" spans="1:14" x14ac:dyDescent="0.3">
      <c r="A76" s="162" t="str">
        <f>COA!B77</f>
        <v>2800 Current portion - convertible debt</v>
      </c>
      <c r="C76" s="166">
        <f t="shared" si="8"/>
        <v>0</v>
      </c>
      <c r="D76" s="168">
        <f t="shared" si="9"/>
        <v>0</v>
      </c>
      <c r="E76" s="167"/>
      <c r="F76" s="168">
        <f t="shared" si="10"/>
        <v>0</v>
      </c>
      <c r="K76" s="491"/>
      <c r="N76" s="723"/>
    </row>
    <row r="77" spans="1:14" x14ac:dyDescent="0.3">
      <c r="A77" s="162" t="str">
        <f>COA!B78</f>
        <v>2801 long-term portion - convertible debt</v>
      </c>
      <c r="C77" s="166">
        <f t="shared" si="8"/>
        <v>0</v>
      </c>
      <c r="D77" s="168">
        <f t="shared" si="9"/>
        <v>0</v>
      </c>
      <c r="E77" s="167"/>
      <c r="F77" s="168">
        <f t="shared" si="10"/>
        <v>0</v>
      </c>
      <c r="K77" s="491"/>
      <c r="N77" s="723"/>
    </row>
    <row r="78" spans="1:14" x14ac:dyDescent="0.3">
      <c r="A78" s="162" t="str">
        <f>COA!B79</f>
        <v>2802 Derivative liability</v>
      </c>
      <c r="C78" s="166">
        <f t="shared" si="8"/>
        <v>0</v>
      </c>
      <c r="D78" s="168">
        <f t="shared" si="9"/>
        <v>0</v>
      </c>
      <c r="E78" s="167"/>
      <c r="F78" s="168">
        <f t="shared" si="10"/>
        <v>0</v>
      </c>
      <c r="K78" s="491"/>
      <c r="N78" s="723"/>
    </row>
    <row r="79" spans="1:14" x14ac:dyDescent="0.3">
      <c r="A79" s="162" t="str">
        <f>COA!B80</f>
        <v>2803 Accrued loan interest</v>
      </c>
      <c r="C79" s="166">
        <f t="shared" si="8"/>
        <v>0</v>
      </c>
      <c r="D79" s="168">
        <f t="shared" si="9"/>
        <v>0</v>
      </c>
      <c r="E79" s="167"/>
      <c r="F79" s="168">
        <f t="shared" si="10"/>
        <v>0</v>
      </c>
      <c r="K79" s="491"/>
      <c r="N79" s="723"/>
    </row>
    <row r="80" spans="1:14" x14ac:dyDescent="0.3">
      <c r="A80" s="162" t="str">
        <f>COA!B81</f>
        <v>2900 Intercompany - due to Hallor Group Inc.</v>
      </c>
      <c r="C80" s="166">
        <f t="shared" si="8"/>
        <v>0</v>
      </c>
      <c r="D80" s="168">
        <f t="shared" si="9"/>
        <v>0</v>
      </c>
      <c r="E80" s="167"/>
      <c r="F80" s="168">
        <f t="shared" si="10"/>
        <v>0</v>
      </c>
      <c r="K80" s="491"/>
      <c r="N80" s="723"/>
    </row>
    <row r="81" spans="1:14" x14ac:dyDescent="0.3">
      <c r="A81" s="162" t="str">
        <f>COA!B82</f>
        <v>3000 Share capital</v>
      </c>
      <c r="C81" s="166">
        <f t="shared" si="8"/>
        <v>0</v>
      </c>
      <c r="D81" s="168">
        <f t="shared" si="9"/>
        <v>0</v>
      </c>
      <c r="E81" s="167"/>
      <c r="F81" s="168">
        <f t="shared" si="10"/>
        <v>0</v>
      </c>
      <c r="K81" s="491"/>
      <c r="N81" s="723"/>
    </row>
    <row r="82" spans="1:14" x14ac:dyDescent="0.3">
      <c r="A82" s="162" t="str">
        <f>COA!B83</f>
        <v>3000 Opening Bal Equity</v>
      </c>
      <c r="C82" s="166">
        <f t="shared" si="8"/>
        <v>-1698</v>
      </c>
      <c r="D82" s="168">
        <f t="shared" si="9"/>
        <v>0</v>
      </c>
      <c r="E82" s="167"/>
      <c r="F82" s="168">
        <f t="shared" si="10"/>
        <v>-1698</v>
      </c>
      <c r="K82" s="491"/>
      <c r="N82" s="723"/>
    </row>
    <row r="83" spans="1:14" x14ac:dyDescent="0.3">
      <c r="A83" s="162" t="str">
        <f>COA!B84</f>
        <v>3001 Share capital:Common Shares</v>
      </c>
      <c r="C83" s="166">
        <f t="shared" si="8"/>
        <v>0</v>
      </c>
      <c r="D83" s="168">
        <f t="shared" si="9"/>
        <v>0</v>
      </c>
      <c r="E83" s="167"/>
      <c r="F83" s="168">
        <f t="shared" si="10"/>
        <v>0</v>
      </c>
      <c r="K83" s="491"/>
      <c r="N83" s="723"/>
    </row>
    <row r="84" spans="1:14" x14ac:dyDescent="0.3">
      <c r="A84" s="162" t="str">
        <f>COA!B85</f>
        <v>3010 Share issuance cost</v>
      </c>
      <c r="C84" s="166">
        <f t="shared" si="8"/>
        <v>0</v>
      </c>
      <c r="D84" s="168">
        <f t="shared" si="9"/>
        <v>0</v>
      </c>
      <c r="E84" s="167"/>
      <c r="F84" s="168">
        <f t="shared" si="10"/>
        <v>0</v>
      </c>
      <c r="K84" s="491"/>
      <c r="N84" s="723"/>
    </row>
    <row r="85" spans="1:14" x14ac:dyDescent="0.3">
      <c r="A85" s="162" t="str">
        <f>COA!B86</f>
        <v>3100 Warrant reserve</v>
      </c>
      <c r="C85" s="166">
        <f t="shared" si="8"/>
        <v>0</v>
      </c>
      <c r="D85" s="168">
        <f t="shared" si="9"/>
        <v>0</v>
      </c>
      <c r="E85" s="167"/>
      <c r="F85" s="168">
        <f t="shared" si="10"/>
        <v>0</v>
      </c>
      <c r="K85" s="491"/>
      <c r="N85" s="723"/>
    </row>
    <row r="86" spans="1:14" x14ac:dyDescent="0.3">
      <c r="A86" s="162" t="str">
        <f>COA!B87</f>
        <v>3100 Common Shares</v>
      </c>
      <c r="C86" s="166">
        <f t="shared" si="8"/>
        <v>0</v>
      </c>
      <c r="D86" s="168">
        <f t="shared" si="9"/>
        <v>0</v>
      </c>
      <c r="E86" s="167"/>
      <c r="F86" s="168">
        <f t="shared" si="10"/>
        <v>0</v>
      </c>
      <c r="K86" s="491"/>
      <c r="N86" s="723"/>
    </row>
    <row r="87" spans="1:14" x14ac:dyDescent="0.3">
      <c r="A87" s="162" t="str">
        <f>COA!B88</f>
        <v>3105 Common Shares:Class A Shares</v>
      </c>
      <c r="C87" s="166">
        <f t="shared" si="8"/>
        <v>24</v>
      </c>
      <c r="D87" s="168">
        <f t="shared" si="9"/>
        <v>0</v>
      </c>
      <c r="E87" s="167"/>
      <c r="F87" s="168">
        <f t="shared" si="10"/>
        <v>24</v>
      </c>
      <c r="K87" s="491"/>
      <c r="N87" s="723"/>
    </row>
    <row r="88" spans="1:14" x14ac:dyDescent="0.3">
      <c r="A88" s="162" t="str">
        <f>COA!B89</f>
        <v>3110 Common Shares:Class B Shares</v>
      </c>
      <c r="C88" s="166">
        <f t="shared" si="8"/>
        <v>12</v>
      </c>
      <c r="D88" s="168">
        <f t="shared" si="9"/>
        <v>0</v>
      </c>
      <c r="E88" s="167"/>
      <c r="F88" s="168">
        <f t="shared" si="10"/>
        <v>12</v>
      </c>
      <c r="K88" s="491"/>
      <c r="N88" s="723"/>
    </row>
    <row r="89" spans="1:14" x14ac:dyDescent="0.3">
      <c r="A89" s="162" t="str">
        <f>COA!B90</f>
        <v>3115 Common Shares:Class C Shares</v>
      </c>
      <c r="C89" s="166">
        <f t="shared" si="8"/>
        <v>12</v>
      </c>
      <c r="D89" s="168">
        <f t="shared" si="9"/>
        <v>0</v>
      </c>
      <c r="E89" s="167"/>
      <c r="F89" s="168">
        <f t="shared" si="10"/>
        <v>12</v>
      </c>
      <c r="K89" s="491"/>
      <c r="N89" s="723"/>
    </row>
    <row r="90" spans="1:14" x14ac:dyDescent="0.3">
      <c r="A90" s="162" t="str">
        <f>COA!B91</f>
        <v>3200 Capital contribution</v>
      </c>
      <c r="C90" s="166">
        <f t="shared" si="8"/>
        <v>59350</v>
      </c>
      <c r="D90" s="168">
        <f t="shared" si="9"/>
        <v>0</v>
      </c>
      <c r="E90" s="167"/>
      <c r="F90" s="168">
        <f t="shared" si="10"/>
        <v>59350</v>
      </c>
      <c r="K90" s="491"/>
      <c r="N90" s="723"/>
    </row>
    <row r="91" spans="1:14" x14ac:dyDescent="0.3">
      <c r="A91" s="162" t="str">
        <f>COA!B92</f>
        <v>3500 Opening Balance Equity</v>
      </c>
      <c r="C91" s="166">
        <f t="shared" si="8"/>
        <v>0</v>
      </c>
      <c r="D91" s="168">
        <f t="shared" si="9"/>
        <v>0</v>
      </c>
      <c r="E91" s="167"/>
      <c r="F91" s="168">
        <f t="shared" si="10"/>
        <v>0</v>
      </c>
      <c r="K91" s="491"/>
      <c r="N91" s="723"/>
    </row>
    <row r="92" spans="1:14" x14ac:dyDescent="0.3">
      <c r="A92" s="162" t="str">
        <f>COA!B94</f>
        <v>3501 Retained Earnings</v>
      </c>
      <c r="C92" s="166">
        <f t="shared" si="8"/>
        <v>0</v>
      </c>
      <c r="D92" s="168">
        <f t="shared" si="9"/>
        <v>0</v>
      </c>
      <c r="E92" s="167"/>
      <c r="F92" s="168">
        <f t="shared" si="10"/>
        <v>0</v>
      </c>
      <c r="K92" s="491"/>
      <c r="N92" s="723"/>
    </row>
    <row r="93" spans="1:14" x14ac:dyDescent="0.3">
      <c r="A93" s="162" t="str">
        <f>COA!B95</f>
        <v>3900 Retained Earnings</v>
      </c>
      <c r="C93" s="166">
        <f t="shared" si="8"/>
        <v>-339522</v>
      </c>
      <c r="D93" s="168">
        <f t="shared" si="9"/>
        <v>0</v>
      </c>
      <c r="E93" s="167"/>
      <c r="F93" s="168">
        <f t="shared" si="10"/>
        <v>-339522</v>
      </c>
      <c r="K93" s="491"/>
      <c r="N93" s="723"/>
    </row>
    <row r="94" spans="1:14" x14ac:dyDescent="0.3">
      <c r="A94" s="162" t="str">
        <f>COA!B96</f>
        <v>5000 Revenue</v>
      </c>
      <c r="C94" s="166">
        <f t="shared" si="8"/>
        <v>0</v>
      </c>
      <c r="D94" s="168">
        <f t="shared" si="9"/>
        <v>0</v>
      </c>
      <c r="E94" s="167"/>
      <c r="F94" s="168">
        <f t="shared" si="10"/>
        <v>0</v>
      </c>
      <c r="K94" s="491"/>
      <c r="N94" s="723"/>
    </row>
    <row r="95" spans="1:14" x14ac:dyDescent="0.3">
      <c r="A95" s="162" t="str">
        <f>COA!B97</f>
        <v>5000 Utility Vehicle Sales</v>
      </c>
      <c r="C95" s="166">
        <f t="shared" si="8"/>
        <v>0</v>
      </c>
      <c r="D95" s="168">
        <f t="shared" si="9"/>
        <v>0</v>
      </c>
      <c r="E95" s="167"/>
      <c r="F95" s="168">
        <f t="shared" si="10"/>
        <v>0</v>
      </c>
      <c r="K95" s="491"/>
      <c r="N95" s="723"/>
    </row>
    <row r="96" spans="1:14" x14ac:dyDescent="0.3">
      <c r="A96" s="162" t="str">
        <f>COA!B98</f>
        <v>5001 Other General Sales</v>
      </c>
      <c r="C96" s="166">
        <f t="shared" si="8"/>
        <v>0</v>
      </c>
      <c r="D96" s="168">
        <f t="shared" si="9"/>
        <v>0</v>
      </c>
      <c r="E96" s="167"/>
      <c r="F96" s="168">
        <f t="shared" si="10"/>
        <v>0</v>
      </c>
      <c r="K96" s="491"/>
      <c r="N96" s="723"/>
    </row>
    <row r="97" spans="1:14" x14ac:dyDescent="0.3">
      <c r="A97" s="162" t="str">
        <f>COA!B99</f>
        <v>5002 Equipment parts sale</v>
      </c>
      <c r="C97" s="166">
        <f t="shared" si="8"/>
        <v>0</v>
      </c>
      <c r="D97" s="168">
        <f t="shared" si="9"/>
        <v>0</v>
      </c>
      <c r="E97" s="167"/>
      <c r="F97" s="168">
        <f t="shared" si="10"/>
        <v>0</v>
      </c>
      <c r="K97" s="491"/>
      <c r="N97" s="723"/>
    </row>
    <row r="98" spans="1:14" x14ac:dyDescent="0.3">
      <c r="A98" s="162" t="str">
        <f>COA!B100</f>
        <v>5003 Labour service</v>
      </c>
      <c r="C98" s="166">
        <f t="shared" si="8"/>
        <v>0</v>
      </c>
      <c r="D98" s="168">
        <f t="shared" si="9"/>
        <v>0</v>
      </c>
      <c r="E98" s="167"/>
      <c r="F98" s="168">
        <f t="shared" si="10"/>
        <v>0</v>
      </c>
      <c r="K98" s="491"/>
      <c r="N98" s="723"/>
    </row>
    <row r="99" spans="1:14" x14ac:dyDescent="0.3">
      <c r="A99" s="162" t="str">
        <f>COA!B101</f>
        <v>5004 Shop Supplies Sales</v>
      </c>
      <c r="C99" s="166">
        <f t="shared" si="8"/>
        <v>0</v>
      </c>
      <c r="D99" s="168">
        <f t="shared" si="9"/>
        <v>0</v>
      </c>
      <c r="E99" s="167"/>
      <c r="F99" s="168">
        <f t="shared" si="10"/>
        <v>0</v>
      </c>
      <c r="K99" s="491"/>
      <c r="N99" s="723"/>
    </row>
    <row r="100" spans="1:14" x14ac:dyDescent="0.3">
      <c r="A100" s="162" t="str">
        <f>COA!B102</f>
        <v>5006 Markup</v>
      </c>
      <c r="C100" s="166">
        <f t="shared" si="8"/>
        <v>0</v>
      </c>
      <c r="D100" s="168">
        <f t="shared" si="9"/>
        <v>0</v>
      </c>
      <c r="E100" s="167"/>
      <c r="F100" s="168">
        <f t="shared" si="10"/>
        <v>0</v>
      </c>
      <c r="K100" s="491"/>
      <c r="N100" s="723"/>
    </row>
    <row r="101" spans="1:14" x14ac:dyDescent="0.3">
      <c r="A101" s="162" t="str">
        <f>COA!B104</f>
        <v>5498 Interest income</v>
      </c>
      <c r="C101" s="166">
        <f t="shared" si="8"/>
        <v>0</v>
      </c>
      <c r="D101" s="168">
        <f t="shared" si="9"/>
        <v>0</v>
      </c>
      <c r="E101" s="167"/>
      <c r="F101" s="168">
        <f t="shared" si="10"/>
        <v>0</v>
      </c>
      <c r="K101" s="491"/>
      <c r="N101" s="723"/>
    </row>
    <row r="102" spans="1:14" x14ac:dyDescent="0.3">
      <c r="A102" s="162" t="str">
        <f>COA!B105</f>
        <v>5499 Other Income</v>
      </c>
      <c r="C102" s="166">
        <f t="shared" ref="C102:C133" si="11">SUMIFS(M:M,K:K,A102,N:N,$C$3)</f>
        <v>0</v>
      </c>
      <c r="D102" s="168">
        <f t="shared" ref="D102:D133" si="12">SUMIFS(M:M,K:K,A102,N:N,$D$3)</f>
        <v>0</v>
      </c>
      <c r="E102" s="167"/>
      <c r="F102" s="168">
        <f t="shared" si="10"/>
        <v>0</v>
      </c>
      <c r="K102" s="491"/>
      <c r="N102" s="723"/>
    </row>
    <row r="103" spans="1:14" x14ac:dyDescent="0.3">
      <c r="A103" s="162" t="str">
        <f>COA!B106</f>
        <v>5500 Cost of Goods Sold</v>
      </c>
      <c r="C103" s="166">
        <f t="shared" si="11"/>
        <v>0</v>
      </c>
      <c r="D103" s="168">
        <f t="shared" si="12"/>
        <v>0</v>
      </c>
      <c r="E103" s="167"/>
      <c r="F103" s="168">
        <f t="shared" si="10"/>
        <v>0</v>
      </c>
      <c r="K103" s="491"/>
      <c r="N103" s="723"/>
    </row>
    <row r="104" spans="1:14" x14ac:dyDescent="0.3">
      <c r="A104" s="162" t="str">
        <f>COA!B107</f>
        <v>5510 Cost of Goods Sold:Parts and components  - COS</v>
      </c>
      <c r="C104" s="166">
        <f t="shared" si="11"/>
        <v>0</v>
      </c>
      <c r="D104" s="168">
        <f t="shared" si="12"/>
        <v>0</v>
      </c>
      <c r="E104" s="167"/>
      <c r="F104" s="168">
        <f t="shared" si="10"/>
        <v>0</v>
      </c>
      <c r="K104" s="491"/>
      <c r="N104" s="723"/>
    </row>
    <row r="105" spans="1:14" x14ac:dyDescent="0.3">
      <c r="A105" s="162" t="str">
        <f>COA!B108</f>
        <v>5515 Cost of Goods Sold:Engineering  - COS</v>
      </c>
      <c r="C105" s="166">
        <f t="shared" si="11"/>
        <v>0</v>
      </c>
      <c r="D105" s="168">
        <f t="shared" si="12"/>
        <v>0</v>
      </c>
      <c r="E105" s="167"/>
      <c r="F105" s="168">
        <f t="shared" si="10"/>
        <v>0</v>
      </c>
      <c r="K105" s="491"/>
      <c r="N105" s="723"/>
    </row>
    <row r="106" spans="1:14" x14ac:dyDescent="0.3">
      <c r="A106" s="162" t="str">
        <f>COA!B109</f>
        <v>5520 Cost of Goods Sold:Subcontracting  - COS</v>
      </c>
      <c r="C106" s="166">
        <f t="shared" si="11"/>
        <v>0</v>
      </c>
      <c r="D106" s="168">
        <f t="shared" si="12"/>
        <v>0</v>
      </c>
      <c r="E106" s="167"/>
      <c r="F106" s="168">
        <f t="shared" si="10"/>
        <v>0</v>
      </c>
      <c r="K106" s="491"/>
      <c r="N106" s="723"/>
    </row>
    <row r="107" spans="1:14" x14ac:dyDescent="0.3">
      <c r="A107" s="162" t="str">
        <f>COA!B110</f>
        <v>5525 Cost of Goods Sold:Shipping  - COS</v>
      </c>
      <c r="C107" s="166">
        <f t="shared" si="11"/>
        <v>0</v>
      </c>
      <c r="D107" s="168">
        <f t="shared" si="12"/>
        <v>0</v>
      </c>
      <c r="E107" s="167"/>
      <c r="F107" s="168">
        <f t="shared" si="10"/>
        <v>0</v>
      </c>
      <c r="K107" s="491"/>
      <c r="N107" s="723"/>
    </row>
    <row r="108" spans="1:14" x14ac:dyDescent="0.3">
      <c r="A108" s="162" t="str">
        <f>COA!B111</f>
        <v>5530 Cost of Goods Sold:Disposal/Landfill  - COS</v>
      </c>
      <c r="C108" s="166">
        <f t="shared" si="11"/>
        <v>0</v>
      </c>
      <c r="D108" s="168">
        <f t="shared" si="12"/>
        <v>0</v>
      </c>
      <c r="E108" s="167"/>
      <c r="F108" s="168">
        <f t="shared" si="10"/>
        <v>0</v>
      </c>
      <c r="K108" s="491"/>
      <c r="N108" s="723"/>
    </row>
    <row r="109" spans="1:14" x14ac:dyDescent="0.3">
      <c r="A109" s="162" t="str">
        <f>COA!B112</f>
        <v>5535 Cost of Goods Sold:Inventory Write Off  - COS</v>
      </c>
      <c r="C109" s="166">
        <f t="shared" si="11"/>
        <v>0</v>
      </c>
      <c r="D109" s="168">
        <f t="shared" si="12"/>
        <v>0</v>
      </c>
      <c r="E109" s="167"/>
      <c r="F109" s="168">
        <f t="shared" si="10"/>
        <v>0</v>
      </c>
      <c r="K109" s="491"/>
      <c r="N109" s="723"/>
    </row>
    <row r="110" spans="1:14" x14ac:dyDescent="0.3">
      <c r="A110" s="162" t="str">
        <f>COA!B113</f>
        <v>5540 Cost of Goods Sold:Equipment Fuel  - COS</v>
      </c>
      <c r="C110" s="166">
        <f t="shared" si="11"/>
        <v>0</v>
      </c>
      <c r="D110" s="168">
        <f t="shared" si="12"/>
        <v>0</v>
      </c>
      <c r="E110" s="167"/>
      <c r="F110" s="168">
        <f t="shared" si="10"/>
        <v>0</v>
      </c>
      <c r="K110" s="491"/>
      <c r="N110" s="723"/>
    </row>
    <row r="111" spans="1:14" x14ac:dyDescent="0.3">
      <c r="A111" s="162" t="str">
        <f>COA!B114</f>
        <v>5545 Cost of Goods Sold:Equipment Leasing  - COS</v>
      </c>
      <c r="C111" s="166">
        <f t="shared" si="11"/>
        <v>0</v>
      </c>
      <c r="D111" s="168">
        <f t="shared" si="12"/>
        <v>0</v>
      </c>
      <c r="E111" s="167"/>
      <c r="F111" s="168">
        <f t="shared" si="10"/>
        <v>0</v>
      </c>
      <c r="K111" s="491"/>
      <c r="N111" s="723"/>
    </row>
    <row r="112" spans="1:14" x14ac:dyDescent="0.3">
      <c r="A112" s="162" t="str">
        <f>COA!B115</f>
        <v>5511 Supplies and materials - COS</v>
      </c>
      <c r="C112" s="166">
        <f t="shared" si="11"/>
        <v>0</v>
      </c>
      <c r="D112" s="168">
        <f t="shared" si="12"/>
        <v>0</v>
      </c>
      <c r="E112" s="167"/>
      <c r="F112" s="168">
        <f t="shared" si="10"/>
        <v>0</v>
      </c>
      <c r="K112" s="491"/>
      <c r="N112" s="723"/>
    </row>
    <row r="113" spans="1:14" x14ac:dyDescent="0.3">
      <c r="A113" s="162" t="str">
        <f>COA!B116</f>
        <v>5998 Uncategorized Income</v>
      </c>
      <c r="C113" s="166">
        <f t="shared" si="11"/>
        <v>0</v>
      </c>
      <c r="D113" s="168">
        <f t="shared" si="12"/>
        <v>0</v>
      </c>
      <c r="E113" s="167"/>
      <c r="F113" s="168">
        <f t="shared" si="10"/>
        <v>0</v>
      </c>
      <c r="K113" s="491"/>
      <c r="N113" s="723"/>
    </row>
    <row r="114" spans="1:14" x14ac:dyDescent="0.3">
      <c r="A114" s="162" t="str">
        <f>COA!B117</f>
        <v>5999 Uncategorized Income</v>
      </c>
      <c r="C114" s="166">
        <f t="shared" si="11"/>
        <v>0</v>
      </c>
      <c r="D114" s="168">
        <f t="shared" si="12"/>
        <v>0</v>
      </c>
      <c r="E114" s="167"/>
      <c r="F114" s="168">
        <f t="shared" si="10"/>
        <v>0</v>
      </c>
      <c r="K114" s="491"/>
      <c r="N114" s="723"/>
    </row>
    <row r="115" spans="1:14" x14ac:dyDescent="0.3">
      <c r="A115" s="162" t="str">
        <f>COA!B118</f>
        <v>5999 Unapplied Cash Payment Income</v>
      </c>
      <c r="C115" s="166">
        <f t="shared" si="11"/>
        <v>0</v>
      </c>
      <c r="D115" s="168">
        <f t="shared" si="12"/>
        <v>0</v>
      </c>
      <c r="E115" s="167"/>
      <c r="F115" s="168">
        <f t="shared" si="10"/>
        <v>0</v>
      </c>
      <c r="K115" s="491"/>
      <c r="N115" s="723"/>
    </row>
    <row r="116" spans="1:14" x14ac:dyDescent="0.3">
      <c r="A116" s="162" t="str">
        <f>COA!B119</f>
        <v>6000 Payroll Expenses</v>
      </c>
      <c r="C116" s="166">
        <f t="shared" si="11"/>
        <v>0</v>
      </c>
      <c r="D116" s="168">
        <f t="shared" si="12"/>
        <v>0</v>
      </c>
      <c r="E116" s="167"/>
      <c r="F116" s="168">
        <f t="shared" si="10"/>
        <v>0</v>
      </c>
      <c r="K116" s="491"/>
      <c r="N116" s="723"/>
    </row>
    <row r="117" spans="1:14" x14ac:dyDescent="0.3">
      <c r="A117" s="162" t="str">
        <f>COA!B120</f>
        <v>6001 Payroll Expenses:Management Salaries</v>
      </c>
      <c r="C117" s="166">
        <f t="shared" si="11"/>
        <v>0</v>
      </c>
      <c r="D117" s="168">
        <f t="shared" si="12"/>
        <v>0</v>
      </c>
      <c r="E117" s="167"/>
      <c r="F117" s="168">
        <f t="shared" si="10"/>
        <v>0</v>
      </c>
      <c r="K117" s="491"/>
      <c r="N117" s="723"/>
    </row>
    <row r="118" spans="1:14" x14ac:dyDescent="0.3">
      <c r="A118" s="162" t="str">
        <f>COA!B121</f>
        <v>6002 Payroll Expenses:Wages</v>
      </c>
      <c r="C118" s="166">
        <f t="shared" si="11"/>
        <v>0</v>
      </c>
      <c r="D118" s="168">
        <f t="shared" si="12"/>
        <v>0</v>
      </c>
      <c r="E118" s="167"/>
      <c r="F118" s="168">
        <f t="shared" si="10"/>
        <v>0</v>
      </c>
      <c r="K118" s="491"/>
      <c r="N118" s="723"/>
    </row>
    <row r="119" spans="1:14" x14ac:dyDescent="0.3">
      <c r="A119" s="162" t="str">
        <f>COA!B122</f>
        <v>6003 Payroll Expenses:Vacation Pay</v>
      </c>
      <c r="C119" s="166">
        <f t="shared" si="11"/>
        <v>0</v>
      </c>
      <c r="D119" s="168">
        <f t="shared" si="12"/>
        <v>0</v>
      </c>
      <c r="E119" s="167"/>
      <c r="F119" s="168">
        <f t="shared" si="10"/>
        <v>0</v>
      </c>
      <c r="K119" s="491"/>
      <c r="N119" s="723"/>
    </row>
    <row r="120" spans="1:14" x14ac:dyDescent="0.3">
      <c r="A120" s="162" t="str">
        <f>COA!B123</f>
        <v>6004 Payroll Expenses:Employer Taxes</v>
      </c>
      <c r="C120" s="166">
        <f t="shared" si="11"/>
        <v>0</v>
      </c>
      <c r="D120" s="168">
        <f t="shared" si="12"/>
        <v>0</v>
      </c>
      <c r="E120" s="167"/>
      <c r="F120" s="168">
        <f t="shared" si="10"/>
        <v>0</v>
      </c>
      <c r="K120" s="491"/>
      <c r="N120" s="723"/>
    </row>
    <row r="121" spans="1:14" x14ac:dyDescent="0.3">
      <c r="A121" s="162" t="str">
        <f>COA!B124</f>
        <v>6005 Payroll Expenses:WCB Expense</v>
      </c>
      <c r="C121" s="166">
        <f t="shared" si="11"/>
        <v>0</v>
      </c>
      <c r="D121" s="168">
        <f t="shared" si="12"/>
        <v>0</v>
      </c>
      <c r="E121" s="167"/>
      <c r="F121" s="168">
        <f t="shared" si="10"/>
        <v>0</v>
      </c>
      <c r="K121" s="491"/>
      <c r="N121" s="723"/>
    </row>
    <row r="122" spans="1:14" x14ac:dyDescent="0.3">
      <c r="A122" s="162" t="str">
        <f>COA!B125</f>
        <v>6010 Other G&amp;A</v>
      </c>
      <c r="C122" s="166">
        <f t="shared" si="11"/>
        <v>0</v>
      </c>
      <c r="D122" s="168">
        <f t="shared" si="12"/>
        <v>0</v>
      </c>
      <c r="E122" s="167"/>
      <c r="F122" s="168">
        <f t="shared" si="10"/>
        <v>0</v>
      </c>
      <c r="K122" s="491"/>
      <c r="N122" s="723"/>
    </row>
    <row r="123" spans="1:14" x14ac:dyDescent="0.3">
      <c r="A123" s="162" t="str">
        <f>COA!B126</f>
        <v>6011 Bank charges</v>
      </c>
      <c r="C123" s="166">
        <f t="shared" si="11"/>
        <v>0</v>
      </c>
      <c r="D123" s="168">
        <f t="shared" si="12"/>
        <v>0</v>
      </c>
      <c r="E123" s="167"/>
      <c r="F123" s="168">
        <f t="shared" si="10"/>
        <v>0</v>
      </c>
      <c r="K123" s="491"/>
      <c r="N123" s="723"/>
    </row>
    <row r="124" spans="1:14" x14ac:dyDescent="0.3">
      <c r="A124" s="162" t="str">
        <f>COA!B127</f>
        <v>6012 Bad debts</v>
      </c>
      <c r="C124" s="166">
        <f t="shared" si="11"/>
        <v>0</v>
      </c>
      <c r="D124" s="168">
        <f t="shared" si="12"/>
        <v>0</v>
      </c>
      <c r="E124" s="167"/>
      <c r="F124" s="168">
        <f t="shared" si="10"/>
        <v>0</v>
      </c>
      <c r="K124" s="491"/>
      <c r="N124" s="723"/>
    </row>
    <row r="125" spans="1:14" x14ac:dyDescent="0.3">
      <c r="A125" s="162" t="str">
        <f>COA!B128</f>
        <v>6012 Bad Debt</v>
      </c>
      <c r="C125" s="166">
        <f t="shared" si="11"/>
        <v>0</v>
      </c>
      <c r="D125" s="168">
        <f t="shared" si="12"/>
        <v>0</v>
      </c>
      <c r="E125" s="167"/>
      <c r="F125" s="168">
        <f t="shared" si="10"/>
        <v>0</v>
      </c>
      <c r="K125" s="491"/>
      <c r="N125" s="723"/>
    </row>
    <row r="126" spans="1:14" x14ac:dyDescent="0.3">
      <c r="A126" s="162" t="str">
        <f>COA!B129</f>
        <v>6013 Interest expense</v>
      </c>
      <c r="C126" s="166">
        <f t="shared" si="11"/>
        <v>0</v>
      </c>
      <c r="D126" s="168">
        <f t="shared" si="12"/>
        <v>0</v>
      </c>
      <c r="E126" s="167"/>
      <c r="F126" s="168">
        <f t="shared" si="10"/>
        <v>0</v>
      </c>
      <c r="K126" s="491"/>
      <c r="N126" s="723"/>
    </row>
    <row r="127" spans="1:14" x14ac:dyDescent="0.3">
      <c r="A127" s="162" t="str">
        <f>COA!B130</f>
        <v>6015 Accounting Fees</v>
      </c>
      <c r="C127" s="166">
        <f t="shared" si="11"/>
        <v>0</v>
      </c>
      <c r="D127" s="168">
        <f t="shared" si="12"/>
        <v>0</v>
      </c>
      <c r="E127" s="167"/>
      <c r="F127" s="168">
        <f t="shared" si="10"/>
        <v>0</v>
      </c>
      <c r="K127" s="491"/>
      <c r="N127" s="723"/>
    </row>
    <row r="128" spans="1:14" x14ac:dyDescent="0.3">
      <c r="A128" s="162" t="str">
        <f>COA!B131</f>
        <v>6015 Accounting &amp; Legal</v>
      </c>
      <c r="C128" s="166">
        <f t="shared" si="11"/>
        <v>0</v>
      </c>
      <c r="D128" s="168">
        <f t="shared" si="12"/>
        <v>0</v>
      </c>
      <c r="E128" s="167"/>
      <c r="F128" s="168">
        <f t="shared" si="10"/>
        <v>0</v>
      </c>
      <c r="K128" s="491"/>
      <c r="N128" s="723"/>
    </row>
    <row r="129" spans="1:14" x14ac:dyDescent="0.3">
      <c r="A129" s="162" t="str">
        <f>COA!B132</f>
        <v>6016 Legal and professional fees</v>
      </c>
      <c r="C129" s="166">
        <f t="shared" si="11"/>
        <v>0</v>
      </c>
      <c r="D129" s="168">
        <f t="shared" si="12"/>
        <v>0</v>
      </c>
      <c r="E129" s="167"/>
      <c r="F129" s="168">
        <f t="shared" si="10"/>
        <v>0</v>
      </c>
      <c r="K129" s="491"/>
      <c r="N129" s="723"/>
    </row>
    <row r="130" spans="1:14" x14ac:dyDescent="0.3">
      <c r="A130" s="162" t="str">
        <f>COA!B133</f>
        <v>6016 Consulting Expense</v>
      </c>
      <c r="C130" s="166">
        <f t="shared" si="11"/>
        <v>0</v>
      </c>
      <c r="D130" s="168">
        <f t="shared" si="12"/>
        <v>0</v>
      </c>
      <c r="E130" s="167"/>
      <c r="F130" s="168">
        <f t="shared" si="10"/>
        <v>0</v>
      </c>
      <c r="K130" s="491"/>
      <c r="N130" s="723"/>
    </row>
    <row r="131" spans="1:14" x14ac:dyDescent="0.3">
      <c r="A131" s="162" t="str">
        <f>COA!B134</f>
        <v>6017 Consulting Fees</v>
      </c>
      <c r="C131" s="166">
        <f t="shared" si="11"/>
        <v>0</v>
      </c>
      <c r="D131" s="168">
        <f t="shared" si="12"/>
        <v>0</v>
      </c>
      <c r="E131" s="167"/>
      <c r="F131" s="168">
        <f t="shared" si="10"/>
        <v>0</v>
      </c>
      <c r="K131" s="491"/>
      <c r="N131" s="723"/>
    </row>
    <row r="132" spans="1:14" x14ac:dyDescent="0.3">
      <c r="A132" s="162" t="str">
        <f>COA!B135</f>
        <v>6018 Dues and Subscription</v>
      </c>
      <c r="C132" s="166">
        <f t="shared" si="11"/>
        <v>0</v>
      </c>
      <c r="D132" s="168">
        <f t="shared" si="12"/>
        <v>0</v>
      </c>
      <c r="E132" s="167"/>
      <c r="F132" s="168">
        <f t="shared" si="10"/>
        <v>0</v>
      </c>
      <c r="K132" s="491"/>
      <c r="N132" s="723"/>
    </row>
    <row r="133" spans="1:14" x14ac:dyDescent="0.3">
      <c r="A133" s="162" t="str">
        <f>COA!B136</f>
        <v>6020 Advertising &amp; Promotion</v>
      </c>
      <c r="C133" s="166">
        <f t="shared" si="11"/>
        <v>0</v>
      </c>
      <c r="D133" s="168">
        <f t="shared" si="12"/>
        <v>0</v>
      </c>
      <c r="E133" s="167"/>
      <c r="F133" s="168">
        <f t="shared" si="10"/>
        <v>0</v>
      </c>
      <c r="K133" s="491"/>
      <c r="N133" s="723"/>
    </row>
    <row r="134" spans="1:14" x14ac:dyDescent="0.3">
      <c r="A134" s="162" t="str">
        <f>COA!B137</f>
        <v>6021 Tradeshows and conventions</v>
      </c>
      <c r="C134" s="166">
        <f t="shared" ref="C134:C165" si="13">SUMIFS(M:M,K:K,A134,N:N,$C$3)</f>
        <v>0</v>
      </c>
      <c r="D134" s="168">
        <f t="shared" ref="D134:D165" si="14">SUMIFS(M:M,K:K,A134,N:N,$D$3)</f>
        <v>0</v>
      </c>
      <c r="E134" s="167"/>
      <c r="F134" s="168">
        <f t="shared" si="10"/>
        <v>0</v>
      </c>
      <c r="K134" s="491"/>
      <c r="N134" s="723"/>
    </row>
    <row r="135" spans="1:14" x14ac:dyDescent="0.3">
      <c r="A135" s="162" t="str">
        <f>COA!B138</f>
        <v>6025 Dues and Subscriptions</v>
      </c>
      <c r="C135" s="166">
        <f t="shared" si="13"/>
        <v>0</v>
      </c>
      <c r="D135" s="168">
        <f t="shared" si="14"/>
        <v>0</v>
      </c>
      <c r="E135" s="167"/>
      <c r="F135" s="168">
        <f t="shared" ref="F135:F139" si="15">SUM(C135:E135)</f>
        <v>0</v>
      </c>
      <c r="K135" s="491"/>
      <c r="N135" s="723"/>
    </row>
    <row r="136" spans="1:14" x14ac:dyDescent="0.3">
      <c r="A136" s="162" t="str">
        <f>COA!B139</f>
        <v>6025 Automobile</v>
      </c>
      <c r="C136" s="166">
        <f t="shared" si="13"/>
        <v>0</v>
      </c>
      <c r="D136" s="168">
        <f t="shared" si="14"/>
        <v>0</v>
      </c>
      <c r="E136" s="167"/>
      <c r="F136" s="168">
        <f t="shared" si="15"/>
        <v>0</v>
      </c>
      <c r="K136" s="491"/>
      <c r="N136" s="723"/>
    </row>
    <row r="137" spans="1:14" x14ac:dyDescent="0.3">
      <c r="A137" s="162" t="str">
        <f>COA!B140</f>
        <v>6026 Fuel / Industrial Gas</v>
      </c>
      <c r="C137" s="166">
        <f t="shared" si="13"/>
        <v>0</v>
      </c>
      <c r="D137" s="168">
        <f t="shared" si="14"/>
        <v>0</v>
      </c>
      <c r="E137" s="167"/>
      <c r="F137" s="168">
        <f t="shared" si="15"/>
        <v>0</v>
      </c>
      <c r="K137" s="491"/>
      <c r="N137" s="723"/>
    </row>
    <row r="138" spans="1:14" x14ac:dyDescent="0.3">
      <c r="A138" s="162" t="str">
        <f>COA!B141</f>
        <v>6030 Communications</v>
      </c>
      <c r="C138" s="166">
        <f t="shared" si="13"/>
        <v>0</v>
      </c>
      <c r="D138" s="168">
        <f t="shared" si="14"/>
        <v>0</v>
      </c>
      <c r="E138" s="167"/>
      <c r="F138" s="168">
        <f t="shared" si="15"/>
        <v>0</v>
      </c>
      <c r="K138" s="491"/>
      <c r="N138" s="723"/>
    </row>
    <row r="139" spans="1:14" x14ac:dyDescent="0.3">
      <c r="A139" s="162" t="str">
        <f>COA!B142</f>
        <v>6031 IT Expense</v>
      </c>
      <c r="C139" s="166">
        <f t="shared" si="13"/>
        <v>0</v>
      </c>
      <c r="D139" s="168">
        <f t="shared" si="14"/>
        <v>0</v>
      </c>
      <c r="E139" s="167"/>
      <c r="F139" s="168">
        <f t="shared" si="15"/>
        <v>0</v>
      </c>
      <c r="K139" s="491"/>
      <c r="N139" s="723"/>
    </row>
    <row r="140" spans="1:14" x14ac:dyDescent="0.3">
      <c r="A140" s="162" t="str">
        <f>COA!B143</f>
        <v>6040 Meals and entertainment</v>
      </c>
      <c r="C140" s="166">
        <f t="shared" si="13"/>
        <v>0</v>
      </c>
      <c r="D140" s="168">
        <f t="shared" si="14"/>
        <v>0</v>
      </c>
      <c r="E140" s="167"/>
      <c r="F140" s="168">
        <f t="shared" ref="F140:F159" si="16">SUM(C140:E140)</f>
        <v>0</v>
      </c>
      <c r="K140" s="491"/>
      <c r="N140" s="723"/>
    </row>
    <row r="141" spans="1:14" x14ac:dyDescent="0.3">
      <c r="A141" s="162" t="str">
        <f>COA!B144</f>
        <v>6041 Travel Meals</v>
      </c>
      <c r="C141" s="166">
        <f t="shared" si="13"/>
        <v>0</v>
      </c>
      <c r="D141" s="168">
        <f t="shared" si="14"/>
        <v>0</v>
      </c>
      <c r="E141" s="167"/>
      <c r="F141" s="168">
        <f t="shared" si="16"/>
        <v>0</v>
      </c>
      <c r="K141" s="491"/>
      <c r="N141" s="723"/>
    </row>
    <row r="142" spans="1:14" x14ac:dyDescent="0.3">
      <c r="A142" s="162" t="str">
        <f>COA!B145</f>
        <v>6042 Travel</v>
      </c>
      <c r="C142" s="166">
        <f t="shared" si="13"/>
        <v>0</v>
      </c>
      <c r="D142" s="168">
        <f t="shared" si="14"/>
        <v>0</v>
      </c>
      <c r="E142" s="167"/>
      <c r="F142" s="168">
        <f t="shared" si="16"/>
        <v>0</v>
      </c>
      <c r="K142" s="491"/>
      <c r="N142" s="723"/>
    </row>
    <row r="143" spans="1:14" x14ac:dyDescent="0.3">
      <c r="A143" s="162" t="str">
        <f>COA!B146</f>
        <v>6043 Transfer agent and regulatory expenses</v>
      </c>
      <c r="C143" s="166">
        <f t="shared" si="13"/>
        <v>0</v>
      </c>
      <c r="D143" s="168">
        <f t="shared" si="14"/>
        <v>0</v>
      </c>
      <c r="E143" s="167"/>
      <c r="F143" s="168">
        <f t="shared" si="16"/>
        <v>0</v>
      </c>
      <c r="K143" s="491"/>
      <c r="N143" s="723"/>
    </row>
    <row r="144" spans="1:14" x14ac:dyDescent="0.3">
      <c r="A144" s="162" t="str">
        <f>COA!B147</f>
        <v>6050 Insurance</v>
      </c>
      <c r="C144" s="166">
        <f t="shared" si="13"/>
        <v>0</v>
      </c>
      <c r="D144" s="168">
        <f t="shared" si="14"/>
        <v>0</v>
      </c>
      <c r="E144" s="167"/>
      <c r="F144" s="168">
        <f t="shared" si="16"/>
        <v>0</v>
      </c>
      <c r="K144" s="491"/>
      <c r="N144" s="723"/>
    </row>
    <row r="145" spans="1:14" x14ac:dyDescent="0.3">
      <c r="A145" s="162" t="str">
        <f>COA!B148</f>
        <v>6060 Office expenses</v>
      </c>
      <c r="C145" s="166">
        <f t="shared" si="13"/>
        <v>0</v>
      </c>
      <c r="D145" s="168">
        <f t="shared" si="14"/>
        <v>0</v>
      </c>
      <c r="E145" s="167"/>
      <c r="F145" s="168">
        <f t="shared" si="16"/>
        <v>0</v>
      </c>
      <c r="K145" s="491"/>
      <c r="N145" s="723"/>
    </row>
    <row r="146" spans="1:14" x14ac:dyDescent="0.3">
      <c r="A146" s="162" t="str">
        <f>COA!B149</f>
        <v>6060 Repairs and Maintenance</v>
      </c>
      <c r="C146" s="166">
        <f t="shared" si="13"/>
        <v>0</v>
      </c>
      <c r="D146" s="168">
        <f t="shared" si="14"/>
        <v>0</v>
      </c>
      <c r="E146" s="167"/>
      <c r="F146" s="168">
        <f t="shared" si="16"/>
        <v>0</v>
      </c>
      <c r="K146" s="491"/>
      <c r="N146" s="723"/>
    </row>
    <row r="147" spans="1:14" x14ac:dyDescent="0.3">
      <c r="A147" s="162" t="str">
        <f>COA!B150</f>
        <v>6061 Other general and administrative expenses</v>
      </c>
      <c r="C147" s="166">
        <f t="shared" si="13"/>
        <v>0</v>
      </c>
      <c r="D147" s="168">
        <f t="shared" si="14"/>
        <v>0</v>
      </c>
      <c r="E147" s="167"/>
      <c r="F147" s="168">
        <f t="shared" si="16"/>
        <v>0</v>
      </c>
      <c r="K147" s="491"/>
      <c r="N147" s="723"/>
    </row>
    <row r="148" spans="1:14" x14ac:dyDescent="0.3">
      <c r="A148" s="162" t="str">
        <f>COA!B151</f>
        <v>6065 Rent</v>
      </c>
      <c r="C148" s="166">
        <f t="shared" si="13"/>
        <v>0</v>
      </c>
      <c r="D148" s="168">
        <f t="shared" si="14"/>
        <v>0</v>
      </c>
      <c r="E148" s="167"/>
      <c r="F148" s="168">
        <f t="shared" si="16"/>
        <v>0</v>
      </c>
      <c r="K148" s="491"/>
      <c r="N148" s="723"/>
    </row>
    <row r="149" spans="1:14" x14ac:dyDescent="0.3">
      <c r="A149" s="162" t="str">
        <f>COA!B152</f>
        <v>6066 Utilities</v>
      </c>
      <c r="C149" s="166">
        <f t="shared" si="13"/>
        <v>0</v>
      </c>
      <c r="D149" s="168">
        <f t="shared" si="14"/>
        <v>0</v>
      </c>
      <c r="E149" s="167"/>
      <c r="F149" s="168">
        <f t="shared" si="16"/>
        <v>0</v>
      </c>
      <c r="K149" s="491"/>
      <c r="N149" s="723"/>
    </row>
    <row r="150" spans="1:14" x14ac:dyDescent="0.3">
      <c r="A150" s="162" t="str">
        <f>COA!B153</f>
        <v>6068 Shipping, Freight, and Delivery</v>
      </c>
      <c r="C150" s="166">
        <f t="shared" si="13"/>
        <v>0</v>
      </c>
      <c r="D150" s="168">
        <f t="shared" si="14"/>
        <v>0</v>
      </c>
      <c r="E150" s="167"/>
      <c r="F150" s="168">
        <f t="shared" si="16"/>
        <v>0</v>
      </c>
      <c r="K150" s="491"/>
      <c r="N150" s="723"/>
    </row>
    <row r="151" spans="1:14" x14ac:dyDescent="0.3">
      <c r="A151" s="162" t="str">
        <f>COA!B154</f>
        <v>6070 Office Supplies</v>
      </c>
      <c r="C151" s="166">
        <f t="shared" si="13"/>
        <v>0</v>
      </c>
      <c r="D151" s="168">
        <f t="shared" si="14"/>
        <v>0</v>
      </c>
      <c r="E151" s="167"/>
      <c r="F151" s="168">
        <f t="shared" si="16"/>
        <v>0</v>
      </c>
      <c r="K151" s="491"/>
      <c r="N151" s="723"/>
    </row>
    <row r="152" spans="1:14" x14ac:dyDescent="0.3">
      <c r="A152" s="162" t="str">
        <f>COA!B155</f>
        <v>6075 Minor shop tools</v>
      </c>
      <c r="C152" s="166">
        <f t="shared" si="13"/>
        <v>0</v>
      </c>
      <c r="D152" s="168">
        <f t="shared" si="14"/>
        <v>0</v>
      </c>
      <c r="E152" s="167"/>
      <c r="F152" s="168">
        <f t="shared" si="16"/>
        <v>0</v>
      </c>
      <c r="K152" s="491"/>
      <c r="N152" s="723"/>
    </row>
    <row r="153" spans="1:14" x14ac:dyDescent="0.3">
      <c r="A153" s="162" t="str">
        <f>COA!B156</f>
        <v>6076 Disposal/Landfill</v>
      </c>
      <c r="C153" s="166">
        <f t="shared" si="13"/>
        <v>0</v>
      </c>
      <c r="D153" s="168">
        <f t="shared" si="14"/>
        <v>0</v>
      </c>
      <c r="E153" s="167"/>
      <c r="F153" s="168">
        <f t="shared" si="16"/>
        <v>0</v>
      </c>
      <c r="K153" s="491"/>
      <c r="N153" s="723"/>
    </row>
    <row r="154" spans="1:14" x14ac:dyDescent="0.3">
      <c r="A154" s="162" t="str">
        <f>COA!B157</f>
        <v>6080 PST Expense (BC)</v>
      </c>
      <c r="C154" s="166">
        <f t="shared" si="13"/>
        <v>0</v>
      </c>
      <c r="D154" s="168">
        <f t="shared" si="14"/>
        <v>0</v>
      </c>
      <c r="E154" s="167"/>
      <c r="F154" s="168">
        <f t="shared" si="16"/>
        <v>0</v>
      </c>
      <c r="K154" s="491"/>
      <c r="N154" s="723"/>
    </row>
    <row r="155" spans="1:14" x14ac:dyDescent="0.3">
      <c r="A155" s="162" t="str">
        <f>COA!B158</f>
        <v>6080 Shop and other supplies</v>
      </c>
      <c r="C155" s="166">
        <f t="shared" si="13"/>
        <v>0</v>
      </c>
      <c r="D155" s="168">
        <f t="shared" si="14"/>
        <v>0</v>
      </c>
      <c r="E155" s="167"/>
      <c r="F155" s="168">
        <f t="shared" si="16"/>
        <v>0</v>
      </c>
      <c r="K155" s="491"/>
      <c r="N155" s="723"/>
    </row>
    <row r="156" spans="1:14" x14ac:dyDescent="0.3">
      <c r="A156" s="162" t="str">
        <f>COA!B159</f>
        <v>6085 Depreciation</v>
      </c>
      <c r="C156" s="166">
        <f t="shared" si="13"/>
        <v>1204016</v>
      </c>
      <c r="D156" s="168">
        <f t="shared" si="14"/>
        <v>0</v>
      </c>
      <c r="E156" s="167"/>
      <c r="F156" s="168">
        <f t="shared" si="16"/>
        <v>1204016</v>
      </c>
      <c r="K156" s="491"/>
      <c r="N156" s="723"/>
    </row>
    <row r="157" spans="1:14" x14ac:dyDescent="0.3">
      <c r="A157" s="162" t="str">
        <f>COA!B160</f>
        <v>6090 Corporate Tax Expense</v>
      </c>
      <c r="C157" s="166">
        <f t="shared" si="13"/>
        <v>0</v>
      </c>
      <c r="D157" s="168">
        <f t="shared" si="14"/>
        <v>0</v>
      </c>
      <c r="E157" s="167"/>
      <c r="F157" s="168">
        <f t="shared" si="16"/>
        <v>0</v>
      </c>
      <c r="K157" s="491"/>
      <c r="N157" s="723"/>
    </row>
    <row r="158" spans="1:14" x14ac:dyDescent="0.3">
      <c r="A158" s="162" t="str">
        <f>COA!B161</f>
        <v>6092 Penalties</v>
      </c>
      <c r="C158" s="166">
        <f t="shared" si="13"/>
        <v>0</v>
      </c>
      <c r="D158" s="168">
        <f t="shared" si="14"/>
        <v>0</v>
      </c>
      <c r="E158" s="167"/>
      <c r="F158" s="168">
        <f t="shared" si="16"/>
        <v>0</v>
      </c>
      <c r="K158" s="491"/>
      <c r="N158" s="723"/>
    </row>
    <row r="159" spans="1:14" x14ac:dyDescent="0.3">
      <c r="A159" s="162" t="str">
        <f>COA!B162</f>
        <v>6092 Penalities</v>
      </c>
      <c r="C159" s="166">
        <f t="shared" si="13"/>
        <v>0</v>
      </c>
      <c r="D159" s="168">
        <f t="shared" si="14"/>
        <v>0</v>
      </c>
      <c r="E159" s="167"/>
      <c r="F159" s="168">
        <f t="shared" si="16"/>
        <v>0</v>
      </c>
      <c r="K159" s="491"/>
      <c r="N159" s="723"/>
    </row>
    <row r="160" spans="1:14" x14ac:dyDescent="0.3">
      <c r="A160" s="162" t="str">
        <f>COA!B163</f>
        <v>6100 Listing expense</v>
      </c>
      <c r="C160" s="166">
        <f t="shared" si="13"/>
        <v>0</v>
      </c>
      <c r="D160" s="168">
        <f t="shared" si="14"/>
        <v>0</v>
      </c>
      <c r="E160" s="167"/>
      <c r="F160" s="168">
        <f t="shared" ref="F160:F161" si="17">SUM(C160:E160)</f>
        <v>0</v>
      </c>
      <c r="K160" s="491"/>
      <c r="N160" s="723"/>
    </row>
    <row r="161" spans="1:14" x14ac:dyDescent="0.3">
      <c r="A161" s="162" t="str">
        <f>COA!B164</f>
        <v>6300 Unapplied Cash Bill Payment Expense</v>
      </c>
      <c r="C161" s="166">
        <f t="shared" si="13"/>
        <v>0</v>
      </c>
      <c r="D161" s="168">
        <f t="shared" si="14"/>
        <v>0</v>
      </c>
      <c r="E161" s="167"/>
      <c r="F161" s="168">
        <f t="shared" si="17"/>
        <v>0</v>
      </c>
      <c r="K161" s="491"/>
      <c r="N161" s="723"/>
    </row>
    <row r="162" spans="1:14" x14ac:dyDescent="0.3">
      <c r="A162" s="162" t="str">
        <f>COA!B165</f>
        <v>6300 Design and modeling</v>
      </c>
      <c r="C162" s="166">
        <f t="shared" si="13"/>
        <v>0</v>
      </c>
      <c r="D162" s="168">
        <f t="shared" si="14"/>
        <v>0</v>
      </c>
      <c r="E162" s="167"/>
      <c r="F162" s="168">
        <f t="shared" ref="F162:F172" si="18">SUM(C162:E162)</f>
        <v>0</v>
      </c>
      <c r="K162" s="491"/>
      <c r="N162" s="723"/>
    </row>
    <row r="163" spans="1:14" x14ac:dyDescent="0.3">
      <c r="A163" s="162" t="str">
        <f>COA!B166</f>
        <v>6350 Other labor costs</v>
      </c>
      <c r="C163" s="166">
        <f t="shared" si="13"/>
        <v>0</v>
      </c>
      <c r="D163" s="168">
        <f t="shared" si="14"/>
        <v>0</v>
      </c>
      <c r="E163" s="167"/>
      <c r="F163" s="168">
        <f t="shared" si="18"/>
        <v>0</v>
      </c>
      <c r="K163" s="491"/>
      <c r="N163" s="723"/>
    </row>
    <row r="164" spans="1:14" x14ac:dyDescent="0.3">
      <c r="A164" s="162" t="str">
        <f>COA!B167</f>
        <v>6997 Unapplied Cash Bill Payment Expense</v>
      </c>
      <c r="C164" s="166">
        <f t="shared" si="13"/>
        <v>0</v>
      </c>
      <c r="D164" s="168">
        <f t="shared" si="14"/>
        <v>0</v>
      </c>
      <c r="E164" s="167"/>
      <c r="F164" s="168">
        <f t="shared" si="18"/>
        <v>0</v>
      </c>
      <c r="K164" s="491"/>
      <c r="N164" s="723"/>
    </row>
    <row r="165" spans="1:14" x14ac:dyDescent="0.3">
      <c r="A165" s="162" t="str">
        <f>COA!B168</f>
        <v>6998 Uncategorized Expense</v>
      </c>
      <c r="C165" s="166">
        <f t="shared" si="13"/>
        <v>0</v>
      </c>
      <c r="D165" s="168">
        <f t="shared" si="14"/>
        <v>0</v>
      </c>
      <c r="E165" s="167"/>
      <c r="F165" s="168">
        <f t="shared" si="18"/>
        <v>0</v>
      </c>
      <c r="K165" s="491"/>
      <c r="N165" s="723"/>
    </row>
    <row r="166" spans="1:14" x14ac:dyDescent="0.3">
      <c r="A166" s="162" t="str">
        <f>COA!B169</f>
        <v>6999 Miscellaneous</v>
      </c>
      <c r="C166" s="166">
        <f t="shared" ref="C166:C178" si="19">SUMIFS(M:M,K:K,A166,N:N,$C$3)</f>
        <v>0</v>
      </c>
      <c r="D166" s="168">
        <f t="shared" ref="D166:D178" si="20">SUMIFS(M:M,K:K,A166,N:N,$D$3)</f>
        <v>0</v>
      </c>
      <c r="E166" s="167"/>
      <c r="F166" s="168">
        <f t="shared" si="18"/>
        <v>0</v>
      </c>
      <c r="K166" s="491"/>
      <c r="N166" s="723"/>
    </row>
    <row r="167" spans="1:14" x14ac:dyDescent="0.3">
      <c r="A167" s="162" t="str">
        <f>COA!B170</f>
        <v>7000 Reconciliation Discrepancies</v>
      </c>
      <c r="C167" s="166">
        <f t="shared" si="19"/>
        <v>0</v>
      </c>
      <c r="D167" s="168">
        <f t="shared" si="20"/>
        <v>0</v>
      </c>
      <c r="E167" s="167"/>
      <c r="F167" s="168">
        <f t="shared" si="18"/>
        <v>0</v>
      </c>
      <c r="K167" s="491"/>
      <c r="N167" s="723"/>
    </row>
    <row r="168" spans="1:14" x14ac:dyDescent="0.3">
      <c r="A168" s="162" t="str">
        <f>COA!B171</f>
        <v>8000 Exchange Gain or Loss</v>
      </c>
      <c r="C168" s="166">
        <f t="shared" si="19"/>
        <v>0</v>
      </c>
      <c r="D168" s="168">
        <f t="shared" si="20"/>
        <v>0</v>
      </c>
      <c r="E168" s="167"/>
      <c r="F168" s="168">
        <f t="shared" si="18"/>
        <v>0</v>
      </c>
      <c r="K168" s="491"/>
      <c r="N168" s="723"/>
    </row>
    <row r="169" spans="1:14" x14ac:dyDescent="0.3">
      <c r="A169" s="162" t="str">
        <f>COA!B172</f>
        <v>IMP1 - Warranty expense</v>
      </c>
      <c r="C169" s="166">
        <f t="shared" si="19"/>
        <v>0</v>
      </c>
      <c r="D169" s="168">
        <f t="shared" si="20"/>
        <v>0</v>
      </c>
      <c r="E169" s="167"/>
      <c r="F169" s="168">
        <f t="shared" si="18"/>
        <v>0</v>
      </c>
      <c r="K169" s="491"/>
      <c r="N169" s="723"/>
    </row>
    <row r="170" spans="1:14" x14ac:dyDescent="0.3">
      <c r="A170" s="162" t="str">
        <f>COA!B173</f>
        <v>IMP2 - Engineering expense</v>
      </c>
      <c r="C170" s="166">
        <f t="shared" si="19"/>
        <v>0</v>
      </c>
      <c r="D170" s="168">
        <f t="shared" si="20"/>
        <v>0</v>
      </c>
      <c r="E170" s="167"/>
      <c r="F170" s="168">
        <f t="shared" si="18"/>
        <v>0</v>
      </c>
      <c r="K170" s="491"/>
      <c r="N170" s="723"/>
    </row>
    <row r="171" spans="1:14" x14ac:dyDescent="0.3">
      <c r="A171" s="162" t="str">
        <f>COA!B174</f>
        <v>IMP3 - Commission expense</v>
      </c>
      <c r="C171" s="166">
        <f t="shared" si="19"/>
        <v>0</v>
      </c>
      <c r="D171" s="168">
        <f t="shared" si="20"/>
        <v>0</v>
      </c>
      <c r="E171" s="167"/>
      <c r="F171" s="168">
        <f t="shared" si="18"/>
        <v>0</v>
      </c>
      <c r="K171" s="491"/>
      <c r="N171" s="723"/>
    </row>
    <row r="172" spans="1:14" x14ac:dyDescent="0.3">
      <c r="A172" s="162" t="str">
        <f>COA!B175</f>
        <v>IMP4 - Warranty Liability</v>
      </c>
      <c r="C172" s="166">
        <f t="shared" si="19"/>
        <v>0</v>
      </c>
      <c r="D172" s="168">
        <f t="shared" si="20"/>
        <v>0</v>
      </c>
      <c r="E172" s="167"/>
      <c r="F172" s="168">
        <f t="shared" si="18"/>
        <v>0</v>
      </c>
      <c r="K172" s="491"/>
      <c r="N172" s="723"/>
    </row>
    <row r="173" spans="1:14" x14ac:dyDescent="0.3">
      <c r="A173" s="162" t="str">
        <f>COA!B176</f>
        <v>IMP5 - R&amp;D</v>
      </c>
      <c r="C173" s="166">
        <f t="shared" si="19"/>
        <v>0</v>
      </c>
      <c r="D173" s="168">
        <f t="shared" si="20"/>
        <v>0</v>
      </c>
      <c r="E173" s="167"/>
      <c r="F173" s="168">
        <f t="shared" ref="F173:F178" si="21">SUM(C173:E173)</f>
        <v>0</v>
      </c>
      <c r="K173" s="491"/>
      <c r="N173" s="723"/>
    </row>
    <row r="174" spans="1:14" x14ac:dyDescent="0.3">
      <c r="A174" s="162" t="str">
        <f>COA!B177</f>
        <v>IMP6 - Acquisition costs</v>
      </c>
      <c r="C174" s="166">
        <f t="shared" si="19"/>
        <v>0</v>
      </c>
      <c r="D174" s="168">
        <f t="shared" si="20"/>
        <v>0</v>
      </c>
      <c r="E174" s="167"/>
      <c r="F174" s="168">
        <f t="shared" si="21"/>
        <v>0</v>
      </c>
      <c r="K174" s="491"/>
      <c r="N174" s="723"/>
    </row>
    <row r="175" spans="1:14" x14ac:dyDescent="0.3">
      <c r="A175" s="162" t="str">
        <f>COA!B178</f>
        <v>IMP9 - Share-based compensation</v>
      </c>
      <c r="C175" s="166">
        <f t="shared" si="19"/>
        <v>0</v>
      </c>
      <c r="D175" s="168">
        <f t="shared" si="20"/>
        <v>0</v>
      </c>
      <c r="E175" s="167"/>
      <c r="F175" s="168">
        <f t="shared" si="21"/>
        <v>0</v>
      </c>
      <c r="K175" s="491"/>
      <c r="N175" s="723"/>
    </row>
    <row r="176" spans="1:14" x14ac:dyDescent="0.3">
      <c r="A176" s="162" t="str">
        <f>COA!B179</f>
        <v>6200 Accretion expense</v>
      </c>
      <c r="C176" s="166">
        <f t="shared" si="19"/>
        <v>0</v>
      </c>
      <c r="D176" s="168">
        <f t="shared" si="20"/>
        <v>0</v>
      </c>
      <c r="E176" s="167"/>
      <c r="F176" s="168">
        <f t="shared" si="21"/>
        <v>0</v>
      </c>
      <c r="K176" s="491"/>
      <c r="N176" s="723"/>
    </row>
    <row r="177" spans="1:14" x14ac:dyDescent="0.3">
      <c r="A177" s="162" t="str">
        <f>COA!B180</f>
        <v>6250 Finance expense</v>
      </c>
      <c r="C177" s="166">
        <f t="shared" si="19"/>
        <v>0</v>
      </c>
      <c r="D177" s="168">
        <f t="shared" si="20"/>
        <v>0</v>
      </c>
      <c r="E177" s="167"/>
      <c r="F177" s="168">
        <f t="shared" si="21"/>
        <v>0</v>
      </c>
      <c r="K177" s="491"/>
      <c r="N177" s="723"/>
    </row>
    <row r="178" spans="1:14" x14ac:dyDescent="0.3">
      <c r="A178" s="162" t="str">
        <f>COA!B181</f>
        <v>6086 Amortization</v>
      </c>
      <c r="C178" s="166">
        <f t="shared" si="19"/>
        <v>0</v>
      </c>
      <c r="D178" s="168">
        <f t="shared" si="20"/>
        <v>0</v>
      </c>
      <c r="E178" s="167"/>
      <c r="F178" s="168">
        <f t="shared" si="21"/>
        <v>0</v>
      </c>
      <c r="K178" s="491"/>
      <c r="N178" s="723"/>
    </row>
    <row r="179" spans="1:14" x14ac:dyDescent="0.3">
      <c r="A179" s="162"/>
      <c r="C179" s="166">
        <f>SUMIF(K:K,A179,M:M)</f>
        <v>0</v>
      </c>
      <c r="D179" s="171"/>
      <c r="E179" s="167"/>
      <c r="F179" s="168">
        <f t="shared" ref="F179" si="22">SUM(C179:E179)</f>
        <v>0</v>
      </c>
      <c r="N179" s="723"/>
    </row>
    <row r="180" spans="1:14" x14ac:dyDescent="0.3">
      <c r="A180" s="259" t="s">
        <v>259</v>
      </c>
      <c r="B180" s="175"/>
      <c r="C180" s="187">
        <f>SUM(C6:C179)</f>
        <v>0</v>
      </c>
      <c r="D180" s="187">
        <f>SUM(D6:D179)</f>
        <v>0</v>
      </c>
      <c r="E180" s="175"/>
      <c r="F180" s="187">
        <f>SUM(F6:F179)</f>
        <v>0</v>
      </c>
      <c r="N180" s="723"/>
    </row>
  </sheetData>
  <autoFilter ref="A5:F180" xr:uid="{87818019-A64C-4D72-9306-1E0E0EE47428}"/>
  <mergeCells count="3">
    <mergeCell ref="F1:F4"/>
    <mergeCell ref="C3:C4"/>
    <mergeCell ref="D3:D4"/>
  </mergeCells>
  <phoneticPr fontId="42" type="noConversion"/>
  <dataValidations count="4">
    <dataValidation type="list" allowBlank="1" showInputMessage="1" showErrorMessage="1" sqref="N6:N58" xr:uid="{267DF744-9D82-47DB-ABE4-306A1B647409}">
      <formula1>$J$1:$J$3</formula1>
    </dataValidation>
    <dataValidation type="list" allowBlank="1" showInputMessage="1" showErrorMessage="1" sqref="N59:N180" xr:uid="{7548DE88-D5BE-4B6B-977F-0C844CB7E675}">
      <formula1>$I$1:$I$3</formula1>
    </dataValidation>
    <dataValidation type="list" allowBlank="1" showInputMessage="1" showErrorMessage="1" sqref="K17:K19 K6:K15" xr:uid="{7B708752-B90B-492C-8595-7B48081E3A4C}">
      <formula1>$A$6:$A$180</formula1>
    </dataValidation>
    <dataValidation type="list" allowBlank="1" showInputMessage="1" showErrorMessage="1" sqref="K16 K20:K178" xr:uid="{CD55F471-CA1D-4328-8E23-F875112C2EC9}">
      <formula1>$A:$A</formula1>
    </dataValidation>
  </dataValidation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FC81-C4CA-4C6F-8EDF-BAD1CC1F515B}">
  <sheetPr>
    <tabColor theme="8" tint="0.79998168889431442"/>
  </sheetPr>
  <dimension ref="A1:U181"/>
  <sheetViews>
    <sheetView workbookViewId="0"/>
  </sheetViews>
  <sheetFormatPr defaultRowHeight="14.4" outlineLevelCol="1" x14ac:dyDescent="0.3"/>
  <cols>
    <col min="1" max="1" width="56.109375" style="163" bestFit="1" customWidth="1"/>
    <col min="2" max="2" width="5.5546875" customWidth="1"/>
    <col min="3" max="4" width="18.5546875" hidden="1" customWidth="1" outlineLevel="1"/>
    <col min="5" max="5" width="3" customWidth="1" collapsed="1"/>
    <col min="6" max="6" width="16.44140625" customWidth="1"/>
    <col min="7" max="7" width="2.5546875" customWidth="1"/>
    <col min="8" max="8" width="5.5546875" style="483" customWidth="1"/>
    <col min="9" max="9" width="2.6640625" customWidth="1"/>
    <col min="10" max="11" width="18.5546875" hidden="1" customWidth="1" outlineLevel="1"/>
    <col min="12" max="12" width="3" customWidth="1" collapsed="1"/>
    <col min="13" max="13" width="16.44140625" customWidth="1"/>
    <col min="14" max="14" width="7.44140625" style="484" customWidth="1"/>
    <col min="15" max="15" width="15" customWidth="1"/>
    <col min="16" max="16" width="13.44140625" style="159" customWidth="1"/>
    <col min="17" max="17" width="38.33203125" customWidth="1"/>
    <col min="18" max="18" width="44.77734375" customWidth="1"/>
    <col min="19" max="19" width="18.33203125" style="499" bestFit="1" customWidth="1"/>
    <col min="20" max="20" width="12.5546875" customWidth="1"/>
    <col min="21" max="21" width="17.6640625" style="159" bestFit="1" customWidth="1"/>
  </cols>
  <sheetData>
    <row r="1" spans="1:21" x14ac:dyDescent="0.3">
      <c r="A1" s="259" t="s">
        <v>259</v>
      </c>
      <c r="B1" s="175"/>
      <c r="C1" s="187">
        <f>SUM(C7:C181)</f>
        <v>0</v>
      </c>
      <c r="D1" s="187">
        <f>SUM(D7:D181)</f>
        <v>0</v>
      </c>
      <c r="E1" s="175"/>
      <c r="F1" s="187">
        <f>SUM(F7:F181)</f>
        <v>0</v>
      </c>
      <c r="H1" s="482"/>
      <c r="J1" s="187">
        <f>SUM(J7:J181)</f>
        <v>0</v>
      </c>
      <c r="K1" s="187">
        <f>SUM(K7:K181)</f>
        <v>0</v>
      </c>
      <c r="L1" s="175"/>
      <c r="M1" s="187">
        <f>SUM(M7:M181)</f>
        <v>0</v>
      </c>
      <c r="O1" s="175"/>
      <c r="P1" s="745" t="s">
        <v>638</v>
      </c>
      <c r="S1" s="529" t="str">
        <f>F2</f>
        <v>3 months</v>
      </c>
      <c r="T1" s="527" t="str">
        <f>M2</f>
        <v>year ended</v>
      </c>
    </row>
    <row r="2" spans="1:21" ht="18.75" customHeight="1" x14ac:dyDescent="0.3">
      <c r="A2" s="161" t="s">
        <v>257</v>
      </c>
      <c r="C2" s="528" t="str">
        <f>INPUTS!$B$16</f>
        <v>3 months</v>
      </c>
      <c r="D2" s="528" t="str">
        <f>INPUTS!$B$16</f>
        <v>3 months</v>
      </c>
      <c r="E2" s="490"/>
      <c r="F2" s="528" t="str">
        <f>INPUTS!$B$16</f>
        <v>3 months</v>
      </c>
      <c r="J2" s="528" t="str">
        <f>_xlfn.XLOOKUP(INPUTS!$B$3,INPUTS!$A$16:$A$19,INPUTS!$B$16:$B$19,"n/a",0,1)</f>
        <v>year ended</v>
      </c>
      <c r="K2" s="528" t="str">
        <f>_xlfn.XLOOKUP(INPUTS!$B$3,INPUTS!$A$16:$A$19,INPUTS!$B$16:$B$19,"n/a",0,1)</f>
        <v>year ended</v>
      </c>
      <c r="M2" s="528" t="str">
        <f>_xlfn.XLOOKUP(INPUTS!$B$3,INPUTS!$A$16:$A$19,INPUTS!$B$16:$B$19,"n/a",0,1)</f>
        <v>year ended</v>
      </c>
      <c r="P2" s="745" t="s">
        <v>639</v>
      </c>
      <c r="R2" s="209" t="s">
        <v>393</v>
      </c>
      <c r="S2" s="496">
        <f>SUMIF(T$7:T$1048576,S1,S$7:S$1048576)</f>
        <v>0</v>
      </c>
      <c r="T2" s="489">
        <f>SUMIF(T$7:T$1048576,T1,S$7:S$1048576)</f>
        <v>0</v>
      </c>
      <c r="U2" s="721"/>
    </row>
    <row r="3" spans="1:21" ht="40.35" customHeight="1" x14ac:dyDescent="0.3">
      <c r="A3" s="209" t="s">
        <v>270</v>
      </c>
      <c r="C3" s="210" t="s">
        <v>638</v>
      </c>
      <c r="D3" s="210" t="s">
        <v>639</v>
      </c>
      <c r="F3" s="973" t="s">
        <v>646</v>
      </c>
      <c r="H3" s="481"/>
      <c r="J3" s="210" t="s">
        <v>638</v>
      </c>
      <c r="K3" s="210" t="s">
        <v>639</v>
      </c>
      <c r="M3" s="973" t="s">
        <v>646</v>
      </c>
      <c r="R3" s="209"/>
      <c r="S3" s="498"/>
    </row>
    <row r="4" spans="1:21" ht="28.8" x14ac:dyDescent="0.3">
      <c r="A4" s="715">
        <f>comp_period_2</f>
        <v>45107</v>
      </c>
      <c r="C4" s="921" t="s">
        <v>395</v>
      </c>
      <c r="D4" s="921" t="s">
        <v>395</v>
      </c>
      <c r="F4" s="172" t="s">
        <v>256</v>
      </c>
      <c r="H4" s="481"/>
      <c r="J4" s="921" t="s">
        <v>395</v>
      </c>
      <c r="K4" s="921" t="s">
        <v>395</v>
      </c>
      <c r="M4" s="172" t="s">
        <v>256</v>
      </c>
    </row>
    <row r="5" spans="1:21" x14ac:dyDescent="0.3">
      <c r="A5" s="161" t="s">
        <v>215</v>
      </c>
      <c r="C5" s="921"/>
      <c r="D5" s="921"/>
      <c r="F5" s="777"/>
      <c r="H5" s="481"/>
      <c r="J5" s="921"/>
      <c r="K5" s="921"/>
      <c r="M5" s="777"/>
      <c r="U5" s="722"/>
    </row>
    <row r="6" spans="1:21" ht="28.8" x14ac:dyDescent="0.3">
      <c r="A6" s="161"/>
      <c r="C6" s="174" t="s">
        <v>258</v>
      </c>
      <c r="D6" s="174" t="s">
        <v>258</v>
      </c>
      <c r="F6" s="172"/>
      <c r="H6" s="481"/>
      <c r="J6" s="174" t="s">
        <v>258</v>
      </c>
      <c r="K6" s="174" t="s">
        <v>258</v>
      </c>
      <c r="M6" s="172"/>
      <c r="O6" s="494" t="s">
        <v>394</v>
      </c>
      <c r="P6" s="519" t="s">
        <v>258</v>
      </c>
      <c r="Q6" s="486" t="s">
        <v>389</v>
      </c>
      <c r="R6" s="485" t="s">
        <v>390</v>
      </c>
      <c r="S6" s="497" t="s">
        <v>391</v>
      </c>
      <c r="T6" s="488" t="s">
        <v>392</v>
      </c>
      <c r="U6" s="722" t="s">
        <v>637</v>
      </c>
    </row>
    <row r="7" spans="1:21" x14ac:dyDescent="0.3">
      <c r="A7" s="162" t="str">
        <f>COA!B5</f>
        <v>1000 Chequing - 5002829</v>
      </c>
      <c r="C7" s="166">
        <f t="shared" ref="C7:C38" si="0">SUMIFS($S:$S,$Q:$Q,$A7,$T:$T,$C$2,$U:$U,C$3)</f>
        <v>0</v>
      </c>
      <c r="D7" s="166">
        <f t="shared" ref="D7:D38" si="1">SUMIFS($S:$S,$Q:$Q,$A7,$T:$T,$K$2,$U:$U,D$3)</f>
        <v>0</v>
      </c>
      <c r="E7" s="167"/>
      <c r="F7" s="168">
        <f>SUM(C7:E7)</f>
        <v>0</v>
      </c>
      <c r="H7" s="481"/>
      <c r="J7" s="166">
        <f t="shared" ref="J7:J38" si="2">SUMIFS($S:$S,$Q:$Q,$A7,$T:$T,$J$2,$U:$U,J$3)</f>
        <v>0</v>
      </c>
      <c r="K7" s="166">
        <f>SUMIFS($S:$S,$Q:$Q,$A7,$T:$T,$K$2,$U:$U,K$3)</f>
        <v>0</v>
      </c>
      <c r="L7" s="167"/>
      <c r="M7" s="168">
        <f>SUM(J7:L7)</f>
        <v>0</v>
      </c>
      <c r="O7" s="490"/>
      <c r="P7" s="495" t="str">
        <f t="shared" ref="P7:P36" si="3">IF(S7&gt;0,"DR",IF(S7&lt;0,"CR",""))</f>
        <v/>
      </c>
      <c r="Q7" s="491"/>
      <c r="R7" s="492"/>
      <c r="S7" s="493"/>
      <c r="T7" s="490"/>
      <c r="U7" s="723"/>
    </row>
    <row r="8" spans="1:21" x14ac:dyDescent="0.3">
      <c r="A8" s="162" t="str">
        <f>COA!B6</f>
        <v>1000 Undeposited Funds</v>
      </c>
      <c r="C8" s="166">
        <f t="shared" si="0"/>
        <v>0</v>
      </c>
      <c r="D8" s="166">
        <f t="shared" si="1"/>
        <v>0</v>
      </c>
      <c r="E8" s="167"/>
      <c r="F8" s="168">
        <f t="shared" ref="F8:F71" si="4">SUM(C8:E8)</f>
        <v>0</v>
      </c>
      <c r="H8" s="482"/>
      <c r="J8" s="166">
        <f t="shared" si="2"/>
        <v>0</v>
      </c>
      <c r="K8" s="166">
        <f t="shared" ref="K8:K18" si="5">SUMIFS($S:$S,$Q:$Q,$A8,$T:$T,$D$2,$U:$U,K$3)</f>
        <v>0</v>
      </c>
      <c r="L8" s="167"/>
      <c r="M8" s="168">
        <f t="shared" ref="M8:M71" si="6">SUM(J8:L8)</f>
        <v>0</v>
      </c>
      <c r="O8" s="490"/>
      <c r="P8" s="495" t="str">
        <f t="shared" si="3"/>
        <v/>
      </c>
      <c r="Q8" s="491"/>
      <c r="R8" s="492"/>
      <c r="S8" s="493"/>
      <c r="T8" s="490"/>
      <c r="U8" s="723"/>
    </row>
    <row r="9" spans="1:21" x14ac:dyDescent="0.3">
      <c r="A9" s="162" t="str">
        <f>COA!B7</f>
        <v>1001 Petty Cash</v>
      </c>
      <c r="C9" s="166">
        <f t="shared" si="0"/>
        <v>0</v>
      </c>
      <c r="D9" s="166">
        <f t="shared" si="1"/>
        <v>0</v>
      </c>
      <c r="E9" s="167"/>
      <c r="F9" s="168">
        <f t="shared" si="4"/>
        <v>0</v>
      </c>
      <c r="H9" s="482"/>
      <c r="J9" s="166">
        <f t="shared" si="2"/>
        <v>0</v>
      </c>
      <c r="K9" s="166">
        <f t="shared" si="5"/>
        <v>0</v>
      </c>
      <c r="L9" s="167"/>
      <c r="M9" s="168">
        <f t="shared" si="6"/>
        <v>0</v>
      </c>
      <c r="O9" s="490"/>
      <c r="P9" s="495" t="str">
        <f t="shared" si="3"/>
        <v/>
      </c>
      <c r="Q9" s="491"/>
      <c r="R9" s="492"/>
      <c r="T9" s="490"/>
      <c r="U9" s="723"/>
    </row>
    <row r="10" spans="1:21" x14ac:dyDescent="0.3">
      <c r="A10" s="162" t="str">
        <f>COA!B8</f>
        <v>1002 TD - Chequing 1869</v>
      </c>
      <c r="C10" s="166">
        <f t="shared" si="0"/>
        <v>0</v>
      </c>
      <c r="D10" s="166">
        <f t="shared" si="1"/>
        <v>0</v>
      </c>
      <c r="E10" s="167"/>
      <c r="F10" s="168">
        <f t="shared" si="4"/>
        <v>0</v>
      </c>
      <c r="H10" s="482"/>
      <c r="J10" s="166">
        <f t="shared" si="2"/>
        <v>0</v>
      </c>
      <c r="K10" s="166">
        <f t="shared" si="5"/>
        <v>0</v>
      </c>
      <c r="L10" s="167"/>
      <c r="M10" s="168">
        <f t="shared" si="6"/>
        <v>0</v>
      </c>
      <c r="O10" s="490"/>
      <c r="P10" s="495" t="str">
        <f t="shared" si="3"/>
        <v/>
      </c>
      <c r="Q10" s="491"/>
      <c r="R10" s="492"/>
      <c r="T10" s="490"/>
      <c r="U10" s="723"/>
    </row>
    <row r="11" spans="1:21" x14ac:dyDescent="0.3">
      <c r="A11" s="162" t="str">
        <f>COA!B9</f>
        <v>1003 TD - Savings 2407</v>
      </c>
      <c r="C11" s="166">
        <f t="shared" si="0"/>
        <v>0</v>
      </c>
      <c r="D11" s="166">
        <f t="shared" si="1"/>
        <v>0</v>
      </c>
      <c r="E11" s="167"/>
      <c r="F11" s="168">
        <f t="shared" si="4"/>
        <v>0</v>
      </c>
      <c r="H11" s="482"/>
      <c r="J11" s="166">
        <f t="shared" si="2"/>
        <v>0</v>
      </c>
      <c r="K11" s="166">
        <f t="shared" si="5"/>
        <v>0</v>
      </c>
      <c r="L11" s="167"/>
      <c r="M11" s="168">
        <f t="shared" si="6"/>
        <v>0</v>
      </c>
      <c r="O11" s="490"/>
      <c r="P11" s="495" t="str">
        <f t="shared" si="3"/>
        <v/>
      </c>
      <c r="Q11" s="491"/>
      <c r="R11" s="492"/>
      <c r="T11" s="490"/>
      <c r="U11" s="723"/>
    </row>
    <row r="12" spans="1:21" x14ac:dyDescent="0.3">
      <c r="A12" s="162" t="str">
        <f>COA!B10</f>
        <v>1004 TD - Visa 7692</v>
      </c>
      <c r="C12" s="166">
        <f t="shared" si="0"/>
        <v>0</v>
      </c>
      <c r="D12" s="166">
        <f t="shared" si="1"/>
        <v>0</v>
      </c>
      <c r="E12" s="167"/>
      <c r="F12" s="168">
        <f t="shared" si="4"/>
        <v>0</v>
      </c>
      <c r="H12" s="482"/>
      <c r="J12" s="166">
        <f t="shared" si="2"/>
        <v>0</v>
      </c>
      <c r="K12" s="166">
        <f t="shared" si="5"/>
        <v>0</v>
      </c>
      <c r="L12" s="167"/>
      <c r="M12" s="168">
        <f t="shared" si="6"/>
        <v>0</v>
      </c>
      <c r="O12" s="490"/>
      <c r="P12" s="495" t="str">
        <f t="shared" si="3"/>
        <v/>
      </c>
      <c r="Q12" s="491"/>
      <c r="R12" s="492"/>
      <c r="T12" s="490"/>
      <c r="U12" s="723"/>
    </row>
    <row r="13" spans="1:21" x14ac:dyDescent="0.3">
      <c r="A13" s="162" t="str">
        <f>COA!B11</f>
        <v>1005 Undeposited Funds</v>
      </c>
      <c r="C13" s="166">
        <f t="shared" si="0"/>
        <v>0</v>
      </c>
      <c r="D13" s="166">
        <f t="shared" si="1"/>
        <v>0</v>
      </c>
      <c r="E13" s="167"/>
      <c r="F13" s="168">
        <f t="shared" si="4"/>
        <v>0</v>
      </c>
      <c r="H13" s="482"/>
      <c r="J13" s="166">
        <f t="shared" si="2"/>
        <v>0</v>
      </c>
      <c r="K13" s="166">
        <f t="shared" si="5"/>
        <v>0</v>
      </c>
      <c r="L13" s="167"/>
      <c r="M13" s="168">
        <f t="shared" si="6"/>
        <v>0</v>
      </c>
      <c r="O13" s="494"/>
      <c r="P13" s="519" t="str">
        <f t="shared" si="3"/>
        <v/>
      </c>
      <c r="Q13" s="711"/>
      <c r="R13" s="520"/>
      <c r="S13" s="521"/>
      <c r="T13" s="494"/>
      <c r="U13" s="961"/>
    </row>
    <row r="14" spans="1:21" x14ac:dyDescent="0.3">
      <c r="A14" s="162" t="str">
        <f>COA!B12</f>
        <v>1005 Interior Savings - 5224</v>
      </c>
      <c r="C14" s="166">
        <f t="shared" si="0"/>
        <v>0</v>
      </c>
      <c r="D14" s="166">
        <f t="shared" si="1"/>
        <v>0</v>
      </c>
      <c r="E14" s="167"/>
      <c r="F14" s="168">
        <f t="shared" si="4"/>
        <v>0</v>
      </c>
      <c r="H14" s="482"/>
      <c r="J14" s="166">
        <f t="shared" si="2"/>
        <v>0</v>
      </c>
      <c r="K14" s="166">
        <f t="shared" si="5"/>
        <v>0</v>
      </c>
      <c r="L14" s="167"/>
      <c r="M14" s="168">
        <f t="shared" si="6"/>
        <v>0</v>
      </c>
      <c r="O14" s="490"/>
      <c r="P14" s="495" t="str">
        <f t="shared" si="3"/>
        <v/>
      </c>
      <c r="Q14" s="491"/>
      <c r="R14" s="500"/>
      <c r="T14" s="490"/>
      <c r="U14" s="723"/>
    </row>
    <row r="15" spans="1:21" x14ac:dyDescent="0.3">
      <c r="A15" s="162" t="str">
        <f>COA!B13</f>
        <v>1006 Interior Savings - Member Shares 5182</v>
      </c>
      <c r="C15" s="166">
        <f t="shared" si="0"/>
        <v>0</v>
      </c>
      <c r="D15" s="166">
        <f t="shared" si="1"/>
        <v>0</v>
      </c>
      <c r="E15" s="167"/>
      <c r="F15" s="168">
        <f t="shared" si="4"/>
        <v>0</v>
      </c>
      <c r="H15" s="482"/>
      <c r="J15" s="166">
        <f t="shared" si="2"/>
        <v>0</v>
      </c>
      <c r="K15" s="166">
        <f t="shared" si="5"/>
        <v>0</v>
      </c>
      <c r="L15" s="167"/>
      <c r="M15" s="168">
        <f t="shared" si="6"/>
        <v>0</v>
      </c>
      <c r="O15" s="490"/>
      <c r="P15" s="495" t="str">
        <f t="shared" si="3"/>
        <v/>
      </c>
      <c r="Q15" s="491"/>
      <c r="R15" s="492"/>
      <c r="T15" s="490"/>
      <c r="U15" s="723"/>
    </row>
    <row r="16" spans="1:21" x14ac:dyDescent="0.3">
      <c r="A16" s="162" t="str">
        <f>COA!B14</f>
        <v>1010 Bank - suspense</v>
      </c>
      <c r="C16" s="166">
        <f t="shared" si="0"/>
        <v>0</v>
      </c>
      <c r="D16" s="166">
        <f t="shared" si="1"/>
        <v>0</v>
      </c>
      <c r="E16" s="167"/>
      <c r="F16" s="168">
        <f t="shared" si="4"/>
        <v>0</v>
      </c>
      <c r="H16" s="482"/>
      <c r="J16" s="166">
        <f t="shared" si="2"/>
        <v>0</v>
      </c>
      <c r="K16" s="166">
        <f t="shared" si="5"/>
        <v>0</v>
      </c>
      <c r="L16" s="167"/>
      <c r="M16" s="168">
        <f t="shared" si="6"/>
        <v>0</v>
      </c>
      <c r="O16" s="494"/>
      <c r="P16" s="519" t="str">
        <f t="shared" si="3"/>
        <v/>
      </c>
      <c r="Q16" s="711"/>
      <c r="R16" s="960"/>
      <c r="S16" s="521"/>
      <c r="T16" s="494"/>
      <c r="U16" s="961"/>
    </row>
    <row r="17" spans="1:21" x14ac:dyDescent="0.3">
      <c r="A17" s="162" t="str">
        <f>COA!B15</f>
        <v>1100 Accounts Receivable (A/R)</v>
      </c>
      <c r="C17" s="166">
        <f t="shared" si="0"/>
        <v>0</v>
      </c>
      <c r="D17" s="166">
        <f t="shared" si="1"/>
        <v>0</v>
      </c>
      <c r="E17" s="167"/>
      <c r="F17" s="168">
        <f t="shared" si="4"/>
        <v>0</v>
      </c>
      <c r="H17" s="482"/>
      <c r="J17" s="166">
        <f t="shared" si="2"/>
        <v>0</v>
      </c>
      <c r="K17" s="166">
        <f t="shared" si="5"/>
        <v>0</v>
      </c>
      <c r="L17" s="167"/>
      <c r="M17" s="168">
        <f t="shared" si="6"/>
        <v>0</v>
      </c>
      <c r="O17" s="490"/>
      <c r="P17" s="495" t="str">
        <f t="shared" si="3"/>
        <v/>
      </c>
      <c r="Q17" s="491"/>
      <c r="R17" s="500"/>
      <c r="T17" s="490"/>
      <c r="U17" s="723"/>
    </row>
    <row r="18" spans="1:21" x14ac:dyDescent="0.3">
      <c r="A18" s="162" t="str">
        <f>COA!B16</f>
        <v>1100 Accounts Receivable</v>
      </c>
      <c r="C18" s="166">
        <f t="shared" si="0"/>
        <v>0</v>
      </c>
      <c r="D18" s="166">
        <f t="shared" si="1"/>
        <v>0</v>
      </c>
      <c r="E18" s="167"/>
      <c r="F18" s="168">
        <f t="shared" si="4"/>
        <v>0</v>
      </c>
      <c r="H18" s="482"/>
      <c r="J18" s="166">
        <f t="shared" si="2"/>
        <v>0</v>
      </c>
      <c r="K18" s="166">
        <f t="shared" si="5"/>
        <v>0</v>
      </c>
      <c r="L18" s="167"/>
      <c r="M18" s="168">
        <f t="shared" si="6"/>
        <v>0</v>
      </c>
      <c r="O18" s="490"/>
      <c r="P18" s="495" t="str">
        <f t="shared" si="3"/>
        <v/>
      </c>
      <c r="Q18" s="491"/>
      <c r="R18" s="500"/>
      <c r="T18" s="490"/>
      <c r="U18" s="723"/>
    </row>
    <row r="19" spans="1:21" x14ac:dyDescent="0.3">
      <c r="A19" s="162" t="str">
        <f>COA!B17</f>
        <v>1120 Work in progress inventory</v>
      </c>
      <c r="C19" s="166">
        <f t="shared" si="0"/>
        <v>0</v>
      </c>
      <c r="D19" s="166">
        <f t="shared" si="1"/>
        <v>0</v>
      </c>
      <c r="E19" s="167"/>
      <c r="F19" s="168">
        <f t="shared" si="4"/>
        <v>0</v>
      </c>
      <c r="H19" s="482"/>
      <c r="J19" s="166">
        <f t="shared" si="2"/>
        <v>0</v>
      </c>
      <c r="K19" s="166">
        <f>SUMIFS($S:$S,$Q:$Q,$A19,$T:$T,$K$2,$U:$U,K$3)</f>
        <v>0</v>
      </c>
      <c r="L19" s="167"/>
      <c r="M19" s="168">
        <f t="shared" si="6"/>
        <v>0</v>
      </c>
      <c r="O19" s="490"/>
      <c r="P19" s="495" t="str">
        <f t="shared" si="3"/>
        <v/>
      </c>
      <c r="Q19" s="491"/>
      <c r="R19" s="500"/>
      <c r="T19" s="490"/>
      <c r="U19" s="723"/>
    </row>
    <row r="20" spans="1:21" x14ac:dyDescent="0.3">
      <c r="A20" s="162" t="str">
        <f>COA!B18</f>
        <v>1020 Prepaid expenses</v>
      </c>
      <c r="C20" s="166">
        <f t="shared" si="0"/>
        <v>0</v>
      </c>
      <c r="D20" s="166">
        <f t="shared" si="1"/>
        <v>0</v>
      </c>
      <c r="E20" s="167"/>
      <c r="F20" s="168">
        <f t="shared" si="4"/>
        <v>0</v>
      </c>
      <c r="H20" s="482"/>
      <c r="J20" s="166">
        <f t="shared" si="2"/>
        <v>0</v>
      </c>
      <c r="K20" s="166">
        <f t="shared" ref="K20:K51" si="7">SUMIFS($S:$S,$Q:$Q,$A20,$T:$T,$D$2,$U:$U,K$3)</f>
        <v>0</v>
      </c>
      <c r="L20" s="167"/>
      <c r="M20" s="168">
        <f t="shared" si="6"/>
        <v>0</v>
      </c>
      <c r="O20" s="490"/>
      <c r="P20" s="495" t="str">
        <f t="shared" si="3"/>
        <v/>
      </c>
      <c r="Q20" s="491"/>
      <c r="R20" s="500"/>
      <c r="T20" s="490"/>
      <c r="U20" s="723"/>
    </row>
    <row r="21" spans="1:21" x14ac:dyDescent="0.3">
      <c r="A21" s="162" t="str">
        <f>COA!B19</f>
        <v>1200 Prepaid expenses</v>
      </c>
      <c r="C21" s="166">
        <f t="shared" si="0"/>
        <v>0</v>
      </c>
      <c r="D21" s="166">
        <f t="shared" si="1"/>
        <v>0</v>
      </c>
      <c r="E21" s="167"/>
      <c r="F21" s="168">
        <f t="shared" si="4"/>
        <v>0</v>
      </c>
      <c r="H21" s="482"/>
      <c r="J21" s="166">
        <f t="shared" si="2"/>
        <v>0</v>
      </c>
      <c r="K21" s="166">
        <f t="shared" si="7"/>
        <v>0</v>
      </c>
      <c r="L21" s="167"/>
      <c r="M21" s="168">
        <f t="shared" si="6"/>
        <v>0</v>
      </c>
      <c r="O21" s="490"/>
      <c r="P21" s="495" t="str">
        <f t="shared" si="3"/>
        <v/>
      </c>
      <c r="Q21" s="491"/>
      <c r="R21" s="500"/>
      <c r="T21" s="490"/>
      <c r="U21" s="723"/>
    </row>
    <row r="22" spans="1:21" x14ac:dyDescent="0.3">
      <c r="A22" s="162" t="str">
        <f>COA!B20</f>
        <v>1300 Current portion of loan receivable</v>
      </c>
      <c r="C22" s="166">
        <f t="shared" si="0"/>
        <v>0</v>
      </c>
      <c r="D22" s="166">
        <f t="shared" si="1"/>
        <v>0</v>
      </c>
      <c r="E22" s="167"/>
      <c r="F22" s="168">
        <f t="shared" si="4"/>
        <v>0</v>
      </c>
      <c r="H22" s="482"/>
      <c r="J22" s="166">
        <f t="shared" si="2"/>
        <v>0</v>
      </c>
      <c r="K22" s="166">
        <f t="shared" si="7"/>
        <v>0</v>
      </c>
      <c r="L22" s="167"/>
      <c r="M22" s="168">
        <f t="shared" si="6"/>
        <v>0</v>
      </c>
      <c r="O22" s="490"/>
      <c r="P22" s="495" t="str">
        <f t="shared" si="3"/>
        <v/>
      </c>
      <c r="Q22" s="491"/>
      <c r="R22" s="500"/>
      <c r="T22" s="490"/>
      <c r="U22" s="723"/>
    </row>
    <row r="23" spans="1:21" x14ac:dyDescent="0.3">
      <c r="A23" s="162" t="str">
        <f>COA!B21</f>
        <v>1400 Other current assets</v>
      </c>
      <c r="C23" s="166">
        <f t="shared" si="0"/>
        <v>0</v>
      </c>
      <c r="D23" s="166">
        <f t="shared" si="1"/>
        <v>0</v>
      </c>
      <c r="E23" s="167"/>
      <c r="F23" s="168">
        <f t="shared" si="4"/>
        <v>0</v>
      </c>
      <c r="H23" s="482"/>
      <c r="J23" s="166">
        <f t="shared" si="2"/>
        <v>0</v>
      </c>
      <c r="K23" s="166">
        <f t="shared" si="7"/>
        <v>0</v>
      </c>
      <c r="L23" s="167"/>
      <c r="M23" s="168">
        <f t="shared" si="6"/>
        <v>0</v>
      </c>
      <c r="O23" s="490"/>
      <c r="P23" s="495" t="str">
        <f t="shared" si="3"/>
        <v/>
      </c>
      <c r="Q23" s="491"/>
      <c r="R23" s="500"/>
      <c r="T23" s="490"/>
      <c r="U23" s="723"/>
    </row>
    <row r="24" spans="1:21" x14ac:dyDescent="0.3">
      <c r="A24" s="162" t="e">
        <f>COA!#REF!</f>
        <v>#REF!</v>
      </c>
      <c r="C24" s="166">
        <f t="shared" si="0"/>
        <v>0</v>
      </c>
      <c r="D24" s="166">
        <f t="shared" si="1"/>
        <v>0</v>
      </c>
      <c r="E24" s="167"/>
      <c r="F24" s="168">
        <f t="shared" si="4"/>
        <v>0</v>
      </c>
      <c r="H24" s="482"/>
      <c r="J24" s="166">
        <f t="shared" si="2"/>
        <v>0</v>
      </c>
      <c r="K24" s="166">
        <f t="shared" si="7"/>
        <v>0</v>
      </c>
      <c r="L24" s="167"/>
      <c r="M24" s="168">
        <f t="shared" si="6"/>
        <v>0</v>
      </c>
      <c r="O24" s="490"/>
      <c r="P24" s="495" t="str">
        <f t="shared" si="3"/>
        <v/>
      </c>
      <c r="Q24" s="491"/>
      <c r="R24" s="500"/>
      <c r="T24" s="490"/>
      <c r="U24" s="723"/>
    </row>
    <row r="25" spans="1:21" x14ac:dyDescent="0.3">
      <c r="A25" s="162" t="str">
        <f>COA!B22</f>
        <v>1420 Intangible assets</v>
      </c>
      <c r="C25" s="166">
        <f t="shared" si="0"/>
        <v>0</v>
      </c>
      <c r="D25" s="166">
        <f t="shared" si="1"/>
        <v>0</v>
      </c>
      <c r="E25" s="167"/>
      <c r="F25" s="168">
        <f t="shared" si="4"/>
        <v>0</v>
      </c>
      <c r="H25" s="482"/>
      <c r="J25" s="166">
        <f t="shared" si="2"/>
        <v>0</v>
      </c>
      <c r="K25" s="166">
        <f t="shared" si="7"/>
        <v>0</v>
      </c>
      <c r="L25" s="167"/>
      <c r="M25" s="168">
        <f t="shared" si="6"/>
        <v>0</v>
      </c>
      <c r="O25" s="490"/>
      <c r="P25" s="495" t="str">
        <f t="shared" si="3"/>
        <v/>
      </c>
      <c r="Q25" s="491"/>
      <c r="R25" s="500"/>
      <c r="T25" s="490"/>
      <c r="U25" s="723"/>
    </row>
    <row r="26" spans="1:21" x14ac:dyDescent="0.3">
      <c r="A26" s="162" t="str">
        <f>COA!B23</f>
        <v>1421 Accumulated amortization</v>
      </c>
      <c r="C26" s="166">
        <f t="shared" si="0"/>
        <v>0</v>
      </c>
      <c r="D26" s="166">
        <f t="shared" si="1"/>
        <v>0</v>
      </c>
      <c r="E26" s="167"/>
      <c r="F26" s="168">
        <f t="shared" si="4"/>
        <v>0</v>
      </c>
      <c r="H26" s="482"/>
      <c r="J26" s="166">
        <f t="shared" si="2"/>
        <v>-1204016</v>
      </c>
      <c r="K26" s="166">
        <f t="shared" si="7"/>
        <v>0</v>
      </c>
      <c r="L26" s="167"/>
      <c r="M26" s="168">
        <f t="shared" si="6"/>
        <v>-1204016</v>
      </c>
      <c r="O26" s="490"/>
      <c r="P26" s="495" t="str">
        <f t="shared" si="3"/>
        <v/>
      </c>
      <c r="Q26" s="491"/>
      <c r="R26" s="500"/>
      <c r="T26" s="490"/>
      <c r="U26" s="723"/>
    </row>
    <row r="27" spans="1:21" x14ac:dyDescent="0.3">
      <c r="A27" s="162" t="str">
        <f>COA!B24</f>
        <v>1500 Payroll Advances Receivable</v>
      </c>
      <c r="C27" s="166">
        <f t="shared" si="0"/>
        <v>0</v>
      </c>
      <c r="D27" s="166">
        <f t="shared" si="1"/>
        <v>0</v>
      </c>
      <c r="E27" s="167"/>
      <c r="F27" s="168">
        <f t="shared" si="4"/>
        <v>0</v>
      </c>
      <c r="H27" s="482"/>
      <c r="J27" s="166">
        <f t="shared" si="2"/>
        <v>0</v>
      </c>
      <c r="K27" s="166">
        <f t="shared" si="7"/>
        <v>0</v>
      </c>
      <c r="L27" s="167"/>
      <c r="M27" s="168">
        <f t="shared" si="6"/>
        <v>0</v>
      </c>
      <c r="O27" s="490"/>
      <c r="P27" s="495" t="str">
        <f t="shared" si="3"/>
        <v/>
      </c>
      <c r="Q27" s="491"/>
      <c r="R27" s="500"/>
      <c r="T27" s="490"/>
      <c r="U27" s="723"/>
    </row>
    <row r="28" spans="1:21" x14ac:dyDescent="0.3">
      <c r="A28" s="162" t="str">
        <f>COA!B25</f>
        <v>1500 Intercompany - Due from Hallor Industries Inc.</v>
      </c>
      <c r="C28" s="166">
        <f t="shared" si="0"/>
        <v>0</v>
      </c>
      <c r="D28" s="166">
        <f t="shared" si="1"/>
        <v>0</v>
      </c>
      <c r="E28" s="167"/>
      <c r="F28" s="168">
        <f t="shared" si="4"/>
        <v>0</v>
      </c>
      <c r="H28" s="482"/>
      <c r="J28" s="166">
        <f t="shared" si="2"/>
        <v>0</v>
      </c>
      <c r="K28" s="166">
        <f t="shared" si="7"/>
        <v>0</v>
      </c>
      <c r="L28" s="167"/>
      <c r="M28" s="168">
        <f t="shared" si="6"/>
        <v>0</v>
      </c>
      <c r="O28" s="490"/>
      <c r="P28" s="495" t="str">
        <f t="shared" si="3"/>
        <v/>
      </c>
      <c r="Q28" s="491"/>
      <c r="R28" s="500"/>
      <c r="T28" s="490"/>
      <c r="U28" s="723"/>
    </row>
    <row r="29" spans="1:21" x14ac:dyDescent="0.3">
      <c r="A29" s="162" t="str">
        <f>COA!B26</f>
        <v>1600 Investment in Hallor Industries</v>
      </c>
      <c r="C29" s="166">
        <f t="shared" si="0"/>
        <v>0</v>
      </c>
      <c r="D29" s="166">
        <f t="shared" si="1"/>
        <v>0</v>
      </c>
      <c r="E29" s="167"/>
      <c r="F29" s="168">
        <f t="shared" si="4"/>
        <v>0</v>
      </c>
      <c r="H29" s="482"/>
      <c r="J29" s="166">
        <f t="shared" si="2"/>
        <v>0</v>
      </c>
      <c r="K29" s="166">
        <f t="shared" si="7"/>
        <v>0</v>
      </c>
      <c r="L29" s="167"/>
      <c r="M29" s="168">
        <f t="shared" si="6"/>
        <v>0</v>
      </c>
      <c r="O29" s="490"/>
      <c r="P29" s="495" t="str">
        <f t="shared" si="3"/>
        <v/>
      </c>
      <c r="Q29" s="491"/>
      <c r="R29" s="500"/>
      <c r="T29" s="490"/>
      <c r="U29" s="723"/>
    </row>
    <row r="30" spans="1:21" x14ac:dyDescent="0.3">
      <c r="A30" s="162" t="str">
        <f>COA!B27</f>
        <v>1800 Computer Equipment</v>
      </c>
      <c r="C30" s="166">
        <f t="shared" si="0"/>
        <v>0</v>
      </c>
      <c r="D30" s="166">
        <f t="shared" si="1"/>
        <v>0</v>
      </c>
      <c r="E30" s="167"/>
      <c r="F30" s="168">
        <f t="shared" si="4"/>
        <v>0</v>
      </c>
      <c r="H30" s="482"/>
      <c r="J30" s="166">
        <f t="shared" si="2"/>
        <v>0</v>
      </c>
      <c r="K30" s="166">
        <f t="shared" si="7"/>
        <v>0</v>
      </c>
      <c r="L30" s="167"/>
      <c r="M30" s="168">
        <f t="shared" si="6"/>
        <v>0</v>
      </c>
      <c r="O30" s="490"/>
      <c r="P30" s="495" t="str">
        <f t="shared" si="3"/>
        <v/>
      </c>
      <c r="Q30" s="491"/>
      <c r="R30" s="500"/>
      <c r="T30" s="490"/>
      <c r="U30" s="723"/>
    </row>
    <row r="31" spans="1:21" x14ac:dyDescent="0.3">
      <c r="A31" s="162" t="str">
        <f>COA!B28</f>
        <v>1801 Computer Equipment:Accumulated Depreciation</v>
      </c>
      <c r="C31" s="166">
        <f t="shared" si="0"/>
        <v>0</v>
      </c>
      <c r="D31" s="166">
        <f t="shared" si="1"/>
        <v>0</v>
      </c>
      <c r="E31" s="167"/>
      <c r="F31" s="168">
        <f t="shared" si="4"/>
        <v>0</v>
      </c>
      <c r="H31" s="482"/>
      <c r="J31" s="166">
        <f t="shared" si="2"/>
        <v>0</v>
      </c>
      <c r="K31" s="166">
        <f t="shared" si="7"/>
        <v>0</v>
      </c>
      <c r="L31" s="167"/>
      <c r="M31" s="168">
        <f t="shared" si="6"/>
        <v>0</v>
      </c>
      <c r="O31" s="490"/>
      <c r="P31" s="495" t="str">
        <f t="shared" si="3"/>
        <v/>
      </c>
      <c r="Q31" s="491"/>
      <c r="R31" s="500"/>
      <c r="T31" s="490"/>
      <c r="U31" s="723"/>
    </row>
    <row r="32" spans="1:21" x14ac:dyDescent="0.3">
      <c r="A32" s="162" t="str">
        <f>COA!B29</f>
        <v>1810 Office Furniture</v>
      </c>
      <c r="C32" s="166">
        <f t="shared" si="0"/>
        <v>0</v>
      </c>
      <c r="D32" s="166">
        <f t="shared" si="1"/>
        <v>0</v>
      </c>
      <c r="E32" s="167"/>
      <c r="F32" s="168">
        <f t="shared" si="4"/>
        <v>0</v>
      </c>
      <c r="H32" s="482"/>
      <c r="J32" s="166">
        <f t="shared" si="2"/>
        <v>0</v>
      </c>
      <c r="K32" s="166">
        <f t="shared" si="7"/>
        <v>0</v>
      </c>
      <c r="L32" s="167"/>
      <c r="M32" s="168">
        <f t="shared" si="6"/>
        <v>0</v>
      </c>
      <c r="O32" s="490"/>
      <c r="P32" s="495" t="str">
        <f t="shared" si="3"/>
        <v/>
      </c>
      <c r="Q32" s="491"/>
      <c r="R32" s="500"/>
      <c r="T32" s="490"/>
      <c r="U32" s="723"/>
    </row>
    <row r="33" spans="1:21" x14ac:dyDescent="0.3">
      <c r="A33" s="162" t="str">
        <f>COA!B30</f>
        <v>1811 Office Furniture:Accumulated Depreciation</v>
      </c>
      <c r="C33" s="166">
        <f t="shared" si="0"/>
        <v>0</v>
      </c>
      <c r="D33" s="166">
        <f t="shared" si="1"/>
        <v>0</v>
      </c>
      <c r="E33" s="167"/>
      <c r="F33" s="168">
        <f t="shared" si="4"/>
        <v>0</v>
      </c>
      <c r="H33" s="482"/>
      <c r="J33" s="166">
        <f t="shared" si="2"/>
        <v>0</v>
      </c>
      <c r="K33" s="166">
        <f t="shared" si="7"/>
        <v>0</v>
      </c>
      <c r="L33" s="167"/>
      <c r="M33" s="168">
        <f t="shared" si="6"/>
        <v>0</v>
      </c>
      <c r="O33" s="490"/>
      <c r="P33" s="495" t="str">
        <f t="shared" si="3"/>
        <v/>
      </c>
      <c r="Q33" s="491"/>
      <c r="R33" s="500"/>
      <c r="T33" s="490"/>
      <c r="U33" s="723"/>
    </row>
    <row r="34" spans="1:21" x14ac:dyDescent="0.3">
      <c r="A34" s="162" t="str">
        <f>COA!B31</f>
        <v>1900 Shop Equipment</v>
      </c>
      <c r="C34" s="166">
        <f t="shared" si="0"/>
        <v>0</v>
      </c>
      <c r="D34" s="166">
        <f t="shared" si="1"/>
        <v>0</v>
      </c>
      <c r="E34" s="167"/>
      <c r="F34" s="168">
        <f t="shared" si="4"/>
        <v>0</v>
      </c>
      <c r="H34" s="482"/>
      <c r="J34" s="166">
        <f t="shared" si="2"/>
        <v>0</v>
      </c>
      <c r="K34" s="166">
        <f t="shared" si="7"/>
        <v>0</v>
      </c>
      <c r="L34" s="167"/>
      <c r="M34" s="168">
        <f t="shared" si="6"/>
        <v>0</v>
      </c>
      <c r="O34" s="490"/>
      <c r="P34" s="495" t="str">
        <f t="shared" si="3"/>
        <v/>
      </c>
      <c r="Q34" s="491"/>
      <c r="R34" s="500"/>
      <c r="T34" s="490"/>
      <c r="U34" s="723"/>
    </row>
    <row r="35" spans="1:21" x14ac:dyDescent="0.3">
      <c r="A35" s="162" t="str">
        <f>COA!B32</f>
        <v>1901 Shop Equipment:Accum deprec - shop equipment</v>
      </c>
      <c r="C35" s="166">
        <f t="shared" si="0"/>
        <v>0</v>
      </c>
      <c r="D35" s="166">
        <f t="shared" si="1"/>
        <v>0</v>
      </c>
      <c r="E35" s="167"/>
      <c r="F35" s="168">
        <f t="shared" si="4"/>
        <v>0</v>
      </c>
      <c r="H35" s="482"/>
      <c r="J35" s="166">
        <f t="shared" si="2"/>
        <v>0</v>
      </c>
      <c r="K35" s="166">
        <f t="shared" si="7"/>
        <v>0</v>
      </c>
      <c r="L35" s="167"/>
      <c r="M35" s="168">
        <f t="shared" si="6"/>
        <v>0</v>
      </c>
      <c r="O35" s="490"/>
      <c r="P35" s="495" t="str">
        <f t="shared" si="3"/>
        <v/>
      </c>
      <c r="Q35" s="491"/>
      <c r="R35" s="500"/>
      <c r="T35" s="490"/>
      <c r="U35" s="723"/>
    </row>
    <row r="36" spans="1:21" x14ac:dyDescent="0.3">
      <c r="A36" s="162" t="str">
        <f>COA!B33</f>
        <v>1999 Uncategorized Asset</v>
      </c>
      <c r="C36" s="166">
        <f t="shared" si="0"/>
        <v>0</v>
      </c>
      <c r="D36" s="166">
        <f t="shared" si="1"/>
        <v>0</v>
      </c>
      <c r="E36" s="167"/>
      <c r="F36" s="168">
        <f t="shared" si="4"/>
        <v>0</v>
      </c>
      <c r="H36" s="482"/>
      <c r="J36" s="166">
        <f t="shared" si="2"/>
        <v>0</v>
      </c>
      <c r="K36" s="166">
        <f t="shared" si="7"/>
        <v>0</v>
      </c>
      <c r="L36" s="167"/>
      <c r="M36" s="168">
        <f t="shared" si="6"/>
        <v>0</v>
      </c>
      <c r="O36" s="490"/>
      <c r="P36" s="495" t="str">
        <f t="shared" si="3"/>
        <v/>
      </c>
      <c r="Q36" s="491"/>
      <c r="R36" s="500"/>
      <c r="T36" s="490"/>
      <c r="U36" s="723"/>
    </row>
    <row r="37" spans="1:21" x14ac:dyDescent="0.3">
      <c r="A37" s="162" t="str">
        <f>COA!B34</f>
        <v>2000 Accounts Payable (A/P)</v>
      </c>
      <c r="C37" s="166">
        <f t="shared" si="0"/>
        <v>0</v>
      </c>
      <c r="D37" s="166">
        <f t="shared" si="1"/>
        <v>0</v>
      </c>
      <c r="E37" s="167"/>
      <c r="F37" s="168">
        <f t="shared" si="4"/>
        <v>0</v>
      </c>
      <c r="H37" s="482"/>
      <c r="J37" s="166">
        <f t="shared" si="2"/>
        <v>0</v>
      </c>
      <c r="K37" s="166">
        <f t="shared" si="7"/>
        <v>0</v>
      </c>
      <c r="L37" s="167"/>
      <c r="M37" s="168">
        <f t="shared" si="6"/>
        <v>0</v>
      </c>
      <c r="O37" s="490"/>
      <c r="P37" s="958"/>
      <c r="Q37" s="491"/>
      <c r="R37" s="500"/>
      <c r="T37" s="490"/>
      <c r="U37" s="723"/>
    </row>
    <row r="38" spans="1:21" x14ac:dyDescent="0.3">
      <c r="A38" s="162" t="str">
        <f>COA!B35</f>
        <v>2000 Accounts Payable</v>
      </c>
      <c r="C38" s="166">
        <f t="shared" si="0"/>
        <v>0</v>
      </c>
      <c r="D38" s="166">
        <f t="shared" si="1"/>
        <v>0</v>
      </c>
      <c r="E38" s="167"/>
      <c r="F38" s="168">
        <f t="shared" si="4"/>
        <v>0</v>
      </c>
      <c r="H38" s="482"/>
      <c r="J38" s="166">
        <f t="shared" si="2"/>
        <v>0</v>
      </c>
      <c r="K38" s="166">
        <f t="shared" si="7"/>
        <v>0</v>
      </c>
      <c r="L38" s="167"/>
      <c r="M38" s="168">
        <f t="shared" si="6"/>
        <v>0</v>
      </c>
      <c r="O38" s="490"/>
      <c r="P38" s="958"/>
      <c r="Q38" s="491"/>
      <c r="R38" s="500"/>
      <c r="T38" s="490"/>
      <c r="U38" s="723"/>
    </row>
    <row r="39" spans="1:21" x14ac:dyDescent="0.3">
      <c r="A39" s="162" t="str">
        <f>COA!B36</f>
        <v>2001 Accounts Payable (A/P) - USD</v>
      </c>
      <c r="C39" s="166">
        <f t="shared" ref="C39:C70" si="8">SUMIFS($S:$S,$Q:$Q,$A39,$T:$T,$C$2,$U:$U,C$3)</f>
        <v>0</v>
      </c>
      <c r="D39" s="166">
        <f t="shared" ref="D39:D70" si="9">SUMIFS($S:$S,$Q:$Q,$A39,$T:$T,$K$2,$U:$U,D$3)</f>
        <v>0</v>
      </c>
      <c r="E39" s="167"/>
      <c r="F39" s="168">
        <f t="shared" si="4"/>
        <v>0</v>
      </c>
      <c r="H39" s="482"/>
      <c r="J39" s="166">
        <f t="shared" ref="J39:J70" si="10">SUMIFS($S:$S,$Q:$Q,$A39,$T:$T,$J$2,$U:$U,J$3)</f>
        <v>0</v>
      </c>
      <c r="K39" s="166">
        <f t="shared" si="7"/>
        <v>0</v>
      </c>
      <c r="L39" s="167"/>
      <c r="M39" s="168">
        <f t="shared" si="6"/>
        <v>0</v>
      </c>
      <c r="O39" s="490"/>
      <c r="P39" s="958"/>
      <c r="Q39" s="491"/>
      <c r="R39" s="500"/>
      <c r="T39" s="490"/>
      <c r="U39" s="723"/>
    </row>
    <row r="40" spans="1:21" x14ac:dyDescent="0.3">
      <c r="A40" s="162" t="str">
        <f>COA!B37</f>
        <v>2010 Accrued Liabilities</v>
      </c>
      <c r="C40" s="166">
        <f t="shared" si="8"/>
        <v>0</v>
      </c>
      <c r="D40" s="166">
        <f t="shared" si="9"/>
        <v>0</v>
      </c>
      <c r="E40" s="167"/>
      <c r="F40" s="168">
        <f t="shared" si="4"/>
        <v>0</v>
      </c>
      <c r="H40" s="482"/>
      <c r="J40" s="166">
        <f t="shared" si="10"/>
        <v>0</v>
      </c>
      <c r="K40" s="166">
        <f t="shared" si="7"/>
        <v>0</v>
      </c>
      <c r="L40" s="167"/>
      <c r="M40" s="168">
        <f t="shared" si="6"/>
        <v>0</v>
      </c>
      <c r="O40" s="490"/>
      <c r="P40" s="958"/>
      <c r="Q40" s="491"/>
      <c r="R40" s="500"/>
      <c r="T40" s="490"/>
      <c r="U40" s="723"/>
    </row>
    <row r="41" spans="1:21" x14ac:dyDescent="0.3">
      <c r="A41" s="162" t="str">
        <f>COA!B38</f>
        <v>2030 Cutomer prepayments</v>
      </c>
      <c r="C41" s="166">
        <f t="shared" si="8"/>
        <v>0</v>
      </c>
      <c r="D41" s="166">
        <f t="shared" si="9"/>
        <v>0</v>
      </c>
      <c r="E41" s="167"/>
      <c r="F41" s="168">
        <f t="shared" si="4"/>
        <v>0</v>
      </c>
      <c r="H41" s="482"/>
      <c r="J41" s="166">
        <f t="shared" si="10"/>
        <v>0</v>
      </c>
      <c r="K41" s="166">
        <f t="shared" si="7"/>
        <v>0</v>
      </c>
      <c r="L41" s="167"/>
      <c r="M41" s="168">
        <f t="shared" si="6"/>
        <v>0</v>
      </c>
      <c r="O41" s="490"/>
      <c r="P41" s="958"/>
      <c r="Q41" s="491"/>
      <c r="R41" s="500"/>
      <c r="T41" s="490"/>
      <c r="U41" s="723"/>
    </row>
    <row r="42" spans="1:21" x14ac:dyDescent="0.3">
      <c r="A42" s="162" t="str">
        <f>COA!B41</f>
        <v>2100 Accrued Liabilities</v>
      </c>
      <c r="C42" s="166">
        <f t="shared" si="8"/>
        <v>0</v>
      </c>
      <c r="D42" s="166">
        <f t="shared" si="9"/>
        <v>0</v>
      </c>
      <c r="E42" s="167"/>
      <c r="F42" s="168">
        <f t="shared" si="4"/>
        <v>0</v>
      </c>
      <c r="H42" s="482"/>
      <c r="J42" s="166">
        <f t="shared" si="10"/>
        <v>0</v>
      </c>
      <c r="K42" s="166">
        <f t="shared" si="7"/>
        <v>0</v>
      </c>
      <c r="L42" s="167"/>
      <c r="M42" s="168">
        <f t="shared" si="6"/>
        <v>0</v>
      </c>
      <c r="O42" s="490"/>
      <c r="P42" s="958"/>
      <c r="Q42" s="491"/>
      <c r="R42" s="500"/>
      <c r="T42" s="490"/>
      <c r="U42" s="723"/>
    </row>
    <row r="43" spans="1:21" x14ac:dyDescent="0.3">
      <c r="A43" s="162" t="str">
        <f>COA!B42</f>
        <v>2100 Payroll Liabilities</v>
      </c>
      <c r="C43" s="166">
        <f t="shared" si="8"/>
        <v>0</v>
      </c>
      <c r="D43" s="166">
        <f t="shared" si="9"/>
        <v>0</v>
      </c>
      <c r="E43" s="167"/>
      <c r="F43" s="168">
        <f t="shared" si="4"/>
        <v>0</v>
      </c>
      <c r="H43" s="482"/>
      <c r="J43" s="166">
        <f t="shared" si="10"/>
        <v>0</v>
      </c>
      <c r="K43" s="166">
        <f t="shared" si="7"/>
        <v>0</v>
      </c>
      <c r="L43" s="167"/>
      <c r="M43" s="168">
        <f t="shared" si="6"/>
        <v>0</v>
      </c>
      <c r="O43" s="490"/>
      <c r="P43" s="958"/>
      <c r="Q43" s="491"/>
      <c r="R43" s="500"/>
      <c r="T43" s="490"/>
      <c r="U43" s="723"/>
    </row>
    <row r="44" spans="1:21" x14ac:dyDescent="0.3">
      <c r="A44" s="162" t="str">
        <f>COA!B43</f>
        <v>2110 Payroll Liabilities:Payroll Taxes</v>
      </c>
      <c r="C44" s="166">
        <f t="shared" si="8"/>
        <v>0</v>
      </c>
      <c r="D44" s="166">
        <f t="shared" si="9"/>
        <v>0</v>
      </c>
      <c r="E44" s="167"/>
      <c r="F44" s="168">
        <f t="shared" si="4"/>
        <v>0</v>
      </c>
      <c r="H44" s="482"/>
      <c r="J44" s="166">
        <f t="shared" si="10"/>
        <v>0</v>
      </c>
      <c r="K44" s="166">
        <f t="shared" si="7"/>
        <v>0</v>
      </c>
      <c r="L44" s="167"/>
      <c r="M44" s="168">
        <f t="shared" si="6"/>
        <v>0</v>
      </c>
      <c r="O44" s="490"/>
      <c r="P44" s="958"/>
      <c r="Q44" s="491"/>
      <c r="R44" s="500"/>
      <c r="T44" s="490"/>
      <c r="U44" s="723"/>
    </row>
    <row r="45" spans="1:21" x14ac:dyDescent="0.3">
      <c r="A45" s="162" t="str">
        <f>COA!B44</f>
        <v>2120 Payroll Liabilities:Vacation Pay Due</v>
      </c>
      <c r="C45" s="166">
        <f t="shared" si="8"/>
        <v>0</v>
      </c>
      <c r="D45" s="166">
        <f t="shared" si="9"/>
        <v>0</v>
      </c>
      <c r="E45" s="167"/>
      <c r="F45" s="168">
        <f t="shared" si="4"/>
        <v>0</v>
      </c>
      <c r="H45" s="482"/>
      <c r="J45" s="166">
        <f t="shared" si="10"/>
        <v>0</v>
      </c>
      <c r="K45" s="166">
        <f t="shared" si="7"/>
        <v>0</v>
      </c>
      <c r="L45" s="167"/>
      <c r="M45" s="168">
        <f t="shared" si="6"/>
        <v>0</v>
      </c>
      <c r="O45" s="490"/>
      <c r="P45" s="958"/>
      <c r="Q45" s="491"/>
      <c r="R45" s="500"/>
      <c r="T45" s="490"/>
      <c r="U45" s="723"/>
    </row>
    <row r="46" spans="1:21" x14ac:dyDescent="0.3">
      <c r="A46" s="162" t="str">
        <f>COA!B45</f>
        <v>2130 Payroll Liabilities:WCB to be paid/(refunded)</v>
      </c>
      <c r="C46" s="166">
        <f t="shared" si="8"/>
        <v>0</v>
      </c>
      <c r="D46" s="166">
        <f t="shared" si="9"/>
        <v>0</v>
      </c>
      <c r="E46" s="167"/>
      <c r="F46" s="168">
        <f t="shared" si="4"/>
        <v>0</v>
      </c>
      <c r="H46" s="482"/>
      <c r="J46" s="166">
        <f t="shared" si="10"/>
        <v>0</v>
      </c>
      <c r="K46" s="166">
        <f t="shared" si="7"/>
        <v>0</v>
      </c>
      <c r="L46" s="167"/>
      <c r="M46" s="168">
        <f t="shared" si="6"/>
        <v>0</v>
      </c>
      <c r="O46" s="490"/>
      <c r="P46" s="958"/>
      <c r="Q46" s="491"/>
      <c r="R46" s="500"/>
      <c r="T46" s="490"/>
      <c r="U46" s="723"/>
    </row>
    <row r="47" spans="1:21" x14ac:dyDescent="0.3">
      <c r="A47" s="162" t="str">
        <f>COA!B46</f>
        <v>2140 Payroll Liabilities:Vacation Pay Payable</v>
      </c>
      <c r="C47" s="166">
        <f t="shared" si="8"/>
        <v>0</v>
      </c>
      <c r="D47" s="166">
        <f t="shared" si="9"/>
        <v>0</v>
      </c>
      <c r="E47" s="167"/>
      <c r="F47" s="168">
        <f t="shared" si="4"/>
        <v>0</v>
      </c>
      <c r="H47" s="482"/>
      <c r="J47" s="166">
        <f t="shared" si="10"/>
        <v>0</v>
      </c>
      <c r="K47" s="166">
        <f t="shared" si="7"/>
        <v>0</v>
      </c>
      <c r="L47" s="167"/>
      <c r="M47" s="168">
        <f t="shared" si="6"/>
        <v>0</v>
      </c>
      <c r="O47" s="490"/>
      <c r="P47" s="958"/>
      <c r="Q47" s="491"/>
      <c r="R47" s="500"/>
      <c r="T47" s="490"/>
      <c r="U47" s="723"/>
    </row>
    <row r="48" spans="1:21" x14ac:dyDescent="0.3">
      <c r="A48" s="162" t="str">
        <f>COA!B47</f>
        <v>2200 PST Payable (BC)</v>
      </c>
      <c r="C48" s="166">
        <f t="shared" si="8"/>
        <v>0</v>
      </c>
      <c r="D48" s="166">
        <f t="shared" si="9"/>
        <v>0</v>
      </c>
      <c r="E48" s="167"/>
      <c r="F48" s="168">
        <f t="shared" si="4"/>
        <v>0</v>
      </c>
      <c r="H48" s="482"/>
      <c r="J48" s="166">
        <f t="shared" si="10"/>
        <v>0</v>
      </c>
      <c r="K48" s="166">
        <f t="shared" si="7"/>
        <v>0</v>
      </c>
      <c r="L48" s="167"/>
      <c r="M48" s="168">
        <f t="shared" si="6"/>
        <v>0</v>
      </c>
      <c r="O48" s="490"/>
      <c r="P48" s="958"/>
      <c r="Q48" s="491"/>
      <c r="R48" s="500"/>
      <c r="T48" s="490"/>
      <c r="U48" s="723"/>
    </row>
    <row r="49" spans="1:21" x14ac:dyDescent="0.3">
      <c r="A49" s="162" t="str">
        <f>COA!B48</f>
        <v>2200 GST Payable/(Refund)</v>
      </c>
      <c r="C49" s="166">
        <f t="shared" si="8"/>
        <v>0</v>
      </c>
      <c r="D49" s="166">
        <f t="shared" si="9"/>
        <v>0</v>
      </c>
      <c r="E49" s="167"/>
      <c r="F49" s="168">
        <f t="shared" si="4"/>
        <v>0</v>
      </c>
      <c r="H49" s="482"/>
      <c r="J49" s="166">
        <f t="shared" si="10"/>
        <v>0</v>
      </c>
      <c r="K49" s="166">
        <f t="shared" si="7"/>
        <v>0</v>
      </c>
      <c r="L49" s="167"/>
      <c r="M49" s="168">
        <f t="shared" si="6"/>
        <v>0</v>
      </c>
      <c r="O49" s="490"/>
      <c r="P49" s="958"/>
      <c r="Q49" s="491"/>
      <c r="R49" s="500"/>
      <c r="T49" s="490"/>
      <c r="U49" s="723"/>
    </row>
    <row r="50" spans="1:21" x14ac:dyDescent="0.3">
      <c r="A50" s="162" t="str">
        <f>COA!B49</f>
        <v>2201 PST Suspense (BC)</v>
      </c>
      <c r="C50" s="166">
        <f t="shared" si="8"/>
        <v>0</v>
      </c>
      <c r="D50" s="166">
        <f t="shared" si="9"/>
        <v>0</v>
      </c>
      <c r="E50" s="167"/>
      <c r="F50" s="168">
        <f t="shared" si="4"/>
        <v>0</v>
      </c>
      <c r="H50" s="482"/>
      <c r="J50" s="166">
        <f t="shared" si="10"/>
        <v>0</v>
      </c>
      <c r="K50" s="166">
        <f t="shared" si="7"/>
        <v>0</v>
      </c>
      <c r="L50" s="167"/>
      <c r="M50" s="168">
        <f t="shared" si="6"/>
        <v>0</v>
      </c>
      <c r="O50" s="208"/>
      <c r="P50" s="958"/>
      <c r="Q50" s="491"/>
      <c r="R50" s="500"/>
      <c r="T50" s="490"/>
      <c r="U50" s="723"/>
    </row>
    <row r="51" spans="1:21" x14ac:dyDescent="0.3">
      <c r="A51" s="162" t="str">
        <f>COA!B50</f>
        <v>2210 GST Payable/(Refund):GST Paid on Purchases</v>
      </c>
      <c r="C51" s="166">
        <f t="shared" si="8"/>
        <v>0</v>
      </c>
      <c r="D51" s="166">
        <f t="shared" si="9"/>
        <v>0</v>
      </c>
      <c r="E51" s="167"/>
      <c r="F51" s="168">
        <f t="shared" si="4"/>
        <v>0</v>
      </c>
      <c r="H51" s="482"/>
      <c r="J51" s="166">
        <f t="shared" si="10"/>
        <v>0</v>
      </c>
      <c r="K51" s="166">
        <f t="shared" si="7"/>
        <v>0</v>
      </c>
      <c r="L51" s="167"/>
      <c r="M51" s="168">
        <f t="shared" si="6"/>
        <v>0</v>
      </c>
      <c r="O51" s="208"/>
      <c r="P51" s="958"/>
      <c r="Q51" s="491"/>
      <c r="R51" s="500"/>
      <c r="T51" s="490"/>
      <c r="U51" s="723"/>
    </row>
    <row r="52" spans="1:21" x14ac:dyDescent="0.3">
      <c r="A52" s="162" t="str">
        <f>COA!B51</f>
        <v>2220 GST Payable/(Refund):GST Collected on Sales</v>
      </c>
      <c r="C52" s="166">
        <f t="shared" si="8"/>
        <v>0</v>
      </c>
      <c r="D52" s="166">
        <f t="shared" si="9"/>
        <v>0</v>
      </c>
      <c r="E52" s="167"/>
      <c r="F52" s="168">
        <f t="shared" si="4"/>
        <v>0</v>
      </c>
      <c r="H52" s="482"/>
      <c r="J52" s="166">
        <f t="shared" si="10"/>
        <v>0</v>
      </c>
      <c r="K52" s="166">
        <f t="shared" ref="K52:K83" si="11">SUMIFS($S:$S,$Q:$Q,$A52,$T:$T,$D$2,$U:$U,K$3)</f>
        <v>0</v>
      </c>
      <c r="L52" s="167"/>
      <c r="M52" s="168">
        <f t="shared" si="6"/>
        <v>0</v>
      </c>
      <c r="O52" s="208"/>
      <c r="P52" s="958"/>
      <c r="Q52" s="491"/>
      <c r="R52" s="500"/>
      <c r="T52" s="490"/>
      <c r="U52" s="723"/>
    </row>
    <row r="53" spans="1:21" x14ac:dyDescent="0.3">
      <c r="A53" s="162" t="str">
        <f>COA!B52</f>
        <v>2210 GST/HST Payable</v>
      </c>
      <c r="C53" s="166">
        <f t="shared" si="8"/>
        <v>0</v>
      </c>
      <c r="D53" s="166">
        <f t="shared" si="9"/>
        <v>0</v>
      </c>
      <c r="E53" s="167"/>
      <c r="F53" s="168">
        <f t="shared" si="4"/>
        <v>0</v>
      </c>
      <c r="H53" s="482"/>
      <c r="J53" s="166">
        <f t="shared" si="10"/>
        <v>0</v>
      </c>
      <c r="K53" s="166">
        <f t="shared" si="11"/>
        <v>0</v>
      </c>
      <c r="L53" s="167"/>
      <c r="M53" s="168">
        <f t="shared" si="6"/>
        <v>0</v>
      </c>
      <c r="O53" s="208"/>
      <c r="P53" s="958"/>
      <c r="Q53" s="491"/>
      <c r="R53" s="500"/>
      <c r="T53" s="490"/>
      <c r="U53" s="723"/>
    </row>
    <row r="54" spans="1:21" x14ac:dyDescent="0.3">
      <c r="A54" s="162" t="str">
        <f>COA!B53</f>
        <v>2230 GST Payable/(Refund):GST to Paid/(refunded)</v>
      </c>
      <c r="C54" s="166">
        <f t="shared" si="8"/>
        <v>0</v>
      </c>
      <c r="D54" s="166">
        <f t="shared" si="9"/>
        <v>0</v>
      </c>
      <c r="E54" s="167"/>
      <c r="F54" s="168">
        <f t="shared" si="4"/>
        <v>0</v>
      </c>
      <c r="H54" s="482"/>
      <c r="J54" s="166">
        <f t="shared" si="10"/>
        <v>0</v>
      </c>
      <c r="K54" s="166">
        <f t="shared" si="11"/>
        <v>0</v>
      </c>
      <c r="L54" s="167"/>
      <c r="M54" s="168">
        <f t="shared" si="6"/>
        <v>0</v>
      </c>
      <c r="O54" s="208"/>
      <c r="P54" s="958"/>
      <c r="Q54" s="491"/>
      <c r="R54" s="500"/>
      <c r="T54" s="490"/>
      <c r="U54" s="723"/>
    </row>
    <row r="55" spans="1:21" x14ac:dyDescent="0.3">
      <c r="A55" s="162" t="str">
        <f>COA!B54</f>
        <v>2211 GST/HST Suspense</v>
      </c>
      <c r="C55" s="166">
        <f t="shared" si="8"/>
        <v>0</v>
      </c>
      <c r="D55" s="166">
        <f t="shared" si="9"/>
        <v>0</v>
      </c>
      <c r="E55" s="167"/>
      <c r="F55" s="168">
        <f t="shared" si="4"/>
        <v>0</v>
      </c>
      <c r="H55" s="482"/>
      <c r="J55" s="166">
        <f t="shared" si="10"/>
        <v>0</v>
      </c>
      <c r="K55" s="166">
        <f t="shared" si="11"/>
        <v>0</v>
      </c>
      <c r="L55" s="167"/>
      <c r="M55" s="168">
        <f t="shared" si="6"/>
        <v>0</v>
      </c>
      <c r="O55" s="208"/>
      <c r="P55" s="501"/>
      <c r="Q55" s="491"/>
      <c r="R55" s="500"/>
      <c r="T55" s="490"/>
      <c r="U55" s="723"/>
    </row>
    <row r="56" spans="1:21" x14ac:dyDescent="0.3">
      <c r="A56" s="162" t="str">
        <f>COA!B55</f>
        <v>2201 GST and HST Suspense</v>
      </c>
      <c r="C56" s="166">
        <f t="shared" si="8"/>
        <v>0</v>
      </c>
      <c r="D56" s="166">
        <f t="shared" si="9"/>
        <v>0</v>
      </c>
      <c r="E56" s="167"/>
      <c r="F56" s="168">
        <f t="shared" si="4"/>
        <v>0</v>
      </c>
      <c r="H56" s="482"/>
      <c r="J56" s="166">
        <f t="shared" si="10"/>
        <v>0</v>
      </c>
      <c r="K56" s="166">
        <f t="shared" si="11"/>
        <v>0</v>
      </c>
      <c r="L56" s="167"/>
      <c r="M56" s="168">
        <f t="shared" si="6"/>
        <v>0</v>
      </c>
      <c r="O56" s="208"/>
      <c r="P56" s="501"/>
      <c r="Q56" s="491"/>
      <c r="R56" s="500"/>
      <c r="T56" s="490"/>
      <c r="U56" s="723"/>
    </row>
    <row r="57" spans="1:21" x14ac:dyDescent="0.3">
      <c r="A57" s="162" t="str">
        <f>COA!B56</f>
        <v>2202 Receiver General Suspense</v>
      </c>
      <c r="C57" s="166">
        <f t="shared" si="8"/>
        <v>0</v>
      </c>
      <c r="D57" s="166">
        <f t="shared" si="9"/>
        <v>0</v>
      </c>
      <c r="E57" s="167"/>
      <c r="F57" s="168">
        <f t="shared" si="4"/>
        <v>0</v>
      </c>
      <c r="H57" s="482"/>
      <c r="J57" s="166">
        <f t="shared" si="10"/>
        <v>0</v>
      </c>
      <c r="K57" s="166">
        <f t="shared" si="11"/>
        <v>0</v>
      </c>
      <c r="L57" s="167"/>
      <c r="M57" s="168">
        <f t="shared" si="6"/>
        <v>0</v>
      </c>
      <c r="O57" s="208"/>
      <c r="P57" s="501"/>
      <c r="Q57" s="491"/>
      <c r="R57" s="500"/>
      <c r="T57" s="490"/>
      <c r="U57" s="723"/>
    </row>
    <row r="58" spans="1:21" x14ac:dyDescent="0.3">
      <c r="A58" s="162" t="str">
        <f>COA!B57</f>
        <v>2280 PST Payable</v>
      </c>
      <c r="C58" s="166">
        <f t="shared" si="8"/>
        <v>0</v>
      </c>
      <c r="D58" s="166">
        <f t="shared" si="9"/>
        <v>0</v>
      </c>
      <c r="E58" s="167"/>
      <c r="F58" s="168">
        <f t="shared" si="4"/>
        <v>0</v>
      </c>
      <c r="H58" s="482"/>
      <c r="J58" s="166">
        <f t="shared" si="10"/>
        <v>0</v>
      </c>
      <c r="K58" s="166">
        <f t="shared" si="11"/>
        <v>0</v>
      </c>
      <c r="L58" s="167"/>
      <c r="M58" s="168">
        <f t="shared" si="6"/>
        <v>0</v>
      </c>
      <c r="O58" s="208"/>
      <c r="P58" s="501"/>
      <c r="Q58" s="491"/>
      <c r="R58" s="500"/>
      <c r="T58" s="490"/>
      <c r="U58" s="723"/>
    </row>
    <row r="59" spans="1:21" x14ac:dyDescent="0.3">
      <c r="A59" s="162" t="str">
        <f>COA!B58</f>
        <v>2240 PST Payable:PST Collected on Sales</v>
      </c>
      <c r="C59" s="166">
        <f t="shared" si="8"/>
        <v>0</v>
      </c>
      <c r="D59" s="166">
        <f t="shared" si="9"/>
        <v>0</v>
      </c>
      <c r="E59" s="167"/>
      <c r="F59" s="168">
        <f t="shared" si="4"/>
        <v>0</v>
      </c>
      <c r="H59" s="482"/>
      <c r="J59" s="166">
        <f t="shared" si="10"/>
        <v>0</v>
      </c>
      <c r="K59" s="166">
        <f t="shared" si="11"/>
        <v>0</v>
      </c>
      <c r="L59" s="167"/>
      <c r="M59" s="168">
        <f t="shared" si="6"/>
        <v>0</v>
      </c>
      <c r="O59" s="208"/>
      <c r="P59" s="501"/>
      <c r="Q59" s="491"/>
      <c r="R59" s="500"/>
      <c r="T59" s="490"/>
      <c r="U59" s="723"/>
    </row>
    <row r="60" spans="1:21" x14ac:dyDescent="0.3">
      <c r="A60" s="162" t="str">
        <f>COA!B59</f>
        <v>2245 PST Payable:PST Payable</v>
      </c>
      <c r="C60" s="166">
        <f t="shared" si="8"/>
        <v>0</v>
      </c>
      <c r="D60" s="166">
        <f t="shared" si="9"/>
        <v>0</v>
      </c>
      <c r="E60" s="167"/>
      <c r="F60" s="168">
        <f t="shared" si="4"/>
        <v>0</v>
      </c>
      <c r="H60" s="482"/>
      <c r="J60" s="166">
        <f t="shared" si="10"/>
        <v>0</v>
      </c>
      <c r="K60" s="166">
        <f t="shared" si="11"/>
        <v>0</v>
      </c>
      <c r="L60" s="167"/>
      <c r="M60" s="168">
        <f t="shared" si="6"/>
        <v>0</v>
      </c>
      <c r="O60" s="208"/>
      <c r="P60" s="501"/>
      <c r="Q60" s="491"/>
      <c r="R60" s="500"/>
      <c r="T60" s="490"/>
      <c r="U60" s="723"/>
    </row>
    <row r="61" spans="1:21" x14ac:dyDescent="0.3">
      <c r="A61" s="162" t="str">
        <f>COA!B60</f>
        <v>2300 Corporate Tax Payable</v>
      </c>
      <c r="C61" s="166">
        <f t="shared" si="8"/>
        <v>0</v>
      </c>
      <c r="D61" s="166">
        <f t="shared" si="9"/>
        <v>0</v>
      </c>
      <c r="E61" s="167"/>
      <c r="F61" s="168">
        <f t="shared" si="4"/>
        <v>0</v>
      </c>
      <c r="H61" s="482"/>
      <c r="J61" s="166">
        <f t="shared" si="10"/>
        <v>0</v>
      </c>
      <c r="K61" s="166">
        <f t="shared" si="11"/>
        <v>0</v>
      </c>
      <c r="L61" s="167"/>
      <c r="M61" s="168">
        <f t="shared" si="6"/>
        <v>0</v>
      </c>
      <c r="O61" s="208"/>
      <c r="P61" s="501"/>
      <c r="Q61" s="491"/>
      <c r="R61" s="500"/>
      <c r="T61" s="490"/>
      <c r="U61" s="723"/>
    </row>
    <row r="62" spans="1:21" x14ac:dyDescent="0.3">
      <c r="A62" s="162" t="str">
        <f>COA!B61</f>
        <v>2500 Due to/(from) related parties</v>
      </c>
      <c r="C62" s="166">
        <f t="shared" si="8"/>
        <v>0</v>
      </c>
      <c r="D62" s="166">
        <f t="shared" si="9"/>
        <v>0</v>
      </c>
      <c r="E62" s="167"/>
      <c r="F62" s="168">
        <f t="shared" si="4"/>
        <v>0</v>
      </c>
      <c r="H62" s="482"/>
      <c r="J62" s="166">
        <f t="shared" si="10"/>
        <v>0</v>
      </c>
      <c r="K62" s="166">
        <f t="shared" si="11"/>
        <v>0</v>
      </c>
      <c r="L62" s="167"/>
      <c r="M62" s="168">
        <f t="shared" si="6"/>
        <v>0</v>
      </c>
      <c r="O62" s="208"/>
      <c r="P62" s="501"/>
      <c r="Q62" s="491"/>
      <c r="R62" s="500"/>
      <c r="T62" s="490"/>
      <c r="U62" s="723"/>
    </row>
    <row r="63" spans="1:21" x14ac:dyDescent="0.3">
      <c r="A63" s="162" t="str">
        <f>COA!B62</f>
        <v>2501 Due to/(from) related parties:Due To/From SAK2</v>
      </c>
      <c r="C63" s="166">
        <f t="shared" si="8"/>
        <v>0</v>
      </c>
      <c r="D63" s="166">
        <f t="shared" si="9"/>
        <v>0</v>
      </c>
      <c r="E63" s="167"/>
      <c r="F63" s="168">
        <f t="shared" si="4"/>
        <v>0</v>
      </c>
      <c r="H63" s="482"/>
      <c r="J63" s="166">
        <f t="shared" si="10"/>
        <v>0</v>
      </c>
      <c r="K63" s="166">
        <f t="shared" si="11"/>
        <v>0</v>
      </c>
      <c r="L63" s="167"/>
      <c r="M63" s="168">
        <f t="shared" si="6"/>
        <v>0</v>
      </c>
      <c r="O63" s="208"/>
      <c r="P63" s="501"/>
      <c r="Q63" s="491"/>
      <c r="R63" s="500"/>
      <c r="T63" s="490"/>
      <c r="U63" s="723"/>
    </row>
    <row r="64" spans="1:21" x14ac:dyDescent="0.3">
      <c r="A64" s="162" t="str">
        <f>COA!B63</f>
        <v>2502 Due to/(from) related parties:Due To/From SAK6</v>
      </c>
      <c r="C64" s="166">
        <f t="shared" si="8"/>
        <v>0</v>
      </c>
      <c r="D64" s="166">
        <f t="shared" si="9"/>
        <v>0</v>
      </c>
      <c r="E64" s="167"/>
      <c r="F64" s="168">
        <f t="shared" si="4"/>
        <v>0</v>
      </c>
      <c r="H64" s="482"/>
      <c r="J64" s="166">
        <f t="shared" si="10"/>
        <v>0</v>
      </c>
      <c r="K64" s="166">
        <f t="shared" si="11"/>
        <v>0</v>
      </c>
      <c r="L64" s="167"/>
      <c r="M64" s="168">
        <f t="shared" si="6"/>
        <v>0</v>
      </c>
      <c r="O64" s="208"/>
      <c r="P64" s="501"/>
      <c r="Q64" s="491"/>
      <c r="R64" s="500"/>
      <c r="T64" s="490"/>
      <c r="U64" s="723"/>
    </row>
    <row r="65" spans="1:21" x14ac:dyDescent="0.3">
      <c r="A65" s="162" t="str">
        <f>COA!B64</f>
        <v>2503 Due to/(from) related parties:Due To/From UpCapital</v>
      </c>
      <c r="C65" s="166">
        <f t="shared" si="8"/>
        <v>0</v>
      </c>
      <c r="D65" s="166">
        <f t="shared" si="9"/>
        <v>0</v>
      </c>
      <c r="E65" s="167"/>
      <c r="F65" s="168">
        <f t="shared" si="4"/>
        <v>0</v>
      </c>
      <c r="H65" s="482"/>
      <c r="J65" s="166">
        <f t="shared" si="10"/>
        <v>0</v>
      </c>
      <c r="K65" s="166">
        <f t="shared" si="11"/>
        <v>0</v>
      </c>
      <c r="L65" s="167"/>
      <c r="M65" s="168">
        <f t="shared" si="6"/>
        <v>0</v>
      </c>
      <c r="O65" s="208"/>
      <c r="P65" s="501"/>
      <c r="Q65" s="491"/>
      <c r="R65" s="500"/>
      <c r="T65" s="490"/>
      <c r="U65" s="723"/>
    </row>
    <row r="66" spans="1:21" x14ac:dyDescent="0.3">
      <c r="A66" s="162" t="str">
        <f>COA!B65</f>
        <v>2504 Due to/(from) related parties:Shareholder's Loan</v>
      </c>
      <c r="C66" s="166">
        <f t="shared" si="8"/>
        <v>0</v>
      </c>
      <c r="D66" s="166">
        <f t="shared" si="9"/>
        <v>0</v>
      </c>
      <c r="E66" s="167"/>
      <c r="F66" s="168">
        <f t="shared" si="4"/>
        <v>0</v>
      </c>
      <c r="H66" s="482"/>
      <c r="J66" s="166">
        <f t="shared" si="10"/>
        <v>0</v>
      </c>
      <c r="K66" s="166">
        <f t="shared" si="11"/>
        <v>0</v>
      </c>
      <c r="L66" s="167"/>
      <c r="M66" s="168">
        <f t="shared" si="6"/>
        <v>0</v>
      </c>
      <c r="O66" s="208"/>
      <c r="P66" s="501"/>
      <c r="Q66" s="491"/>
      <c r="R66" s="500"/>
      <c r="T66" s="490"/>
      <c r="U66" s="723"/>
    </row>
    <row r="67" spans="1:21" x14ac:dyDescent="0.3">
      <c r="A67" s="162" t="str">
        <f>COA!B66</f>
        <v>2600 Current portion of loans and borrowings</v>
      </c>
      <c r="C67" s="166">
        <f t="shared" si="8"/>
        <v>0</v>
      </c>
      <c r="D67" s="166">
        <f t="shared" si="9"/>
        <v>0</v>
      </c>
      <c r="E67" s="167"/>
      <c r="F67" s="168">
        <f t="shared" si="4"/>
        <v>0</v>
      </c>
      <c r="H67" s="482"/>
      <c r="J67" s="166">
        <f t="shared" si="10"/>
        <v>0</v>
      </c>
      <c r="K67" s="166">
        <f t="shared" si="11"/>
        <v>0</v>
      </c>
      <c r="L67" s="167"/>
      <c r="M67" s="168">
        <f t="shared" si="6"/>
        <v>0</v>
      </c>
      <c r="O67" s="208"/>
      <c r="P67" s="501"/>
      <c r="Q67" s="491"/>
      <c r="R67" s="500"/>
      <c r="T67" s="490"/>
      <c r="U67" s="723"/>
    </row>
    <row r="68" spans="1:21" x14ac:dyDescent="0.3">
      <c r="A68" s="162" t="str">
        <f>COA!B67</f>
        <v>2600 Due to RPT - Diane Halston</v>
      </c>
      <c r="C68" s="166">
        <f t="shared" si="8"/>
        <v>0</v>
      </c>
      <c r="D68" s="166">
        <f t="shared" si="9"/>
        <v>0</v>
      </c>
      <c r="E68" s="167"/>
      <c r="F68" s="168">
        <f t="shared" si="4"/>
        <v>0</v>
      </c>
      <c r="H68" s="482"/>
      <c r="J68" s="166">
        <f t="shared" si="10"/>
        <v>0</v>
      </c>
      <c r="K68" s="166">
        <f t="shared" si="11"/>
        <v>0</v>
      </c>
      <c r="L68" s="167"/>
      <c r="M68" s="168">
        <f t="shared" si="6"/>
        <v>0</v>
      </c>
      <c r="O68" s="208"/>
      <c r="P68" s="501"/>
      <c r="Q68" s="491"/>
      <c r="R68" s="500"/>
      <c r="T68" s="490"/>
      <c r="U68" s="723"/>
    </row>
    <row r="69" spans="1:21" x14ac:dyDescent="0.3">
      <c r="A69" s="162" t="str">
        <f>COA!B68</f>
        <v>2601 Due to RPT - Brett Halston</v>
      </c>
      <c r="C69" s="166">
        <f t="shared" si="8"/>
        <v>0</v>
      </c>
      <c r="D69" s="166">
        <f t="shared" si="9"/>
        <v>0</v>
      </c>
      <c r="E69" s="167"/>
      <c r="F69" s="168">
        <f t="shared" si="4"/>
        <v>0</v>
      </c>
      <c r="H69" s="482"/>
      <c r="J69" s="166">
        <f t="shared" si="10"/>
        <v>0</v>
      </c>
      <c r="K69" s="166">
        <f t="shared" si="11"/>
        <v>0</v>
      </c>
      <c r="L69" s="167"/>
      <c r="M69" s="168">
        <f t="shared" si="6"/>
        <v>0</v>
      </c>
      <c r="O69" s="208"/>
      <c r="P69" s="501"/>
      <c r="Q69" s="491"/>
      <c r="R69" s="500"/>
      <c r="T69" s="490"/>
      <c r="U69" s="723"/>
    </row>
    <row r="70" spans="1:21" x14ac:dyDescent="0.3">
      <c r="A70" s="162" t="str">
        <f>COA!B69</f>
        <v>2602 Due to RPT - Keith Halston</v>
      </c>
      <c r="C70" s="166">
        <f t="shared" si="8"/>
        <v>0</v>
      </c>
      <c r="D70" s="166">
        <f t="shared" si="9"/>
        <v>0</v>
      </c>
      <c r="E70" s="167"/>
      <c r="F70" s="168">
        <f t="shared" si="4"/>
        <v>0</v>
      </c>
      <c r="H70" s="482"/>
      <c r="J70" s="166">
        <f t="shared" si="10"/>
        <v>0</v>
      </c>
      <c r="K70" s="166">
        <f t="shared" si="11"/>
        <v>0</v>
      </c>
      <c r="L70" s="167"/>
      <c r="M70" s="168">
        <f t="shared" si="6"/>
        <v>0</v>
      </c>
      <c r="O70" s="208"/>
      <c r="P70" s="501"/>
      <c r="Q70" s="491"/>
      <c r="R70" s="500"/>
      <c r="T70" s="490"/>
      <c r="U70" s="723"/>
    </row>
    <row r="71" spans="1:21" x14ac:dyDescent="0.3">
      <c r="A71" s="162" t="str">
        <f>COA!B70</f>
        <v>2650 Loans and borrowings</v>
      </c>
      <c r="C71" s="166">
        <f t="shared" ref="C71:C102" si="12">SUMIFS($S:$S,$Q:$Q,$A71,$T:$T,$C$2,$U:$U,C$3)</f>
        <v>0</v>
      </c>
      <c r="D71" s="166">
        <f t="shared" ref="D71:D102" si="13">SUMIFS($S:$S,$Q:$Q,$A71,$T:$T,$K$2,$U:$U,D$3)</f>
        <v>0</v>
      </c>
      <c r="E71" s="167"/>
      <c r="F71" s="168">
        <f t="shared" si="4"/>
        <v>0</v>
      </c>
      <c r="H71" s="482"/>
      <c r="J71" s="166">
        <f t="shared" ref="J71:J102" si="14">SUMIFS($S:$S,$Q:$Q,$A71,$T:$T,$J$2,$U:$U,J$3)</f>
        <v>0</v>
      </c>
      <c r="K71" s="166">
        <f t="shared" si="11"/>
        <v>0</v>
      </c>
      <c r="L71" s="167"/>
      <c r="M71" s="168">
        <f t="shared" si="6"/>
        <v>0</v>
      </c>
      <c r="O71" s="208"/>
      <c r="P71" s="501"/>
      <c r="Q71" s="491"/>
      <c r="R71" s="500"/>
      <c r="T71" s="490"/>
      <c r="U71" s="723"/>
    </row>
    <row r="72" spans="1:21" x14ac:dyDescent="0.3">
      <c r="A72" s="162" t="str">
        <f>COA!B71</f>
        <v>2650 Loan Payable - current</v>
      </c>
      <c r="C72" s="166">
        <f t="shared" si="12"/>
        <v>0</v>
      </c>
      <c r="D72" s="166">
        <f t="shared" si="13"/>
        <v>0</v>
      </c>
      <c r="E72" s="167"/>
      <c r="F72" s="168">
        <f t="shared" ref="F72:F135" si="15">SUM(C72:E72)</f>
        <v>0</v>
      </c>
      <c r="H72" s="482"/>
      <c r="J72" s="166">
        <f t="shared" si="14"/>
        <v>0</v>
      </c>
      <c r="K72" s="166">
        <f t="shared" si="11"/>
        <v>0</v>
      </c>
      <c r="L72" s="167"/>
      <c r="M72" s="168">
        <f t="shared" ref="M72:M135" si="16">SUM(J72:L72)</f>
        <v>0</v>
      </c>
      <c r="O72" s="208"/>
      <c r="P72" s="501"/>
      <c r="Q72" s="491"/>
      <c r="R72" s="500"/>
      <c r="T72" s="490"/>
      <c r="U72" s="723"/>
    </row>
    <row r="73" spans="1:21" x14ac:dyDescent="0.3">
      <c r="A73" s="162" t="str">
        <f>COA!B72</f>
        <v>2651 Loan Payable - non-current</v>
      </c>
      <c r="C73" s="166">
        <f t="shared" si="12"/>
        <v>0</v>
      </c>
      <c r="D73" s="166">
        <f t="shared" si="13"/>
        <v>0</v>
      </c>
      <c r="E73" s="167"/>
      <c r="F73" s="168">
        <f t="shared" si="15"/>
        <v>0</v>
      </c>
      <c r="H73" s="482"/>
      <c r="J73" s="166">
        <f t="shared" si="14"/>
        <v>0</v>
      </c>
      <c r="K73" s="166">
        <f t="shared" si="11"/>
        <v>0</v>
      </c>
      <c r="L73" s="167"/>
      <c r="M73" s="168">
        <f t="shared" si="16"/>
        <v>0</v>
      </c>
      <c r="O73" s="208"/>
      <c r="P73" s="501"/>
      <c r="Q73" s="491"/>
      <c r="R73" s="500"/>
      <c r="T73" s="490"/>
      <c r="U73" s="723"/>
    </row>
    <row r="74" spans="1:21" x14ac:dyDescent="0.3">
      <c r="A74" s="162" t="str">
        <f>COA!B73</f>
        <v>2700 Share subscription payable</v>
      </c>
      <c r="C74" s="166">
        <f t="shared" si="12"/>
        <v>0</v>
      </c>
      <c r="D74" s="166">
        <f t="shared" si="13"/>
        <v>0</v>
      </c>
      <c r="E74" s="167"/>
      <c r="F74" s="168">
        <f t="shared" si="15"/>
        <v>0</v>
      </c>
      <c r="H74" s="482"/>
      <c r="J74" s="166">
        <f t="shared" si="14"/>
        <v>0</v>
      </c>
      <c r="K74" s="166">
        <f t="shared" si="11"/>
        <v>0</v>
      </c>
      <c r="L74" s="167"/>
      <c r="M74" s="168">
        <f t="shared" si="16"/>
        <v>0</v>
      </c>
      <c r="O74" s="208"/>
      <c r="P74" s="501"/>
      <c r="Q74" s="491"/>
      <c r="R74" s="500"/>
      <c r="T74" s="490"/>
      <c r="U74" s="723"/>
    </row>
    <row r="75" spans="1:21" x14ac:dyDescent="0.3">
      <c r="A75" s="162" t="str">
        <f>COA!B74</f>
        <v>2700 Due to Shareholders</v>
      </c>
      <c r="C75" s="166">
        <f t="shared" si="12"/>
        <v>0</v>
      </c>
      <c r="D75" s="166">
        <f t="shared" si="13"/>
        <v>0</v>
      </c>
      <c r="E75" s="167"/>
      <c r="F75" s="168">
        <f t="shared" si="15"/>
        <v>0</v>
      </c>
      <c r="H75" s="482"/>
      <c r="J75" s="166">
        <f t="shared" si="14"/>
        <v>0</v>
      </c>
      <c r="K75" s="166">
        <f t="shared" si="11"/>
        <v>0</v>
      </c>
      <c r="L75" s="167"/>
      <c r="M75" s="168">
        <f t="shared" si="16"/>
        <v>0</v>
      </c>
      <c r="O75" s="208"/>
      <c r="P75" s="501"/>
      <c r="Q75" s="491"/>
      <c r="R75" s="500"/>
      <c r="T75" s="490"/>
      <c r="U75" s="723"/>
    </row>
    <row r="76" spans="1:21" x14ac:dyDescent="0.3">
      <c r="A76" s="162" t="str">
        <f>COA!B75</f>
        <v>2705 Due to Shareholders:Due to SH - James Taylor</v>
      </c>
      <c r="C76" s="166">
        <f t="shared" si="12"/>
        <v>0</v>
      </c>
      <c r="D76" s="166">
        <f t="shared" si="13"/>
        <v>0</v>
      </c>
      <c r="E76" s="167"/>
      <c r="F76" s="168">
        <f t="shared" si="15"/>
        <v>0</v>
      </c>
      <c r="H76" s="482"/>
      <c r="J76" s="166">
        <f t="shared" si="14"/>
        <v>0</v>
      </c>
      <c r="K76" s="166">
        <f t="shared" si="11"/>
        <v>0</v>
      </c>
      <c r="L76" s="167"/>
      <c r="M76" s="168">
        <f t="shared" si="16"/>
        <v>0</v>
      </c>
      <c r="O76" s="208"/>
      <c r="P76" s="501"/>
      <c r="Q76" s="491"/>
      <c r="R76" s="500"/>
      <c r="T76" s="490"/>
      <c r="U76" s="723"/>
    </row>
    <row r="77" spans="1:21" x14ac:dyDescent="0.3">
      <c r="A77" s="162" t="str">
        <f>COA!B76</f>
        <v>2706 Due to Shareholders:Due to SH - Keith Halston</v>
      </c>
      <c r="C77" s="166">
        <f t="shared" si="12"/>
        <v>0</v>
      </c>
      <c r="D77" s="166">
        <f t="shared" si="13"/>
        <v>0</v>
      </c>
      <c r="E77" s="167"/>
      <c r="F77" s="168">
        <f t="shared" si="15"/>
        <v>0</v>
      </c>
      <c r="H77" s="482"/>
      <c r="J77" s="166">
        <f t="shared" si="14"/>
        <v>0</v>
      </c>
      <c r="K77" s="166">
        <f t="shared" si="11"/>
        <v>0</v>
      </c>
      <c r="L77" s="167"/>
      <c r="M77" s="168">
        <f t="shared" si="16"/>
        <v>0</v>
      </c>
      <c r="O77" s="208"/>
      <c r="P77" s="501"/>
      <c r="Q77" s="491"/>
      <c r="R77" s="500"/>
      <c r="T77" s="490"/>
      <c r="U77" s="723"/>
    </row>
    <row r="78" spans="1:21" x14ac:dyDescent="0.3">
      <c r="A78" s="162" t="str">
        <f>COA!B77</f>
        <v>2800 Current portion - convertible debt</v>
      </c>
      <c r="C78" s="166">
        <f t="shared" si="12"/>
        <v>0</v>
      </c>
      <c r="D78" s="166">
        <f t="shared" si="13"/>
        <v>0</v>
      </c>
      <c r="E78" s="167"/>
      <c r="F78" s="168">
        <f t="shared" si="15"/>
        <v>0</v>
      </c>
      <c r="H78" s="482"/>
      <c r="J78" s="166">
        <f t="shared" si="14"/>
        <v>0</v>
      </c>
      <c r="K78" s="166">
        <f t="shared" si="11"/>
        <v>0</v>
      </c>
      <c r="L78" s="167"/>
      <c r="M78" s="168">
        <f t="shared" si="16"/>
        <v>0</v>
      </c>
      <c r="O78" s="208"/>
      <c r="P78" s="501"/>
      <c r="Q78" s="491"/>
      <c r="R78" s="500"/>
      <c r="T78" s="490"/>
      <c r="U78" s="723"/>
    </row>
    <row r="79" spans="1:21" x14ac:dyDescent="0.3">
      <c r="A79" s="162" t="str">
        <f>COA!B78</f>
        <v>2801 long-term portion - convertible debt</v>
      </c>
      <c r="C79" s="166">
        <f t="shared" si="12"/>
        <v>0</v>
      </c>
      <c r="D79" s="166">
        <f t="shared" si="13"/>
        <v>0</v>
      </c>
      <c r="E79" s="167"/>
      <c r="F79" s="168">
        <f t="shared" si="15"/>
        <v>0</v>
      </c>
      <c r="H79" s="482"/>
      <c r="J79" s="166">
        <f t="shared" si="14"/>
        <v>0</v>
      </c>
      <c r="K79" s="166">
        <f t="shared" si="11"/>
        <v>0</v>
      </c>
      <c r="L79" s="167"/>
      <c r="M79" s="168">
        <f t="shared" si="16"/>
        <v>0</v>
      </c>
      <c r="O79" s="208"/>
      <c r="P79" s="501"/>
      <c r="Q79" s="491"/>
      <c r="R79" s="500"/>
      <c r="T79" s="490"/>
      <c r="U79" s="723"/>
    </row>
    <row r="80" spans="1:21" x14ac:dyDescent="0.3">
      <c r="A80" s="162" t="str">
        <f>COA!B79</f>
        <v>2802 Derivative liability</v>
      </c>
      <c r="C80" s="166">
        <f t="shared" si="12"/>
        <v>0</v>
      </c>
      <c r="D80" s="166">
        <f t="shared" si="13"/>
        <v>0</v>
      </c>
      <c r="E80" s="167"/>
      <c r="F80" s="168">
        <f t="shared" si="15"/>
        <v>0</v>
      </c>
      <c r="H80" s="482"/>
      <c r="J80" s="166">
        <f t="shared" si="14"/>
        <v>0</v>
      </c>
      <c r="K80" s="166">
        <f t="shared" si="11"/>
        <v>0</v>
      </c>
      <c r="L80" s="167"/>
      <c r="M80" s="168">
        <f t="shared" si="16"/>
        <v>0</v>
      </c>
      <c r="O80" s="208"/>
      <c r="P80" s="501"/>
      <c r="Q80" s="491"/>
      <c r="R80" s="500"/>
      <c r="T80" s="490"/>
      <c r="U80" s="723"/>
    </row>
    <row r="81" spans="1:21" x14ac:dyDescent="0.3">
      <c r="A81" s="162" t="str">
        <f>COA!B81</f>
        <v>2900 Intercompany - due to Hallor Group Inc.</v>
      </c>
      <c r="C81" s="166">
        <f t="shared" si="12"/>
        <v>0</v>
      </c>
      <c r="D81" s="166">
        <f t="shared" si="13"/>
        <v>0</v>
      </c>
      <c r="E81" s="167"/>
      <c r="F81" s="168">
        <f t="shared" si="15"/>
        <v>0</v>
      </c>
      <c r="H81" s="482"/>
      <c r="J81" s="166">
        <f t="shared" si="14"/>
        <v>0</v>
      </c>
      <c r="K81" s="166">
        <f t="shared" si="11"/>
        <v>0</v>
      </c>
      <c r="L81" s="167"/>
      <c r="M81" s="168">
        <f t="shared" si="16"/>
        <v>0</v>
      </c>
      <c r="O81" s="208"/>
      <c r="P81" s="501"/>
      <c r="Q81" s="491"/>
      <c r="R81" s="500"/>
      <c r="T81" s="490"/>
      <c r="U81" s="723"/>
    </row>
    <row r="82" spans="1:21" x14ac:dyDescent="0.3">
      <c r="A82" s="162" t="str">
        <f>COA!B82</f>
        <v>3000 Share capital</v>
      </c>
      <c r="C82" s="166">
        <f t="shared" si="12"/>
        <v>0</v>
      </c>
      <c r="D82" s="166">
        <f t="shared" si="13"/>
        <v>0</v>
      </c>
      <c r="E82" s="167"/>
      <c r="F82" s="168">
        <f t="shared" si="15"/>
        <v>0</v>
      </c>
      <c r="H82" s="482"/>
      <c r="J82" s="166">
        <f t="shared" si="14"/>
        <v>0</v>
      </c>
      <c r="K82" s="166">
        <f t="shared" si="11"/>
        <v>0</v>
      </c>
      <c r="L82" s="167"/>
      <c r="M82" s="168">
        <f t="shared" si="16"/>
        <v>0</v>
      </c>
      <c r="O82" s="208"/>
      <c r="P82" s="501"/>
      <c r="Q82" s="491"/>
      <c r="R82" s="500"/>
      <c r="T82" s="490"/>
      <c r="U82" s="723"/>
    </row>
    <row r="83" spans="1:21" x14ac:dyDescent="0.3">
      <c r="A83" s="162" t="str">
        <f>COA!B83</f>
        <v>3000 Opening Bal Equity</v>
      </c>
      <c r="C83" s="166">
        <f t="shared" si="12"/>
        <v>0</v>
      </c>
      <c r="D83" s="166">
        <f t="shared" si="13"/>
        <v>0</v>
      </c>
      <c r="E83" s="167"/>
      <c r="F83" s="168">
        <f t="shared" si="15"/>
        <v>0</v>
      </c>
      <c r="H83" s="482"/>
      <c r="J83" s="166">
        <f t="shared" si="14"/>
        <v>0</v>
      </c>
      <c r="K83" s="166">
        <f t="shared" si="11"/>
        <v>0</v>
      </c>
      <c r="L83" s="167"/>
      <c r="M83" s="168">
        <f t="shared" si="16"/>
        <v>0</v>
      </c>
      <c r="O83" s="208"/>
      <c r="P83" s="501"/>
      <c r="Q83" s="491"/>
      <c r="R83" s="500"/>
      <c r="T83" s="490"/>
      <c r="U83" s="723"/>
    </row>
    <row r="84" spans="1:21" x14ac:dyDescent="0.3">
      <c r="A84" s="162" t="str">
        <f>COA!B84</f>
        <v>3001 Share capital:Common Shares</v>
      </c>
      <c r="C84" s="166">
        <f t="shared" si="12"/>
        <v>0</v>
      </c>
      <c r="D84" s="166">
        <f t="shared" si="13"/>
        <v>0</v>
      </c>
      <c r="E84" s="167"/>
      <c r="F84" s="168">
        <f t="shared" si="15"/>
        <v>0</v>
      </c>
      <c r="H84" s="482"/>
      <c r="J84" s="166">
        <f t="shared" si="14"/>
        <v>0</v>
      </c>
      <c r="K84" s="166">
        <f t="shared" ref="K84:K115" si="17">SUMIFS($S:$S,$Q:$Q,$A84,$T:$T,$D$2,$U:$U,K$3)</f>
        <v>0</v>
      </c>
      <c r="L84" s="167"/>
      <c r="M84" s="168">
        <f t="shared" si="16"/>
        <v>0</v>
      </c>
      <c r="O84" s="208"/>
      <c r="P84" s="501"/>
      <c r="Q84" s="500"/>
      <c r="R84" s="500"/>
      <c r="T84" s="490"/>
      <c r="U84" s="723"/>
    </row>
    <row r="85" spans="1:21" x14ac:dyDescent="0.3">
      <c r="A85" s="162" t="str">
        <f>COA!B85</f>
        <v>3010 Share issuance cost</v>
      </c>
      <c r="C85" s="166">
        <f t="shared" si="12"/>
        <v>0</v>
      </c>
      <c r="D85" s="166">
        <f t="shared" si="13"/>
        <v>0</v>
      </c>
      <c r="E85" s="167"/>
      <c r="F85" s="168">
        <f t="shared" si="15"/>
        <v>0</v>
      </c>
      <c r="H85" s="482"/>
      <c r="J85" s="166">
        <f t="shared" si="14"/>
        <v>0</v>
      </c>
      <c r="K85" s="166">
        <f t="shared" si="17"/>
        <v>0</v>
      </c>
      <c r="L85" s="167"/>
      <c r="M85" s="168">
        <f t="shared" si="16"/>
        <v>0</v>
      </c>
      <c r="O85" s="208"/>
      <c r="P85" s="501"/>
      <c r="Q85" s="500"/>
      <c r="R85" s="500"/>
      <c r="T85" s="490"/>
      <c r="U85" s="723"/>
    </row>
    <row r="86" spans="1:21" x14ac:dyDescent="0.3">
      <c r="A86" s="162" t="str">
        <f>COA!B86</f>
        <v>3100 Warrant reserve</v>
      </c>
      <c r="C86" s="166">
        <f t="shared" si="12"/>
        <v>0</v>
      </c>
      <c r="D86" s="166">
        <f t="shared" si="13"/>
        <v>0</v>
      </c>
      <c r="E86" s="167"/>
      <c r="F86" s="168">
        <f t="shared" si="15"/>
        <v>0</v>
      </c>
      <c r="H86" s="482"/>
      <c r="J86" s="166">
        <f t="shared" si="14"/>
        <v>0</v>
      </c>
      <c r="K86" s="166">
        <f t="shared" si="17"/>
        <v>0</v>
      </c>
      <c r="L86" s="167"/>
      <c r="M86" s="168">
        <f t="shared" si="16"/>
        <v>0</v>
      </c>
      <c r="O86" s="208"/>
      <c r="P86" s="501"/>
      <c r="Q86" s="500"/>
      <c r="R86" s="500"/>
      <c r="T86" s="490"/>
      <c r="U86" s="723"/>
    </row>
    <row r="87" spans="1:21" x14ac:dyDescent="0.3">
      <c r="A87" s="162" t="str">
        <f>COA!B87</f>
        <v>3100 Common Shares</v>
      </c>
      <c r="C87" s="166">
        <f t="shared" si="12"/>
        <v>0</v>
      </c>
      <c r="D87" s="166">
        <f t="shared" si="13"/>
        <v>0</v>
      </c>
      <c r="E87" s="167"/>
      <c r="F87" s="168">
        <f t="shared" si="15"/>
        <v>0</v>
      </c>
      <c r="H87" s="482"/>
      <c r="J87" s="166">
        <f t="shared" si="14"/>
        <v>0</v>
      </c>
      <c r="K87" s="166">
        <f t="shared" si="17"/>
        <v>0</v>
      </c>
      <c r="L87" s="167"/>
      <c r="M87" s="168">
        <f t="shared" si="16"/>
        <v>0</v>
      </c>
      <c r="O87" s="208"/>
      <c r="P87" s="501"/>
      <c r="Q87" s="500"/>
      <c r="R87" s="500"/>
      <c r="T87" s="490"/>
      <c r="U87" s="723"/>
    </row>
    <row r="88" spans="1:21" x14ac:dyDescent="0.3">
      <c r="A88" s="162" t="str">
        <f>COA!B88</f>
        <v>3105 Common Shares:Class A Shares</v>
      </c>
      <c r="C88" s="166">
        <f t="shared" si="12"/>
        <v>0</v>
      </c>
      <c r="D88" s="166">
        <f t="shared" si="13"/>
        <v>0</v>
      </c>
      <c r="E88" s="167"/>
      <c r="F88" s="168">
        <f t="shared" si="15"/>
        <v>0</v>
      </c>
      <c r="H88" s="482"/>
      <c r="J88" s="166">
        <f t="shared" si="14"/>
        <v>0</v>
      </c>
      <c r="K88" s="166">
        <f t="shared" si="17"/>
        <v>0</v>
      </c>
      <c r="L88" s="167"/>
      <c r="M88" s="168">
        <f t="shared" si="16"/>
        <v>0</v>
      </c>
      <c r="O88" s="208"/>
      <c r="P88" s="501"/>
      <c r="Q88" s="500"/>
      <c r="R88" s="500"/>
      <c r="T88" s="490"/>
      <c r="U88" s="723"/>
    </row>
    <row r="89" spans="1:21" x14ac:dyDescent="0.3">
      <c r="A89" s="162" t="str">
        <f>COA!B89</f>
        <v>3110 Common Shares:Class B Shares</v>
      </c>
      <c r="C89" s="166">
        <f t="shared" si="12"/>
        <v>0</v>
      </c>
      <c r="D89" s="166">
        <f t="shared" si="13"/>
        <v>0</v>
      </c>
      <c r="E89" s="167"/>
      <c r="F89" s="168">
        <f t="shared" si="15"/>
        <v>0</v>
      </c>
      <c r="H89" s="482"/>
      <c r="J89" s="166">
        <f t="shared" si="14"/>
        <v>0</v>
      </c>
      <c r="K89" s="166">
        <f t="shared" si="17"/>
        <v>0</v>
      </c>
      <c r="L89" s="167"/>
      <c r="M89" s="168">
        <f t="shared" si="16"/>
        <v>0</v>
      </c>
      <c r="O89" s="208"/>
      <c r="P89" s="501"/>
      <c r="Q89" s="500"/>
      <c r="R89" s="500"/>
      <c r="T89" s="490"/>
      <c r="U89" s="723"/>
    </row>
    <row r="90" spans="1:21" x14ac:dyDescent="0.3">
      <c r="A90" s="162" t="str">
        <f>COA!B90</f>
        <v>3115 Common Shares:Class C Shares</v>
      </c>
      <c r="C90" s="166">
        <f t="shared" si="12"/>
        <v>0</v>
      </c>
      <c r="D90" s="166">
        <f t="shared" si="13"/>
        <v>0</v>
      </c>
      <c r="E90" s="167"/>
      <c r="F90" s="168">
        <f t="shared" si="15"/>
        <v>0</v>
      </c>
      <c r="H90" s="482"/>
      <c r="J90" s="166">
        <f t="shared" si="14"/>
        <v>0</v>
      </c>
      <c r="K90" s="166">
        <f t="shared" si="17"/>
        <v>0</v>
      </c>
      <c r="L90" s="167"/>
      <c r="M90" s="168">
        <f t="shared" si="16"/>
        <v>0</v>
      </c>
      <c r="O90" s="208"/>
      <c r="P90" s="501"/>
      <c r="Q90" s="500"/>
      <c r="R90" s="500"/>
      <c r="T90" s="490"/>
      <c r="U90" s="723"/>
    </row>
    <row r="91" spans="1:21" x14ac:dyDescent="0.3">
      <c r="A91" s="162" t="str">
        <f>COA!B91</f>
        <v>3200 Capital contribution</v>
      </c>
      <c r="C91" s="166">
        <f t="shared" si="12"/>
        <v>0</v>
      </c>
      <c r="D91" s="166">
        <f t="shared" si="13"/>
        <v>0</v>
      </c>
      <c r="E91" s="167"/>
      <c r="F91" s="168">
        <f t="shared" si="15"/>
        <v>0</v>
      </c>
      <c r="H91" s="482"/>
      <c r="J91" s="166">
        <f t="shared" si="14"/>
        <v>0</v>
      </c>
      <c r="K91" s="166">
        <f t="shared" si="17"/>
        <v>0</v>
      </c>
      <c r="L91" s="167"/>
      <c r="M91" s="168">
        <f t="shared" si="16"/>
        <v>0</v>
      </c>
      <c r="O91" s="208"/>
      <c r="P91" s="501"/>
      <c r="Q91" s="500"/>
      <c r="R91" s="500"/>
      <c r="T91" s="490"/>
      <c r="U91" s="723"/>
    </row>
    <row r="92" spans="1:21" x14ac:dyDescent="0.3">
      <c r="A92" s="162" t="str">
        <f>COA!B92</f>
        <v>3500 Opening Balance Equity</v>
      </c>
      <c r="C92" s="166">
        <f t="shared" si="12"/>
        <v>0</v>
      </c>
      <c r="D92" s="166">
        <f t="shared" si="13"/>
        <v>0</v>
      </c>
      <c r="E92" s="167"/>
      <c r="F92" s="168">
        <f t="shared" si="15"/>
        <v>0</v>
      </c>
      <c r="H92" s="482"/>
      <c r="J92" s="166">
        <f t="shared" si="14"/>
        <v>0</v>
      </c>
      <c r="K92" s="166">
        <f t="shared" si="17"/>
        <v>0</v>
      </c>
      <c r="L92" s="167"/>
      <c r="M92" s="168">
        <f t="shared" si="16"/>
        <v>0</v>
      </c>
      <c r="O92" s="208"/>
      <c r="P92" s="501"/>
      <c r="Q92" s="500"/>
      <c r="R92" s="500"/>
      <c r="T92" s="490"/>
      <c r="U92" s="723"/>
    </row>
    <row r="93" spans="1:21" x14ac:dyDescent="0.3">
      <c r="A93" s="162" t="str">
        <f>COA!B94</f>
        <v>3501 Retained Earnings</v>
      </c>
      <c r="C93" s="166">
        <f t="shared" si="12"/>
        <v>0</v>
      </c>
      <c r="D93" s="166">
        <f t="shared" si="13"/>
        <v>0</v>
      </c>
      <c r="E93" s="167"/>
      <c r="F93" s="168">
        <f t="shared" si="15"/>
        <v>0</v>
      </c>
      <c r="H93" s="482"/>
      <c r="J93" s="166">
        <f t="shared" si="14"/>
        <v>0</v>
      </c>
      <c r="K93" s="166">
        <f t="shared" si="17"/>
        <v>0</v>
      </c>
      <c r="L93" s="167"/>
      <c r="M93" s="168">
        <f t="shared" si="16"/>
        <v>0</v>
      </c>
      <c r="O93" s="208"/>
      <c r="P93" s="501"/>
      <c r="Q93" s="500"/>
      <c r="R93" s="500"/>
      <c r="T93" s="490"/>
      <c r="U93" s="723"/>
    </row>
    <row r="94" spans="1:21" x14ac:dyDescent="0.3">
      <c r="A94" s="162" t="str">
        <f>COA!B95</f>
        <v>3900 Retained Earnings</v>
      </c>
      <c r="C94" s="166">
        <f t="shared" si="12"/>
        <v>0</v>
      </c>
      <c r="D94" s="166">
        <f t="shared" si="13"/>
        <v>0</v>
      </c>
      <c r="E94" s="167"/>
      <c r="F94" s="168">
        <f t="shared" si="15"/>
        <v>0</v>
      </c>
      <c r="H94" s="482"/>
      <c r="J94" s="166">
        <f t="shared" si="14"/>
        <v>0</v>
      </c>
      <c r="K94" s="166">
        <f t="shared" si="17"/>
        <v>0</v>
      </c>
      <c r="L94" s="167"/>
      <c r="M94" s="168">
        <f t="shared" si="16"/>
        <v>0</v>
      </c>
      <c r="O94" s="208"/>
      <c r="P94" s="501"/>
      <c r="Q94" s="500"/>
      <c r="R94" s="500"/>
      <c r="T94" s="490"/>
      <c r="U94" s="723"/>
    </row>
    <row r="95" spans="1:21" x14ac:dyDescent="0.3">
      <c r="A95" s="162" t="str">
        <f>COA!B96</f>
        <v>5000 Revenue</v>
      </c>
      <c r="C95" s="166">
        <f t="shared" si="12"/>
        <v>0</v>
      </c>
      <c r="D95" s="166">
        <f t="shared" si="13"/>
        <v>0</v>
      </c>
      <c r="E95" s="167"/>
      <c r="F95" s="168">
        <f t="shared" si="15"/>
        <v>0</v>
      </c>
      <c r="H95" s="482"/>
      <c r="J95" s="166">
        <f t="shared" si="14"/>
        <v>0</v>
      </c>
      <c r="K95" s="166">
        <f t="shared" si="17"/>
        <v>0</v>
      </c>
      <c r="L95" s="167"/>
      <c r="M95" s="168">
        <f t="shared" si="16"/>
        <v>0</v>
      </c>
      <c r="O95" s="208"/>
      <c r="P95" s="501"/>
      <c r="Q95" s="500"/>
      <c r="R95" s="500"/>
      <c r="T95" s="490"/>
      <c r="U95" s="723"/>
    </row>
    <row r="96" spans="1:21" x14ac:dyDescent="0.3">
      <c r="A96" s="162" t="str">
        <f>COA!B97</f>
        <v>5000 Utility Vehicle Sales</v>
      </c>
      <c r="C96" s="166">
        <f t="shared" si="12"/>
        <v>0</v>
      </c>
      <c r="D96" s="166">
        <f t="shared" si="13"/>
        <v>0</v>
      </c>
      <c r="E96" s="167"/>
      <c r="F96" s="168">
        <f t="shared" si="15"/>
        <v>0</v>
      </c>
      <c r="H96" s="482"/>
      <c r="J96" s="166">
        <f t="shared" si="14"/>
        <v>0</v>
      </c>
      <c r="K96" s="166">
        <f t="shared" si="17"/>
        <v>0</v>
      </c>
      <c r="L96" s="167"/>
      <c r="M96" s="168">
        <f t="shared" si="16"/>
        <v>0</v>
      </c>
      <c r="O96" s="208"/>
      <c r="P96" s="501"/>
      <c r="Q96" s="500"/>
      <c r="R96" s="500"/>
      <c r="T96" s="490"/>
      <c r="U96" s="723"/>
    </row>
    <row r="97" spans="1:21" x14ac:dyDescent="0.3">
      <c r="A97" s="162" t="str">
        <f>COA!B98</f>
        <v>5001 Other General Sales</v>
      </c>
      <c r="C97" s="166">
        <f t="shared" si="12"/>
        <v>0</v>
      </c>
      <c r="D97" s="166">
        <f t="shared" si="13"/>
        <v>0</v>
      </c>
      <c r="E97" s="167"/>
      <c r="F97" s="168">
        <f t="shared" si="15"/>
        <v>0</v>
      </c>
      <c r="H97" s="482"/>
      <c r="J97" s="166">
        <f t="shared" si="14"/>
        <v>0</v>
      </c>
      <c r="K97" s="166">
        <f t="shared" si="17"/>
        <v>0</v>
      </c>
      <c r="L97" s="167"/>
      <c r="M97" s="168">
        <f t="shared" si="16"/>
        <v>0</v>
      </c>
      <c r="O97" s="208"/>
      <c r="P97" s="501"/>
      <c r="Q97" s="500"/>
      <c r="R97" s="500"/>
      <c r="T97" s="490"/>
      <c r="U97" s="723"/>
    </row>
    <row r="98" spans="1:21" x14ac:dyDescent="0.3">
      <c r="A98" s="162" t="str">
        <f>COA!B99</f>
        <v>5002 Equipment parts sale</v>
      </c>
      <c r="C98" s="166">
        <f t="shared" si="12"/>
        <v>0</v>
      </c>
      <c r="D98" s="166">
        <f t="shared" si="13"/>
        <v>0</v>
      </c>
      <c r="E98" s="167"/>
      <c r="F98" s="168">
        <f t="shared" si="15"/>
        <v>0</v>
      </c>
      <c r="H98" s="482"/>
      <c r="J98" s="166">
        <f t="shared" si="14"/>
        <v>0</v>
      </c>
      <c r="K98" s="166">
        <f t="shared" si="17"/>
        <v>0</v>
      </c>
      <c r="L98" s="167"/>
      <c r="M98" s="168">
        <f t="shared" si="16"/>
        <v>0</v>
      </c>
      <c r="O98" s="208"/>
      <c r="P98" s="501"/>
      <c r="Q98" s="500"/>
      <c r="R98" s="500"/>
      <c r="T98" s="490"/>
      <c r="U98" s="723"/>
    </row>
    <row r="99" spans="1:21" x14ac:dyDescent="0.3">
      <c r="A99" s="162" t="str">
        <f>COA!B100</f>
        <v>5003 Labour service</v>
      </c>
      <c r="C99" s="166">
        <f t="shared" si="12"/>
        <v>0</v>
      </c>
      <c r="D99" s="166">
        <f t="shared" si="13"/>
        <v>0</v>
      </c>
      <c r="E99" s="167"/>
      <c r="F99" s="168">
        <f t="shared" si="15"/>
        <v>0</v>
      </c>
      <c r="H99" s="482"/>
      <c r="J99" s="166">
        <f t="shared" si="14"/>
        <v>0</v>
      </c>
      <c r="K99" s="166">
        <f t="shared" si="17"/>
        <v>0</v>
      </c>
      <c r="L99" s="167"/>
      <c r="M99" s="168">
        <f t="shared" si="16"/>
        <v>0</v>
      </c>
      <c r="O99" s="208"/>
      <c r="P99" s="501"/>
      <c r="Q99" s="500"/>
      <c r="R99" s="500"/>
      <c r="T99" s="490"/>
      <c r="U99" s="723"/>
    </row>
    <row r="100" spans="1:21" x14ac:dyDescent="0.3">
      <c r="A100" s="162" t="str">
        <f>COA!B101</f>
        <v>5004 Shop Supplies Sales</v>
      </c>
      <c r="C100" s="166">
        <f t="shared" si="12"/>
        <v>0</v>
      </c>
      <c r="D100" s="166">
        <f t="shared" si="13"/>
        <v>0</v>
      </c>
      <c r="E100" s="167"/>
      <c r="F100" s="168">
        <f t="shared" si="15"/>
        <v>0</v>
      </c>
      <c r="H100" s="482"/>
      <c r="J100" s="166">
        <f t="shared" si="14"/>
        <v>0</v>
      </c>
      <c r="K100" s="166">
        <f t="shared" si="17"/>
        <v>0</v>
      </c>
      <c r="L100" s="167"/>
      <c r="M100" s="168">
        <f t="shared" si="16"/>
        <v>0</v>
      </c>
      <c r="O100" s="208"/>
      <c r="P100" s="501"/>
      <c r="Q100" s="500"/>
      <c r="R100" s="500"/>
      <c r="T100" s="490"/>
      <c r="U100" s="723"/>
    </row>
    <row r="101" spans="1:21" x14ac:dyDescent="0.3">
      <c r="A101" s="162" t="str">
        <f>COA!B102</f>
        <v>5006 Markup</v>
      </c>
      <c r="C101" s="166">
        <f t="shared" si="12"/>
        <v>0</v>
      </c>
      <c r="D101" s="166">
        <f t="shared" si="13"/>
        <v>0</v>
      </c>
      <c r="E101" s="167"/>
      <c r="F101" s="168">
        <f t="shared" si="15"/>
        <v>0</v>
      </c>
      <c r="H101" s="482"/>
      <c r="J101" s="166">
        <f t="shared" si="14"/>
        <v>0</v>
      </c>
      <c r="K101" s="166">
        <f t="shared" si="17"/>
        <v>0</v>
      </c>
      <c r="L101" s="167"/>
      <c r="M101" s="168">
        <f t="shared" si="16"/>
        <v>0</v>
      </c>
      <c r="O101" s="208"/>
      <c r="P101" s="501"/>
      <c r="Q101" s="500"/>
      <c r="R101" s="500"/>
      <c r="T101" s="490"/>
      <c r="U101" s="723"/>
    </row>
    <row r="102" spans="1:21" x14ac:dyDescent="0.3">
      <c r="A102" s="162" t="str">
        <f>COA!B104</f>
        <v>5498 Interest income</v>
      </c>
      <c r="C102" s="166">
        <f t="shared" si="12"/>
        <v>0</v>
      </c>
      <c r="D102" s="166">
        <f t="shared" si="13"/>
        <v>0</v>
      </c>
      <c r="E102" s="167"/>
      <c r="F102" s="168">
        <f t="shared" si="15"/>
        <v>0</v>
      </c>
      <c r="H102" s="482"/>
      <c r="J102" s="166">
        <f t="shared" si="14"/>
        <v>0</v>
      </c>
      <c r="K102" s="166">
        <f t="shared" si="17"/>
        <v>0</v>
      </c>
      <c r="L102" s="167"/>
      <c r="M102" s="168">
        <f t="shared" si="16"/>
        <v>0</v>
      </c>
      <c r="O102" s="208"/>
      <c r="P102" s="501"/>
      <c r="Q102" s="500"/>
      <c r="R102" s="500"/>
      <c r="T102" s="490"/>
      <c r="U102" s="723"/>
    </row>
    <row r="103" spans="1:21" x14ac:dyDescent="0.3">
      <c r="A103" s="162" t="str">
        <f>COA!B105</f>
        <v>5499 Other Income</v>
      </c>
      <c r="C103" s="166">
        <f t="shared" ref="C103:C134" si="18">SUMIFS($S:$S,$Q:$Q,$A103,$T:$T,$C$2,$U:$U,C$3)</f>
        <v>0</v>
      </c>
      <c r="D103" s="166">
        <f t="shared" ref="D103:D134" si="19">SUMIFS($S:$S,$Q:$Q,$A103,$T:$T,$K$2,$U:$U,D$3)</f>
        <v>0</v>
      </c>
      <c r="E103" s="167"/>
      <c r="F103" s="168">
        <f t="shared" si="15"/>
        <v>0</v>
      </c>
      <c r="H103" s="482"/>
      <c r="J103" s="166">
        <f t="shared" ref="J103:J134" si="20">SUMIFS($S:$S,$Q:$Q,$A103,$T:$T,$J$2,$U:$U,J$3)</f>
        <v>0</v>
      </c>
      <c r="K103" s="166">
        <f t="shared" si="17"/>
        <v>0</v>
      </c>
      <c r="L103" s="167"/>
      <c r="M103" s="168">
        <f t="shared" si="16"/>
        <v>0</v>
      </c>
      <c r="O103" s="208"/>
      <c r="P103" s="501"/>
      <c r="Q103" s="500"/>
      <c r="R103" s="500"/>
      <c r="T103" s="490"/>
      <c r="U103" s="723"/>
    </row>
    <row r="104" spans="1:21" x14ac:dyDescent="0.3">
      <c r="A104" s="162" t="str">
        <f>COA!B106</f>
        <v>5500 Cost of Goods Sold</v>
      </c>
      <c r="C104" s="166">
        <f t="shared" si="18"/>
        <v>0</v>
      </c>
      <c r="D104" s="166">
        <f t="shared" si="19"/>
        <v>0</v>
      </c>
      <c r="E104" s="167"/>
      <c r="F104" s="168">
        <f t="shared" si="15"/>
        <v>0</v>
      </c>
      <c r="H104" s="482"/>
      <c r="J104" s="166">
        <f t="shared" si="20"/>
        <v>0</v>
      </c>
      <c r="K104" s="166">
        <f t="shared" si="17"/>
        <v>0</v>
      </c>
      <c r="L104" s="167"/>
      <c r="M104" s="168">
        <f t="shared" si="16"/>
        <v>0</v>
      </c>
      <c r="O104" s="208"/>
      <c r="P104" s="501"/>
      <c r="Q104" s="500"/>
      <c r="R104" s="500"/>
      <c r="T104" s="490"/>
      <c r="U104" s="723"/>
    </row>
    <row r="105" spans="1:21" x14ac:dyDescent="0.3">
      <c r="A105" s="162" t="str">
        <f>COA!B107</f>
        <v>5510 Cost of Goods Sold:Parts and components  - COS</v>
      </c>
      <c r="C105" s="166">
        <f t="shared" si="18"/>
        <v>0</v>
      </c>
      <c r="D105" s="166">
        <f t="shared" si="19"/>
        <v>0</v>
      </c>
      <c r="E105" s="167"/>
      <c r="F105" s="168">
        <f t="shared" si="15"/>
        <v>0</v>
      </c>
      <c r="H105" s="482"/>
      <c r="J105" s="166">
        <f t="shared" si="20"/>
        <v>0</v>
      </c>
      <c r="K105" s="166">
        <f t="shared" si="17"/>
        <v>0</v>
      </c>
      <c r="L105" s="167"/>
      <c r="M105" s="168">
        <f t="shared" si="16"/>
        <v>0</v>
      </c>
      <c r="O105" s="208"/>
      <c r="P105" s="501"/>
      <c r="Q105" s="500"/>
      <c r="R105" s="500"/>
      <c r="T105" s="490"/>
      <c r="U105" s="723"/>
    </row>
    <row r="106" spans="1:21" x14ac:dyDescent="0.3">
      <c r="A106" s="162" t="str">
        <f>COA!B108</f>
        <v>5515 Cost of Goods Sold:Engineering  - COS</v>
      </c>
      <c r="C106" s="166">
        <f t="shared" si="18"/>
        <v>0</v>
      </c>
      <c r="D106" s="166">
        <f t="shared" si="19"/>
        <v>0</v>
      </c>
      <c r="E106" s="167"/>
      <c r="F106" s="168">
        <f t="shared" si="15"/>
        <v>0</v>
      </c>
      <c r="H106" s="482"/>
      <c r="J106" s="166">
        <f t="shared" si="20"/>
        <v>0</v>
      </c>
      <c r="K106" s="166">
        <f t="shared" si="17"/>
        <v>0</v>
      </c>
      <c r="L106" s="167"/>
      <c r="M106" s="168">
        <f t="shared" si="16"/>
        <v>0</v>
      </c>
      <c r="O106" s="208"/>
      <c r="P106" s="501"/>
      <c r="Q106" s="500"/>
      <c r="R106" s="500"/>
      <c r="T106" s="490"/>
      <c r="U106" s="723"/>
    </row>
    <row r="107" spans="1:21" x14ac:dyDescent="0.3">
      <c r="A107" s="162" t="str">
        <f>COA!B109</f>
        <v>5520 Cost of Goods Sold:Subcontracting  - COS</v>
      </c>
      <c r="C107" s="166">
        <f t="shared" si="18"/>
        <v>0</v>
      </c>
      <c r="D107" s="166">
        <f t="shared" si="19"/>
        <v>0</v>
      </c>
      <c r="E107" s="167"/>
      <c r="F107" s="168">
        <f t="shared" si="15"/>
        <v>0</v>
      </c>
      <c r="H107" s="482"/>
      <c r="J107" s="166">
        <f t="shared" si="20"/>
        <v>0</v>
      </c>
      <c r="K107" s="166">
        <f t="shared" si="17"/>
        <v>0</v>
      </c>
      <c r="L107" s="167"/>
      <c r="M107" s="168">
        <f t="shared" si="16"/>
        <v>0</v>
      </c>
      <c r="O107" s="208"/>
      <c r="P107" s="501"/>
      <c r="Q107" s="500"/>
      <c r="R107" s="500"/>
      <c r="T107" s="490"/>
      <c r="U107" s="723"/>
    </row>
    <row r="108" spans="1:21" x14ac:dyDescent="0.3">
      <c r="A108" s="162" t="str">
        <f>COA!B110</f>
        <v>5525 Cost of Goods Sold:Shipping  - COS</v>
      </c>
      <c r="C108" s="166">
        <f t="shared" si="18"/>
        <v>0</v>
      </c>
      <c r="D108" s="166">
        <f t="shared" si="19"/>
        <v>0</v>
      </c>
      <c r="E108" s="167"/>
      <c r="F108" s="168">
        <f t="shared" si="15"/>
        <v>0</v>
      </c>
      <c r="H108" s="482"/>
      <c r="J108" s="166">
        <f t="shared" si="20"/>
        <v>0</v>
      </c>
      <c r="K108" s="166">
        <f t="shared" si="17"/>
        <v>0</v>
      </c>
      <c r="L108" s="167"/>
      <c r="M108" s="168">
        <f t="shared" si="16"/>
        <v>0</v>
      </c>
      <c r="O108" s="208"/>
      <c r="P108" s="501"/>
      <c r="Q108" s="500"/>
      <c r="R108" s="500"/>
      <c r="T108" s="490"/>
      <c r="U108" s="723"/>
    </row>
    <row r="109" spans="1:21" x14ac:dyDescent="0.3">
      <c r="A109" s="162" t="str">
        <f>COA!B111</f>
        <v>5530 Cost of Goods Sold:Disposal/Landfill  - COS</v>
      </c>
      <c r="C109" s="166">
        <f t="shared" si="18"/>
        <v>0</v>
      </c>
      <c r="D109" s="166">
        <f t="shared" si="19"/>
        <v>0</v>
      </c>
      <c r="E109" s="167"/>
      <c r="F109" s="168">
        <f t="shared" si="15"/>
        <v>0</v>
      </c>
      <c r="H109" s="482"/>
      <c r="J109" s="166">
        <f t="shared" si="20"/>
        <v>0</v>
      </c>
      <c r="K109" s="166">
        <f t="shared" si="17"/>
        <v>0</v>
      </c>
      <c r="L109" s="167"/>
      <c r="M109" s="168">
        <f t="shared" si="16"/>
        <v>0</v>
      </c>
      <c r="O109" s="208"/>
      <c r="P109" s="501"/>
      <c r="Q109" s="500"/>
      <c r="R109" s="500"/>
      <c r="T109" s="490"/>
      <c r="U109" s="723"/>
    </row>
    <row r="110" spans="1:21" x14ac:dyDescent="0.3">
      <c r="A110" s="162" t="str">
        <f>COA!B112</f>
        <v>5535 Cost of Goods Sold:Inventory Write Off  - COS</v>
      </c>
      <c r="C110" s="166">
        <f t="shared" si="18"/>
        <v>0</v>
      </c>
      <c r="D110" s="166">
        <f t="shared" si="19"/>
        <v>0</v>
      </c>
      <c r="E110" s="167"/>
      <c r="F110" s="168">
        <f t="shared" si="15"/>
        <v>0</v>
      </c>
      <c r="H110" s="482"/>
      <c r="J110" s="166">
        <f t="shared" si="20"/>
        <v>0</v>
      </c>
      <c r="K110" s="166">
        <f t="shared" si="17"/>
        <v>0</v>
      </c>
      <c r="L110" s="167"/>
      <c r="M110" s="168">
        <f t="shared" si="16"/>
        <v>0</v>
      </c>
      <c r="O110" s="208"/>
      <c r="P110" s="501"/>
      <c r="Q110" s="500"/>
      <c r="R110" s="500"/>
      <c r="T110" s="490"/>
      <c r="U110" s="723"/>
    </row>
    <row r="111" spans="1:21" x14ac:dyDescent="0.3">
      <c r="A111" s="162" t="str">
        <f>COA!B113</f>
        <v>5540 Cost of Goods Sold:Equipment Fuel  - COS</v>
      </c>
      <c r="C111" s="166">
        <f t="shared" si="18"/>
        <v>0</v>
      </c>
      <c r="D111" s="166">
        <f t="shared" si="19"/>
        <v>0</v>
      </c>
      <c r="E111" s="167"/>
      <c r="F111" s="168">
        <f t="shared" si="15"/>
        <v>0</v>
      </c>
      <c r="H111" s="482"/>
      <c r="J111" s="166">
        <f t="shared" si="20"/>
        <v>0</v>
      </c>
      <c r="K111" s="166">
        <f t="shared" si="17"/>
        <v>0</v>
      </c>
      <c r="L111" s="167"/>
      <c r="M111" s="168">
        <f t="shared" si="16"/>
        <v>0</v>
      </c>
      <c r="O111" s="208"/>
      <c r="P111" s="501"/>
      <c r="Q111" s="500"/>
      <c r="R111" s="500"/>
      <c r="T111" s="490"/>
      <c r="U111" s="723"/>
    </row>
    <row r="112" spans="1:21" x14ac:dyDescent="0.3">
      <c r="A112" s="162" t="str">
        <f>COA!B114</f>
        <v>5545 Cost of Goods Sold:Equipment Leasing  - COS</v>
      </c>
      <c r="C112" s="166">
        <f t="shared" si="18"/>
        <v>0</v>
      </c>
      <c r="D112" s="166">
        <f t="shared" si="19"/>
        <v>0</v>
      </c>
      <c r="E112" s="167"/>
      <c r="F112" s="168">
        <f t="shared" si="15"/>
        <v>0</v>
      </c>
      <c r="H112" s="482"/>
      <c r="J112" s="166">
        <f t="shared" si="20"/>
        <v>0</v>
      </c>
      <c r="K112" s="166">
        <f t="shared" si="17"/>
        <v>0</v>
      </c>
      <c r="L112" s="167"/>
      <c r="M112" s="168">
        <f t="shared" si="16"/>
        <v>0</v>
      </c>
      <c r="O112" s="208"/>
      <c r="P112" s="501"/>
      <c r="Q112" s="500"/>
      <c r="R112" s="500"/>
      <c r="T112" s="490"/>
      <c r="U112" s="723"/>
    </row>
    <row r="113" spans="1:21" x14ac:dyDescent="0.3">
      <c r="A113" s="162" t="str">
        <f>COA!B115</f>
        <v>5511 Supplies and materials - COS</v>
      </c>
      <c r="C113" s="166">
        <f t="shared" si="18"/>
        <v>0</v>
      </c>
      <c r="D113" s="166">
        <f t="shared" si="19"/>
        <v>0</v>
      </c>
      <c r="E113" s="167"/>
      <c r="F113" s="168">
        <f t="shared" si="15"/>
        <v>0</v>
      </c>
      <c r="H113" s="482"/>
      <c r="J113" s="166">
        <f t="shared" si="20"/>
        <v>0</v>
      </c>
      <c r="K113" s="166">
        <f t="shared" si="17"/>
        <v>0</v>
      </c>
      <c r="L113" s="167"/>
      <c r="M113" s="168">
        <f t="shared" si="16"/>
        <v>0</v>
      </c>
      <c r="O113" s="208"/>
      <c r="P113" s="501"/>
      <c r="Q113" s="500"/>
      <c r="R113" s="500"/>
      <c r="T113" s="490"/>
      <c r="U113" s="723"/>
    </row>
    <row r="114" spans="1:21" x14ac:dyDescent="0.3">
      <c r="A114" s="162" t="str">
        <f>COA!B116</f>
        <v>5998 Uncategorized Income</v>
      </c>
      <c r="C114" s="166">
        <f t="shared" si="18"/>
        <v>0</v>
      </c>
      <c r="D114" s="166">
        <f t="shared" si="19"/>
        <v>0</v>
      </c>
      <c r="E114" s="167"/>
      <c r="F114" s="168">
        <f t="shared" si="15"/>
        <v>0</v>
      </c>
      <c r="H114" s="482"/>
      <c r="J114" s="166">
        <f t="shared" si="20"/>
        <v>0</v>
      </c>
      <c r="K114" s="166">
        <f t="shared" si="17"/>
        <v>0</v>
      </c>
      <c r="L114" s="167"/>
      <c r="M114" s="168">
        <f t="shared" si="16"/>
        <v>0</v>
      </c>
      <c r="O114" s="208"/>
      <c r="P114" s="501"/>
      <c r="Q114" s="500"/>
      <c r="R114" s="500"/>
      <c r="T114" s="490"/>
      <c r="U114" s="723"/>
    </row>
    <row r="115" spans="1:21" x14ac:dyDescent="0.3">
      <c r="A115" s="162" t="str">
        <f>COA!B117</f>
        <v>5999 Uncategorized Income</v>
      </c>
      <c r="C115" s="166">
        <f t="shared" si="18"/>
        <v>0</v>
      </c>
      <c r="D115" s="166">
        <f t="shared" si="19"/>
        <v>0</v>
      </c>
      <c r="E115" s="167"/>
      <c r="F115" s="168">
        <f t="shared" si="15"/>
        <v>0</v>
      </c>
      <c r="H115" s="482"/>
      <c r="J115" s="166">
        <f t="shared" si="20"/>
        <v>0</v>
      </c>
      <c r="K115" s="166">
        <f t="shared" si="17"/>
        <v>0</v>
      </c>
      <c r="L115" s="167"/>
      <c r="M115" s="168">
        <f t="shared" si="16"/>
        <v>0</v>
      </c>
      <c r="O115" s="208"/>
      <c r="P115" s="501"/>
      <c r="Q115" s="500"/>
      <c r="R115" s="500"/>
      <c r="T115" s="490"/>
      <c r="U115" s="723"/>
    </row>
    <row r="116" spans="1:21" x14ac:dyDescent="0.3">
      <c r="A116" s="162" t="str">
        <f>COA!B118</f>
        <v>5999 Unapplied Cash Payment Income</v>
      </c>
      <c r="C116" s="166">
        <f t="shared" si="18"/>
        <v>0</v>
      </c>
      <c r="D116" s="166">
        <f t="shared" si="19"/>
        <v>0</v>
      </c>
      <c r="E116" s="167"/>
      <c r="F116" s="168">
        <f t="shared" si="15"/>
        <v>0</v>
      </c>
      <c r="H116" s="482"/>
      <c r="J116" s="166">
        <f t="shared" si="20"/>
        <v>0</v>
      </c>
      <c r="K116" s="166">
        <f t="shared" ref="K116:K147" si="21">SUMIFS($S:$S,$Q:$Q,$A116,$T:$T,$D$2,$U:$U,K$3)</f>
        <v>0</v>
      </c>
      <c r="L116" s="167"/>
      <c r="M116" s="168">
        <f t="shared" si="16"/>
        <v>0</v>
      </c>
      <c r="O116" s="208"/>
      <c r="P116" s="501"/>
      <c r="Q116" s="500"/>
      <c r="R116" s="500"/>
      <c r="T116" s="490"/>
      <c r="U116" s="723"/>
    </row>
    <row r="117" spans="1:21" x14ac:dyDescent="0.3">
      <c r="A117" s="162" t="str">
        <f>COA!B119</f>
        <v>6000 Payroll Expenses</v>
      </c>
      <c r="C117" s="166">
        <f t="shared" si="18"/>
        <v>0</v>
      </c>
      <c r="D117" s="166">
        <f t="shared" si="19"/>
        <v>0</v>
      </c>
      <c r="E117" s="167"/>
      <c r="F117" s="168">
        <f t="shared" si="15"/>
        <v>0</v>
      </c>
      <c r="H117" s="482"/>
      <c r="J117" s="166">
        <f t="shared" si="20"/>
        <v>0</v>
      </c>
      <c r="K117" s="166">
        <f t="shared" si="21"/>
        <v>0</v>
      </c>
      <c r="L117" s="167"/>
      <c r="M117" s="168">
        <f t="shared" si="16"/>
        <v>0</v>
      </c>
      <c r="O117" s="208"/>
      <c r="P117" s="501"/>
      <c r="Q117" s="500"/>
      <c r="R117" s="500"/>
      <c r="T117" s="490"/>
      <c r="U117" s="723"/>
    </row>
    <row r="118" spans="1:21" x14ac:dyDescent="0.3">
      <c r="A118" s="162" t="str">
        <f>COA!B120</f>
        <v>6001 Payroll Expenses:Management Salaries</v>
      </c>
      <c r="C118" s="166">
        <f t="shared" si="18"/>
        <v>0</v>
      </c>
      <c r="D118" s="166">
        <f t="shared" si="19"/>
        <v>0</v>
      </c>
      <c r="E118" s="167"/>
      <c r="F118" s="168">
        <f t="shared" si="15"/>
        <v>0</v>
      </c>
      <c r="H118" s="482"/>
      <c r="J118" s="166">
        <f t="shared" si="20"/>
        <v>0</v>
      </c>
      <c r="K118" s="166">
        <f t="shared" si="21"/>
        <v>0</v>
      </c>
      <c r="L118" s="167"/>
      <c r="M118" s="168">
        <f t="shared" si="16"/>
        <v>0</v>
      </c>
      <c r="O118" s="208"/>
      <c r="P118" s="501"/>
      <c r="Q118" s="500"/>
      <c r="R118" s="500"/>
      <c r="T118" s="490"/>
      <c r="U118" s="723"/>
    </row>
    <row r="119" spans="1:21" x14ac:dyDescent="0.3">
      <c r="A119" s="162" t="str">
        <f>COA!B121</f>
        <v>6002 Payroll Expenses:Wages</v>
      </c>
      <c r="C119" s="166">
        <f t="shared" si="18"/>
        <v>0</v>
      </c>
      <c r="D119" s="166">
        <f t="shared" si="19"/>
        <v>0</v>
      </c>
      <c r="E119" s="167"/>
      <c r="F119" s="168">
        <f t="shared" si="15"/>
        <v>0</v>
      </c>
      <c r="H119" s="482"/>
      <c r="J119" s="166">
        <f t="shared" si="20"/>
        <v>0</v>
      </c>
      <c r="K119" s="166">
        <f t="shared" si="21"/>
        <v>0</v>
      </c>
      <c r="L119" s="167"/>
      <c r="M119" s="168">
        <f t="shared" si="16"/>
        <v>0</v>
      </c>
      <c r="O119" s="208"/>
      <c r="P119" s="501"/>
      <c r="Q119" s="500"/>
      <c r="R119" s="500"/>
      <c r="T119" s="490"/>
      <c r="U119" s="723"/>
    </row>
    <row r="120" spans="1:21" x14ac:dyDescent="0.3">
      <c r="A120" s="162" t="str">
        <f>COA!B122</f>
        <v>6003 Payroll Expenses:Vacation Pay</v>
      </c>
      <c r="C120" s="166">
        <f t="shared" si="18"/>
        <v>0</v>
      </c>
      <c r="D120" s="166">
        <f t="shared" si="19"/>
        <v>0</v>
      </c>
      <c r="E120" s="167"/>
      <c r="F120" s="168">
        <f t="shared" si="15"/>
        <v>0</v>
      </c>
      <c r="H120" s="482"/>
      <c r="J120" s="166">
        <f t="shared" si="20"/>
        <v>0</v>
      </c>
      <c r="K120" s="166">
        <f t="shared" si="21"/>
        <v>0</v>
      </c>
      <c r="L120" s="167"/>
      <c r="M120" s="168">
        <f t="shared" si="16"/>
        <v>0</v>
      </c>
      <c r="O120" s="208"/>
      <c r="P120" s="501"/>
      <c r="Q120" s="500"/>
      <c r="R120" s="500"/>
      <c r="T120" s="490"/>
      <c r="U120" s="723"/>
    </row>
    <row r="121" spans="1:21" x14ac:dyDescent="0.3">
      <c r="A121" s="162" t="str">
        <f>COA!B123</f>
        <v>6004 Payroll Expenses:Employer Taxes</v>
      </c>
      <c r="C121" s="166">
        <f t="shared" si="18"/>
        <v>0</v>
      </c>
      <c r="D121" s="166">
        <f t="shared" si="19"/>
        <v>0</v>
      </c>
      <c r="E121" s="167"/>
      <c r="F121" s="168">
        <f t="shared" si="15"/>
        <v>0</v>
      </c>
      <c r="H121" s="482"/>
      <c r="J121" s="166">
        <f t="shared" si="20"/>
        <v>0</v>
      </c>
      <c r="K121" s="166">
        <f t="shared" si="21"/>
        <v>0</v>
      </c>
      <c r="L121" s="167"/>
      <c r="M121" s="168">
        <f t="shared" si="16"/>
        <v>0</v>
      </c>
      <c r="O121" s="208"/>
      <c r="P121" s="501"/>
      <c r="Q121" s="500"/>
      <c r="R121" s="500"/>
      <c r="T121" s="490"/>
      <c r="U121" s="723"/>
    </row>
    <row r="122" spans="1:21" x14ac:dyDescent="0.3">
      <c r="A122" s="162" t="str">
        <f>COA!B124</f>
        <v>6005 Payroll Expenses:WCB Expense</v>
      </c>
      <c r="C122" s="166">
        <f t="shared" si="18"/>
        <v>0</v>
      </c>
      <c r="D122" s="166">
        <f t="shared" si="19"/>
        <v>0</v>
      </c>
      <c r="E122" s="167"/>
      <c r="F122" s="168">
        <f t="shared" si="15"/>
        <v>0</v>
      </c>
      <c r="H122" s="482"/>
      <c r="J122" s="166">
        <f t="shared" si="20"/>
        <v>0</v>
      </c>
      <c r="K122" s="166">
        <f t="shared" si="21"/>
        <v>0</v>
      </c>
      <c r="L122" s="167"/>
      <c r="M122" s="168">
        <f t="shared" si="16"/>
        <v>0</v>
      </c>
      <c r="O122" s="208"/>
      <c r="P122" s="501"/>
      <c r="Q122" s="500"/>
      <c r="R122" s="500"/>
      <c r="T122" s="490"/>
      <c r="U122" s="723"/>
    </row>
    <row r="123" spans="1:21" x14ac:dyDescent="0.3">
      <c r="A123" s="162" t="str">
        <f>COA!B125</f>
        <v>6010 Other G&amp;A</v>
      </c>
      <c r="C123" s="166">
        <f t="shared" si="18"/>
        <v>0</v>
      </c>
      <c r="D123" s="166">
        <f t="shared" si="19"/>
        <v>0</v>
      </c>
      <c r="E123" s="167"/>
      <c r="F123" s="168">
        <f t="shared" si="15"/>
        <v>0</v>
      </c>
      <c r="H123" s="482"/>
      <c r="J123" s="166">
        <f t="shared" si="20"/>
        <v>0</v>
      </c>
      <c r="K123" s="166">
        <f t="shared" si="21"/>
        <v>0</v>
      </c>
      <c r="L123" s="167"/>
      <c r="M123" s="168">
        <f t="shared" si="16"/>
        <v>0</v>
      </c>
      <c r="O123" s="208"/>
      <c r="P123" s="501"/>
      <c r="Q123" s="500"/>
      <c r="R123" s="500"/>
      <c r="T123" s="490"/>
      <c r="U123" s="723"/>
    </row>
    <row r="124" spans="1:21" x14ac:dyDescent="0.3">
      <c r="A124" s="162" t="str">
        <f>COA!B126</f>
        <v>6011 Bank charges</v>
      </c>
      <c r="C124" s="166">
        <f t="shared" si="18"/>
        <v>0</v>
      </c>
      <c r="D124" s="166">
        <f t="shared" si="19"/>
        <v>0</v>
      </c>
      <c r="E124" s="167"/>
      <c r="F124" s="168">
        <f t="shared" si="15"/>
        <v>0</v>
      </c>
      <c r="H124" s="482"/>
      <c r="J124" s="166">
        <f t="shared" si="20"/>
        <v>0</v>
      </c>
      <c r="K124" s="166">
        <f t="shared" si="21"/>
        <v>0</v>
      </c>
      <c r="L124" s="167"/>
      <c r="M124" s="168">
        <f t="shared" si="16"/>
        <v>0</v>
      </c>
      <c r="O124" s="208"/>
      <c r="P124" s="501"/>
      <c r="Q124" s="500"/>
      <c r="R124" s="500"/>
      <c r="T124" s="490"/>
      <c r="U124" s="723"/>
    </row>
    <row r="125" spans="1:21" x14ac:dyDescent="0.3">
      <c r="A125" s="162" t="str">
        <f>COA!B127</f>
        <v>6012 Bad debts</v>
      </c>
      <c r="C125" s="166">
        <f t="shared" si="18"/>
        <v>0</v>
      </c>
      <c r="D125" s="166">
        <f t="shared" si="19"/>
        <v>0</v>
      </c>
      <c r="E125" s="167"/>
      <c r="F125" s="168">
        <f t="shared" si="15"/>
        <v>0</v>
      </c>
      <c r="H125" s="482"/>
      <c r="J125" s="166">
        <f t="shared" si="20"/>
        <v>0</v>
      </c>
      <c r="K125" s="166">
        <f t="shared" si="21"/>
        <v>0</v>
      </c>
      <c r="L125" s="167"/>
      <c r="M125" s="168">
        <f t="shared" si="16"/>
        <v>0</v>
      </c>
      <c r="O125" s="208"/>
      <c r="P125" s="501"/>
      <c r="Q125" s="500"/>
      <c r="R125" s="500"/>
      <c r="T125" s="490"/>
      <c r="U125" s="723"/>
    </row>
    <row r="126" spans="1:21" x14ac:dyDescent="0.3">
      <c r="A126" s="162" t="str">
        <f>COA!B128</f>
        <v>6012 Bad Debt</v>
      </c>
      <c r="C126" s="166">
        <f t="shared" si="18"/>
        <v>0</v>
      </c>
      <c r="D126" s="166">
        <f t="shared" si="19"/>
        <v>0</v>
      </c>
      <c r="E126" s="167"/>
      <c r="F126" s="168">
        <f t="shared" si="15"/>
        <v>0</v>
      </c>
      <c r="H126" s="482"/>
      <c r="J126" s="166">
        <f t="shared" si="20"/>
        <v>0</v>
      </c>
      <c r="K126" s="166">
        <f t="shared" si="21"/>
        <v>0</v>
      </c>
      <c r="L126" s="167"/>
      <c r="M126" s="168">
        <f t="shared" si="16"/>
        <v>0</v>
      </c>
      <c r="O126" s="208"/>
      <c r="P126" s="501"/>
      <c r="Q126" s="500"/>
      <c r="R126" s="500"/>
      <c r="T126" s="490"/>
      <c r="U126" s="723"/>
    </row>
    <row r="127" spans="1:21" x14ac:dyDescent="0.3">
      <c r="A127" s="162" t="str">
        <f>COA!B129</f>
        <v>6013 Interest expense</v>
      </c>
      <c r="C127" s="166">
        <f t="shared" si="18"/>
        <v>0</v>
      </c>
      <c r="D127" s="166">
        <f t="shared" si="19"/>
        <v>0</v>
      </c>
      <c r="E127" s="167"/>
      <c r="F127" s="168">
        <f t="shared" si="15"/>
        <v>0</v>
      </c>
      <c r="H127" s="482"/>
      <c r="J127" s="166">
        <f t="shared" si="20"/>
        <v>0</v>
      </c>
      <c r="K127" s="166">
        <f t="shared" si="21"/>
        <v>0</v>
      </c>
      <c r="L127" s="167"/>
      <c r="M127" s="168">
        <f t="shared" si="16"/>
        <v>0</v>
      </c>
      <c r="O127" s="208"/>
      <c r="P127" s="501"/>
      <c r="Q127" s="500"/>
      <c r="R127" s="500"/>
      <c r="T127" s="490"/>
      <c r="U127" s="723"/>
    </row>
    <row r="128" spans="1:21" x14ac:dyDescent="0.3">
      <c r="A128" s="162" t="str">
        <f>COA!B130</f>
        <v>6015 Accounting Fees</v>
      </c>
      <c r="C128" s="166">
        <f t="shared" si="18"/>
        <v>0</v>
      </c>
      <c r="D128" s="166">
        <f t="shared" si="19"/>
        <v>0</v>
      </c>
      <c r="E128" s="167"/>
      <c r="F128" s="168">
        <f t="shared" si="15"/>
        <v>0</v>
      </c>
      <c r="H128" s="482"/>
      <c r="J128" s="166">
        <f t="shared" si="20"/>
        <v>0</v>
      </c>
      <c r="K128" s="166">
        <f t="shared" si="21"/>
        <v>0</v>
      </c>
      <c r="L128" s="167"/>
      <c r="M128" s="168">
        <f t="shared" si="16"/>
        <v>0</v>
      </c>
      <c r="O128" s="208"/>
      <c r="P128" s="501"/>
      <c r="Q128" s="500"/>
      <c r="R128" s="500"/>
      <c r="T128" s="490"/>
      <c r="U128" s="723"/>
    </row>
    <row r="129" spans="1:21" x14ac:dyDescent="0.3">
      <c r="A129" s="162" t="str">
        <f>COA!B131</f>
        <v>6015 Accounting &amp; Legal</v>
      </c>
      <c r="C129" s="166">
        <f t="shared" si="18"/>
        <v>0</v>
      </c>
      <c r="D129" s="166">
        <f t="shared" si="19"/>
        <v>0</v>
      </c>
      <c r="E129" s="167"/>
      <c r="F129" s="168">
        <f t="shared" si="15"/>
        <v>0</v>
      </c>
      <c r="H129" s="482"/>
      <c r="J129" s="166">
        <f t="shared" si="20"/>
        <v>0</v>
      </c>
      <c r="K129" s="166">
        <f t="shared" si="21"/>
        <v>0</v>
      </c>
      <c r="L129" s="167"/>
      <c r="M129" s="168">
        <f t="shared" si="16"/>
        <v>0</v>
      </c>
      <c r="O129" s="208"/>
      <c r="P129" s="501"/>
      <c r="Q129" s="500"/>
      <c r="R129" s="500"/>
      <c r="T129" s="490"/>
      <c r="U129" s="723"/>
    </row>
    <row r="130" spans="1:21" x14ac:dyDescent="0.3">
      <c r="A130" s="162" t="str">
        <f>COA!B132</f>
        <v>6016 Legal and professional fees</v>
      </c>
      <c r="C130" s="166">
        <f t="shared" si="18"/>
        <v>0</v>
      </c>
      <c r="D130" s="166">
        <f t="shared" si="19"/>
        <v>0</v>
      </c>
      <c r="E130" s="167"/>
      <c r="F130" s="168">
        <f t="shared" si="15"/>
        <v>0</v>
      </c>
      <c r="H130" s="482"/>
      <c r="J130" s="166">
        <f t="shared" si="20"/>
        <v>0</v>
      </c>
      <c r="K130" s="166">
        <f t="shared" si="21"/>
        <v>0</v>
      </c>
      <c r="L130" s="167"/>
      <c r="M130" s="168">
        <f t="shared" si="16"/>
        <v>0</v>
      </c>
      <c r="O130" s="208"/>
      <c r="P130" s="501"/>
      <c r="Q130" s="500"/>
      <c r="R130" s="500"/>
      <c r="T130" s="490"/>
      <c r="U130" s="723"/>
    </row>
    <row r="131" spans="1:21" x14ac:dyDescent="0.3">
      <c r="A131" s="162" t="str">
        <f>COA!B133</f>
        <v>6016 Consulting Expense</v>
      </c>
      <c r="C131" s="166">
        <f t="shared" si="18"/>
        <v>0</v>
      </c>
      <c r="D131" s="166">
        <f t="shared" si="19"/>
        <v>0</v>
      </c>
      <c r="E131" s="167"/>
      <c r="F131" s="168">
        <f t="shared" si="15"/>
        <v>0</v>
      </c>
      <c r="H131" s="482"/>
      <c r="J131" s="166">
        <f t="shared" si="20"/>
        <v>0</v>
      </c>
      <c r="K131" s="166">
        <f t="shared" si="21"/>
        <v>0</v>
      </c>
      <c r="L131" s="167"/>
      <c r="M131" s="168">
        <f t="shared" si="16"/>
        <v>0</v>
      </c>
      <c r="O131" s="208"/>
      <c r="P131" s="501"/>
      <c r="Q131" s="500"/>
      <c r="R131" s="500"/>
      <c r="T131" s="490"/>
      <c r="U131" s="723"/>
    </row>
    <row r="132" spans="1:21" x14ac:dyDescent="0.3">
      <c r="A132" s="162" t="str">
        <f>COA!B134</f>
        <v>6017 Consulting Fees</v>
      </c>
      <c r="C132" s="166">
        <f t="shared" si="18"/>
        <v>0</v>
      </c>
      <c r="D132" s="166">
        <f t="shared" si="19"/>
        <v>0</v>
      </c>
      <c r="E132" s="167"/>
      <c r="F132" s="168">
        <f t="shared" si="15"/>
        <v>0</v>
      </c>
      <c r="H132" s="482"/>
      <c r="J132" s="166">
        <f t="shared" si="20"/>
        <v>0</v>
      </c>
      <c r="K132" s="166">
        <f t="shared" si="21"/>
        <v>0</v>
      </c>
      <c r="L132" s="167"/>
      <c r="M132" s="168">
        <f t="shared" si="16"/>
        <v>0</v>
      </c>
      <c r="O132" s="208"/>
      <c r="P132" s="501"/>
      <c r="Q132" s="500"/>
      <c r="R132" s="500"/>
      <c r="T132" s="490"/>
      <c r="U132" s="723"/>
    </row>
    <row r="133" spans="1:21" x14ac:dyDescent="0.3">
      <c r="A133" s="162" t="str">
        <f>COA!B135</f>
        <v>6018 Dues and Subscription</v>
      </c>
      <c r="C133" s="166">
        <f t="shared" si="18"/>
        <v>0</v>
      </c>
      <c r="D133" s="166">
        <f t="shared" si="19"/>
        <v>0</v>
      </c>
      <c r="E133" s="167"/>
      <c r="F133" s="168">
        <f t="shared" si="15"/>
        <v>0</v>
      </c>
      <c r="H133" s="482"/>
      <c r="J133" s="166">
        <f t="shared" si="20"/>
        <v>0</v>
      </c>
      <c r="K133" s="166">
        <f t="shared" si="21"/>
        <v>0</v>
      </c>
      <c r="L133" s="167"/>
      <c r="M133" s="168">
        <f t="shared" si="16"/>
        <v>0</v>
      </c>
      <c r="O133" s="208"/>
      <c r="P133" s="501"/>
      <c r="Q133" s="500"/>
      <c r="R133" s="500"/>
      <c r="T133" s="490"/>
      <c r="U133" s="723"/>
    </row>
    <row r="134" spans="1:21" x14ac:dyDescent="0.3">
      <c r="A134" s="162" t="str">
        <f>COA!B136</f>
        <v>6020 Advertising &amp; Promotion</v>
      </c>
      <c r="C134" s="166">
        <f t="shared" si="18"/>
        <v>0</v>
      </c>
      <c r="D134" s="166">
        <f t="shared" si="19"/>
        <v>0</v>
      </c>
      <c r="E134" s="167"/>
      <c r="F134" s="168">
        <f t="shared" si="15"/>
        <v>0</v>
      </c>
      <c r="H134" s="482"/>
      <c r="J134" s="166">
        <f t="shared" si="20"/>
        <v>0</v>
      </c>
      <c r="K134" s="166">
        <f t="shared" si="21"/>
        <v>0</v>
      </c>
      <c r="L134" s="167"/>
      <c r="M134" s="168">
        <f t="shared" si="16"/>
        <v>0</v>
      </c>
      <c r="O134" s="208"/>
      <c r="P134" s="501"/>
      <c r="Q134" s="500"/>
      <c r="R134" s="500"/>
      <c r="T134" s="490"/>
      <c r="U134" s="723"/>
    </row>
    <row r="135" spans="1:21" x14ac:dyDescent="0.3">
      <c r="A135" s="162" t="str">
        <f>COA!B137</f>
        <v>6021 Tradeshows and conventions</v>
      </c>
      <c r="C135" s="166">
        <f t="shared" ref="C135:C166" si="22">SUMIFS($S:$S,$Q:$Q,$A135,$T:$T,$C$2,$U:$U,C$3)</f>
        <v>0</v>
      </c>
      <c r="D135" s="166">
        <f t="shared" ref="D135:D166" si="23">SUMIFS($S:$S,$Q:$Q,$A135,$T:$T,$K$2,$U:$U,D$3)</f>
        <v>0</v>
      </c>
      <c r="E135" s="167"/>
      <c r="F135" s="168">
        <f t="shared" si="15"/>
        <v>0</v>
      </c>
      <c r="H135" s="482"/>
      <c r="J135" s="166">
        <f t="shared" ref="J135:J166" si="24">SUMIFS($S:$S,$Q:$Q,$A135,$T:$T,$J$2,$U:$U,J$3)</f>
        <v>0</v>
      </c>
      <c r="K135" s="166">
        <f t="shared" si="21"/>
        <v>0</v>
      </c>
      <c r="L135" s="167"/>
      <c r="M135" s="168">
        <f t="shared" si="16"/>
        <v>0</v>
      </c>
      <c r="O135" s="208"/>
      <c r="P135" s="501"/>
      <c r="Q135" s="500"/>
      <c r="R135" s="500"/>
      <c r="T135" s="490"/>
      <c r="U135" s="723"/>
    </row>
    <row r="136" spans="1:21" x14ac:dyDescent="0.3">
      <c r="A136" s="162" t="str">
        <f>COA!B138</f>
        <v>6025 Dues and Subscriptions</v>
      </c>
      <c r="C136" s="166">
        <f t="shared" si="22"/>
        <v>0</v>
      </c>
      <c r="D136" s="166">
        <f t="shared" si="23"/>
        <v>0</v>
      </c>
      <c r="E136" s="167"/>
      <c r="F136" s="168">
        <f t="shared" ref="F136:F181" si="25">SUM(C136:E136)</f>
        <v>0</v>
      </c>
      <c r="H136" s="482"/>
      <c r="J136" s="166">
        <f t="shared" si="24"/>
        <v>0</v>
      </c>
      <c r="K136" s="166">
        <f t="shared" si="21"/>
        <v>0</v>
      </c>
      <c r="L136" s="167"/>
      <c r="M136" s="168">
        <f t="shared" ref="M136:M181" si="26">SUM(J136:L136)</f>
        <v>0</v>
      </c>
      <c r="O136" s="208"/>
      <c r="P136" s="501"/>
      <c r="Q136" s="500"/>
      <c r="R136" s="500"/>
      <c r="T136" s="490"/>
      <c r="U136" s="723"/>
    </row>
    <row r="137" spans="1:21" x14ac:dyDescent="0.3">
      <c r="A137" s="162" t="str">
        <f>COA!B139</f>
        <v>6025 Automobile</v>
      </c>
      <c r="C137" s="166">
        <f t="shared" si="22"/>
        <v>0</v>
      </c>
      <c r="D137" s="166">
        <f t="shared" si="23"/>
        <v>0</v>
      </c>
      <c r="E137" s="167"/>
      <c r="F137" s="168">
        <f t="shared" si="25"/>
        <v>0</v>
      </c>
      <c r="H137" s="482"/>
      <c r="J137" s="166">
        <f t="shared" si="24"/>
        <v>0</v>
      </c>
      <c r="K137" s="166">
        <f t="shared" si="21"/>
        <v>0</v>
      </c>
      <c r="L137" s="167"/>
      <c r="M137" s="168">
        <f t="shared" si="26"/>
        <v>0</v>
      </c>
      <c r="O137" s="208"/>
      <c r="P137" s="501"/>
      <c r="Q137" s="500"/>
      <c r="R137" s="500"/>
      <c r="T137" s="490"/>
      <c r="U137" s="723"/>
    </row>
    <row r="138" spans="1:21" x14ac:dyDescent="0.3">
      <c r="A138" s="162" t="str">
        <f>COA!B140</f>
        <v>6026 Fuel / Industrial Gas</v>
      </c>
      <c r="C138" s="166">
        <f t="shared" si="22"/>
        <v>0</v>
      </c>
      <c r="D138" s="166">
        <f t="shared" si="23"/>
        <v>0</v>
      </c>
      <c r="E138" s="167"/>
      <c r="F138" s="168">
        <f t="shared" si="25"/>
        <v>0</v>
      </c>
      <c r="H138" s="482"/>
      <c r="J138" s="166">
        <f t="shared" si="24"/>
        <v>0</v>
      </c>
      <c r="K138" s="166">
        <f t="shared" si="21"/>
        <v>0</v>
      </c>
      <c r="L138" s="167"/>
      <c r="M138" s="168">
        <f t="shared" si="26"/>
        <v>0</v>
      </c>
      <c r="O138" s="208"/>
      <c r="P138" s="501"/>
      <c r="Q138" s="500"/>
      <c r="R138" s="500"/>
      <c r="T138" s="490"/>
      <c r="U138" s="723"/>
    </row>
    <row r="139" spans="1:21" x14ac:dyDescent="0.3">
      <c r="A139" s="162" t="str">
        <f>COA!B141</f>
        <v>6030 Communications</v>
      </c>
      <c r="C139" s="166">
        <f t="shared" si="22"/>
        <v>0</v>
      </c>
      <c r="D139" s="166">
        <f t="shared" si="23"/>
        <v>0</v>
      </c>
      <c r="E139" s="167"/>
      <c r="F139" s="168">
        <f t="shared" si="25"/>
        <v>0</v>
      </c>
      <c r="H139" s="482"/>
      <c r="J139" s="166">
        <f t="shared" si="24"/>
        <v>0</v>
      </c>
      <c r="K139" s="166">
        <f t="shared" si="21"/>
        <v>0</v>
      </c>
      <c r="L139" s="167"/>
      <c r="M139" s="168">
        <f t="shared" si="26"/>
        <v>0</v>
      </c>
      <c r="O139" s="208"/>
      <c r="P139" s="501"/>
      <c r="Q139" s="500"/>
      <c r="R139" s="500"/>
      <c r="T139" s="490"/>
      <c r="U139" s="723"/>
    </row>
    <row r="140" spans="1:21" x14ac:dyDescent="0.3">
      <c r="A140" s="162" t="str">
        <f>COA!B142</f>
        <v>6031 IT Expense</v>
      </c>
      <c r="C140" s="166">
        <f t="shared" si="22"/>
        <v>0</v>
      </c>
      <c r="D140" s="166">
        <f t="shared" si="23"/>
        <v>0</v>
      </c>
      <c r="E140" s="167"/>
      <c r="F140" s="168">
        <f t="shared" si="25"/>
        <v>0</v>
      </c>
      <c r="H140" s="482"/>
      <c r="J140" s="166">
        <f t="shared" si="24"/>
        <v>0</v>
      </c>
      <c r="K140" s="166">
        <f t="shared" si="21"/>
        <v>0</v>
      </c>
      <c r="L140" s="167"/>
      <c r="M140" s="168">
        <f t="shared" si="26"/>
        <v>0</v>
      </c>
      <c r="O140" s="208"/>
      <c r="P140" s="501"/>
      <c r="Q140" s="500"/>
      <c r="R140" s="500"/>
      <c r="T140" s="490"/>
      <c r="U140" s="723"/>
    </row>
    <row r="141" spans="1:21" x14ac:dyDescent="0.3">
      <c r="A141" s="162" t="str">
        <f>COA!B143</f>
        <v>6040 Meals and entertainment</v>
      </c>
      <c r="C141" s="166">
        <f t="shared" si="22"/>
        <v>0</v>
      </c>
      <c r="D141" s="166">
        <f t="shared" si="23"/>
        <v>0</v>
      </c>
      <c r="E141" s="167"/>
      <c r="F141" s="168">
        <f t="shared" si="25"/>
        <v>0</v>
      </c>
      <c r="H141" s="482"/>
      <c r="J141" s="166">
        <f t="shared" si="24"/>
        <v>0</v>
      </c>
      <c r="K141" s="166">
        <f t="shared" si="21"/>
        <v>0</v>
      </c>
      <c r="L141" s="167"/>
      <c r="M141" s="168">
        <f t="shared" si="26"/>
        <v>0</v>
      </c>
      <c r="O141" s="208"/>
      <c r="P141" s="501"/>
      <c r="Q141" s="500"/>
      <c r="R141" s="500"/>
      <c r="T141" s="490"/>
      <c r="U141" s="723"/>
    </row>
    <row r="142" spans="1:21" x14ac:dyDescent="0.3">
      <c r="A142" s="162" t="str">
        <f>COA!B144</f>
        <v>6041 Travel Meals</v>
      </c>
      <c r="C142" s="166">
        <f t="shared" si="22"/>
        <v>0</v>
      </c>
      <c r="D142" s="166">
        <f t="shared" si="23"/>
        <v>0</v>
      </c>
      <c r="E142" s="167"/>
      <c r="F142" s="168">
        <f t="shared" si="25"/>
        <v>0</v>
      </c>
      <c r="H142" s="482"/>
      <c r="J142" s="166">
        <f t="shared" si="24"/>
        <v>0</v>
      </c>
      <c r="K142" s="166">
        <f t="shared" si="21"/>
        <v>0</v>
      </c>
      <c r="L142" s="167"/>
      <c r="M142" s="168">
        <f t="shared" si="26"/>
        <v>0</v>
      </c>
      <c r="O142" s="208"/>
      <c r="P142" s="501"/>
      <c r="Q142" s="500"/>
      <c r="R142" s="500"/>
      <c r="T142" s="490"/>
      <c r="U142" s="723"/>
    </row>
    <row r="143" spans="1:21" x14ac:dyDescent="0.3">
      <c r="A143" s="162" t="str">
        <f>COA!B145</f>
        <v>6042 Travel</v>
      </c>
      <c r="C143" s="166">
        <f t="shared" si="22"/>
        <v>0</v>
      </c>
      <c r="D143" s="166">
        <f t="shared" si="23"/>
        <v>0</v>
      </c>
      <c r="E143" s="167"/>
      <c r="F143" s="168">
        <f t="shared" si="25"/>
        <v>0</v>
      </c>
      <c r="H143" s="482"/>
      <c r="J143" s="166">
        <f t="shared" si="24"/>
        <v>0</v>
      </c>
      <c r="K143" s="166">
        <f t="shared" si="21"/>
        <v>0</v>
      </c>
      <c r="L143" s="167"/>
      <c r="M143" s="168">
        <f t="shared" si="26"/>
        <v>0</v>
      </c>
      <c r="O143" s="208"/>
      <c r="P143" s="501"/>
      <c r="Q143" s="500"/>
      <c r="R143" s="500"/>
      <c r="T143" s="490"/>
      <c r="U143" s="723"/>
    </row>
    <row r="144" spans="1:21" x14ac:dyDescent="0.3">
      <c r="A144" s="162" t="str">
        <f>COA!B146</f>
        <v>6043 Transfer agent and regulatory expenses</v>
      </c>
      <c r="C144" s="166">
        <f t="shared" si="22"/>
        <v>0</v>
      </c>
      <c r="D144" s="166">
        <f t="shared" si="23"/>
        <v>0</v>
      </c>
      <c r="E144" s="167"/>
      <c r="F144" s="168">
        <f t="shared" si="25"/>
        <v>0</v>
      </c>
      <c r="H144" s="482"/>
      <c r="J144" s="166">
        <f t="shared" si="24"/>
        <v>0</v>
      </c>
      <c r="K144" s="166">
        <f t="shared" si="21"/>
        <v>0</v>
      </c>
      <c r="L144" s="167"/>
      <c r="M144" s="168">
        <f t="shared" si="26"/>
        <v>0</v>
      </c>
      <c r="O144" s="208"/>
      <c r="P144" s="501"/>
      <c r="Q144" s="500"/>
      <c r="R144" s="500"/>
      <c r="T144" s="490"/>
      <c r="U144" s="723"/>
    </row>
    <row r="145" spans="1:21" x14ac:dyDescent="0.3">
      <c r="A145" s="162" t="str">
        <f>COA!B147</f>
        <v>6050 Insurance</v>
      </c>
      <c r="C145" s="166">
        <f t="shared" si="22"/>
        <v>0</v>
      </c>
      <c r="D145" s="166">
        <f t="shared" si="23"/>
        <v>0</v>
      </c>
      <c r="E145" s="167"/>
      <c r="F145" s="168">
        <f t="shared" si="25"/>
        <v>0</v>
      </c>
      <c r="H145" s="482"/>
      <c r="J145" s="166">
        <f t="shared" si="24"/>
        <v>0</v>
      </c>
      <c r="K145" s="166">
        <f t="shared" si="21"/>
        <v>0</v>
      </c>
      <c r="L145" s="167"/>
      <c r="M145" s="168">
        <f t="shared" si="26"/>
        <v>0</v>
      </c>
      <c r="O145" s="208"/>
      <c r="P145" s="501"/>
      <c r="Q145" s="500"/>
      <c r="R145" s="500"/>
      <c r="T145" s="490"/>
      <c r="U145" s="723"/>
    </row>
    <row r="146" spans="1:21" x14ac:dyDescent="0.3">
      <c r="A146" s="162" t="str">
        <f>COA!B148</f>
        <v>6060 Office expenses</v>
      </c>
      <c r="C146" s="166">
        <f t="shared" si="22"/>
        <v>0</v>
      </c>
      <c r="D146" s="166">
        <f t="shared" si="23"/>
        <v>0</v>
      </c>
      <c r="E146" s="167"/>
      <c r="F146" s="168">
        <f t="shared" si="25"/>
        <v>0</v>
      </c>
      <c r="H146" s="482"/>
      <c r="J146" s="166">
        <f t="shared" si="24"/>
        <v>0</v>
      </c>
      <c r="K146" s="166">
        <f t="shared" si="21"/>
        <v>0</v>
      </c>
      <c r="L146" s="167"/>
      <c r="M146" s="168">
        <f t="shared" si="26"/>
        <v>0</v>
      </c>
      <c r="O146" s="208"/>
      <c r="P146" s="501"/>
      <c r="Q146" s="500"/>
      <c r="R146" s="500"/>
      <c r="T146" s="490"/>
      <c r="U146" s="723"/>
    </row>
    <row r="147" spans="1:21" x14ac:dyDescent="0.3">
      <c r="A147" s="162" t="str">
        <f>COA!B149</f>
        <v>6060 Repairs and Maintenance</v>
      </c>
      <c r="C147" s="166">
        <f t="shared" si="22"/>
        <v>0</v>
      </c>
      <c r="D147" s="166">
        <f t="shared" si="23"/>
        <v>0</v>
      </c>
      <c r="E147" s="167"/>
      <c r="F147" s="168">
        <f t="shared" si="25"/>
        <v>0</v>
      </c>
      <c r="H147" s="482"/>
      <c r="J147" s="166">
        <f t="shared" si="24"/>
        <v>0</v>
      </c>
      <c r="K147" s="166">
        <f t="shared" si="21"/>
        <v>0</v>
      </c>
      <c r="L147" s="167"/>
      <c r="M147" s="168">
        <f t="shared" si="26"/>
        <v>0</v>
      </c>
      <c r="O147" s="208"/>
      <c r="P147" s="501"/>
      <c r="Q147" s="500"/>
      <c r="R147" s="500"/>
      <c r="T147" s="490"/>
      <c r="U147" s="723"/>
    </row>
    <row r="148" spans="1:21" x14ac:dyDescent="0.3">
      <c r="A148" s="162" t="str">
        <f>COA!B150</f>
        <v>6061 Other general and administrative expenses</v>
      </c>
      <c r="C148" s="166">
        <f t="shared" si="22"/>
        <v>0</v>
      </c>
      <c r="D148" s="166">
        <f t="shared" si="23"/>
        <v>0</v>
      </c>
      <c r="E148" s="167"/>
      <c r="F148" s="168">
        <f t="shared" si="25"/>
        <v>0</v>
      </c>
      <c r="H148" s="482"/>
      <c r="J148" s="166">
        <f t="shared" si="24"/>
        <v>0</v>
      </c>
      <c r="K148" s="166">
        <f t="shared" ref="K148:K180" si="27">SUMIFS($S:$S,$Q:$Q,$A148,$T:$T,$D$2,$U:$U,K$3)</f>
        <v>0</v>
      </c>
      <c r="L148" s="167"/>
      <c r="M148" s="168">
        <f t="shared" si="26"/>
        <v>0</v>
      </c>
      <c r="O148" s="208"/>
      <c r="P148" s="501"/>
      <c r="Q148" s="500"/>
      <c r="R148" s="500"/>
      <c r="T148" s="490"/>
      <c r="U148" s="723"/>
    </row>
    <row r="149" spans="1:21" x14ac:dyDescent="0.3">
      <c r="A149" s="162" t="str">
        <f>COA!B151</f>
        <v>6065 Rent</v>
      </c>
      <c r="C149" s="166">
        <f t="shared" si="22"/>
        <v>0</v>
      </c>
      <c r="D149" s="166">
        <f t="shared" si="23"/>
        <v>0</v>
      </c>
      <c r="E149" s="167"/>
      <c r="F149" s="168">
        <f t="shared" si="25"/>
        <v>0</v>
      </c>
      <c r="H149" s="482"/>
      <c r="J149" s="166">
        <f t="shared" si="24"/>
        <v>0</v>
      </c>
      <c r="K149" s="166">
        <f t="shared" si="27"/>
        <v>0</v>
      </c>
      <c r="L149" s="167"/>
      <c r="M149" s="168">
        <f t="shared" si="26"/>
        <v>0</v>
      </c>
      <c r="O149" s="208"/>
      <c r="P149" s="501"/>
      <c r="Q149" s="500"/>
      <c r="R149" s="500"/>
      <c r="T149" s="490"/>
      <c r="U149" s="723"/>
    </row>
    <row r="150" spans="1:21" x14ac:dyDescent="0.3">
      <c r="A150" s="162" t="str">
        <f>COA!B152</f>
        <v>6066 Utilities</v>
      </c>
      <c r="C150" s="166">
        <f t="shared" si="22"/>
        <v>0</v>
      </c>
      <c r="D150" s="166">
        <f t="shared" si="23"/>
        <v>0</v>
      </c>
      <c r="E150" s="167"/>
      <c r="F150" s="168">
        <f t="shared" si="25"/>
        <v>0</v>
      </c>
      <c r="H150" s="482"/>
      <c r="J150" s="166">
        <f t="shared" si="24"/>
        <v>0</v>
      </c>
      <c r="K150" s="166">
        <f t="shared" si="27"/>
        <v>0</v>
      </c>
      <c r="L150" s="167"/>
      <c r="M150" s="168">
        <f t="shared" si="26"/>
        <v>0</v>
      </c>
      <c r="O150" s="208"/>
      <c r="P150" s="501"/>
      <c r="Q150" s="500"/>
      <c r="R150" s="500"/>
      <c r="T150" s="490"/>
      <c r="U150" s="723"/>
    </row>
    <row r="151" spans="1:21" x14ac:dyDescent="0.3">
      <c r="A151" s="162" t="str">
        <f>COA!B153</f>
        <v>6068 Shipping, Freight, and Delivery</v>
      </c>
      <c r="C151" s="166">
        <f t="shared" si="22"/>
        <v>0</v>
      </c>
      <c r="D151" s="166">
        <f t="shared" si="23"/>
        <v>0</v>
      </c>
      <c r="E151" s="167"/>
      <c r="F151" s="168">
        <f t="shared" si="25"/>
        <v>0</v>
      </c>
      <c r="H151" s="482"/>
      <c r="J151" s="166">
        <f t="shared" si="24"/>
        <v>0</v>
      </c>
      <c r="K151" s="166">
        <f t="shared" si="27"/>
        <v>0</v>
      </c>
      <c r="L151" s="167"/>
      <c r="M151" s="168">
        <f t="shared" si="26"/>
        <v>0</v>
      </c>
      <c r="O151" s="208"/>
      <c r="P151" s="501"/>
      <c r="Q151" s="500"/>
      <c r="R151" s="500"/>
      <c r="T151" s="490"/>
      <c r="U151" s="723"/>
    </row>
    <row r="152" spans="1:21" x14ac:dyDescent="0.3">
      <c r="A152" s="162" t="str">
        <f>COA!B154</f>
        <v>6070 Office Supplies</v>
      </c>
      <c r="C152" s="166">
        <f t="shared" si="22"/>
        <v>0</v>
      </c>
      <c r="D152" s="166">
        <f t="shared" si="23"/>
        <v>0</v>
      </c>
      <c r="E152" s="167"/>
      <c r="F152" s="168">
        <f t="shared" si="25"/>
        <v>0</v>
      </c>
      <c r="H152" s="482"/>
      <c r="J152" s="166">
        <f t="shared" si="24"/>
        <v>0</v>
      </c>
      <c r="K152" s="166">
        <f t="shared" si="27"/>
        <v>0</v>
      </c>
      <c r="L152" s="167"/>
      <c r="M152" s="168">
        <f t="shared" si="26"/>
        <v>0</v>
      </c>
      <c r="O152" s="208"/>
      <c r="P152" s="501"/>
      <c r="Q152" s="500"/>
      <c r="R152" s="500"/>
      <c r="T152" s="490"/>
      <c r="U152" s="723"/>
    </row>
    <row r="153" spans="1:21" x14ac:dyDescent="0.3">
      <c r="A153" s="162" t="str">
        <f>COA!B155</f>
        <v>6075 Minor shop tools</v>
      </c>
      <c r="C153" s="166">
        <f t="shared" si="22"/>
        <v>0</v>
      </c>
      <c r="D153" s="166">
        <f t="shared" si="23"/>
        <v>0</v>
      </c>
      <c r="E153" s="167"/>
      <c r="F153" s="168">
        <f t="shared" si="25"/>
        <v>0</v>
      </c>
      <c r="H153" s="482"/>
      <c r="J153" s="166">
        <f t="shared" si="24"/>
        <v>0</v>
      </c>
      <c r="K153" s="166">
        <f t="shared" si="27"/>
        <v>0</v>
      </c>
      <c r="L153" s="167"/>
      <c r="M153" s="168">
        <f t="shared" si="26"/>
        <v>0</v>
      </c>
      <c r="O153" s="208"/>
      <c r="P153" s="501"/>
      <c r="Q153" s="500"/>
      <c r="R153" s="500"/>
      <c r="T153" s="490"/>
      <c r="U153" s="723"/>
    </row>
    <row r="154" spans="1:21" x14ac:dyDescent="0.3">
      <c r="A154" s="162" t="str">
        <f>COA!B156</f>
        <v>6076 Disposal/Landfill</v>
      </c>
      <c r="C154" s="166">
        <f t="shared" si="22"/>
        <v>0</v>
      </c>
      <c r="D154" s="166">
        <f t="shared" si="23"/>
        <v>0</v>
      </c>
      <c r="E154" s="167"/>
      <c r="F154" s="168">
        <f t="shared" si="25"/>
        <v>0</v>
      </c>
      <c r="H154" s="482"/>
      <c r="J154" s="166">
        <f t="shared" si="24"/>
        <v>0</v>
      </c>
      <c r="K154" s="166">
        <f t="shared" si="27"/>
        <v>0</v>
      </c>
      <c r="L154" s="167"/>
      <c r="M154" s="168">
        <f t="shared" si="26"/>
        <v>0</v>
      </c>
      <c r="O154" s="490"/>
      <c r="P154" s="495"/>
      <c r="Q154" s="491"/>
      <c r="R154" s="492"/>
      <c r="S154" s="493"/>
      <c r="T154" s="723"/>
      <c r="U154" s="723"/>
    </row>
    <row r="155" spans="1:21" x14ac:dyDescent="0.3">
      <c r="A155" s="162" t="str">
        <f>COA!B157</f>
        <v>6080 PST Expense (BC)</v>
      </c>
      <c r="C155" s="166">
        <f t="shared" si="22"/>
        <v>0</v>
      </c>
      <c r="D155" s="166">
        <f t="shared" si="23"/>
        <v>0</v>
      </c>
      <c r="E155" s="167"/>
      <c r="F155" s="168">
        <f t="shared" si="25"/>
        <v>0</v>
      </c>
      <c r="H155" s="482"/>
      <c r="J155" s="166">
        <f t="shared" si="24"/>
        <v>0</v>
      </c>
      <c r="K155" s="166">
        <f t="shared" si="27"/>
        <v>0</v>
      </c>
      <c r="L155" s="167"/>
      <c r="M155" s="168">
        <f t="shared" si="26"/>
        <v>0</v>
      </c>
      <c r="O155" s="490" t="s">
        <v>2179</v>
      </c>
      <c r="P155" s="495" t="str">
        <f>IF(S155&gt;0,"DR",IF(S155&lt;0,"CR",""))</f>
        <v>DR</v>
      </c>
      <c r="Q155" s="491" t="s">
        <v>610</v>
      </c>
      <c r="R155" s="492" t="s">
        <v>2178</v>
      </c>
      <c r="S155" s="493">
        <f>'IA.1 - Intangible'!R13</f>
        <v>1204016</v>
      </c>
      <c r="T155" s="723" t="s">
        <v>371</v>
      </c>
      <c r="U155" s="723" t="s">
        <v>638</v>
      </c>
    </row>
    <row r="156" spans="1:21" x14ac:dyDescent="0.3">
      <c r="A156" s="162" t="str">
        <f>COA!B158</f>
        <v>6080 Shop and other supplies</v>
      </c>
      <c r="C156" s="166">
        <f t="shared" si="22"/>
        <v>0</v>
      </c>
      <c r="D156" s="166">
        <f t="shared" si="23"/>
        <v>0</v>
      </c>
      <c r="E156" s="167"/>
      <c r="F156" s="168">
        <f t="shared" si="25"/>
        <v>0</v>
      </c>
      <c r="H156" s="482"/>
      <c r="J156" s="166">
        <f t="shared" si="24"/>
        <v>0</v>
      </c>
      <c r="K156" s="166">
        <f t="shared" si="27"/>
        <v>0</v>
      </c>
      <c r="L156" s="167"/>
      <c r="M156" s="168">
        <f t="shared" si="26"/>
        <v>0</v>
      </c>
      <c r="O156" s="494" t="str">
        <f>O155</f>
        <v>F24 Amort</v>
      </c>
      <c r="P156" s="519" t="str">
        <f>IF(S156&gt;0,"DR",IF(S156&lt;0,"CR",""))</f>
        <v>CR</v>
      </c>
      <c r="Q156" s="711" t="s">
        <v>2171</v>
      </c>
      <c r="R156" s="960" t="str">
        <f>R155</f>
        <v>F25 amortization of intangibles</v>
      </c>
      <c r="S156" s="712">
        <f>-S155</f>
        <v>-1204016</v>
      </c>
      <c r="T156" s="961" t="s">
        <v>371</v>
      </c>
      <c r="U156" s="961" t="s">
        <v>638</v>
      </c>
    </row>
    <row r="157" spans="1:21" x14ac:dyDescent="0.3">
      <c r="A157" s="162" t="str">
        <f>COA!B159</f>
        <v>6085 Depreciation</v>
      </c>
      <c r="C157" s="166">
        <f t="shared" si="22"/>
        <v>0</v>
      </c>
      <c r="D157" s="166">
        <f t="shared" si="23"/>
        <v>0</v>
      </c>
      <c r="E157" s="167"/>
      <c r="F157" s="168">
        <f t="shared" si="25"/>
        <v>0</v>
      </c>
      <c r="H157" s="482"/>
      <c r="J157" s="166">
        <f t="shared" si="24"/>
        <v>1204016</v>
      </c>
      <c r="K157" s="166">
        <f t="shared" si="27"/>
        <v>0</v>
      </c>
      <c r="L157" s="167"/>
      <c r="M157" s="168">
        <f t="shared" si="26"/>
        <v>1204016</v>
      </c>
      <c r="O157" s="208"/>
      <c r="P157" s="501"/>
      <c r="Q157" s="500"/>
      <c r="R157" s="500"/>
      <c r="T157" s="490"/>
      <c r="U157" s="723"/>
    </row>
    <row r="158" spans="1:21" x14ac:dyDescent="0.3">
      <c r="A158" s="162" t="str">
        <f>COA!B160</f>
        <v>6090 Corporate Tax Expense</v>
      </c>
      <c r="C158" s="166">
        <f t="shared" si="22"/>
        <v>0</v>
      </c>
      <c r="D158" s="166">
        <f t="shared" si="23"/>
        <v>0</v>
      </c>
      <c r="E158" s="167"/>
      <c r="F158" s="168">
        <f t="shared" si="25"/>
        <v>0</v>
      </c>
      <c r="H158" s="482"/>
      <c r="J158" s="166">
        <f t="shared" si="24"/>
        <v>0</v>
      </c>
      <c r="K158" s="166">
        <f t="shared" si="27"/>
        <v>0</v>
      </c>
      <c r="L158" s="167"/>
      <c r="M158" s="168">
        <f t="shared" si="26"/>
        <v>0</v>
      </c>
      <c r="O158" s="208"/>
      <c r="P158" s="501"/>
      <c r="Q158" s="500"/>
      <c r="R158" s="500"/>
      <c r="T158" s="490"/>
      <c r="U158" s="723"/>
    </row>
    <row r="159" spans="1:21" x14ac:dyDescent="0.3">
      <c r="A159" s="162" t="str">
        <f>COA!B161</f>
        <v>6092 Penalties</v>
      </c>
      <c r="C159" s="166">
        <f t="shared" si="22"/>
        <v>0</v>
      </c>
      <c r="D159" s="166">
        <f t="shared" si="23"/>
        <v>0</v>
      </c>
      <c r="E159" s="167"/>
      <c r="F159" s="168">
        <f t="shared" si="25"/>
        <v>0</v>
      </c>
      <c r="H159" s="482"/>
      <c r="J159" s="166">
        <f t="shared" si="24"/>
        <v>0</v>
      </c>
      <c r="K159" s="166">
        <f t="shared" si="27"/>
        <v>0</v>
      </c>
      <c r="L159" s="167"/>
      <c r="M159" s="168">
        <f t="shared" si="26"/>
        <v>0</v>
      </c>
      <c r="O159" s="208"/>
      <c r="P159" s="501"/>
      <c r="Q159" s="500"/>
      <c r="R159" s="500"/>
      <c r="T159" s="490"/>
      <c r="U159" s="723"/>
    </row>
    <row r="160" spans="1:21" x14ac:dyDescent="0.3">
      <c r="A160" s="162" t="str">
        <f>COA!B162</f>
        <v>6092 Penalities</v>
      </c>
      <c r="C160" s="166">
        <f t="shared" si="22"/>
        <v>0</v>
      </c>
      <c r="D160" s="166">
        <f t="shared" si="23"/>
        <v>0</v>
      </c>
      <c r="E160" s="167"/>
      <c r="F160" s="168">
        <f t="shared" si="25"/>
        <v>0</v>
      </c>
      <c r="H160" s="482"/>
      <c r="J160" s="166">
        <f t="shared" si="24"/>
        <v>0</v>
      </c>
      <c r="K160" s="166">
        <f t="shared" si="27"/>
        <v>0</v>
      </c>
      <c r="L160" s="167"/>
      <c r="M160" s="168">
        <f t="shared" si="26"/>
        <v>0</v>
      </c>
      <c r="O160" s="208"/>
      <c r="P160" s="501"/>
      <c r="Q160" s="500"/>
      <c r="R160" s="500"/>
      <c r="T160" s="490"/>
      <c r="U160" s="723"/>
    </row>
    <row r="161" spans="1:21" x14ac:dyDescent="0.3">
      <c r="A161" s="162" t="str">
        <f>COA!B163</f>
        <v>6100 Listing expense</v>
      </c>
      <c r="C161" s="166">
        <f t="shared" si="22"/>
        <v>0</v>
      </c>
      <c r="D161" s="166">
        <f t="shared" si="23"/>
        <v>0</v>
      </c>
      <c r="E161" s="167"/>
      <c r="F161" s="168">
        <f t="shared" si="25"/>
        <v>0</v>
      </c>
      <c r="H161" s="482"/>
      <c r="J161" s="166">
        <f t="shared" si="24"/>
        <v>0</v>
      </c>
      <c r="K161" s="166">
        <f t="shared" si="27"/>
        <v>0</v>
      </c>
      <c r="L161" s="167"/>
      <c r="M161" s="168">
        <f t="shared" si="26"/>
        <v>0</v>
      </c>
      <c r="O161" s="208"/>
      <c r="P161" s="501"/>
      <c r="Q161" s="500"/>
      <c r="R161" s="500"/>
      <c r="T161" s="490"/>
      <c r="U161" s="723"/>
    </row>
    <row r="162" spans="1:21" x14ac:dyDescent="0.3">
      <c r="A162" s="162" t="str">
        <f>COA!B164</f>
        <v>6300 Unapplied Cash Bill Payment Expense</v>
      </c>
      <c r="C162" s="166">
        <f t="shared" si="22"/>
        <v>0</v>
      </c>
      <c r="D162" s="166">
        <f t="shared" si="23"/>
        <v>0</v>
      </c>
      <c r="E162" s="167"/>
      <c r="F162" s="168">
        <f t="shared" si="25"/>
        <v>0</v>
      </c>
      <c r="H162" s="482"/>
      <c r="J162" s="166">
        <f t="shared" si="24"/>
        <v>0</v>
      </c>
      <c r="K162" s="166">
        <f t="shared" si="27"/>
        <v>0</v>
      </c>
      <c r="L162" s="167"/>
      <c r="M162" s="168">
        <f t="shared" si="26"/>
        <v>0</v>
      </c>
      <c r="O162" s="208"/>
      <c r="P162" s="501"/>
      <c r="Q162" s="500"/>
      <c r="R162" s="500"/>
      <c r="T162" s="490"/>
      <c r="U162" s="723"/>
    </row>
    <row r="163" spans="1:21" x14ac:dyDescent="0.3">
      <c r="A163" s="162" t="str">
        <f>COA!B165</f>
        <v>6300 Design and modeling</v>
      </c>
      <c r="C163" s="166">
        <f t="shared" si="22"/>
        <v>0</v>
      </c>
      <c r="D163" s="166">
        <f t="shared" si="23"/>
        <v>0</v>
      </c>
      <c r="E163" s="167"/>
      <c r="F163" s="168">
        <f t="shared" si="25"/>
        <v>0</v>
      </c>
      <c r="H163" s="482"/>
      <c r="J163" s="166">
        <f t="shared" si="24"/>
        <v>0</v>
      </c>
      <c r="K163" s="166">
        <f t="shared" si="27"/>
        <v>0</v>
      </c>
      <c r="L163" s="167"/>
      <c r="M163" s="168">
        <f t="shared" si="26"/>
        <v>0</v>
      </c>
      <c r="O163" s="208"/>
      <c r="P163" s="501"/>
      <c r="Q163" s="500"/>
      <c r="R163" s="500"/>
      <c r="T163" s="490"/>
      <c r="U163" s="723"/>
    </row>
    <row r="164" spans="1:21" x14ac:dyDescent="0.3">
      <c r="A164" s="162" t="str">
        <f>COA!B166</f>
        <v>6350 Other labor costs</v>
      </c>
      <c r="C164" s="166">
        <f t="shared" si="22"/>
        <v>0</v>
      </c>
      <c r="D164" s="166">
        <f t="shared" si="23"/>
        <v>0</v>
      </c>
      <c r="E164" s="167"/>
      <c r="F164" s="168">
        <f t="shared" si="25"/>
        <v>0</v>
      </c>
      <c r="H164" s="482"/>
      <c r="J164" s="166">
        <f t="shared" si="24"/>
        <v>0</v>
      </c>
      <c r="K164" s="166">
        <f t="shared" si="27"/>
        <v>0</v>
      </c>
      <c r="L164" s="167"/>
      <c r="M164" s="168">
        <f t="shared" si="26"/>
        <v>0</v>
      </c>
      <c r="O164" s="208"/>
      <c r="P164" s="501"/>
      <c r="Q164" s="500"/>
      <c r="R164" s="500"/>
      <c r="T164" s="490"/>
      <c r="U164" s="723"/>
    </row>
    <row r="165" spans="1:21" x14ac:dyDescent="0.3">
      <c r="A165" s="162" t="str">
        <f>COA!B167</f>
        <v>6997 Unapplied Cash Bill Payment Expense</v>
      </c>
      <c r="C165" s="166">
        <f t="shared" si="22"/>
        <v>0</v>
      </c>
      <c r="D165" s="166">
        <f t="shared" si="23"/>
        <v>0</v>
      </c>
      <c r="E165" s="167"/>
      <c r="F165" s="168">
        <f t="shared" si="25"/>
        <v>0</v>
      </c>
      <c r="H165" s="482"/>
      <c r="J165" s="166">
        <f t="shared" si="24"/>
        <v>0</v>
      </c>
      <c r="K165" s="166">
        <f t="shared" si="27"/>
        <v>0</v>
      </c>
      <c r="L165" s="167"/>
      <c r="M165" s="168">
        <f t="shared" si="26"/>
        <v>0</v>
      </c>
      <c r="O165" s="208"/>
      <c r="P165" s="501"/>
      <c r="Q165" s="500"/>
      <c r="R165" s="500"/>
      <c r="T165" s="490"/>
      <c r="U165" s="723"/>
    </row>
    <row r="166" spans="1:21" x14ac:dyDescent="0.3">
      <c r="A166" s="162" t="str">
        <f>COA!B168</f>
        <v>6998 Uncategorized Expense</v>
      </c>
      <c r="C166" s="166">
        <f t="shared" si="22"/>
        <v>0</v>
      </c>
      <c r="D166" s="166">
        <f t="shared" si="23"/>
        <v>0</v>
      </c>
      <c r="E166" s="167"/>
      <c r="F166" s="168">
        <f t="shared" si="25"/>
        <v>0</v>
      </c>
      <c r="H166" s="482"/>
      <c r="J166" s="166">
        <f t="shared" si="24"/>
        <v>0</v>
      </c>
      <c r="K166" s="166">
        <f t="shared" si="27"/>
        <v>0</v>
      </c>
      <c r="L166" s="167"/>
      <c r="M166" s="168">
        <f t="shared" si="26"/>
        <v>0</v>
      </c>
      <c r="O166" s="208"/>
      <c r="P166" s="501"/>
      <c r="Q166" s="500"/>
      <c r="R166" s="500"/>
      <c r="T166" s="490"/>
      <c r="U166" s="723"/>
    </row>
    <row r="167" spans="1:21" x14ac:dyDescent="0.3">
      <c r="A167" s="162" t="str">
        <f>COA!B169</f>
        <v>6999 Miscellaneous</v>
      </c>
      <c r="C167" s="166">
        <f t="shared" ref="C167:C180" si="28">SUMIFS($S:$S,$Q:$Q,$A167,$T:$T,$C$2,$U:$U,C$3)</f>
        <v>0</v>
      </c>
      <c r="D167" s="166">
        <f t="shared" ref="D167:D180" si="29">SUMIFS($S:$S,$Q:$Q,$A167,$T:$T,$K$2,$U:$U,D$3)</f>
        <v>0</v>
      </c>
      <c r="E167" s="167"/>
      <c r="F167" s="168">
        <f t="shared" si="25"/>
        <v>0</v>
      </c>
      <c r="H167" s="482"/>
      <c r="J167" s="166">
        <f t="shared" ref="J167:J180" si="30">SUMIFS($S:$S,$Q:$Q,$A167,$T:$T,$J$2,$U:$U,J$3)</f>
        <v>0</v>
      </c>
      <c r="K167" s="166">
        <f t="shared" si="27"/>
        <v>0</v>
      </c>
      <c r="L167" s="167"/>
      <c r="M167" s="168">
        <f t="shared" si="26"/>
        <v>0</v>
      </c>
      <c r="O167" s="208"/>
      <c r="P167" s="501"/>
      <c r="Q167" s="500"/>
      <c r="R167" s="500"/>
      <c r="T167" s="490"/>
      <c r="U167" s="723"/>
    </row>
    <row r="168" spans="1:21" x14ac:dyDescent="0.3">
      <c r="A168" s="162" t="str">
        <f>COA!B170</f>
        <v>7000 Reconciliation Discrepancies</v>
      </c>
      <c r="C168" s="166">
        <f t="shared" si="28"/>
        <v>0</v>
      </c>
      <c r="D168" s="166">
        <f t="shared" si="29"/>
        <v>0</v>
      </c>
      <c r="E168" s="167"/>
      <c r="F168" s="168">
        <f t="shared" si="25"/>
        <v>0</v>
      </c>
      <c r="H168" s="482"/>
      <c r="J168" s="166">
        <f t="shared" si="30"/>
        <v>0</v>
      </c>
      <c r="K168" s="166">
        <f t="shared" si="27"/>
        <v>0</v>
      </c>
      <c r="L168" s="167"/>
      <c r="M168" s="168">
        <f t="shared" si="26"/>
        <v>0</v>
      </c>
      <c r="O168" s="208"/>
      <c r="P168" s="501"/>
      <c r="Q168" s="500"/>
      <c r="R168" s="500"/>
      <c r="T168" s="490"/>
      <c r="U168" s="723"/>
    </row>
    <row r="169" spans="1:21" x14ac:dyDescent="0.3">
      <c r="A169" s="162" t="str">
        <f>COA!B171</f>
        <v>8000 Exchange Gain or Loss</v>
      </c>
      <c r="C169" s="166">
        <f t="shared" si="28"/>
        <v>0</v>
      </c>
      <c r="D169" s="166">
        <f t="shared" si="29"/>
        <v>0</v>
      </c>
      <c r="E169" s="167"/>
      <c r="F169" s="168">
        <f t="shared" si="25"/>
        <v>0</v>
      </c>
      <c r="H169" s="482"/>
      <c r="J169" s="166">
        <f t="shared" si="30"/>
        <v>0</v>
      </c>
      <c r="K169" s="166">
        <f t="shared" si="27"/>
        <v>0</v>
      </c>
      <c r="L169" s="167"/>
      <c r="M169" s="168">
        <f t="shared" si="26"/>
        <v>0</v>
      </c>
      <c r="O169" s="208"/>
      <c r="P169" s="501"/>
      <c r="Q169" s="500"/>
      <c r="R169" s="500"/>
      <c r="T169" s="490"/>
      <c r="U169" s="723"/>
    </row>
    <row r="170" spans="1:21" x14ac:dyDescent="0.3">
      <c r="A170" s="162" t="str">
        <f>COA!B172</f>
        <v>IMP1 - Warranty expense</v>
      </c>
      <c r="C170" s="166">
        <f t="shared" si="28"/>
        <v>0</v>
      </c>
      <c r="D170" s="166">
        <f t="shared" si="29"/>
        <v>0</v>
      </c>
      <c r="E170" s="167"/>
      <c r="F170" s="168">
        <f t="shared" si="25"/>
        <v>0</v>
      </c>
      <c r="H170" s="482"/>
      <c r="J170" s="166">
        <f t="shared" si="30"/>
        <v>0</v>
      </c>
      <c r="K170" s="166">
        <f t="shared" si="27"/>
        <v>0</v>
      </c>
      <c r="L170" s="167"/>
      <c r="M170" s="168">
        <f t="shared" si="26"/>
        <v>0</v>
      </c>
      <c r="O170" s="208"/>
      <c r="P170" s="501"/>
      <c r="Q170" s="500"/>
      <c r="R170" s="500"/>
      <c r="T170" s="490"/>
      <c r="U170" s="723"/>
    </row>
    <row r="171" spans="1:21" x14ac:dyDescent="0.3">
      <c r="A171" s="162" t="str">
        <f>COA!B173</f>
        <v>IMP2 - Engineering expense</v>
      </c>
      <c r="C171" s="166">
        <f t="shared" si="28"/>
        <v>0</v>
      </c>
      <c r="D171" s="166">
        <f t="shared" si="29"/>
        <v>0</v>
      </c>
      <c r="E171" s="167"/>
      <c r="F171" s="168">
        <f t="shared" si="25"/>
        <v>0</v>
      </c>
      <c r="H171" s="482"/>
      <c r="J171" s="166">
        <f t="shared" si="30"/>
        <v>0</v>
      </c>
      <c r="K171" s="166">
        <f t="shared" si="27"/>
        <v>0</v>
      </c>
      <c r="L171" s="167"/>
      <c r="M171" s="168">
        <f t="shared" si="26"/>
        <v>0</v>
      </c>
      <c r="O171" s="208"/>
      <c r="P171" s="501"/>
      <c r="Q171" s="500"/>
      <c r="R171" s="500"/>
      <c r="T171" s="490"/>
      <c r="U171" s="723"/>
    </row>
    <row r="172" spans="1:21" x14ac:dyDescent="0.3">
      <c r="A172" s="162" t="str">
        <f>COA!B174</f>
        <v>IMP3 - Commission expense</v>
      </c>
      <c r="C172" s="166">
        <f t="shared" si="28"/>
        <v>0</v>
      </c>
      <c r="D172" s="166">
        <f t="shared" si="29"/>
        <v>0</v>
      </c>
      <c r="E172" s="167"/>
      <c r="F172" s="168">
        <f t="shared" si="25"/>
        <v>0</v>
      </c>
      <c r="H172" s="482"/>
      <c r="J172" s="166">
        <f t="shared" si="30"/>
        <v>0</v>
      </c>
      <c r="K172" s="166">
        <f t="shared" si="27"/>
        <v>0</v>
      </c>
      <c r="L172" s="167"/>
      <c r="M172" s="168">
        <f t="shared" si="26"/>
        <v>0</v>
      </c>
      <c r="O172" s="208"/>
      <c r="P172" s="501"/>
      <c r="Q172" s="500"/>
      <c r="R172" s="500"/>
      <c r="T172" s="490"/>
      <c r="U172" s="723"/>
    </row>
    <row r="173" spans="1:21" x14ac:dyDescent="0.3">
      <c r="A173" s="162" t="str">
        <f>COA!B175</f>
        <v>IMP4 - Warranty Liability</v>
      </c>
      <c r="C173" s="166">
        <f t="shared" si="28"/>
        <v>0</v>
      </c>
      <c r="D173" s="166">
        <f t="shared" si="29"/>
        <v>0</v>
      </c>
      <c r="E173" s="167"/>
      <c r="F173" s="168">
        <f t="shared" ref="F173:F178" si="31">SUM(C173:E173)</f>
        <v>0</v>
      </c>
      <c r="H173" s="482"/>
      <c r="J173" s="166">
        <f t="shared" si="30"/>
        <v>0</v>
      </c>
      <c r="K173" s="166">
        <f t="shared" si="27"/>
        <v>0</v>
      </c>
      <c r="L173" s="167"/>
      <c r="M173" s="168">
        <f t="shared" ref="M173:M178" si="32">SUM(J173:L173)</f>
        <v>0</v>
      </c>
      <c r="O173" s="208"/>
      <c r="P173" s="501"/>
      <c r="Q173" s="500"/>
      <c r="R173" s="500"/>
      <c r="T173" s="490"/>
      <c r="U173" s="723"/>
    </row>
    <row r="174" spans="1:21" x14ac:dyDescent="0.3">
      <c r="A174" s="162" t="str">
        <f>COA!B176</f>
        <v>IMP5 - R&amp;D</v>
      </c>
      <c r="C174" s="166">
        <f t="shared" si="28"/>
        <v>0</v>
      </c>
      <c r="D174" s="166">
        <f t="shared" si="29"/>
        <v>0</v>
      </c>
      <c r="E174" s="167"/>
      <c r="F174" s="168">
        <f t="shared" si="31"/>
        <v>0</v>
      </c>
      <c r="H174" s="482"/>
      <c r="J174" s="166">
        <f t="shared" si="30"/>
        <v>0</v>
      </c>
      <c r="K174" s="166">
        <f t="shared" si="27"/>
        <v>0</v>
      </c>
      <c r="L174" s="167"/>
      <c r="M174" s="168">
        <f t="shared" si="32"/>
        <v>0</v>
      </c>
      <c r="O174" s="208"/>
      <c r="P174" s="501"/>
      <c r="Q174" s="500"/>
      <c r="R174" s="500"/>
      <c r="T174" s="490"/>
      <c r="U174" s="723"/>
    </row>
    <row r="175" spans="1:21" x14ac:dyDescent="0.3">
      <c r="A175" s="162" t="str">
        <f>COA!B177</f>
        <v>IMP6 - Acquisition costs</v>
      </c>
      <c r="C175" s="166">
        <f t="shared" si="28"/>
        <v>0</v>
      </c>
      <c r="D175" s="166">
        <f t="shared" si="29"/>
        <v>0</v>
      </c>
      <c r="E175" s="167"/>
      <c r="F175" s="168">
        <f t="shared" si="31"/>
        <v>0</v>
      </c>
      <c r="H175" s="482"/>
      <c r="J175" s="166">
        <f t="shared" si="30"/>
        <v>0</v>
      </c>
      <c r="K175" s="166">
        <f t="shared" si="27"/>
        <v>0</v>
      </c>
      <c r="L175" s="167"/>
      <c r="M175" s="168">
        <f t="shared" si="32"/>
        <v>0</v>
      </c>
      <c r="O175" s="208"/>
      <c r="P175" s="501"/>
      <c r="Q175" s="500"/>
      <c r="R175" s="500"/>
      <c r="T175" s="490"/>
      <c r="U175" s="723"/>
    </row>
    <row r="176" spans="1:21" x14ac:dyDescent="0.3">
      <c r="A176" s="162" t="str">
        <f>COA!B178</f>
        <v>IMP9 - Share-based compensation</v>
      </c>
      <c r="C176" s="166">
        <f t="shared" si="28"/>
        <v>0</v>
      </c>
      <c r="D176" s="166">
        <f t="shared" si="29"/>
        <v>0</v>
      </c>
      <c r="E176" s="167"/>
      <c r="F176" s="168">
        <f t="shared" si="31"/>
        <v>0</v>
      </c>
      <c r="H176" s="482"/>
      <c r="J176" s="166">
        <f t="shared" si="30"/>
        <v>0</v>
      </c>
      <c r="K176" s="166">
        <f t="shared" si="27"/>
        <v>0</v>
      </c>
      <c r="L176" s="167"/>
      <c r="M176" s="168">
        <f t="shared" si="32"/>
        <v>0</v>
      </c>
      <c r="O176" s="208"/>
      <c r="P176" s="501"/>
      <c r="Q176" s="500"/>
      <c r="R176" s="500"/>
      <c r="T176" s="490"/>
      <c r="U176" s="723"/>
    </row>
    <row r="177" spans="1:21" x14ac:dyDescent="0.3">
      <c r="A177" s="162" t="str">
        <f>COA!B179</f>
        <v>6200 Accretion expense</v>
      </c>
      <c r="C177" s="166">
        <f t="shared" si="28"/>
        <v>0</v>
      </c>
      <c r="D177" s="166">
        <f t="shared" si="29"/>
        <v>0</v>
      </c>
      <c r="E177" s="167"/>
      <c r="F177" s="168">
        <f t="shared" si="31"/>
        <v>0</v>
      </c>
      <c r="H177" s="482"/>
      <c r="J177" s="166">
        <f t="shared" si="30"/>
        <v>0</v>
      </c>
      <c r="K177" s="166">
        <f t="shared" si="27"/>
        <v>0</v>
      </c>
      <c r="L177" s="167"/>
      <c r="M177" s="168">
        <f t="shared" si="32"/>
        <v>0</v>
      </c>
      <c r="O177" s="208"/>
      <c r="P177" s="501"/>
      <c r="Q177" s="500"/>
      <c r="R177" s="500"/>
      <c r="T177" s="490"/>
      <c r="U177" s="723"/>
    </row>
    <row r="178" spans="1:21" x14ac:dyDescent="0.3">
      <c r="A178" s="162" t="str">
        <f>COA!B180</f>
        <v>6250 Finance expense</v>
      </c>
      <c r="C178" s="166">
        <f t="shared" si="28"/>
        <v>0</v>
      </c>
      <c r="D178" s="166">
        <f t="shared" si="29"/>
        <v>0</v>
      </c>
      <c r="E178" s="167"/>
      <c r="F178" s="168">
        <f t="shared" si="31"/>
        <v>0</v>
      </c>
      <c r="H178" s="482"/>
      <c r="J178" s="166">
        <f t="shared" si="30"/>
        <v>0</v>
      </c>
      <c r="K178" s="166">
        <f t="shared" si="27"/>
        <v>0</v>
      </c>
      <c r="L178" s="167"/>
      <c r="M178" s="168">
        <f t="shared" si="32"/>
        <v>0</v>
      </c>
      <c r="O178" s="208"/>
      <c r="P178" s="501"/>
      <c r="Q178" s="500"/>
      <c r="R178" s="500"/>
      <c r="T178" s="490"/>
      <c r="U178" s="723"/>
    </row>
    <row r="179" spans="1:21" x14ac:dyDescent="0.3">
      <c r="A179" s="162" t="e">
        <f>COA!#REF!</f>
        <v>#REF!</v>
      </c>
      <c r="C179" s="166">
        <f t="shared" si="28"/>
        <v>0</v>
      </c>
      <c r="D179" s="166">
        <f t="shared" si="29"/>
        <v>0</v>
      </c>
      <c r="E179" s="167"/>
      <c r="F179" s="168">
        <f t="shared" ref="F179:F180" si="33">SUM(C179:E179)</f>
        <v>0</v>
      </c>
      <c r="H179" s="482"/>
      <c r="J179" s="166">
        <f t="shared" si="30"/>
        <v>0</v>
      </c>
      <c r="K179" s="166">
        <f t="shared" si="27"/>
        <v>0</v>
      </c>
      <c r="L179" s="167"/>
      <c r="M179" s="168">
        <f t="shared" ref="M179:M180" si="34">SUM(J179:L179)</f>
        <v>0</v>
      </c>
      <c r="O179" s="208"/>
      <c r="P179" s="501"/>
      <c r="Q179" s="500"/>
      <c r="R179" s="500"/>
      <c r="T179" s="490"/>
      <c r="U179" s="723"/>
    </row>
    <row r="180" spans="1:21" x14ac:dyDescent="0.3">
      <c r="A180" s="162" t="e">
        <f>COA!#REF!</f>
        <v>#REF!</v>
      </c>
      <c r="C180" s="166">
        <f t="shared" si="28"/>
        <v>0</v>
      </c>
      <c r="D180" s="166">
        <f t="shared" si="29"/>
        <v>0</v>
      </c>
      <c r="E180" s="167"/>
      <c r="F180" s="168">
        <f t="shared" si="33"/>
        <v>0</v>
      </c>
      <c r="H180" s="482"/>
      <c r="J180" s="166">
        <f t="shared" si="30"/>
        <v>0</v>
      </c>
      <c r="K180" s="166">
        <f t="shared" si="27"/>
        <v>0</v>
      </c>
      <c r="L180" s="167"/>
      <c r="M180" s="168">
        <f t="shared" si="34"/>
        <v>0</v>
      </c>
      <c r="O180" s="208"/>
      <c r="P180" s="501"/>
      <c r="Q180" s="500"/>
      <c r="R180" s="500"/>
      <c r="T180" s="490"/>
      <c r="U180" s="723"/>
    </row>
    <row r="181" spans="1:21" x14ac:dyDescent="0.3">
      <c r="A181" s="164"/>
      <c r="B181" s="165"/>
      <c r="C181" s="169"/>
      <c r="D181" s="169"/>
      <c r="E181" s="170"/>
      <c r="F181" s="171">
        <f t="shared" si="25"/>
        <v>0</v>
      </c>
      <c r="G181" s="165"/>
      <c r="H181" s="972"/>
      <c r="I181" s="165"/>
      <c r="J181" s="169"/>
      <c r="K181" s="169"/>
      <c r="L181" s="170"/>
      <c r="M181" s="171">
        <f t="shared" si="26"/>
        <v>0</v>
      </c>
      <c r="O181" s="208"/>
      <c r="P181" s="501"/>
      <c r="Q181" s="500"/>
      <c r="R181" s="500"/>
      <c r="T181" s="490"/>
      <c r="U181" s="723"/>
    </row>
  </sheetData>
  <dataValidations count="6">
    <dataValidation type="list" allowBlank="1" showInputMessage="1" showErrorMessage="1" sqref="U126:U153 U157:U181" xr:uid="{1725D79C-1628-48C9-87A9-D4DCC2585ABE}">
      <formula1>$J$2:$J$3</formula1>
    </dataValidation>
    <dataValidation type="list" allowBlank="1" showInputMessage="1" showErrorMessage="1" sqref="Q7:Q83" xr:uid="{96740878-BA88-49BF-9B38-E30119441468}">
      <formula1>$A$7:$A$181</formula1>
    </dataValidation>
    <dataValidation type="list" allowBlank="1" showInputMessage="1" showErrorMessage="1" sqref="U7:U125" xr:uid="{347ACF28-9E9E-40F5-8523-977E2927A6B1}">
      <formula1>$P$1:$P$3</formula1>
    </dataValidation>
    <dataValidation type="list" allowBlank="1" showInputMessage="1" showErrorMessage="1" sqref="T154:T156" xr:uid="{F81EBB4E-5BC2-457E-8485-127CCD252FBF}">
      <formula1>$S$1:$T$1</formula1>
    </dataValidation>
    <dataValidation type="list" allowBlank="1" showInputMessage="1" showErrorMessage="1" sqref="U154:U156" xr:uid="{33CA17DC-62CA-4B2C-91F4-76420F6BCB6D}">
      <formula1>$Q$1:$Q$2</formula1>
    </dataValidation>
    <dataValidation type="list" allowBlank="1" showInputMessage="1" showErrorMessage="1" sqref="Q154:Q156" xr:uid="{AE1C8B0E-E529-428A-881C-DCF6DC0568FB}">
      <formula1>$A$6:$A$179</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4062559-FE4A-4E65-A57E-34A708F3D2D2}">
          <x14:formula1>
            <xm:f>INPUTS!$B$16:$B$19</xm:f>
          </x14:formula1>
          <xm:sqref>T7:T153 T157:T181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76215-265C-4C4A-8DA6-5B264FE52765}">
  <sheetPr>
    <tabColor theme="1"/>
  </sheetPr>
  <dimension ref="B2"/>
  <sheetViews>
    <sheetView workbookViewId="0"/>
  </sheetViews>
  <sheetFormatPr defaultColWidth="9.109375" defaultRowHeight="12" x14ac:dyDescent="0.25"/>
  <cols>
    <col min="1" max="16384" width="9.109375" style="140"/>
  </cols>
  <sheetData>
    <row r="2" spans="2:2" x14ac:dyDescent="0.25">
      <c r="B2" s="139" t="s">
        <v>23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D276-9D14-42D1-AF5D-63FCD413284C}">
  <sheetPr>
    <tabColor rgb="FFFF33CC"/>
  </sheetPr>
  <dimension ref="A1:Y182"/>
  <sheetViews>
    <sheetView workbookViewId="0">
      <pane xSplit="4" ySplit="4" topLeftCell="E130" activePane="bottomRight" state="frozen"/>
      <selection pane="topRight" activeCell="E1" sqref="E1"/>
      <selection pane="bottomLeft" activeCell="A5" sqref="A5"/>
      <selection pane="bottomRight" activeCell="E5" sqref="E5"/>
    </sheetView>
  </sheetViews>
  <sheetFormatPr defaultRowHeight="14.4" x14ac:dyDescent="0.3"/>
  <cols>
    <col min="1" max="1" width="40.44140625" bestFit="1" customWidth="1"/>
    <col min="2" max="2" width="12.44140625" customWidth="1"/>
    <col min="3" max="3" width="11.109375" customWidth="1"/>
    <col min="4" max="4" width="4" customWidth="1"/>
    <col min="5" max="5" width="3.88671875" customWidth="1"/>
    <col min="6" max="7" width="13.6640625" bestFit="1" customWidth="1"/>
    <col min="8" max="8" width="3.5546875" customWidth="1"/>
    <col min="9" max="10" width="13.6640625" bestFit="1" customWidth="1"/>
    <col min="11" max="11" width="2.5546875" customWidth="1"/>
    <col min="12" max="13" width="13.6640625" bestFit="1" customWidth="1"/>
    <col min="14" max="14" width="2.5546875" customWidth="1"/>
    <col min="15" max="16" width="13.6640625" bestFit="1" customWidth="1"/>
    <col min="17" max="17" width="2.77734375" customWidth="1"/>
    <col min="18" max="19" width="13.6640625" bestFit="1" customWidth="1"/>
  </cols>
  <sheetData>
    <row r="1" spans="1:25" x14ac:dyDescent="0.3">
      <c r="A1" s="175" t="s">
        <v>507</v>
      </c>
      <c r="B1" s="1297">
        <f>SUM(B6:B195)</f>
        <v>-5.6024873629212379E-10</v>
      </c>
      <c r="C1" s="1297">
        <f>SUM(C6:C195)</f>
        <v>1.4350121091410983E-10</v>
      </c>
      <c r="F1" s="1297">
        <f>SUM(F5:F195)</f>
        <v>1.0113581083714962E-9</v>
      </c>
      <c r="G1" s="1297">
        <f>SUM(G5:G195)</f>
        <v>0</v>
      </c>
      <c r="I1" s="1297">
        <f>SUM(I5:I195)</f>
        <v>9.3132257461547852E-10</v>
      </c>
      <c r="J1" s="1297">
        <f>SUM(J5:J195)</f>
        <v>0</v>
      </c>
      <c r="L1" s="1297">
        <f>SUM(L5:L195)</f>
        <v>9.3132257461547852E-10</v>
      </c>
      <c r="M1" s="1297">
        <f>SUM(M5:M195)</f>
        <v>0</v>
      </c>
      <c r="O1" s="1297">
        <f>SUM(O5:O195)</f>
        <v>9.3132257461547852E-10</v>
      </c>
      <c r="P1" s="1297">
        <f>SUM(P5:P195)</f>
        <v>0</v>
      </c>
      <c r="R1" s="1297">
        <f>SUM(R5:R195)</f>
        <v>9.3132257461547852E-10</v>
      </c>
      <c r="S1" s="1297">
        <f>SUM(S5:S195)</f>
        <v>0</v>
      </c>
    </row>
    <row r="3" spans="1:25" x14ac:dyDescent="0.3">
      <c r="B3" s="1567">
        <v>45838</v>
      </c>
      <c r="C3" s="1567">
        <f>B3</f>
        <v>45838</v>
      </c>
      <c r="D3" s="713"/>
      <c r="E3" s="713"/>
      <c r="F3" s="1567">
        <f>EOMONTH(B3,12)</f>
        <v>46203</v>
      </c>
      <c r="G3" s="1567">
        <f>F3</f>
        <v>46203</v>
      </c>
      <c r="H3" s="1563"/>
      <c r="I3" s="1567">
        <f>EOMONTH(F3,12)</f>
        <v>46568</v>
      </c>
      <c r="J3" s="1567">
        <f>I3</f>
        <v>46568</v>
      </c>
      <c r="K3" s="1563"/>
      <c r="L3" s="1567">
        <f>EOMONTH(I3,12)</f>
        <v>46934</v>
      </c>
      <c r="M3" s="1567">
        <f>L3</f>
        <v>46934</v>
      </c>
      <c r="N3" s="1563"/>
      <c r="O3" s="1567">
        <f>EOMONTH(L3,12)</f>
        <v>47299</v>
      </c>
      <c r="P3" s="1567">
        <f>O3</f>
        <v>47299</v>
      </c>
      <c r="Q3" s="1563"/>
      <c r="R3" s="1567">
        <f>EOMONTH(O3,12)</f>
        <v>47664</v>
      </c>
      <c r="S3" s="1567">
        <f>R3</f>
        <v>47664</v>
      </c>
      <c r="T3" s="1563"/>
      <c r="U3" s="1563"/>
      <c r="V3" s="1563"/>
      <c r="W3" s="1563"/>
      <c r="X3" s="1563"/>
      <c r="Y3" s="1563"/>
    </row>
    <row r="4" spans="1:25" ht="15" thickBot="1" x14ac:dyDescent="0.35">
      <c r="A4" s="1564" t="s">
        <v>894</v>
      </c>
      <c r="B4" s="1565" t="s">
        <v>2263</v>
      </c>
      <c r="C4" s="1565" t="s">
        <v>2264</v>
      </c>
      <c r="F4" s="1565" t="s">
        <v>2263</v>
      </c>
      <c r="G4" s="1565" t="s">
        <v>2264</v>
      </c>
      <c r="I4" s="1565" t="s">
        <v>2263</v>
      </c>
      <c r="J4" s="1565" t="s">
        <v>2264</v>
      </c>
      <c r="L4" s="1565" t="s">
        <v>2263</v>
      </c>
      <c r="M4" s="1565" t="s">
        <v>2264</v>
      </c>
      <c r="O4" s="1565" t="s">
        <v>2263</v>
      </c>
      <c r="P4" s="1565" t="s">
        <v>2264</v>
      </c>
      <c r="R4" s="1565" t="s">
        <v>2263</v>
      </c>
      <c r="S4" s="1565" t="s">
        <v>2264</v>
      </c>
    </row>
    <row r="5" spans="1:25" x14ac:dyDescent="0.3">
      <c r="A5" s="1389" t="s">
        <v>2279</v>
      </c>
      <c r="B5" s="1390"/>
      <c r="C5" s="1390"/>
      <c r="F5" s="1390">
        <f>_xlfn.XLOOKUP($A5,'TB FORMATTED'!$M:$M,'TB FORMATTED'!N:N,0,0,1)-_xlfn.XLOOKUP($A5,'TB FORMATTED'!$M:$M,'TB FORMATTED'!O:O,0,0,1)</f>
        <v>0</v>
      </c>
      <c r="G5" s="1390">
        <f>_xlfn.XLOOKUP($A5,'TB FORMATTED'!$M:$M,'TB FORMATTED'!P:P,0,0,1)-_xlfn.XLOOKUP($A5,'TB FORMATTED'!$M:$M,'TB FORMATTED'!Q:Q,0,0,1)</f>
        <v>0</v>
      </c>
      <c r="I5" s="1390">
        <f>F5</f>
        <v>0</v>
      </c>
      <c r="J5" s="1390">
        <f>G5</f>
        <v>0</v>
      </c>
      <c r="L5" s="1390">
        <f>I5</f>
        <v>0</v>
      </c>
      <c r="M5" s="1390">
        <f>J5</f>
        <v>0</v>
      </c>
      <c r="O5" s="1390">
        <f>L5</f>
        <v>0</v>
      </c>
      <c r="P5" s="1390">
        <f>M5</f>
        <v>0</v>
      </c>
      <c r="R5" s="1390">
        <f>O5</f>
        <v>0</v>
      </c>
      <c r="S5" s="1390">
        <f>P5</f>
        <v>0</v>
      </c>
    </row>
    <row r="6" spans="1:25" x14ac:dyDescent="0.3">
      <c r="A6" s="1389" t="s">
        <v>453</v>
      </c>
      <c r="B6" s="1390">
        <v>-101.64</v>
      </c>
      <c r="C6" s="1390">
        <v>0</v>
      </c>
      <c r="F6" s="1390">
        <f>_xlfn.XLOOKUP($A6,'TB FORMATTED'!$M:$M,'TB FORMATTED'!N:N,0,0,1)-_xlfn.XLOOKUP($A6,'TB FORMATTED'!$M:$M,'TB FORMATTED'!O:O,0,0,1)</f>
        <v>-165.34</v>
      </c>
      <c r="G6" s="1390">
        <f>_xlfn.XLOOKUP($A6,'TB FORMATTED'!$M:$M,'TB FORMATTED'!P:P,0,0,1)-_xlfn.XLOOKUP($A6,'TB FORMATTED'!$M:$M,'TB FORMATTED'!Q:Q,0,0,1)</f>
        <v>0</v>
      </c>
      <c r="I6" s="1390">
        <f t="shared" ref="I6:I69" si="0">F6</f>
        <v>-165.34</v>
      </c>
      <c r="J6" s="1390">
        <f t="shared" ref="J6:J69" si="1">G6</f>
        <v>0</v>
      </c>
      <c r="L6" s="1390">
        <f t="shared" ref="L6:L69" si="2">I6</f>
        <v>-165.34</v>
      </c>
      <c r="M6" s="1390">
        <f t="shared" ref="M6:M69" si="3">J6</f>
        <v>0</v>
      </c>
      <c r="O6" s="1390">
        <f t="shared" ref="O6:O69" si="4">L6</f>
        <v>-165.34</v>
      </c>
      <c r="P6" s="1390">
        <f t="shared" ref="P6:P69" si="5">M6</f>
        <v>0</v>
      </c>
      <c r="R6" s="1390">
        <f t="shared" ref="R6:R69" si="6">O6</f>
        <v>-165.34</v>
      </c>
      <c r="S6" s="1390">
        <f t="shared" ref="S6:S69" si="7">P6</f>
        <v>0</v>
      </c>
    </row>
    <row r="7" spans="1:25" x14ac:dyDescent="0.3">
      <c r="A7" s="1389" t="s">
        <v>521</v>
      </c>
      <c r="B7" s="1390">
        <v>0</v>
      </c>
      <c r="C7" s="1390">
        <v>0</v>
      </c>
      <c r="F7" s="1390">
        <f>_xlfn.XLOOKUP($A7,'TB FORMATTED'!$M:$M,'TB FORMATTED'!N:N,0,0,1)-_xlfn.XLOOKUP($A7,'TB FORMATTED'!$M:$M,'TB FORMATTED'!O:O,0,0,1)</f>
        <v>0</v>
      </c>
      <c r="G7" s="1390">
        <f>_xlfn.XLOOKUP($A7,'TB FORMATTED'!$M:$M,'TB FORMATTED'!P:P,0,0,1)-_xlfn.XLOOKUP($A7,'TB FORMATTED'!$M:$M,'TB FORMATTED'!Q:Q,0,0,1)</f>
        <v>0</v>
      </c>
      <c r="I7" s="1390">
        <f t="shared" si="0"/>
        <v>0</v>
      </c>
      <c r="J7" s="1390">
        <f t="shared" si="1"/>
        <v>0</v>
      </c>
      <c r="L7" s="1390">
        <f t="shared" si="2"/>
        <v>0</v>
      </c>
      <c r="M7" s="1390">
        <f t="shared" si="3"/>
        <v>0</v>
      </c>
      <c r="O7" s="1390">
        <f t="shared" si="4"/>
        <v>0</v>
      </c>
      <c r="P7" s="1390">
        <f t="shared" si="5"/>
        <v>0</v>
      </c>
      <c r="R7" s="1390">
        <f t="shared" si="6"/>
        <v>0</v>
      </c>
      <c r="S7" s="1390">
        <f t="shared" si="7"/>
        <v>0</v>
      </c>
    </row>
    <row r="8" spans="1:25" x14ac:dyDescent="0.3">
      <c r="A8" s="1389" t="s">
        <v>515</v>
      </c>
      <c r="B8" s="1390">
        <v>0</v>
      </c>
      <c r="C8" s="1390">
        <v>198</v>
      </c>
      <c r="F8" s="1390">
        <f>_xlfn.XLOOKUP($A8,'TB FORMATTED'!$M:$M,'TB FORMATTED'!N:N,0,0,1)-_xlfn.XLOOKUP($A8,'TB FORMATTED'!$M:$M,'TB FORMATTED'!O:O,0,0,1)</f>
        <v>0</v>
      </c>
      <c r="G8" s="1390">
        <f>_xlfn.XLOOKUP($A8,'TB FORMATTED'!$M:$M,'TB FORMATTED'!P:P,0,0,1)-_xlfn.XLOOKUP($A8,'TB FORMATTED'!$M:$M,'TB FORMATTED'!Q:Q,0,0,1)</f>
        <v>198</v>
      </c>
      <c r="I8" s="1390">
        <f t="shared" si="0"/>
        <v>0</v>
      </c>
      <c r="J8" s="1390">
        <f t="shared" si="1"/>
        <v>198</v>
      </c>
      <c r="L8" s="1390">
        <f t="shared" si="2"/>
        <v>0</v>
      </c>
      <c r="M8" s="1390">
        <f t="shared" si="3"/>
        <v>198</v>
      </c>
      <c r="O8" s="1390">
        <f t="shared" si="4"/>
        <v>0</v>
      </c>
      <c r="P8" s="1390">
        <f t="shared" si="5"/>
        <v>198</v>
      </c>
      <c r="R8" s="1390">
        <f t="shared" si="6"/>
        <v>0</v>
      </c>
      <c r="S8" s="1390">
        <f t="shared" si="7"/>
        <v>198</v>
      </c>
    </row>
    <row r="9" spans="1:25" x14ac:dyDescent="0.3">
      <c r="A9" s="1389" t="s">
        <v>516</v>
      </c>
      <c r="B9" s="1390">
        <v>0</v>
      </c>
      <c r="C9" s="1390">
        <v>52.7</v>
      </c>
      <c r="F9" s="1390">
        <f>_xlfn.XLOOKUP($A9,'TB FORMATTED'!$M:$M,'TB FORMATTED'!N:N,0,0,1)-_xlfn.XLOOKUP($A9,'TB FORMATTED'!$M:$M,'TB FORMATTED'!O:O,0,0,1)</f>
        <v>0</v>
      </c>
      <c r="G9" s="1390">
        <f>_xlfn.XLOOKUP($A9,'TB FORMATTED'!$M:$M,'TB FORMATTED'!P:P,0,0,1)-_xlfn.XLOOKUP($A9,'TB FORMATTED'!$M:$M,'TB FORMATTED'!Q:Q,0,0,1)</f>
        <v>436367.55</v>
      </c>
      <c r="I9" s="1390">
        <f t="shared" si="0"/>
        <v>0</v>
      </c>
      <c r="J9" s="1390">
        <f t="shared" si="1"/>
        <v>436367.55</v>
      </c>
      <c r="L9" s="1390">
        <f t="shared" si="2"/>
        <v>0</v>
      </c>
      <c r="M9" s="1390">
        <f t="shared" si="3"/>
        <v>436367.55</v>
      </c>
      <c r="O9" s="1390">
        <f t="shared" si="4"/>
        <v>0</v>
      </c>
      <c r="P9" s="1390">
        <f t="shared" si="5"/>
        <v>436367.55</v>
      </c>
      <c r="R9" s="1390">
        <f t="shared" si="6"/>
        <v>0</v>
      </c>
      <c r="S9" s="1390">
        <f t="shared" si="7"/>
        <v>436367.55</v>
      </c>
    </row>
    <row r="10" spans="1:25" x14ac:dyDescent="0.3">
      <c r="A10" s="1389" t="s">
        <v>517</v>
      </c>
      <c r="B10" s="1390">
        <v>0</v>
      </c>
      <c r="C10" s="1390">
        <v>0.03</v>
      </c>
      <c r="F10" s="1390">
        <f>_xlfn.XLOOKUP($A10,'TB FORMATTED'!$M:$M,'TB FORMATTED'!N:N,0,0,1)-_xlfn.XLOOKUP($A10,'TB FORMATTED'!$M:$M,'TB FORMATTED'!O:O,0,0,1)</f>
        <v>0</v>
      </c>
      <c r="G10" s="1390">
        <f>_xlfn.XLOOKUP($A10,'TB FORMATTED'!$M:$M,'TB FORMATTED'!P:P,0,0,1)-_xlfn.XLOOKUP($A10,'TB FORMATTED'!$M:$M,'TB FORMATTED'!Q:Q,0,0,1)</f>
        <v>61000.03</v>
      </c>
      <c r="I10" s="1390">
        <f t="shared" si="0"/>
        <v>0</v>
      </c>
      <c r="J10" s="1390">
        <f t="shared" si="1"/>
        <v>61000.03</v>
      </c>
      <c r="L10" s="1390">
        <f t="shared" si="2"/>
        <v>0</v>
      </c>
      <c r="M10" s="1390">
        <f t="shared" si="3"/>
        <v>61000.03</v>
      </c>
      <c r="O10" s="1390">
        <f t="shared" si="4"/>
        <v>0</v>
      </c>
      <c r="P10" s="1390">
        <f t="shared" si="5"/>
        <v>61000.03</v>
      </c>
      <c r="R10" s="1390">
        <f t="shared" si="6"/>
        <v>0</v>
      </c>
      <c r="S10" s="1390">
        <f t="shared" si="7"/>
        <v>61000.03</v>
      </c>
    </row>
    <row r="11" spans="1:25" x14ac:dyDescent="0.3">
      <c r="A11" s="1389" t="s">
        <v>532</v>
      </c>
      <c r="B11" s="1390">
        <v>0</v>
      </c>
      <c r="C11" s="1390">
        <v>-7199.51</v>
      </c>
      <c r="F11" s="1390">
        <f>_xlfn.XLOOKUP($A11,'TB FORMATTED'!$M:$M,'TB FORMATTED'!N:N,0,0,1)-_xlfn.XLOOKUP($A11,'TB FORMATTED'!$M:$M,'TB FORMATTED'!O:O,0,0,1)</f>
        <v>0</v>
      </c>
      <c r="G11" s="1390">
        <f>_xlfn.XLOOKUP($A11,'TB FORMATTED'!$M:$M,'TB FORMATTED'!P:P,0,0,1)-_xlfn.XLOOKUP($A11,'TB FORMATTED'!$M:$M,'TB FORMATTED'!Q:Q,0,0,1)</f>
        <v>777.83</v>
      </c>
      <c r="I11" s="1390">
        <f t="shared" si="0"/>
        <v>0</v>
      </c>
      <c r="J11" s="1390">
        <f t="shared" si="1"/>
        <v>777.83</v>
      </c>
      <c r="L11" s="1390">
        <f t="shared" si="2"/>
        <v>0</v>
      </c>
      <c r="M11" s="1390">
        <f t="shared" si="3"/>
        <v>777.83</v>
      </c>
      <c r="O11" s="1390">
        <f t="shared" si="4"/>
        <v>0</v>
      </c>
      <c r="P11" s="1390">
        <f t="shared" si="5"/>
        <v>777.83</v>
      </c>
      <c r="R11" s="1390">
        <f t="shared" si="6"/>
        <v>0</v>
      </c>
      <c r="S11" s="1390">
        <f t="shared" si="7"/>
        <v>777.83</v>
      </c>
    </row>
    <row r="12" spans="1:25" x14ac:dyDescent="0.3">
      <c r="A12" s="1389" t="s">
        <v>323</v>
      </c>
      <c r="B12" s="1390">
        <v>0</v>
      </c>
      <c r="C12" s="1390">
        <v>0</v>
      </c>
      <c r="F12" s="1390">
        <f>_xlfn.XLOOKUP($A12,'TB FORMATTED'!$M:$M,'TB FORMATTED'!N:N,0,0,1)-_xlfn.XLOOKUP($A12,'TB FORMATTED'!$M:$M,'TB FORMATTED'!O:O,0,0,1)</f>
        <v>0</v>
      </c>
      <c r="G12" s="1390">
        <f>_xlfn.XLOOKUP($A12,'TB FORMATTED'!$M:$M,'TB FORMATTED'!P:P,0,0,1)-_xlfn.XLOOKUP($A12,'TB FORMATTED'!$M:$M,'TB FORMATTED'!Q:Q,0,0,1)</f>
        <v>0</v>
      </c>
      <c r="I12" s="1390">
        <f t="shared" si="0"/>
        <v>0</v>
      </c>
      <c r="J12" s="1390">
        <f t="shared" si="1"/>
        <v>0</v>
      </c>
      <c r="L12" s="1390">
        <f t="shared" si="2"/>
        <v>0</v>
      </c>
      <c r="M12" s="1390">
        <f t="shared" si="3"/>
        <v>0</v>
      </c>
      <c r="O12" s="1390">
        <f t="shared" si="4"/>
        <v>0</v>
      </c>
      <c r="P12" s="1390">
        <f t="shared" si="5"/>
        <v>0</v>
      </c>
      <c r="R12" s="1390">
        <f t="shared" si="6"/>
        <v>0</v>
      </c>
      <c r="S12" s="1390">
        <f t="shared" si="7"/>
        <v>0</v>
      </c>
    </row>
    <row r="13" spans="1:25" x14ac:dyDescent="0.3">
      <c r="A13" s="1389" t="s">
        <v>518</v>
      </c>
      <c r="B13" s="1390">
        <v>0</v>
      </c>
      <c r="C13" s="1390">
        <v>242.6</v>
      </c>
      <c r="F13" s="1390">
        <f>_xlfn.XLOOKUP($A13,'TB FORMATTED'!$M:$M,'TB FORMATTED'!N:N,0,0,1)-_xlfn.XLOOKUP($A13,'TB FORMATTED'!$M:$M,'TB FORMATTED'!O:O,0,0,1)</f>
        <v>0</v>
      </c>
      <c r="G13" s="1390">
        <f>_xlfn.XLOOKUP($A13,'TB FORMATTED'!$M:$M,'TB FORMATTED'!P:P,0,0,1)-_xlfn.XLOOKUP($A13,'TB FORMATTED'!$M:$M,'TB FORMATTED'!Q:Q,0,0,1)</f>
        <v>242.6</v>
      </c>
      <c r="I13" s="1390">
        <f t="shared" si="0"/>
        <v>0</v>
      </c>
      <c r="J13" s="1390">
        <f t="shared" si="1"/>
        <v>242.6</v>
      </c>
      <c r="L13" s="1390">
        <f t="shared" si="2"/>
        <v>0</v>
      </c>
      <c r="M13" s="1390">
        <f t="shared" si="3"/>
        <v>242.6</v>
      </c>
      <c r="O13" s="1390">
        <f t="shared" si="4"/>
        <v>0</v>
      </c>
      <c r="P13" s="1390">
        <f t="shared" si="5"/>
        <v>242.6</v>
      </c>
      <c r="R13" s="1390">
        <f t="shared" si="6"/>
        <v>0</v>
      </c>
      <c r="S13" s="1390">
        <f t="shared" si="7"/>
        <v>242.6</v>
      </c>
    </row>
    <row r="14" spans="1:25" x14ac:dyDescent="0.3">
      <c r="A14" s="1389" t="s">
        <v>519</v>
      </c>
      <c r="B14" s="1390">
        <v>0</v>
      </c>
      <c r="C14" s="1390">
        <v>6.04</v>
      </c>
      <c r="F14" s="1390">
        <f>_xlfn.XLOOKUP($A14,'TB FORMATTED'!$M:$M,'TB FORMATTED'!N:N,0,0,1)-_xlfn.XLOOKUP($A14,'TB FORMATTED'!$M:$M,'TB FORMATTED'!O:O,0,0,1)</f>
        <v>0</v>
      </c>
      <c r="G14" s="1390">
        <f>_xlfn.XLOOKUP($A14,'TB FORMATTED'!$M:$M,'TB FORMATTED'!P:P,0,0,1)-_xlfn.XLOOKUP($A14,'TB FORMATTED'!$M:$M,'TB FORMATTED'!Q:Q,0,0,1)</f>
        <v>6.04</v>
      </c>
      <c r="I14" s="1390">
        <f t="shared" si="0"/>
        <v>0</v>
      </c>
      <c r="J14" s="1390">
        <f t="shared" si="1"/>
        <v>6.04</v>
      </c>
      <c r="L14" s="1390">
        <f t="shared" si="2"/>
        <v>0</v>
      </c>
      <c r="M14" s="1390">
        <f t="shared" si="3"/>
        <v>6.04</v>
      </c>
      <c r="O14" s="1390">
        <f t="shared" si="4"/>
        <v>0</v>
      </c>
      <c r="P14" s="1390">
        <f t="shared" si="5"/>
        <v>6.04</v>
      </c>
      <c r="R14" s="1390">
        <f t="shared" si="6"/>
        <v>0</v>
      </c>
      <c r="S14" s="1390">
        <f t="shared" si="7"/>
        <v>6.04</v>
      </c>
    </row>
    <row r="15" spans="1:25" x14ac:dyDescent="0.3">
      <c r="A15" s="1389" t="s">
        <v>522</v>
      </c>
      <c r="B15" s="1390">
        <v>0</v>
      </c>
      <c r="C15" s="1390">
        <v>-5.5</v>
      </c>
      <c r="F15" s="1390">
        <f>_xlfn.XLOOKUP($A15,'TB FORMATTED'!$M:$M,'TB FORMATTED'!N:N,0,0,1)-_xlfn.XLOOKUP($A15,'TB FORMATTED'!$M:$M,'TB FORMATTED'!O:O,0,0,1)</f>
        <v>0</v>
      </c>
      <c r="G15" s="1390">
        <f>_xlfn.XLOOKUP($A15,'TB FORMATTED'!$M:$M,'TB FORMATTED'!P:P,0,0,1)-_xlfn.XLOOKUP($A15,'TB FORMATTED'!$M:$M,'TB FORMATTED'!Q:Q,0,0,1)</f>
        <v>-5.5</v>
      </c>
      <c r="I15" s="1390">
        <f t="shared" si="0"/>
        <v>0</v>
      </c>
      <c r="J15" s="1390">
        <f t="shared" si="1"/>
        <v>-5.5</v>
      </c>
      <c r="L15" s="1390">
        <f t="shared" si="2"/>
        <v>0</v>
      </c>
      <c r="M15" s="1390">
        <f t="shared" si="3"/>
        <v>-5.5</v>
      </c>
      <c r="O15" s="1390">
        <f t="shared" si="4"/>
        <v>0</v>
      </c>
      <c r="P15" s="1390">
        <f t="shared" si="5"/>
        <v>-5.5</v>
      </c>
      <c r="R15" s="1390">
        <f t="shared" si="6"/>
        <v>0</v>
      </c>
      <c r="S15" s="1390">
        <f t="shared" si="7"/>
        <v>-5.5</v>
      </c>
    </row>
    <row r="16" spans="1:25" x14ac:dyDescent="0.3">
      <c r="A16" s="1389" t="s">
        <v>322</v>
      </c>
      <c r="B16" s="1390">
        <v>0</v>
      </c>
      <c r="C16" s="1390">
        <v>0</v>
      </c>
      <c r="F16" s="1390">
        <f>_xlfn.XLOOKUP($A16,'TB FORMATTED'!$M:$M,'TB FORMATTED'!N:N,0,0,1)-_xlfn.XLOOKUP($A16,'TB FORMATTED'!$M:$M,'TB FORMATTED'!O:O,0,0,1)</f>
        <v>0</v>
      </c>
      <c r="G16" s="1390">
        <f>_xlfn.XLOOKUP($A16,'TB FORMATTED'!$M:$M,'TB FORMATTED'!P:P,0,0,1)-_xlfn.XLOOKUP($A16,'TB FORMATTED'!$M:$M,'TB FORMATTED'!Q:Q,0,0,1)</f>
        <v>0</v>
      </c>
      <c r="I16" s="1390">
        <f t="shared" si="0"/>
        <v>0</v>
      </c>
      <c r="J16" s="1390">
        <f t="shared" si="1"/>
        <v>0</v>
      </c>
      <c r="L16" s="1390">
        <f t="shared" si="2"/>
        <v>0</v>
      </c>
      <c r="M16" s="1390">
        <f t="shared" si="3"/>
        <v>0</v>
      </c>
      <c r="O16" s="1390">
        <f t="shared" si="4"/>
        <v>0</v>
      </c>
      <c r="P16" s="1390">
        <f t="shared" si="5"/>
        <v>0</v>
      </c>
      <c r="R16" s="1390">
        <f t="shared" si="6"/>
        <v>0</v>
      </c>
      <c r="S16" s="1390">
        <f t="shared" si="7"/>
        <v>0</v>
      </c>
    </row>
    <row r="17" spans="1:19" x14ac:dyDescent="0.3">
      <c r="A17" s="1389" t="s">
        <v>520</v>
      </c>
      <c r="B17" s="1390">
        <v>0</v>
      </c>
      <c r="C17" s="1390">
        <v>0</v>
      </c>
      <c r="F17" s="1390">
        <f>_xlfn.XLOOKUP($A17,'TB FORMATTED'!$M:$M,'TB FORMATTED'!N:N,0,0,1)-_xlfn.XLOOKUP($A17,'TB FORMATTED'!$M:$M,'TB FORMATTED'!O:O,0,0,1)</f>
        <v>0</v>
      </c>
      <c r="G17" s="1390">
        <f>_xlfn.XLOOKUP($A17,'TB FORMATTED'!$M:$M,'TB FORMATTED'!P:P,0,0,1)-_xlfn.XLOOKUP($A17,'TB FORMATTED'!$M:$M,'TB FORMATTED'!Q:Q,0,0,1)</f>
        <v>17.5</v>
      </c>
      <c r="I17" s="1390">
        <f t="shared" si="0"/>
        <v>0</v>
      </c>
      <c r="J17" s="1390">
        <f t="shared" si="1"/>
        <v>17.5</v>
      </c>
      <c r="L17" s="1390">
        <f t="shared" si="2"/>
        <v>0</v>
      </c>
      <c r="M17" s="1390">
        <f t="shared" si="3"/>
        <v>17.5</v>
      </c>
      <c r="O17" s="1390">
        <f t="shared" si="4"/>
        <v>0</v>
      </c>
      <c r="P17" s="1390">
        <f t="shared" si="5"/>
        <v>17.5</v>
      </c>
      <c r="R17" s="1390">
        <f t="shared" si="6"/>
        <v>0</v>
      </c>
      <c r="S17" s="1390">
        <f t="shared" si="7"/>
        <v>17.5</v>
      </c>
    </row>
    <row r="18" spans="1:19" x14ac:dyDescent="0.3">
      <c r="A18" s="1389" t="s">
        <v>523</v>
      </c>
      <c r="B18" s="1390">
        <v>0</v>
      </c>
      <c r="C18" s="1390">
        <v>161256.15</v>
      </c>
      <c r="F18" s="1390">
        <f>_xlfn.XLOOKUP($A18,'TB FORMATTED'!$M:$M,'TB FORMATTED'!N:N,0,0,1)-_xlfn.XLOOKUP($A18,'TB FORMATTED'!$M:$M,'TB FORMATTED'!O:O,0,0,1)</f>
        <v>0</v>
      </c>
      <c r="G18" s="1390">
        <f>_xlfn.XLOOKUP($A18,'TB FORMATTED'!$M:$M,'TB FORMATTED'!P:P,0,0,1)-_xlfn.XLOOKUP($A18,'TB FORMATTED'!$M:$M,'TB FORMATTED'!Q:Q,0,0,1)</f>
        <v>159516.72</v>
      </c>
      <c r="I18" s="1390">
        <f t="shared" si="0"/>
        <v>0</v>
      </c>
      <c r="J18" s="1390">
        <f t="shared" si="1"/>
        <v>159516.72</v>
      </c>
      <c r="L18" s="1390">
        <f t="shared" si="2"/>
        <v>0</v>
      </c>
      <c r="M18" s="1390">
        <f t="shared" si="3"/>
        <v>159516.72</v>
      </c>
      <c r="O18" s="1390">
        <f t="shared" si="4"/>
        <v>0</v>
      </c>
      <c r="P18" s="1390">
        <f t="shared" si="5"/>
        <v>159516.72</v>
      </c>
      <c r="R18" s="1390">
        <f t="shared" si="6"/>
        <v>0</v>
      </c>
      <c r="S18" s="1390">
        <f t="shared" si="7"/>
        <v>159516.72</v>
      </c>
    </row>
    <row r="19" spans="1:19" x14ac:dyDescent="0.3">
      <c r="A19" s="1389" t="s">
        <v>680</v>
      </c>
      <c r="B19" s="1390">
        <v>0</v>
      </c>
      <c r="C19" s="1390">
        <v>0</v>
      </c>
      <c r="F19" s="1390">
        <f>_xlfn.XLOOKUP($A19,'TB FORMATTED'!$M:$M,'TB FORMATTED'!N:N,0,0,1)-_xlfn.XLOOKUP($A19,'TB FORMATTED'!$M:$M,'TB FORMATTED'!O:O,0,0,1)</f>
        <v>0</v>
      </c>
      <c r="G19" s="1390">
        <f>_xlfn.XLOOKUP($A19,'TB FORMATTED'!$M:$M,'TB FORMATTED'!P:P,0,0,1)-_xlfn.XLOOKUP($A19,'TB FORMATTED'!$M:$M,'TB FORMATTED'!Q:Q,0,0,1)</f>
        <v>0</v>
      </c>
      <c r="I19" s="1390">
        <f t="shared" si="0"/>
        <v>0</v>
      </c>
      <c r="J19" s="1390">
        <f t="shared" si="1"/>
        <v>0</v>
      </c>
      <c r="L19" s="1390">
        <f t="shared" si="2"/>
        <v>0</v>
      </c>
      <c r="M19" s="1390">
        <f t="shared" si="3"/>
        <v>0</v>
      </c>
      <c r="O19" s="1390">
        <f t="shared" si="4"/>
        <v>0</v>
      </c>
      <c r="P19" s="1390">
        <f t="shared" si="5"/>
        <v>0</v>
      </c>
      <c r="R19" s="1390">
        <f t="shared" si="6"/>
        <v>0</v>
      </c>
      <c r="S19" s="1390">
        <f t="shared" si="7"/>
        <v>0</v>
      </c>
    </row>
    <row r="20" spans="1:19" x14ac:dyDescent="0.3">
      <c r="A20" s="1389" t="s">
        <v>319</v>
      </c>
      <c r="B20" s="1390">
        <v>0</v>
      </c>
      <c r="C20" s="1390">
        <v>0</v>
      </c>
      <c r="F20" s="1390">
        <f>_xlfn.XLOOKUP($A20,'TB FORMATTED'!$M:$M,'TB FORMATTED'!N:N,0,0,1)-_xlfn.XLOOKUP($A20,'TB FORMATTED'!$M:$M,'TB FORMATTED'!O:O,0,0,1)</f>
        <v>0</v>
      </c>
      <c r="G20" s="1390">
        <f>_xlfn.XLOOKUP($A20,'TB FORMATTED'!$M:$M,'TB FORMATTED'!P:P,0,0,1)-_xlfn.XLOOKUP($A20,'TB FORMATTED'!$M:$M,'TB FORMATTED'!Q:Q,0,0,1)</f>
        <v>0</v>
      </c>
      <c r="I20" s="1390">
        <f t="shared" si="0"/>
        <v>0</v>
      </c>
      <c r="J20" s="1390">
        <f t="shared" si="1"/>
        <v>0</v>
      </c>
      <c r="L20" s="1390">
        <f t="shared" si="2"/>
        <v>0</v>
      </c>
      <c r="M20" s="1390">
        <f t="shared" si="3"/>
        <v>0</v>
      </c>
      <c r="O20" s="1390">
        <f t="shared" si="4"/>
        <v>0</v>
      </c>
      <c r="P20" s="1390">
        <f t="shared" si="5"/>
        <v>0</v>
      </c>
      <c r="R20" s="1390">
        <f t="shared" si="6"/>
        <v>0</v>
      </c>
      <c r="S20" s="1390">
        <f t="shared" si="7"/>
        <v>0</v>
      </c>
    </row>
    <row r="21" spans="1:19" x14ac:dyDescent="0.3">
      <c r="A21" s="1389" t="s">
        <v>730</v>
      </c>
      <c r="B21" s="1390">
        <v>556400</v>
      </c>
      <c r="C21" s="1390">
        <v>0</v>
      </c>
      <c r="F21" s="1390">
        <f>_xlfn.XLOOKUP($A21,'TB FORMATTED'!$M:$M,'TB FORMATTED'!N:N,0,0,1)-_xlfn.XLOOKUP($A21,'TB FORMATTED'!$M:$M,'TB FORMATTED'!O:O,0,0,1)</f>
        <v>556400</v>
      </c>
      <c r="G21" s="1390">
        <f>_xlfn.XLOOKUP($A21,'TB FORMATTED'!$M:$M,'TB FORMATTED'!P:P,0,0,1)-_xlfn.XLOOKUP($A21,'TB FORMATTED'!$M:$M,'TB FORMATTED'!Q:Q,0,0,1)</f>
        <v>0</v>
      </c>
      <c r="I21" s="1390">
        <f t="shared" si="0"/>
        <v>556400</v>
      </c>
      <c r="J21" s="1390">
        <f t="shared" si="1"/>
        <v>0</v>
      </c>
      <c r="L21" s="1390">
        <f t="shared" si="2"/>
        <v>556400</v>
      </c>
      <c r="M21" s="1390">
        <f t="shared" si="3"/>
        <v>0</v>
      </c>
      <c r="O21" s="1390">
        <f t="shared" si="4"/>
        <v>556400</v>
      </c>
      <c r="P21" s="1390">
        <f t="shared" si="5"/>
        <v>0</v>
      </c>
      <c r="R21" s="1390">
        <f t="shared" si="6"/>
        <v>556400</v>
      </c>
      <c r="S21" s="1390">
        <f t="shared" si="7"/>
        <v>0</v>
      </c>
    </row>
    <row r="22" spans="1:19" x14ac:dyDescent="0.3">
      <c r="A22" s="1389" t="s">
        <v>324</v>
      </c>
      <c r="B22" s="1390">
        <v>0</v>
      </c>
      <c r="C22" s="1390">
        <v>0</v>
      </c>
      <c r="F22" s="1390">
        <f>_xlfn.XLOOKUP($A22,'TB FORMATTED'!$M:$M,'TB FORMATTED'!N:N,0,0,1)-_xlfn.XLOOKUP($A22,'TB FORMATTED'!$M:$M,'TB FORMATTED'!O:O,0,0,1)</f>
        <v>0</v>
      </c>
      <c r="G22" s="1390">
        <f>_xlfn.XLOOKUP($A22,'TB FORMATTED'!$M:$M,'TB FORMATTED'!P:P,0,0,1)-_xlfn.XLOOKUP($A22,'TB FORMATTED'!$M:$M,'TB FORMATTED'!Q:Q,0,0,1)</f>
        <v>0</v>
      </c>
      <c r="I22" s="1390">
        <f t="shared" si="0"/>
        <v>0</v>
      </c>
      <c r="J22" s="1390">
        <f t="shared" si="1"/>
        <v>0</v>
      </c>
      <c r="L22" s="1390">
        <f t="shared" si="2"/>
        <v>0</v>
      </c>
      <c r="M22" s="1390">
        <f t="shared" si="3"/>
        <v>0</v>
      </c>
      <c r="O22" s="1390">
        <f t="shared" si="4"/>
        <v>0</v>
      </c>
      <c r="P22" s="1390">
        <f t="shared" si="5"/>
        <v>0</v>
      </c>
      <c r="R22" s="1390">
        <f t="shared" si="6"/>
        <v>0</v>
      </c>
      <c r="S22" s="1390">
        <f t="shared" si="7"/>
        <v>0</v>
      </c>
    </row>
    <row r="23" spans="1:19" x14ac:dyDescent="0.3">
      <c r="A23" s="1389" t="s">
        <v>2170</v>
      </c>
      <c r="B23" s="1390">
        <v>450000</v>
      </c>
      <c r="C23" s="1390">
        <v>0</v>
      </c>
      <c r="F23" s="1390">
        <f>_xlfn.XLOOKUP($A23,'TB FORMATTED'!$M:$M,'TB FORMATTED'!N:N,0,0,1)-_xlfn.XLOOKUP($A23,'TB FORMATTED'!$M:$M,'TB FORMATTED'!O:O,0,0,1)</f>
        <v>450000</v>
      </c>
      <c r="G23" s="1390">
        <f>_xlfn.XLOOKUP($A23,'TB FORMATTED'!$M:$M,'TB FORMATTED'!P:P,0,0,1)-_xlfn.XLOOKUP($A23,'TB FORMATTED'!$M:$M,'TB FORMATTED'!Q:Q,0,0,1)</f>
        <v>6281822</v>
      </c>
      <c r="I23" s="1390">
        <f t="shared" si="0"/>
        <v>450000</v>
      </c>
      <c r="J23" s="1390">
        <f t="shared" si="1"/>
        <v>6281822</v>
      </c>
      <c r="L23" s="1390">
        <f t="shared" si="2"/>
        <v>450000</v>
      </c>
      <c r="M23" s="1390">
        <f t="shared" si="3"/>
        <v>6281822</v>
      </c>
      <c r="O23" s="1390">
        <f t="shared" si="4"/>
        <v>450000</v>
      </c>
      <c r="P23" s="1390">
        <f t="shared" si="5"/>
        <v>6281822</v>
      </c>
      <c r="R23" s="1390">
        <f t="shared" si="6"/>
        <v>450000</v>
      </c>
      <c r="S23" s="1390">
        <f t="shared" si="7"/>
        <v>6281822</v>
      </c>
    </row>
    <row r="24" spans="1:19" x14ac:dyDescent="0.3">
      <c r="A24" s="1389" t="s">
        <v>2171</v>
      </c>
      <c r="B24" s="1390">
        <v>0</v>
      </c>
      <c r="C24" s="1390">
        <v>0</v>
      </c>
      <c r="F24" s="1390">
        <f>_xlfn.XLOOKUP($A24,'TB FORMATTED'!$M:$M,'TB FORMATTED'!N:N,0,0,1)-_xlfn.XLOOKUP($A24,'TB FORMATTED'!$M:$M,'TB FORMATTED'!O:O,0,0,1)</f>
        <v>0</v>
      </c>
      <c r="G24" s="1390">
        <f>_xlfn.XLOOKUP($A24,'TB FORMATTED'!$M:$M,'TB FORMATTED'!P:P,0,0,1)-_xlfn.XLOOKUP($A24,'TB FORMATTED'!$M:$M,'TB FORMATTED'!Q:Q,0,0,1)</f>
        <v>-2774471</v>
      </c>
      <c r="I24" s="1390">
        <f t="shared" si="0"/>
        <v>0</v>
      </c>
      <c r="J24" s="1390">
        <f t="shared" si="1"/>
        <v>-2774471</v>
      </c>
      <c r="L24" s="1390">
        <f t="shared" si="2"/>
        <v>0</v>
      </c>
      <c r="M24" s="1390">
        <f t="shared" si="3"/>
        <v>-2774471</v>
      </c>
      <c r="O24" s="1390">
        <f t="shared" si="4"/>
        <v>0</v>
      </c>
      <c r="P24" s="1390">
        <f t="shared" si="5"/>
        <v>-2774471</v>
      </c>
      <c r="R24" s="1390">
        <f t="shared" si="6"/>
        <v>0</v>
      </c>
      <c r="S24" s="1390">
        <f t="shared" si="7"/>
        <v>-2774471</v>
      </c>
    </row>
    <row r="25" spans="1:19" x14ac:dyDescent="0.3">
      <c r="A25" s="1389" t="s">
        <v>524</v>
      </c>
      <c r="B25" s="1390">
        <v>0</v>
      </c>
      <c r="C25" s="1390">
        <v>0</v>
      </c>
      <c r="F25" s="1390">
        <f>_xlfn.XLOOKUP($A25,'TB FORMATTED'!$M:$M,'TB FORMATTED'!N:N,0,0,1)-_xlfn.XLOOKUP($A25,'TB FORMATTED'!$M:$M,'TB FORMATTED'!O:O,0,0,1)</f>
        <v>0</v>
      </c>
      <c r="G25" s="1390">
        <f>_xlfn.XLOOKUP($A25,'TB FORMATTED'!$M:$M,'TB FORMATTED'!P:P,0,0,1)-_xlfn.XLOOKUP($A25,'TB FORMATTED'!$M:$M,'TB FORMATTED'!Q:Q,0,0,1)</f>
        <v>0</v>
      </c>
      <c r="I25" s="1390">
        <f t="shared" si="0"/>
        <v>0</v>
      </c>
      <c r="J25" s="1390">
        <f t="shared" si="1"/>
        <v>0</v>
      </c>
      <c r="L25" s="1390">
        <f t="shared" si="2"/>
        <v>0</v>
      </c>
      <c r="M25" s="1390">
        <f t="shared" si="3"/>
        <v>0</v>
      </c>
      <c r="O25" s="1390">
        <f t="shared" si="4"/>
        <v>0</v>
      </c>
      <c r="P25" s="1390">
        <f t="shared" si="5"/>
        <v>0</v>
      </c>
      <c r="R25" s="1390">
        <f t="shared" si="6"/>
        <v>0</v>
      </c>
      <c r="S25" s="1390">
        <f t="shared" si="7"/>
        <v>0</v>
      </c>
    </row>
    <row r="26" spans="1:19" x14ac:dyDescent="0.3">
      <c r="A26" s="1389" t="s">
        <v>706</v>
      </c>
      <c r="B26" s="1390">
        <v>109064.08</v>
      </c>
      <c r="C26" s="1390">
        <v>0</v>
      </c>
      <c r="F26" s="1390">
        <f>_xlfn.XLOOKUP($A26,'TB FORMATTED'!$M:$M,'TB FORMATTED'!N:N,0,0,1)-_xlfn.XLOOKUP($A26,'TB FORMATTED'!$M:$M,'TB FORMATTED'!O:O,0,0,1)</f>
        <v>88831.23</v>
      </c>
      <c r="G26" s="1390">
        <f>_xlfn.XLOOKUP($A26,'TB FORMATTED'!$M:$M,'TB FORMATTED'!P:P,0,0,1)-_xlfn.XLOOKUP($A26,'TB FORMATTED'!$M:$M,'TB FORMATTED'!Q:Q,0,0,1)</f>
        <v>0</v>
      </c>
      <c r="I26" s="1390">
        <f t="shared" si="0"/>
        <v>88831.23</v>
      </c>
      <c r="J26" s="1390">
        <f t="shared" si="1"/>
        <v>0</v>
      </c>
      <c r="L26" s="1390">
        <f t="shared" si="2"/>
        <v>88831.23</v>
      </c>
      <c r="M26" s="1390">
        <f t="shared" si="3"/>
        <v>0</v>
      </c>
      <c r="O26" s="1390">
        <f t="shared" si="4"/>
        <v>88831.23</v>
      </c>
      <c r="P26" s="1390">
        <f t="shared" si="5"/>
        <v>0</v>
      </c>
      <c r="R26" s="1390">
        <f t="shared" si="6"/>
        <v>88831.23</v>
      </c>
      <c r="S26" s="1390">
        <f t="shared" si="7"/>
        <v>0</v>
      </c>
    </row>
    <row r="27" spans="1:19" x14ac:dyDescent="0.3">
      <c r="A27" s="1389" t="s">
        <v>687</v>
      </c>
      <c r="B27" s="1390">
        <v>6000000</v>
      </c>
      <c r="C27" s="1390">
        <v>0</v>
      </c>
      <c r="F27" s="1390">
        <f>_xlfn.XLOOKUP($A27,'TB FORMATTED'!$M:$M,'TB FORMATTED'!N:N,0,0,1)-_xlfn.XLOOKUP($A27,'TB FORMATTED'!$M:$M,'TB FORMATTED'!O:O,0,0,1)</f>
        <v>6000000</v>
      </c>
      <c r="G27" s="1390">
        <f>_xlfn.XLOOKUP($A27,'TB FORMATTED'!$M:$M,'TB FORMATTED'!P:P,0,0,1)-_xlfn.XLOOKUP($A27,'TB FORMATTED'!$M:$M,'TB FORMATTED'!Q:Q,0,0,1)</f>
        <v>0</v>
      </c>
      <c r="I27" s="1390">
        <f t="shared" si="0"/>
        <v>6000000</v>
      </c>
      <c r="J27" s="1390">
        <f t="shared" si="1"/>
        <v>0</v>
      </c>
      <c r="L27" s="1390">
        <f t="shared" si="2"/>
        <v>6000000</v>
      </c>
      <c r="M27" s="1390">
        <f t="shared" si="3"/>
        <v>0</v>
      </c>
      <c r="O27" s="1390">
        <f t="shared" si="4"/>
        <v>6000000</v>
      </c>
      <c r="P27" s="1390">
        <f t="shared" si="5"/>
        <v>0</v>
      </c>
      <c r="R27" s="1390">
        <f t="shared" si="6"/>
        <v>6000000</v>
      </c>
      <c r="S27" s="1390">
        <f t="shared" si="7"/>
        <v>0</v>
      </c>
    </row>
    <row r="28" spans="1:19" x14ac:dyDescent="0.3">
      <c r="A28" s="1389" t="s">
        <v>525</v>
      </c>
      <c r="B28" s="1390">
        <v>0</v>
      </c>
      <c r="C28" s="1390">
        <v>0</v>
      </c>
      <c r="F28" s="1390">
        <f>_xlfn.XLOOKUP($A28,'TB FORMATTED'!$M:$M,'TB FORMATTED'!N:N,0,0,1)-_xlfn.XLOOKUP($A28,'TB FORMATTED'!$M:$M,'TB FORMATTED'!O:O,0,0,1)</f>
        <v>0</v>
      </c>
      <c r="G28" s="1390">
        <f>_xlfn.XLOOKUP($A28,'TB FORMATTED'!$M:$M,'TB FORMATTED'!P:P,0,0,1)-_xlfn.XLOOKUP($A28,'TB FORMATTED'!$M:$M,'TB FORMATTED'!Q:Q,0,0,1)</f>
        <v>0</v>
      </c>
      <c r="I28" s="1390">
        <f t="shared" si="0"/>
        <v>0</v>
      </c>
      <c r="J28" s="1390">
        <f t="shared" si="1"/>
        <v>0</v>
      </c>
      <c r="L28" s="1390">
        <f t="shared" si="2"/>
        <v>0</v>
      </c>
      <c r="M28" s="1390">
        <f t="shared" si="3"/>
        <v>0</v>
      </c>
      <c r="O28" s="1390">
        <f t="shared" si="4"/>
        <v>0</v>
      </c>
      <c r="P28" s="1390">
        <f t="shared" si="5"/>
        <v>0</v>
      </c>
      <c r="R28" s="1390">
        <f t="shared" si="6"/>
        <v>0</v>
      </c>
      <c r="S28" s="1390">
        <f t="shared" si="7"/>
        <v>0</v>
      </c>
    </row>
    <row r="29" spans="1:19" x14ac:dyDescent="0.3">
      <c r="A29" s="1389" t="s">
        <v>526</v>
      </c>
      <c r="B29" s="1390">
        <v>0</v>
      </c>
      <c r="C29" s="1390">
        <v>0</v>
      </c>
      <c r="F29" s="1390">
        <f>_xlfn.XLOOKUP($A29,'TB FORMATTED'!$M:$M,'TB FORMATTED'!N:N,0,0,1)-_xlfn.XLOOKUP($A29,'TB FORMATTED'!$M:$M,'TB FORMATTED'!O:O,0,0,1)</f>
        <v>0</v>
      </c>
      <c r="G29" s="1390">
        <f>_xlfn.XLOOKUP($A29,'TB FORMATTED'!$M:$M,'TB FORMATTED'!P:P,0,0,1)-_xlfn.XLOOKUP($A29,'TB FORMATTED'!$M:$M,'TB FORMATTED'!Q:Q,0,0,1)</f>
        <v>0</v>
      </c>
      <c r="I29" s="1390">
        <f t="shared" si="0"/>
        <v>0</v>
      </c>
      <c r="J29" s="1390">
        <f t="shared" si="1"/>
        <v>0</v>
      </c>
      <c r="L29" s="1390">
        <f t="shared" si="2"/>
        <v>0</v>
      </c>
      <c r="M29" s="1390">
        <f t="shared" si="3"/>
        <v>0</v>
      </c>
      <c r="O29" s="1390">
        <f t="shared" si="4"/>
        <v>0</v>
      </c>
      <c r="P29" s="1390">
        <f t="shared" si="5"/>
        <v>0</v>
      </c>
      <c r="R29" s="1390">
        <f t="shared" si="6"/>
        <v>0</v>
      </c>
      <c r="S29" s="1390">
        <f t="shared" si="7"/>
        <v>0</v>
      </c>
    </row>
    <row r="30" spans="1:19" x14ac:dyDescent="0.3">
      <c r="A30" s="1389" t="s">
        <v>527</v>
      </c>
      <c r="B30" s="1390">
        <v>0</v>
      </c>
      <c r="C30" s="1390">
        <v>0</v>
      </c>
      <c r="F30" s="1390">
        <f>_xlfn.XLOOKUP($A30,'TB FORMATTED'!$M:$M,'TB FORMATTED'!N:N,0,0,1)-_xlfn.XLOOKUP($A30,'TB FORMATTED'!$M:$M,'TB FORMATTED'!O:O,0,0,1)</f>
        <v>0</v>
      </c>
      <c r="G30" s="1390">
        <f>_xlfn.XLOOKUP($A30,'TB FORMATTED'!$M:$M,'TB FORMATTED'!P:P,0,0,1)-_xlfn.XLOOKUP($A30,'TB FORMATTED'!$M:$M,'TB FORMATTED'!Q:Q,0,0,1)</f>
        <v>0</v>
      </c>
      <c r="I30" s="1390">
        <f t="shared" si="0"/>
        <v>0</v>
      </c>
      <c r="J30" s="1390">
        <f t="shared" si="1"/>
        <v>0</v>
      </c>
      <c r="L30" s="1390">
        <f t="shared" si="2"/>
        <v>0</v>
      </c>
      <c r="M30" s="1390">
        <f t="shared" si="3"/>
        <v>0</v>
      </c>
      <c r="O30" s="1390">
        <f t="shared" si="4"/>
        <v>0</v>
      </c>
      <c r="P30" s="1390">
        <f t="shared" si="5"/>
        <v>0</v>
      </c>
      <c r="R30" s="1390">
        <f t="shared" si="6"/>
        <v>0</v>
      </c>
      <c r="S30" s="1390">
        <f t="shared" si="7"/>
        <v>0</v>
      </c>
    </row>
    <row r="31" spans="1:19" x14ac:dyDescent="0.3">
      <c r="A31" s="1389" t="s">
        <v>528</v>
      </c>
      <c r="B31" s="1390">
        <v>0</v>
      </c>
      <c r="C31" s="1390">
        <v>0</v>
      </c>
      <c r="F31" s="1390">
        <f>_xlfn.XLOOKUP($A31,'TB FORMATTED'!$M:$M,'TB FORMATTED'!N:N,0,0,1)-_xlfn.XLOOKUP($A31,'TB FORMATTED'!$M:$M,'TB FORMATTED'!O:O,0,0,1)</f>
        <v>0</v>
      </c>
      <c r="G31" s="1390">
        <f>_xlfn.XLOOKUP($A31,'TB FORMATTED'!$M:$M,'TB FORMATTED'!P:P,0,0,1)-_xlfn.XLOOKUP($A31,'TB FORMATTED'!$M:$M,'TB FORMATTED'!Q:Q,0,0,1)</f>
        <v>0</v>
      </c>
      <c r="I31" s="1390">
        <f t="shared" si="0"/>
        <v>0</v>
      </c>
      <c r="J31" s="1390">
        <f t="shared" si="1"/>
        <v>0</v>
      </c>
      <c r="L31" s="1390">
        <f t="shared" si="2"/>
        <v>0</v>
      </c>
      <c r="M31" s="1390">
        <f t="shared" si="3"/>
        <v>0</v>
      </c>
      <c r="O31" s="1390">
        <f t="shared" si="4"/>
        <v>0</v>
      </c>
      <c r="P31" s="1390">
        <f t="shared" si="5"/>
        <v>0</v>
      </c>
      <c r="R31" s="1390">
        <f t="shared" si="6"/>
        <v>0</v>
      </c>
      <c r="S31" s="1390">
        <f t="shared" si="7"/>
        <v>0</v>
      </c>
    </row>
    <row r="32" spans="1:19" x14ac:dyDescent="0.3">
      <c r="A32" s="1389" t="s">
        <v>529</v>
      </c>
      <c r="B32" s="1390">
        <v>0</v>
      </c>
      <c r="C32" s="1390">
        <v>6288.98</v>
      </c>
      <c r="F32" s="1390">
        <f>_xlfn.XLOOKUP($A32,'TB FORMATTED'!$M:$M,'TB FORMATTED'!N:N,0,0,1)-_xlfn.XLOOKUP($A32,'TB FORMATTED'!$M:$M,'TB FORMATTED'!O:O,0,0,1)</f>
        <v>0</v>
      </c>
      <c r="G32" s="1390">
        <f>_xlfn.XLOOKUP($A32,'TB FORMATTED'!$M:$M,'TB FORMATTED'!P:P,0,0,1)-_xlfn.XLOOKUP($A32,'TB FORMATTED'!$M:$M,'TB FORMATTED'!Q:Q,0,0,1)</f>
        <v>6288.98</v>
      </c>
      <c r="I32" s="1390">
        <f t="shared" si="0"/>
        <v>0</v>
      </c>
      <c r="J32" s="1390">
        <f t="shared" si="1"/>
        <v>6288.98</v>
      </c>
      <c r="L32" s="1390">
        <f t="shared" si="2"/>
        <v>0</v>
      </c>
      <c r="M32" s="1390">
        <f t="shared" si="3"/>
        <v>6288.98</v>
      </c>
      <c r="O32" s="1390">
        <f t="shared" si="4"/>
        <v>0</v>
      </c>
      <c r="P32" s="1390">
        <f t="shared" si="5"/>
        <v>6288.98</v>
      </c>
      <c r="R32" s="1390">
        <f t="shared" si="6"/>
        <v>0</v>
      </c>
      <c r="S32" s="1390">
        <f t="shared" si="7"/>
        <v>6288.98</v>
      </c>
    </row>
    <row r="33" spans="1:19" x14ac:dyDescent="0.3">
      <c r="A33" s="1389" t="s">
        <v>530</v>
      </c>
      <c r="B33" s="1390">
        <v>0</v>
      </c>
      <c r="C33" s="1390">
        <v>-948.31</v>
      </c>
      <c r="F33" s="1390">
        <f>_xlfn.XLOOKUP($A33,'TB FORMATTED'!$M:$M,'TB FORMATTED'!N:N,0,0,1)-_xlfn.XLOOKUP($A33,'TB FORMATTED'!$M:$M,'TB FORMATTED'!O:O,0,0,1)</f>
        <v>0</v>
      </c>
      <c r="G33" s="1390">
        <f>_xlfn.XLOOKUP($A33,'TB FORMATTED'!$M:$M,'TB FORMATTED'!P:P,0,0,1)-_xlfn.XLOOKUP($A33,'TB FORMATTED'!$M:$M,'TB FORMATTED'!Q:Q,0,0,1)</f>
        <v>-2847.07</v>
      </c>
      <c r="I33" s="1390">
        <f t="shared" si="0"/>
        <v>0</v>
      </c>
      <c r="J33" s="1390">
        <f t="shared" si="1"/>
        <v>-2847.07</v>
      </c>
      <c r="L33" s="1390">
        <f t="shared" si="2"/>
        <v>0</v>
      </c>
      <c r="M33" s="1390">
        <f t="shared" si="3"/>
        <v>-2847.07</v>
      </c>
      <c r="O33" s="1390">
        <f t="shared" si="4"/>
        <v>0</v>
      </c>
      <c r="P33" s="1390">
        <f t="shared" si="5"/>
        <v>-2847.07</v>
      </c>
      <c r="R33" s="1390">
        <f t="shared" si="6"/>
        <v>0</v>
      </c>
      <c r="S33" s="1390">
        <f t="shared" si="7"/>
        <v>-2847.07</v>
      </c>
    </row>
    <row r="34" spans="1:19" x14ac:dyDescent="0.3">
      <c r="A34" s="1389" t="s">
        <v>454</v>
      </c>
      <c r="B34" s="1390">
        <v>0</v>
      </c>
      <c r="C34" s="1390">
        <v>0</v>
      </c>
      <c r="F34" s="1390">
        <f>_xlfn.XLOOKUP($A34,'TB FORMATTED'!$M:$M,'TB FORMATTED'!N:N,0,0,1)-_xlfn.XLOOKUP($A34,'TB FORMATTED'!$M:$M,'TB FORMATTED'!O:O,0,0,1)</f>
        <v>0</v>
      </c>
      <c r="G34" s="1390">
        <f>_xlfn.XLOOKUP($A34,'TB FORMATTED'!$M:$M,'TB FORMATTED'!P:P,0,0,1)-_xlfn.XLOOKUP($A34,'TB FORMATTED'!$M:$M,'TB FORMATTED'!Q:Q,0,0,1)</f>
        <v>0</v>
      </c>
      <c r="I34" s="1390">
        <f t="shared" si="0"/>
        <v>0</v>
      </c>
      <c r="J34" s="1390">
        <f t="shared" si="1"/>
        <v>0</v>
      </c>
      <c r="L34" s="1390">
        <f t="shared" si="2"/>
        <v>0</v>
      </c>
      <c r="M34" s="1390">
        <f t="shared" si="3"/>
        <v>0</v>
      </c>
      <c r="O34" s="1390">
        <f t="shared" si="4"/>
        <v>0</v>
      </c>
      <c r="P34" s="1390">
        <f t="shared" si="5"/>
        <v>0</v>
      </c>
      <c r="R34" s="1390">
        <f t="shared" si="6"/>
        <v>0</v>
      </c>
      <c r="S34" s="1390">
        <f t="shared" si="7"/>
        <v>0</v>
      </c>
    </row>
    <row r="35" spans="1:19" x14ac:dyDescent="0.3">
      <c r="A35" s="1389" t="s">
        <v>320</v>
      </c>
      <c r="B35" s="1390">
        <v>-307036.95</v>
      </c>
      <c r="C35" s="1390">
        <v>0</v>
      </c>
      <c r="F35" s="1390">
        <f>_xlfn.XLOOKUP($A35,'TB FORMATTED'!$M:$M,'TB FORMATTED'!N:N,0,0,1)-_xlfn.XLOOKUP($A35,'TB FORMATTED'!$M:$M,'TB FORMATTED'!O:O,0,0,1)</f>
        <v>-308086.95</v>
      </c>
      <c r="G35" s="1390">
        <f>_xlfn.XLOOKUP($A35,'TB FORMATTED'!$M:$M,'TB FORMATTED'!P:P,0,0,1)-_xlfn.XLOOKUP($A35,'TB FORMATTED'!$M:$M,'TB FORMATTED'!Q:Q,0,0,1)</f>
        <v>0</v>
      </c>
      <c r="I35" s="1390">
        <f t="shared" si="0"/>
        <v>-308086.95</v>
      </c>
      <c r="J35" s="1390">
        <f t="shared" si="1"/>
        <v>0</v>
      </c>
      <c r="L35" s="1390">
        <f t="shared" si="2"/>
        <v>-308086.95</v>
      </c>
      <c r="M35" s="1390">
        <f t="shared" si="3"/>
        <v>0</v>
      </c>
      <c r="O35" s="1390">
        <f t="shared" si="4"/>
        <v>-308086.95</v>
      </c>
      <c r="P35" s="1390">
        <f t="shared" si="5"/>
        <v>0</v>
      </c>
      <c r="R35" s="1390">
        <f t="shared" si="6"/>
        <v>-308086.95</v>
      </c>
      <c r="S35" s="1390">
        <f t="shared" si="7"/>
        <v>0</v>
      </c>
    </row>
    <row r="36" spans="1:19" x14ac:dyDescent="0.3">
      <c r="A36" s="1389" t="s">
        <v>500</v>
      </c>
      <c r="B36" s="1390">
        <v>0</v>
      </c>
      <c r="C36" s="1390">
        <v>-175040.55</v>
      </c>
      <c r="F36" s="1390">
        <f>_xlfn.XLOOKUP($A36,'TB FORMATTED'!$M:$M,'TB FORMATTED'!N:N,0,0,1)-_xlfn.XLOOKUP($A36,'TB FORMATTED'!$M:$M,'TB FORMATTED'!O:O,0,0,1)</f>
        <v>0</v>
      </c>
      <c r="G36" s="1390">
        <f>_xlfn.XLOOKUP($A36,'TB FORMATTED'!$M:$M,'TB FORMATTED'!P:P,0,0,1)-_xlfn.XLOOKUP($A36,'TB FORMATTED'!$M:$M,'TB FORMATTED'!Q:Q,0,0,1)</f>
        <v>-340678.05</v>
      </c>
      <c r="I36" s="1390">
        <f t="shared" si="0"/>
        <v>0</v>
      </c>
      <c r="J36" s="1390">
        <f t="shared" si="1"/>
        <v>-340678.05</v>
      </c>
      <c r="L36" s="1390">
        <f t="shared" si="2"/>
        <v>0</v>
      </c>
      <c r="M36" s="1390">
        <f t="shared" si="3"/>
        <v>-340678.05</v>
      </c>
      <c r="O36" s="1390">
        <f t="shared" si="4"/>
        <v>0</v>
      </c>
      <c r="P36" s="1390">
        <f t="shared" si="5"/>
        <v>-340678.05</v>
      </c>
      <c r="R36" s="1390">
        <f t="shared" si="6"/>
        <v>0</v>
      </c>
      <c r="S36" s="1390">
        <f t="shared" si="7"/>
        <v>-340678.05</v>
      </c>
    </row>
    <row r="37" spans="1:19" x14ac:dyDescent="0.3">
      <c r="A37" s="1389" t="s">
        <v>531</v>
      </c>
      <c r="B37" s="1390">
        <v>0</v>
      </c>
      <c r="C37" s="1390">
        <v>-373.45</v>
      </c>
      <c r="F37" s="1390">
        <f>_xlfn.XLOOKUP($A37,'TB FORMATTED'!$M:$M,'TB FORMATTED'!N:N,0,0,1)-_xlfn.XLOOKUP($A37,'TB FORMATTED'!$M:$M,'TB FORMATTED'!O:O,0,0,1)</f>
        <v>0</v>
      </c>
      <c r="G37" s="1390">
        <f>_xlfn.XLOOKUP($A37,'TB FORMATTED'!$M:$M,'TB FORMATTED'!P:P,0,0,1)-_xlfn.XLOOKUP($A37,'TB FORMATTED'!$M:$M,'TB FORMATTED'!Q:Q,0,0,1)</f>
        <v>-85.95</v>
      </c>
      <c r="I37" s="1390">
        <f t="shared" si="0"/>
        <v>0</v>
      </c>
      <c r="J37" s="1390">
        <f t="shared" si="1"/>
        <v>-85.95</v>
      </c>
      <c r="L37" s="1390">
        <f t="shared" si="2"/>
        <v>0</v>
      </c>
      <c r="M37" s="1390">
        <f t="shared" si="3"/>
        <v>-85.95</v>
      </c>
      <c r="O37" s="1390">
        <f t="shared" si="4"/>
        <v>0</v>
      </c>
      <c r="P37" s="1390">
        <f t="shared" si="5"/>
        <v>-85.95</v>
      </c>
      <c r="R37" s="1390">
        <f t="shared" si="6"/>
        <v>0</v>
      </c>
      <c r="S37" s="1390">
        <f t="shared" si="7"/>
        <v>-85.95</v>
      </c>
    </row>
    <row r="38" spans="1:19" x14ac:dyDescent="0.3">
      <c r="A38" s="1389" t="s">
        <v>533</v>
      </c>
      <c r="B38" s="1390">
        <v>0</v>
      </c>
      <c r="C38" s="1390">
        <v>-60000</v>
      </c>
      <c r="F38" s="1390">
        <f>_xlfn.XLOOKUP($A38,'TB FORMATTED'!$M:$M,'TB FORMATTED'!N:N,0,0,1)-_xlfn.XLOOKUP($A38,'TB FORMATTED'!$M:$M,'TB FORMATTED'!O:O,0,0,1)</f>
        <v>0</v>
      </c>
      <c r="G38" s="1390">
        <f>_xlfn.XLOOKUP($A38,'TB FORMATTED'!$M:$M,'TB FORMATTED'!P:P,0,0,1)-_xlfn.XLOOKUP($A38,'TB FORMATTED'!$M:$M,'TB FORMATTED'!Q:Q,0,0,1)</f>
        <v>-54750</v>
      </c>
      <c r="I38" s="1390">
        <f t="shared" si="0"/>
        <v>0</v>
      </c>
      <c r="J38" s="1390">
        <f t="shared" si="1"/>
        <v>-54750</v>
      </c>
      <c r="L38" s="1390">
        <f t="shared" si="2"/>
        <v>0</v>
      </c>
      <c r="M38" s="1390">
        <f t="shared" si="3"/>
        <v>-54750</v>
      </c>
      <c r="O38" s="1390">
        <f t="shared" si="4"/>
        <v>0</v>
      </c>
      <c r="P38" s="1390">
        <f t="shared" si="5"/>
        <v>-54750</v>
      </c>
      <c r="R38" s="1390">
        <f t="shared" si="6"/>
        <v>0</v>
      </c>
      <c r="S38" s="1390">
        <f t="shared" si="7"/>
        <v>-54750</v>
      </c>
    </row>
    <row r="39" spans="1:19" x14ac:dyDescent="0.3">
      <c r="A39" s="1389" t="s">
        <v>535</v>
      </c>
      <c r="B39" s="1390">
        <v>0</v>
      </c>
      <c r="C39" s="1390">
        <v>0</v>
      </c>
      <c r="F39" s="1390">
        <f>_xlfn.XLOOKUP($A39,'TB FORMATTED'!$M:$M,'TB FORMATTED'!N:N,0,0,1)-_xlfn.XLOOKUP($A39,'TB FORMATTED'!$M:$M,'TB FORMATTED'!O:O,0,0,1)</f>
        <v>0</v>
      </c>
      <c r="G39" s="1390">
        <f>_xlfn.XLOOKUP($A39,'TB FORMATTED'!$M:$M,'TB FORMATTED'!P:P,0,0,1)-_xlfn.XLOOKUP($A39,'TB FORMATTED'!$M:$M,'TB FORMATTED'!Q:Q,0,0,1)</f>
        <v>0</v>
      </c>
      <c r="I39" s="1390">
        <f t="shared" si="0"/>
        <v>0</v>
      </c>
      <c r="J39" s="1390">
        <f t="shared" si="1"/>
        <v>0</v>
      </c>
      <c r="L39" s="1390">
        <f t="shared" si="2"/>
        <v>0</v>
      </c>
      <c r="M39" s="1390">
        <f t="shared" si="3"/>
        <v>0</v>
      </c>
      <c r="O39" s="1390">
        <f t="shared" si="4"/>
        <v>0</v>
      </c>
      <c r="P39" s="1390">
        <f t="shared" si="5"/>
        <v>0</v>
      </c>
      <c r="R39" s="1390">
        <f t="shared" si="6"/>
        <v>0</v>
      </c>
      <c r="S39" s="1390">
        <f t="shared" si="7"/>
        <v>0</v>
      </c>
    </row>
    <row r="40" spans="1:19" x14ac:dyDescent="0.3">
      <c r="A40" s="1389" t="s">
        <v>2280</v>
      </c>
      <c r="B40" s="1390"/>
      <c r="C40" s="1390"/>
      <c r="F40" s="1390">
        <f>_xlfn.XLOOKUP($A40,'TB FORMATTED'!$M:$M,'TB FORMATTED'!N:N,0,0,1)-_xlfn.XLOOKUP($A40,'TB FORMATTED'!$M:$M,'TB FORMATTED'!O:O,0,0,1)</f>
        <v>0</v>
      </c>
      <c r="G40" s="1390">
        <f>_xlfn.XLOOKUP($A40,'TB FORMATTED'!$M:$M,'TB FORMATTED'!P:P,0,0,1)-_xlfn.XLOOKUP($A40,'TB FORMATTED'!$M:$M,'TB FORMATTED'!Q:Q,0,0,1)</f>
        <v>-507800</v>
      </c>
      <c r="I40" s="1390">
        <f t="shared" si="0"/>
        <v>0</v>
      </c>
      <c r="J40" s="1390">
        <f t="shared" si="1"/>
        <v>-507800</v>
      </c>
      <c r="L40" s="1390">
        <f t="shared" si="2"/>
        <v>0</v>
      </c>
      <c r="M40" s="1390">
        <f t="shared" si="3"/>
        <v>-507800</v>
      </c>
      <c r="O40" s="1390">
        <f t="shared" si="4"/>
        <v>0</v>
      </c>
      <c r="P40" s="1390">
        <f t="shared" si="5"/>
        <v>-507800</v>
      </c>
      <c r="R40" s="1390">
        <f t="shared" si="6"/>
        <v>0</v>
      </c>
      <c r="S40" s="1390">
        <f t="shared" si="7"/>
        <v>-507800</v>
      </c>
    </row>
    <row r="41" spans="1:19" x14ac:dyDescent="0.3">
      <c r="A41" s="1389" t="s">
        <v>2281</v>
      </c>
      <c r="B41" s="1390"/>
      <c r="C41" s="1390"/>
      <c r="F41" s="1390">
        <f>_xlfn.XLOOKUP($A41,'TB FORMATTED'!$M:$M,'TB FORMATTED'!N:N,0,0,1)-_xlfn.XLOOKUP($A41,'TB FORMATTED'!$M:$M,'TB FORMATTED'!O:O,0,0,1)</f>
        <v>0</v>
      </c>
      <c r="G41" s="1390">
        <f>_xlfn.XLOOKUP($A41,'TB FORMATTED'!$M:$M,'TB FORMATTED'!P:P,0,0,1)-_xlfn.XLOOKUP($A41,'TB FORMATTED'!$M:$M,'TB FORMATTED'!Q:Q,0,0,1)</f>
        <v>0</v>
      </c>
      <c r="I41" s="1390">
        <f t="shared" si="0"/>
        <v>0</v>
      </c>
      <c r="J41" s="1390">
        <f t="shared" si="1"/>
        <v>0</v>
      </c>
      <c r="L41" s="1390">
        <f t="shared" si="2"/>
        <v>0</v>
      </c>
      <c r="M41" s="1390">
        <f t="shared" si="3"/>
        <v>0</v>
      </c>
      <c r="O41" s="1390">
        <f t="shared" si="4"/>
        <v>0</v>
      </c>
      <c r="P41" s="1390">
        <f t="shared" si="5"/>
        <v>0</v>
      </c>
      <c r="R41" s="1390">
        <f t="shared" si="6"/>
        <v>0</v>
      </c>
      <c r="S41" s="1390">
        <f t="shared" si="7"/>
        <v>0</v>
      </c>
    </row>
    <row r="42" spans="1:19" x14ac:dyDescent="0.3">
      <c r="A42" s="1389" t="s">
        <v>321</v>
      </c>
      <c r="B42" s="1390">
        <v>-53625</v>
      </c>
      <c r="C42" s="1390">
        <v>0</v>
      </c>
      <c r="F42" s="1390">
        <f>_xlfn.XLOOKUP($A42,'TB FORMATTED'!$M:$M,'TB FORMATTED'!N:N,0,0,1)-_xlfn.XLOOKUP($A42,'TB FORMATTED'!$M:$M,'TB FORMATTED'!O:O,0,0,1)</f>
        <v>-53625</v>
      </c>
      <c r="G42" s="1390">
        <f>_xlfn.XLOOKUP($A42,'TB FORMATTED'!$M:$M,'TB FORMATTED'!P:P,0,0,1)-_xlfn.XLOOKUP($A42,'TB FORMATTED'!$M:$M,'TB FORMATTED'!Q:Q,0,0,1)</f>
        <v>0</v>
      </c>
      <c r="I42" s="1390">
        <f t="shared" si="0"/>
        <v>-53625</v>
      </c>
      <c r="J42" s="1390">
        <f t="shared" si="1"/>
        <v>0</v>
      </c>
      <c r="L42" s="1390">
        <f t="shared" si="2"/>
        <v>-53625</v>
      </c>
      <c r="M42" s="1390">
        <f t="shared" si="3"/>
        <v>0</v>
      </c>
      <c r="O42" s="1390">
        <f t="shared" si="4"/>
        <v>-53625</v>
      </c>
      <c r="P42" s="1390">
        <f t="shared" si="5"/>
        <v>0</v>
      </c>
      <c r="R42" s="1390">
        <f t="shared" si="6"/>
        <v>-53625</v>
      </c>
      <c r="S42" s="1390">
        <f t="shared" si="7"/>
        <v>0</v>
      </c>
    </row>
    <row r="43" spans="1:19" x14ac:dyDescent="0.3">
      <c r="A43" s="1389" t="s">
        <v>536</v>
      </c>
      <c r="B43" s="1390">
        <v>0</v>
      </c>
      <c r="C43" s="1390">
        <v>0</v>
      </c>
      <c r="F43" s="1390">
        <f>_xlfn.XLOOKUP($A43,'TB FORMATTED'!$M:$M,'TB FORMATTED'!N:N,0,0,1)-_xlfn.XLOOKUP($A43,'TB FORMATTED'!$M:$M,'TB FORMATTED'!O:O,0,0,1)</f>
        <v>0</v>
      </c>
      <c r="G43" s="1390">
        <f>_xlfn.XLOOKUP($A43,'TB FORMATTED'!$M:$M,'TB FORMATTED'!P:P,0,0,1)-_xlfn.XLOOKUP($A43,'TB FORMATTED'!$M:$M,'TB FORMATTED'!Q:Q,0,0,1)</f>
        <v>0</v>
      </c>
      <c r="I43" s="1390">
        <f t="shared" si="0"/>
        <v>0</v>
      </c>
      <c r="J43" s="1390">
        <f t="shared" si="1"/>
        <v>0</v>
      </c>
      <c r="L43" s="1390">
        <f t="shared" si="2"/>
        <v>0</v>
      </c>
      <c r="M43" s="1390">
        <f t="shared" si="3"/>
        <v>0</v>
      </c>
      <c r="O43" s="1390">
        <f t="shared" si="4"/>
        <v>0</v>
      </c>
      <c r="P43" s="1390">
        <f t="shared" si="5"/>
        <v>0</v>
      </c>
      <c r="R43" s="1390">
        <f t="shared" si="6"/>
        <v>0</v>
      </c>
      <c r="S43" s="1390">
        <f t="shared" si="7"/>
        <v>0</v>
      </c>
    </row>
    <row r="44" spans="1:19" x14ac:dyDescent="0.3">
      <c r="A44" s="1389" t="s">
        <v>537</v>
      </c>
      <c r="B44" s="1390">
        <v>0</v>
      </c>
      <c r="C44" s="1390">
        <v>0</v>
      </c>
      <c r="F44" s="1390">
        <f>_xlfn.XLOOKUP($A44,'TB FORMATTED'!$M:$M,'TB FORMATTED'!N:N,0,0,1)-_xlfn.XLOOKUP($A44,'TB FORMATTED'!$M:$M,'TB FORMATTED'!O:O,0,0,1)</f>
        <v>0</v>
      </c>
      <c r="G44" s="1390">
        <f>_xlfn.XLOOKUP($A44,'TB FORMATTED'!$M:$M,'TB FORMATTED'!P:P,0,0,1)-_xlfn.XLOOKUP($A44,'TB FORMATTED'!$M:$M,'TB FORMATTED'!Q:Q,0,0,1)</f>
        <v>0</v>
      </c>
      <c r="I44" s="1390">
        <f t="shared" si="0"/>
        <v>0</v>
      </c>
      <c r="J44" s="1390">
        <f t="shared" si="1"/>
        <v>0</v>
      </c>
      <c r="L44" s="1390">
        <f t="shared" si="2"/>
        <v>0</v>
      </c>
      <c r="M44" s="1390">
        <f t="shared" si="3"/>
        <v>0</v>
      </c>
      <c r="O44" s="1390">
        <f t="shared" si="4"/>
        <v>0</v>
      </c>
      <c r="P44" s="1390">
        <f t="shared" si="5"/>
        <v>0</v>
      </c>
      <c r="R44" s="1390">
        <f t="shared" si="6"/>
        <v>0</v>
      </c>
      <c r="S44" s="1390">
        <f t="shared" si="7"/>
        <v>0</v>
      </c>
    </row>
    <row r="45" spans="1:19" x14ac:dyDescent="0.3">
      <c r="A45" s="1389" t="s">
        <v>538</v>
      </c>
      <c r="B45" s="1390">
        <v>0</v>
      </c>
      <c r="C45" s="1390">
        <v>0</v>
      </c>
      <c r="F45" s="1390">
        <f>_xlfn.XLOOKUP($A45,'TB FORMATTED'!$M:$M,'TB FORMATTED'!N:N,0,0,1)-_xlfn.XLOOKUP($A45,'TB FORMATTED'!$M:$M,'TB FORMATTED'!O:O,0,0,1)</f>
        <v>0</v>
      </c>
      <c r="G45" s="1390">
        <f>_xlfn.XLOOKUP($A45,'TB FORMATTED'!$M:$M,'TB FORMATTED'!P:P,0,0,1)-_xlfn.XLOOKUP($A45,'TB FORMATTED'!$M:$M,'TB FORMATTED'!Q:Q,0,0,1)</f>
        <v>0</v>
      </c>
      <c r="I45" s="1390">
        <f t="shared" si="0"/>
        <v>0</v>
      </c>
      <c r="J45" s="1390">
        <f t="shared" si="1"/>
        <v>0</v>
      </c>
      <c r="L45" s="1390">
        <f t="shared" si="2"/>
        <v>0</v>
      </c>
      <c r="M45" s="1390">
        <f t="shared" si="3"/>
        <v>0</v>
      </c>
      <c r="O45" s="1390">
        <f t="shared" si="4"/>
        <v>0</v>
      </c>
      <c r="P45" s="1390">
        <f t="shared" si="5"/>
        <v>0</v>
      </c>
      <c r="R45" s="1390">
        <f t="shared" si="6"/>
        <v>0</v>
      </c>
      <c r="S45" s="1390">
        <f t="shared" si="7"/>
        <v>0</v>
      </c>
    </row>
    <row r="46" spans="1:19" x14ac:dyDescent="0.3">
      <c r="A46" s="1389" t="s">
        <v>539</v>
      </c>
      <c r="B46" s="1390">
        <v>0</v>
      </c>
      <c r="C46" s="1390">
        <v>0</v>
      </c>
      <c r="F46" s="1390">
        <f>_xlfn.XLOOKUP($A46,'TB FORMATTED'!$M:$M,'TB FORMATTED'!N:N,0,0,1)-_xlfn.XLOOKUP($A46,'TB FORMATTED'!$M:$M,'TB FORMATTED'!O:O,0,0,1)</f>
        <v>0</v>
      </c>
      <c r="G46" s="1390">
        <f>_xlfn.XLOOKUP($A46,'TB FORMATTED'!$M:$M,'TB FORMATTED'!P:P,0,0,1)-_xlfn.XLOOKUP($A46,'TB FORMATTED'!$M:$M,'TB FORMATTED'!Q:Q,0,0,1)</f>
        <v>0</v>
      </c>
      <c r="I46" s="1390">
        <f t="shared" si="0"/>
        <v>0</v>
      </c>
      <c r="J46" s="1390">
        <f t="shared" si="1"/>
        <v>0</v>
      </c>
      <c r="L46" s="1390">
        <f t="shared" si="2"/>
        <v>0</v>
      </c>
      <c r="M46" s="1390">
        <f t="shared" si="3"/>
        <v>0</v>
      </c>
      <c r="O46" s="1390">
        <f t="shared" si="4"/>
        <v>0</v>
      </c>
      <c r="P46" s="1390">
        <f t="shared" si="5"/>
        <v>0</v>
      </c>
      <c r="R46" s="1390">
        <f t="shared" si="6"/>
        <v>0</v>
      </c>
      <c r="S46" s="1390">
        <f t="shared" si="7"/>
        <v>0</v>
      </c>
    </row>
    <row r="47" spans="1:19" x14ac:dyDescent="0.3">
      <c r="A47" s="1389" t="s">
        <v>540</v>
      </c>
      <c r="B47" s="1390">
        <v>0</v>
      </c>
      <c r="C47" s="1390">
        <v>0</v>
      </c>
      <c r="F47" s="1390">
        <f>_xlfn.XLOOKUP($A47,'TB FORMATTED'!$M:$M,'TB FORMATTED'!N:N,0,0,1)-_xlfn.XLOOKUP($A47,'TB FORMATTED'!$M:$M,'TB FORMATTED'!O:O,0,0,1)</f>
        <v>0</v>
      </c>
      <c r="G47" s="1390">
        <f>_xlfn.XLOOKUP($A47,'TB FORMATTED'!$M:$M,'TB FORMATTED'!P:P,0,0,1)-_xlfn.XLOOKUP($A47,'TB FORMATTED'!$M:$M,'TB FORMATTED'!Q:Q,0,0,1)</f>
        <v>0</v>
      </c>
      <c r="I47" s="1390">
        <f t="shared" si="0"/>
        <v>0</v>
      </c>
      <c r="J47" s="1390">
        <f t="shared" si="1"/>
        <v>0</v>
      </c>
      <c r="L47" s="1390">
        <f t="shared" si="2"/>
        <v>0</v>
      </c>
      <c r="M47" s="1390">
        <f t="shared" si="3"/>
        <v>0</v>
      </c>
      <c r="O47" s="1390">
        <f t="shared" si="4"/>
        <v>0</v>
      </c>
      <c r="P47" s="1390">
        <f t="shared" si="5"/>
        <v>0</v>
      </c>
      <c r="R47" s="1390">
        <f t="shared" si="6"/>
        <v>0</v>
      </c>
      <c r="S47" s="1390">
        <f t="shared" si="7"/>
        <v>0</v>
      </c>
    </row>
    <row r="48" spans="1:19" x14ac:dyDescent="0.3">
      <c r="A48" s="1389" t="s">
        <v>455</v>
      </c>
      <c r="B48" s="1390">
        <v>3.78</v>
      </c>
      <c r="C48" s="1390">
        <v>0</v>
      </c>
      <c r="F48" s="1390">
        <f>_xlfn.XLOOKUP($A48,'TB FORMATTED'!$M:$M,'TB FORMATTED'!N:N,0,0,1)-_xlfn.XLOOKUP($A48,'TB FORMATTED'!$M:$M,'TB FORMATTED'!O:O,0,0,1)</f>
        <v>0</v>
      </c>
      <c r="G48" s="1390">
        <f>_xlfn.XLOOKUP($A48,'TB FORMATTED'!$M:$M,'TB FORMATTED'!P:P,0,0,1)-_xlfn.XLOOKUP($A48,'TB FORMATTED'!$M:$M,'TB FORMATTED'!Q:Q,0,0,1)</f>
        <v>0</v>
      </c>
      <c r="I48" s="1390">
        <f t="shared" si="0"/>
        <v>0</v>
      </c>
      <c r="J48" s="1390">
        <f t="shared" si="1"/>
        <v>0</v>
      </c>
      <c r="L48" s="1390">
        <f t="shared" si="2"/>
        <v>0</v>
      </c>
      <c r="M48" s="1390">
        <f t="shared" si="3"/>
        <v>0</v>
      </c>
      <c r="O48" s="1390">
        <f t="shared" si="4"/>
        <v>0</v>
      </c>
      <c r="P48" s="1390">
        <f t="shared" si="5"/>
        <v>0</v>
      </c>
      <c r="R48" s="1390">
        <f t="shared" si="6"/>
        <v>0</v>
      </c>
      <c r="S48" s="1390">
        <f t="shared" si="7"/>
        <v>0</v>
      </c>
    </row>
    <row r="49" spans="1:19" x14ac:dyDescent="0.3">
      <c r="A49" s="1389" t="s">
        <v>541</v>
      </c>
      <c r="B49" s="1390">
        <v>0</v>
      </c>
      <c r="C49" s="1390">
        <v>0</v>
      </c>
      <c r="F49" s="1390">
        <f>_xlfn.XLOOKUP($A49,'TB FORMATTED'!$M:$M,'TB FORMATTED'!N:N,0,0,1)-_xlfn.XLOOKUP($A49,'TB FORMATTED'!$M:$M,'TB FORMATTED'!O:O,0,0,1)</f>
        <v>0</v>
      </c>
      <c r="G49" s="1390">
        <f>_xlfn.XLOOKUP($A49,'TB FORMATTED'!$M:$M,'TB FORMATTED'!P:P,0,0,1)-_xlfn.XLOOKUP($A49,'TB FORMATTED'!$M:$M,'TB FORMATTED'!Q:Q,0,0,1)</f>
        <v>0</v>
      </c>
      <c r="I49" s="1390">
        <f t="shared" si="0"/>
        <v>0</v>
      </c>
      <c r="J49" s="1390">
        <f t="shared" si="1"/>
        <v>0</v>
      </c>
      <c r="L49" s="1390">
        <f t="shared" si="2"/>
        <v>0</v>
      </c>
      <c r="M49" s="1390">
        <f t="shared" si="3"/>
        <v>0</v>
      </c>
      <c r="O49" s="1390">
        <f t="shared" si="4"/>
        <v>0</v>
      </c>
      <c r="P49" s="1390">
        <f t="shared" si="5"/>
        <v>0</v>
      </c>
      <c r="R49" s="1390">
        <f t="shared" si="6"/>
        <v>0</v>
      </c>
      <c r="S49" s="1390">
        <f t="shared" si="7"/>
        <v>0</v>
      </c>
    </row>
    <row r="50" spans="1:19" x14ac:dyDescent="0.3">
      <c r="A50" s="1389" t="s">
        <v>456</v>
      </c>
      <c r="B50" s="1390">
        <v>0</v>
      </c>
      <c r="C50" s="1390">
        <v>0</v>
      </c>
      <c r="F50" s="1390">
        <f>_xlfn.XLOOKUP($A50,'TB FORMATTED'!$M:$M,'TB FORMATTED'!N:N,0,0,1)-_xlfn.XLOOKUP($A50,'TB FORMATTED'!$M:$M,'TB FORMATTED'!O:O,0,0,1)</f>
        <v>0</v>
      </c>
      <c r="G50" s="1390">
        <f>_xlfn.XLOOKUP($A50,'TB FORMATTED'!$M:$M,'TB FORMATTED'!P:P,0,0,1)-_xlfn.XLOOKUP($A50,'TB FORMATTED'!$M:$M,'TB FORMATTED'!Q:Q,0,0,1)</f>
        <v>0</v>
      </c>
      <c r="I50" s="1390">
        <f t="shared" si="0"/>
        <v>0</v>
      </c>
      <c r="J50" s="1390">
        <f t="shared" si="1"/>
        <v>0</v>
      </c>
      <c r="L50" s="1390">
        <f t="shared" si="2"/>
        <v>0</v>
      </c>
      <c r="M50" s="1390">
        <f t="shared" si="3"/>
        <v>0</v>
      </c>
      <c r="O50" s="1390">
        <f t="shared" si="4"/>
        <v>0</v>
      </c>
      <c r="P50" s="1390">
        <f t="shared" si="5"/>
        <v>0</v>
      </c>
      <c r="R50" s="1390">
        <f t="shared" si="6"/>
        <v>0</v>
      </c>
      <c r="S50" s="1390">
        <f t="shared" si="7"/>
        <v>0</v>
      </c>
    </row>
    <row r="51" spans="1:19" x14ac:dyDescent="0.3">
      <c r="A51" s="1389" t="s">
        <v>542</v>
      </c>
      <c r="B51" s="1390">
        <v>0</v>
      </c>
      <c r="C51" s="1390">
        <v>1288.7</v>
      </c>
      <c r="F51" s="1390">
        <f>_xlfn.XLOOKUP($A51,'TB FORMATTED'!$M:$M,'TB FORMATTED'!N:N,0,0,1)-_xlfn.XLOOKUP($A51,'TB FORMATTED'!$M:$M,'TB FORMATTED'!O:O,0,0,1)</f>
        <v>0</v>
      </c>
      <c r="G51" s="1390">
        <f>_xlfn.XLOOKUP($A51,'TB FORMATTED'!$M:$M,'TB FORMATTED'!P:P,0,0,1)-_xlfn.XLOOKUP($A51,'TB FORMATTED'!$M:$M,'TB FORMATTED'!Q:Q,0,0,1)</f>
        <v>1288.7</v>
      </c>
      <c r="I51" s="1390">
        <f t="shared" si="0"/>
        <v>0</v>
      </c>
      <c r="J51" s="1390">
        <f t="shared" si="1"/>
        <v>1288.7</v>
      </c>
      <c r="L51" s="1390">
        <f t="shared" si="2"/>
        <v>0</v>
      </c>
      <c r="M51" s="1390">
        <f t="shared" si="3"/>
        <v>1288.7</v>
      </c>
      <c r="O51" s="1390">
        <f t="shared" si="4"/>
        <v>0</v>
      </c>
      <c r="P51" s="1390">
        <f t="shared" si="5"/>
        <v>1288.7</v>
      </c>
      <c r="R51" s="1390">
        <f t="shared" si="6"/>
        <v>0</v>
      </c>
      <c r="S51" s="1390">
        <f t="shared" si="7"/>
        <v>1288.7</v>
      </c>
    </row>
    <row r="52" spans="1:19" x14ac:dyDescent="0.3">
      <c r="A52" s="1389" t="s">
        <v>543</v>
      </c>
      <c r="B52" s="1390">
        <v>0</v>
      </c>
      <c r="C52" s="1390">
        <v>4540.67</v>
      </c>
      <c r="F52" s="1390">
        <f>_xlfn.XLOOKUP($A52,'TB FORMATTED'!$M:$M,'TB FORMATTED'!N:N,0,0,1)-_xlfn.XLOOKUP($A52,'TB FORMATTED'!$M:$M,'TB FORMATTED'!O:O,0,0,1)</f>
        <v>0</v>
      </c>
      <c r="G52" s="1390">
        <f>_xlfn.XLOOKUP($A52,'TB FORMATTED'!$M:$M,'TB FORMATTED'!P:P,0,0,1)-_xlfn.XLOOKUP($A52,'TB FORMATTED'!$M:$M,'TB FORMATTED'!Q:Q,0,0,1)</f>
        <v>-9093.16</v>
      </c>
      <c r="I52" s="1390">
        <f t="shared" si="0"/>
        <v>0</v>
      </c>
      <c r="J52" s="1390">
        <f t="shared" si="1"/>
        <v>-9093.16</v>
      </c>
      <c r="L52" s="1390">
        <f t="shared" si="2"/>
        <v>0</v>
      </c>
      <c r="M52" s="1390">
        <f t="shared" si="3"/>
        <v>-9093.16</v>
      </c>
      <c r="O52" s="1390">
        <f t="shared" si="4"/>
        <v>0</v>
      </c>
      <c r="P52" s="1390">
        <f t="shared" si="5"/>
        <v>-9093.16</v>
      </c>
      <c r="R52" s="1390">
        <f t="shared" si="6"/>
        <v>0</v>
      </c>
      <c r="S52" s="1390">
        <f t="shared" si="7"/>
        <v>-9093.16</v>
      </c>
    </row>
    <row r="53" spans="1:19" x14ac:dyDescent="0.3">
      <c r="A53" s="1389" t="s">
        <v>457</v>
      </c>
      <c r="B53" s="1390">
        <v>31778.63</v>
      </c>
      <c r="C53" s="1390">
        <v>0</v>
      </c>
      <c r="F53" s="1390">
        <f>_xlfn.XLOOKUP($A53,'TB FORMATTED'!$M:$M,'TB FORMATTED'!N:N,0,0,1)-_xlfn.XLOOKUP($A53,'TB FORMATTED'!$M:$M,'TB FORMATTED'!O:O,0,0,1)</f>
        <v>32552.23</v>
      </c>
      <c r="G53" s="1390">
        <f>_xlfn.XLOOKUP($A53,'TB FORMATTED'!$M:$M,'TB FORMATTED'!P:P,0,0,1)-_xlfn.XLOOKUP($A53,'TB FORMATTED'!$M:$M,'TB FORMATTED'!Q:Q,0,0,1)</f>
        <v>0</v>
      </c>
      <c r="I53" s="1390">
        <f>F53</f>
        <v>32552.23</v>
      </c>
      <c r="J53" s="1390">
        <f t="shared" si="1"/>
        <v>0</v>
      </c>
      <c r="L53" s="1390">
        <f t="shared" si="2"/>
        <v>32552.23</v>
      </c>
      <c r="M53" s="1390">
        <f t="shared" si="3"/>
        <v>0</v>
      </c>
      <c r="O53" s="1390">
        <f t="shared" si="4"/>
        <v>32552.23</v>
      </c>
      <c r="P53" s="1390">
        <f t="shared" si="5"/>
        <v>0</v>
      </c>
      <c r="R53" s="1390">
        <f t="shared" si="6"/>
        <v>32552.23</v>
      </c>
      <c r="S53" s="1390">
        <f t="shared" si="7"/>
        <v>0</v>
      </c>
    </row>
    <row r="54" spans="1:19" x14ac:dyDescent="0.3">
      <c r="A54" s="1389" t="s">
        <v>544</v>
      </c>
      <c r="B54" s="1390">
        <v>0</v>
      </c>
      <c r="C54" s="1390">
        <v>389.61</v>
      </c>
      <c r="F54" s="1390">
        <f>_xlfn.XLOOKUP($A54,'TB FORMATTED'!$M:$M,'TB FORMATTED'!N:N,0,0,1)-_xlfn.XLOOKUP($A54,'TB FORMATTED'!$M:$M,'TB FORMATTED'!O:O,0,0,1)</f>
        <v>0</v>
      </c>
      <c r="G54" s="1390">
        <f>_xlfn.XLOOKUP($A54,'TB FORMATTED'!$M:$M,'TB FORMATTED'!P:P,0,0,1)-_xlfn.XLOOKUP($A54,'TB FORMATTED'!$M:$M,'TB FORMATTED'!Q:Q,0,0,1)</f>
        <v>389.61</v>
      </c>
      <c r="I54" s="1390">
        <f t="shared" si="0"/>
        <v>0</v>
      </c>
      <c r="J54" s="1390">
        <f t="shared" si="1"/>
        <v>389.61</v>
      </c>
      <c r="L54" s="1390">
        <f t="shared" si="2"/>
        <v>0</v>
      </c>
      <c r="M54" s="1390">
        <f t="shared" si="3"/>
        <v>389.61</v>
      </c>
      <c r="O54" s="1390">
        <f t="shared" si="4"/>
        <v>0</v>
      </c>
      <c r="P54" s="1390">
        <f t="shared" si="5"/>
        <v>389.61</v>
      </c>
      <c r="R54" s="1390">
        <f t="shared" si="6"/>
        <v>0</v>
      </c>
      <c r="S54" s="1390">
        <f t="shared" si="7"/>
        <v>389.61</v>
      </c>
    </row>
    <row r="55" spans="1:19" x14ac:dyDescent="0.3">
      <c r="A55" s="1389" t="s">
        <v>458</v>
      </c>
      <c r="B55" s="1390">
        <v>0</v>
      </c>
      <c r="C55" s="1390">
        <v>0</v>
      </c>
      <c r="F55" s="1390">
        <f>_xlfn.XLOOKUP($A55,'TB FORMATTED'!$M:$M,'TB FORMATTED'!N:N,0,0,1)-_xlfn.XLOOKUP($A55,'TB FORMATTED'!$M:$M,'TB FORMATTED'!O:O,0,0,1)</f>
        <v>0</v>
      </c>
      <c r="G55" s="1390">
        <f>_xlfn.XLOOKUP($A55,'TB FORMATTED'!$M:$M,'TB FORMATTED'!P:P,0,0,1)-_xlfn.XLOOKUP($A55,'TB FORMATTED'!$M:$M,'TB FORMATTED'!Q:Q,0,0,1)</f>
        <v>0</v>
      </c>
      <c r="I55" s="1390">
        <f t="shared" si="0"/>
        <v>0</v>
      </c>
      <c r="J55" s="1390">
        <f t="shared" si="1"/>
        <v>0</v>
      </c>
      <c r="L55" s="1390">
        <f t="shared" si="2"/>
        <v>0</v>
      </c>
      <c r="M55" s="1390">
        <f t="shared" si="3"/>
        <v>0</v>
      </c>
      <c r="O55" s="1390">
        <f t="shared" si="4"/>
        <v>0</v>
      </c>
      <c r="P55" s="1390">
        <f t="shared" si="5"/>
        <v>0</v>
      </c>
      <c r="R55" s="1390">
        <f t="shared" si="6"/>
        <v>0</v>
      </c>
      <c r="S55" s="1390">
        <f t="shared" si="7"/>
        <v>0</v>
      </c>
    </row>
    <row r="56" spans="1:19" x14ac:dyDescent="0.3">
      <c r="A56" s="1389" t="s">
        <v>545</v>
      </c>
      <c r="B56" s="1390">
        <v>0</v>
      </c>
      <c r="C56" s="1390">
        <v>0</v>
      </c>
      <c r="F56" s="1390">
        <f>_xlfn.XLOOKUP($A56,'TB FORMATTED'!$M:$M,'TB FORMATTED'!N:N,0,0,1)-_xlfn.XLOOKUP($A56,'TB FORMATTED'!$M:$M,'TB FORMATTED'!O:O,0,0,1)</f>
        <v>0</v>
      </c>
      <c r="G56" s="1390">
        <f>_xlfn.XLOOKUP($A56,'TB FORMATTED'!$M:$M,'TB FORMATTED'!P:P,0,0,1)-_xlfn.XLOOKUP($A56,'TB FORMATTED'!$M:$M,'TB FORMATTED'!Q:Q,0,0,1)</f>
        <v>0</v>
      </c>
      <c r="I56" s="1390">
        <f t="shared" si="0"/>
        <v>0</v>
      </c>
      <c r="J56" s="1390">
        <f t="shared" si="1"/>
        <v>0</v>
      </c>
      <c r="L56" s="1390">
        <f t="shared" si="2"/>
        <v>0</v>
      </c>
      <c r="M56" s="1390">
        <f t="shared" si="3"/>
        <v>0</v>
      </c>
      <c r="O56" s="1390">
        <f t="shared" si="4"/>
        <v>0</v>
      </c>
      <c r="P56" s="1390">
        <f t="shared" si="5"/>
        <v>0</v>
      </c>
      <c r="R56" s="1390">
        <f t="shared" si="6"/>
        <v>0</v>
      </c>
      <c r="S56" s="1390">
        <f t="shared" si="7"/>
        <v>0</v>
      </c>
    </row>
    <row r="57" spans="1:19" x14ac:dyDescent="0.3">
      <c r="A57" s="1389" t="s">
        <v>546</v>
      </c>
      <c r="B57" s="1390">
        <v>0</v>
      </c>
      <c r="C57" s="1390">
        <v>395.6</v>
      </c>
      <c r="F57" s="1390">
        <f>_xlfn.XLOOKUP($A57,'TB FORMATTED'!$M:$M,'TB FORMATTED'!N:N,0,0,1)-_xlfn.XLOOKUP($A57,'TB FORMATTED'!$M:$M,'TB FORMATTED'!O:O,0,0,1)</f>
        <v>0</v>
      </c>
      <c r="G57" s="1390">
        <f>_xlfn.XLOOKUP($A57,'TB FORMATTED'!$M:$M,'TB FORMATTED'!P:P,0,0,1)-_xlfn.XLOOKUP($A57,'TB FORMATTED'!$M:$M,'TB FORMATTED'!Q:Q,0,0,1)</f>
        <v>395.6</v>
      </c>
      <c r="I57" s="1390">
        <f t="shared" si="0"/>
        <v>0</v>
      </c>
      <c r="J57" s="1390">
        <f t="shared" si="1"/>
        <v>395.6</v>
      </c>
      <c r="L57" s="1390">
        <f t="shared" si="2"/>
        <v>0</v>
      </c>
      <c r="M57" s="1390">
        <f t="shared" si="3"/>
        <v>395.6</v>
      </c>
      <c r="O57" s="1390">
        <f t="shared" si="4"/>
        <v>0</v>
      </c>
      <c r="P57" s="1390">
        <f t="shared" si="5"/>
        <v>395.6</v>
      </c>
      <c r="R57" s="1390">
        <f t="shared" si="6"/>
        <v>0</v>
      </c>
      <c r="S57" s="1390">
        <f t="shared" si="7"/>
        <v>395.6</v>
      </c>
    </row>
    <row r="58" spans="1:19" x14ac:dyDescent="0.3">
      <c r="A58" s="1389" t="s">
        <v>547</v>
      </c>
      <c r="B58" s="1390">
        <v>0</v>
      </c>
      <c r="C58" s="1390">
        <v>0</v>
      </c>
      <c r="F58" s="1390">
        <f>_xlfn.XLOOKUP($A58,'TB FORMATTED'!$M:$M,'TB FORMATTED'!N:N,0,0,1)-_xlfn.XLOOKUP($A58,'TB FORMATTED'!$M:$M,'TB FORMATTED'!O:O,0,0,1)</f>
        <v>0</v>
      </c>
      <c r="G58" s="1390">
        <f>_xlfn.XLOOKUP($A58,'TB FORMATTED'!$M:$M,'TB FORMATTED'!P:P,0,0,1)-_xlfn.XLOOKUP($A58,'TB FORMATTED'!$M:$M,'TB FORMATTED'!Q:Q,0,0,1)</f>
        <v>0</v>
      </c>
      <c r="I58" s="1390">
        <f t="shared" si="0"/>
        <v>0</v>
      </c>
      <c r="J58" s="1390">
        <f t="shared" si="1"/>
        <v>0</v>
      </c>
      <c r="L58" s="1390">
        <f t="shared" si="2"/>
        <v>0</v>
      </c>
      <c r="M58" s="1390">
        <f t="shared" si="3"/>
        <v>0</v>
      </c>
      <c r="O58" s="1390">
        <f t="shared" si="4"/>
        <v>0</v>
      </c>
      <c r="P58" s="1390">
        <f t="shared" si="5"/>
        <v>0</v>
      </c>
      <c r="R58" s="1390">
        <f t="shared" si="6"/>
        <v>0</v>
      </c>
      <c r="S58" s="1390">
        <f t="shared" si="7"/>
        <v>0</v>
      </c>
    </row>
    <row r="59" spans="1:19" x14ac:dyDescent="0.3">
      <c r="A59" s="1389" t="s">
        <v>548</v>
      </c>
      <c r="B59" s="1390">
        <v>0</v>
      </c>
      <c r="C59" s="1390">
        <v>-396</v>
      </c>
      <c r="F59" s="1390">
        <f>_xlfn.XLOOKUP($A59,'TB FORMATTED'!$M:$M,'TB FORMATTED'!N:N,0,0,1)-_xlfn.XLOOKUP($A59,'TB FORMATTED'!$M:$M,'TB FORMATTED'!O:O,0,0,1)</f>
        <v>0</v>
      </c>
      <c r="G59" s="1390">
        <f>_xlfn.XLOOKUP($A59,'TB FORMATTED'!$M:$M,'TB FORMATTED'!P:P,0,0,1)-_xlfn.XLOOKUP($A59,'TB FORMATTED'!$M:$M,'TB FORMATTED'!Q:Q,0,0,1)</f>
        <v>-34542</v>
      </c>
      <c r="I59" s="1390">
        <f t="shared" si="0"/>
        <v>0</v>
      </c>
      <c r="J59" s="1390">
        <f t="shared" si="1"/>
        <v>-34542</v>
      </c>
      <c r="L59" s="1390">
        <f t="shared" si="2"/>
        <v>0</v>
      </c>
      <c r="M59" s="1390">
        <f t="shared" si="3"/>
        <v>-34542</v>
      </c>
      <c r="O59" s="1390">
        <f t="shared" si="4"/>
        <v>0</v>
      </c>
      <c r="P59" s="1390">
        <f t="shared" si="5"/>
        <v>-34542</v>
      </c>
      <c r="R59" s="1390">
        <f t="shared" si="6"/>
        <v>0</v>
      </c>
      <c r="S59" s="1390">
        <f t="shared" si="7"/>
        <v>-34542</v>
      </c>
    </row>
    <row r="60" spans="1:19" x14ac:dyDescent="0.3">
      <c r="A60" s="1389" t="s">
        <v>549</v>
      </c>
      <c r="B60" s="1390">
        <v>0</v>
      </c>
      <c r="C60" s="1390">
        <v>0</v>
      </c>
      <c r="F60" s="1390">
        <f>_xlfn.XLOOKUP($A60,'TB FORMATTED'!$M:$M,'TB FORMATTED'!N:N,0,0,1)-_xlfn.XLOOKUP($A60,'TB FORMATTED'!$M:$M,'TB FORMATTED'!O:O,0,0,1)</f>
        <v>0</v>
      </c>
      <c r="G60" s="1390">
        <f>_xlfn.XLOOKUP($A60,'TB FORMATTED'!$M:$M,'TB FORMATTED'!P:P,0,0,1)-_xlfn.XLOOKUP($A60,'TB FORMATTED'!$M:$M,'TB FORMATTED'!Q:Q,0,0,1)</f>
        <v>0</v>
      </c>
      <c r="I60" s="1390">
        <f t="shared" si="0"/>
        <v>0</v>
      </c>
      <c r="J60" s="1390">
        <f t="shared" si="1"/>
        <v>0</v>
      </c>
      <c r="L60" s="1390">
        <f t="shared" si="2"/>
        <v>0</v>
      </c>
      <c r="M60" s="1390">
        <f t="shared" si="3"/>
        <v>0</v>
      </c>
      <c r="O60" s="1390">
        <f t="shared" si="4"/>
        <v>0</v>
      </c>
      <c r="P60" s="1390">
        <f t="shared" si="5"/>
        <v>0</v>
      </c>
      <c r="R60" s="1390">
        <f t="shared" si="6"/>
        <v>0</v>
      </c>
      <c r="S60" s="1390">
        <f t="shared" si="7"/>
        <v>0</v>
      </c>
    </row>
    <row r="61" spans="1:19" x14ac:dyDescent="0.3">
      <c r="A61" s="1389" t="s">
        <v>550</v>
      </c>
      <c r="B61" s="1390">
        <v>0</v>
      </c>
      <c r="C61" s="1390">
        <v>-98.09</v>
      </c>
      <c r="F61" s="1390">
        <f>_xlfn.XLOOKUP($A61,'TB FORMATTED'!$M:$M,'TB FORMATTED'!N:N,0,0,1)-_xlfn.XLOOKUP($A61,'TB FORMATTED'!$M:$M,'TB FORMATTED'!O:O,0,0,1)</f>
        <v>0</v>
      </c>
      <c r="G61" s="1390">
        <f>_xlfn.XLOOKUP($A61,'TB FORMATTED'!$M:$M,'TB FORMATTED'!P:P,0,0,1)-_xlfn.XLOOKUP($A61,'TB FORMATTED'!$M:$M,'TB FORMATTED'!Q:Q,0,0,1)</f>
        <v>-98.09</v>
      </c>
      <c r="I61" s="1390">
        <f t="shared" si="0"/>
        <v>0</v>
      </c>
      <c r="J61" s="1390">
        <f t="shared" si="1"/>
        <v>-98.09</v>
      </c>
      <c r="L61" s="1390">
        <f t="shared" si="2"/>
        <v>0</v>
      </c>
      <c r="M61" s="1390">
        <f t="shared" si="3"/>
        <v>-98.09</v>
      </c>
      <c r="O61" s="1390">
        <f t="shared" si="4"/>
        <v>0</v>
      </c>
      <c r="P61" s="1390">
        <f t="shared" si="5"/>
        <v>-98.09</v>
      </c>
      <c r="R61" s="1390">
        <f t="shared" si="6"/>
        <v>0</v>
      </c>
      <c r="S61" s="1390">
        <f t="shared" si="7"/>
        <v>-98.09</v>
      </c>
    </row>
    <row r="62" spans="1:19" x14ac:dyDescent="0.3">
      <c r="A62" s="1389" t="s">
        <v>459</v>
      </c>
      <c r="B62" s="1390">
        <v>-937.65</v>
      </c>
      <c r="C62" s="1390">
        <v>0</v>
      </c>
      <c r="F62" s="1390">
        <f>_xlfn.XLOOKUP($A62,'TB FORMATTED'!$M:$M,'TB FORMATTED'!N:N,0,0,1)-_xlfn.XLOOKUP($A62,'TB FORMATTED'!$M:$M,'TB FORMATTED'!O:O,0,0,1)</f>
        <v>0</v>
      </c>
      <c r="G62" s="1390">
        <f>_xlfn.XLOOKUP($A62,'TB FORMATTED'!$M:$M,'TB FORMATTED'!P:P,0,0,1)-_xlfn.XLOOKUP($A62,'TB FORMATTED'!$M:$M,'TB FORMATTED'!Q:Q,0,0,1)</f>
        <v>0</v>
      </c>
      <c r="I62" s="1390">
        <f t="shared" si="0"/>
        <v>0</v>
      </c>
      <c r="J62" s="1390">
        <f t="shared" si="1"/>
        <v>0</v>
      </c>
      <c r="L62" s="1390">
        <f t="shared" si="2"/>
        <v>0</v>
      </c>
      <c r="M62" s="1390">
        <f t="shared" si="3"/>
        <v>0</v>
      </c>
      <c r="O62" s="1390">
        <f t="shared" si="4"/>
        <v>0</v>
      </c>
      <c r="P62" s="1390">
        <f t="shared" si="5"/>
        <v>0</v>
      </c>
      <c r="R62" s="1390">
        <f t="shared" si="6"/>
        <v>0</v>
      </c>
      <c r="S62" s="1390">
        <f t="shared" si="7"/>
        <v>0</v>
      </c>
    </row>
    <row r="63" spans="1:19" x14ac:dyDescent="0.3">
      <c r="A63" s="1389" t="s">
        <v>460</v>
      </c>
      <c r="B63" s="1390">
        <v>0</v>
      </c>
      <c r="C63" s="1390">
        <v>0</v>
      </c>
      <c r="F63" s="1390">
        <f>_xlfn.XLOOKUP($A63,'TB FORMATTED'!$M:$M,'TB FORMATTED'!N:N,0,0,1)-_xlfn.XLOOKUP($A63,'TB FORMATTED'!$M:$M,'TB FORMATTED'!O:O,0,0,1)</f>
        <v>0</v>
      </c>
      <c r="G63" s="1390">
        <f>_xlfn.XLOOKUP($A63,'TB FORMATTED'!$M:$M,'TB FORMATTED'!P:P,0,0,1)-_xlfn.XLOOKUP($A63,'TB FORMATTED'!$M:$M,'TB FORMATTED'!Q:Q,0,0,1)</f>
        <v>0</v>
      </c>
      <c r="I63" s="1390">
        <f t="shared" si="0"/>
        <v>0</v>
      </c>
      <c r="J63" s="1390">
        <f t="shared" si="1"/>
        <v>0</v>
      </c>
      <c r="L63" s="1390">
        <f t="shared" si="2"/>
        <v>0</v>
      </c>
      <c r="M63" s="1390">
        <f t="shared" si="3"/>
        <v>0</v>
      </c>
      <c r="O63" s="1390">
        <f t="shared" si="4"/>
        <v>0</v>
      </c>
      <c r="P63" s="1390">
        <f t="shared" si="5"/>
        <v>0</v>
      </c>
      <c r="R63" s="1390">
        <f t="shared" si="6"/>
        <v>0</v>
      </c>
      <c r="S63" s="1390">
        <f t="shared" si="7"/>
        <v>0</v>
      </c>
    </row>
    <row r="64" spans="1:19" x14ac:dyDescent="0.3">
      <c r="A64" s="1389" t="s">
        <v>461</v>
      </c>
      <c r="B64" s="1390">
        <v>-900</v>
      </c>
      <c r="C64" s="1390">
        <v>0</v>
      </c>
      <c r="F64" s="1390">
        <f>_xlfn.XLOOKUP($A64,'TB FORMATTED'!$M:$M,'TB FORMATTED'!N:N,0,0,1)-_xlfn.XLOOKUP($A64,'TB FORMATTED'!$M:$M,'TB FORMATTED'!O:O,0,0,1)</f>
        <v>-900</v>
      </c>
      <c r="G64" s="1390">
        <f>_xlfn.XLOOKUP($A64,'TB FORMATTED'!$M:$M,'TB FORMATTED'!P:P,0,0,1)-_xlfn.XLOOKUP($A64,'TB FORMATTED'!$M:$M,'TB FORMATTED'!Q:Q,0,0,1)</f>
        <v>0</v>
      </c>
      <c r="I64" s="1390">
        <f t="shared" si="0"/>
        <v>-900</v>
      </c>
      <c r="J64" s="1390">
        <f t="shared" si="1"/>
        <v>0</v>
      </c>
      <c r="L64" s="1390">
        <f t="shared" si="2"/>
        <v>-900</v>
      </c>
      <c r="M64" s="1390">
        <f t="shared" si="3"/>
        <v>0</v>
      </c>
      <c r="O64" s="1390">
        <f t="shared" si="4"/>
        <v>-900</v>
      </c>
      <c r="P64" s="1390">
        <f t="shared" si="5"/>
        <v>0</v>
      </c>
      <c r="R64" s="1390">
        <f t="shared" si="6"/>
        <v>-900</v>
      </c>
      <c r="S64" s="1390">
        <f t="shared" si="7"/>
        <v>0</v>
      </c>
    </row>
    <row r="65" spans="1:19" x14ac:dyDescent="0.3">
      <c r="A65" s="1389" t="s">
        <v>462</v>
      </c>
      <c r="B65" s="1390">
        <v>0</v>
      </c>
      <c r="C65" s="1390">
        <v>0</v>
      </c>
      <c r="F65" s="1390">
        <f>_xlfn.XLOOKUP($A65,'TB FORMATTED'!$M:$M,'TB FORMATTED'!N:N,0,0,1)-_xlfn.XLOOKUP($A65,'TB FORMATTED'!$M:$M,'TB FORMATTED'!O:O,0,0,1)</f>
        <v>0</v>
      </c>
      <c r="G65" s="1390">
        <f>_xlfn.XLOOKUP($A65,'TB FORMATTED'!$M:$M,'TB FORMATTED'!P:P,0,0,1)-_xlfn.XLOOKUP($A65,'TB FORMATTED'!$M:$M,'TB FORMATTED'!Q:Q,0,0,1)</f>
        <v>0</v>
      </c>
      <c r="I65" s="1390">
        <f t="shared" si="0"/>
        <v>0</v>
      </c>
      <c r="J65" s="1390">
        <f t="shared" si="1"/>
        <v>0</v>
      </c>
      <c r="L65" s="1390">
        <f t="shared" si="2"/>
        <v>0</v>
      </c>
      <c r="M65" s="1390">
        <f t="shared" si="3"/>
        <v>0</v>
      </c>
      <c r="O65" s="1390">
        <f t="shared" si="4"/>
        <v>0</v>
      </c>
      <c r="P65" s="1390">
        <f t="shared" si="5"/>
        <v>0</v>
      </c>
      <c r="R65" s="1390">
        <f t="shared" si="6"/>
        <v>0</v>
      </c>
      <c r="S65" s="1390">
        <f t="shared" si="7"/>
        <v>0</v>
      </c>
    </row>
    <row r="66" spans="1:19" x14ac:dyDescent="0.3">
      <c r="A66" s="1389" t="s">
        <v>463</v>
      </c>
      <c r="B66" s="1390">
        <v>-3500</v>
      </c>
      <c r="C66" s="1390">
        <v>0</v>
      </c>
      <c r="F66" s="1390">
        <f>_xlfn.XLOOKUP($A66,'TB FORMATTED'!$M:$M,'TB FORMATTED'!N:N,0,0,1)-_xlfn.XLOOKUP($A66,'TB FORMATTED'!$M:$M,'TB FORMATTED'!O:O,0,0,1)</f>
        <v>0</v>
      </c>
      <c r="G66" s="1390">
        <f>_xlfn.XLOOKUP($A66,'TB FORMATTED'!$M:$M,'TB FORMATTED'!P:P,0,0,1)-_xlfn.XLOOKUP($A66,'TB FORMATTED'!$M:$M,'TB FORMATTED'!Q:Q,0,0,1)</f>
        <v>0</v>
      </c>
      <c r="I66" s="1390">
        <f t="shared" si="0"/>
        <v>0</v>
      </c>
      <c r="J66" s="1390">
        <f t="shared" si="1"/>
        <v>0</v>
      </c>
      <c r="L66" s="1390">
        <f t="shared" si="2"/>
        <v>0</v>
      </c>
      <c r="M66" s="1390">
        <f t="shared" si="3"/>
        <v>0</v>
      </c>
      <c r="O66" s="1390">
        <f t="shared" si="4"/>
        <v>0</v>
      </c>
      <c r="P66" s="1390">
        <f t="shared" si="5"/>
        <v>0</v>
      </c>
      <c r="R66" s="1390">
        <f t="shared" si="6"/>
        <v>0</v>
      </c>
      <c r="S66" s="1390">
        <f t="shared" si="7"/>
        <v>0</v>
      </c>
    </row>
    <row r="67" spans="1:19" x14ac:dyDescent="0.3">
      <c r="A67" s="1389" t="s">
        <v>464</v>
      </c>
      <c r="B67" s="1390">
        <v>0</v>
      </c>
      <c r="C67" s="1390">
        <v>0</v>
      </c>
      <c r="F67" s="1390">
        <f>_xlfn.XLOOKUP($A67,'TB FORMATTED'!$M:$M,'TB FORMATTED'!N:N,0,0,1)-_xlfn.XLOOKUP($A67,'TB FORMATTED'!$M:$M,'TB FORMATTED'!O:O,0,0,1)</f>
        <v>0</v>
      </c>
      <c r="G67" s="1390">
        <f>_xlfn.XLOOKUP($A67,'TB FORMATTED'!$M:$M,'TB FORMATTED'!P:P,0,0,1)-_xlfn.XLOOKUP($A67,'TB FORMATTED'!$M:$M,'TB FORMATTED'!Q:Q,0,0,1)</f>
        <v>0</v>
      </c>
      <c r="I67" s="1390">
        <f t="shared" si="0"/>
        <v>0</v>
      </c>
      <c r="J67" s="1390">
        <f t="shared" si="1"/>
        <v>0</v>
      </c>
      <c r="L67" s="1390">
        <f t="shared" si="2"/>
        <v>0</v>
      </c>
      <c r="M67" s="1390">
        <f t="shared" si="3"/>
        <v>0</v>
      </c>
      <c r="O67" s="1390">
        <f t="shared" si="4"/>
        <v>0</v>
      </c>
      <c r="P67" s="1390">
        <f t="shared" si="5"/>
        <v>0</v>
      </c>
      <c r="R67" s="1390">
        <f t="shared" si="6"/>
        <v>0</v>
      </c>
      <c r="S67" s="1390">
        <f t="shared" si="7"/>
        <v>0</v>
      </c>
    </row>
    <row r="68" spans="1:19" x14ac:dyDescent="0.3">
      <c r="A68" s="1389" t="s">
        <v>551</v>
      </c>
      <c r="B68" s="1390">
        <v>0</v>
      </c>
      <c r="C68" s="1390">
        <v>0</v>
      </c>
      <c r="F68" s="1390">
        <f>_xlfn.XLOOKUP($A68,'TB FORMATTED'!$M:$M,'TB FORMATTED'!N:N,0,0,1)-_xlfn.XLOOKUP($A68,'TB FORMATTED'!$M:$M,'TB FORMATTED'!O:O,0,0,1)</f>
        <v>0</v>
      </c>
      <c r="G68" s="1390">
        <f>_xlfn.XLOOKUP($A68,'TB FORMATTED'!$M:$M,'TB FORMATTED'!P:P,0,0,1)-_xlfn.XLOOKUP($A68,'TB FORMATTED'!$M:$M,'TB FORMATTED'!Q:Q,0,0,1)</f>
        <v>0</v>
      </c>
      <c r="I68" s="1390">
        <f t="shared" si="0"/>
        <v>0</v>
      </c>
      <c r="J68" s="1390">
        <f t="shared" si="1"/>
        <v>0</v>
      </c>
      <c r="L68" s="1390">
        <f t="shared" si="2"/>
        <v>0</v>
      </c>
      <c r="M68" s="1390">
        <f t="shared" si="3"/>
        <v>0</v>
      </c>
      <c r="O68" s="1390">
        <f t="shared" si="4"/>
        <v>0</v>
      </c>
      <c r="P68" s="1390">
        <f t="shared" si="5"/>
        <v>0</v>
      </c>
      <c r="R68" s="1390">
        <f t="shared" si="6"/>
        <v>0</v>
      </c>
      <c r="S68" s="1390">
        <f t="shared" si="7"/>
        <v>0</v>
      </c>
    </row>
    <row r="69" spans="1:19" x14ac:dyDescent="0.3">
      <c r="A69" s="1389" t="s">
        <v>552</v>
      </c>
      <c r="B69" s="1390">
        <v>0</v>
      </c>
      <c r="C69" s="1390">
        <v>0</v>
      </c>
      <c r="F69" s="1390">
        <f>_xlfn.XLOOKUP($A69,'TB FORMATTED'!$M:$M,'TB FORMATTED'!N:N,0,0,1)-_xlfn.XLOOKUP($A69,'TB FORMATTED'!$M:$M,'TB FORMATTED'!O:O,0,0,1)</f>
        <v>0</v>
      </c>
      <c r="G69" s="1390">
        <f>_xlfn.XLOOKUP($A69,'TB FORMATTED'!$M:$M,'TB FORMATTED'!P:P,0,0,1)-_xlfn.XLOOKUP($A69,'TB FORMATTED'!$M:$M,'TB FORMATTED'!Q:Q,0,0,1)</f>
        <v>0</v>
      </c>
      <c r="I69" s="1390">
        <f t="shared" si="0"/>
        <v>0</v>
      </c>
      <c r="J69" s="1390">
        <f t="shared" si="1"/>
        <v>0</v>
      </c>
      <c r="L69" s="1390">
        <f t="shared" si="2"/>
        <v>0</v>
      </c>
      <c r="M69" s="1390">
        <f t="shared" si="3"/>
        <v>0</v>
      </c>
      <c r="O69" s="1390">
        <f t="shared" si="4"/>
        <v>0</v>
      </c>
      <c r="P69" s="1390">
        <f t="shared" si="5"/>
        <v>0</v>
      </c>
      <c r="R69" s="1390">
        <f t="shared" si="6"/>
        <v>0</v>
      </c>
      <c r="S69" s="1390">
        <f t="shared" si="7"/>
        <v>0</v>
      </c>
    </row>
    <row r="70" spans="1:19" x14ac:dyDescent="0.3">
      <c r="A70" s="1389" t="s">
        <v>553</v>
      </c>
      <c r="B70" s="1390">
        <v>0</v>
      </c>
      <c r="C70" s="1390">
        <v>0</v>
      </c>
      <c r="F70" s="1390">
        <f>_xlfn.XLOOKUP($A70,'TB FORMATTED'!$M:$M,'TB FORMATTED'!N:N,0,0,1)-_xlfn.XLOOKUP($A70,'TB FORMATTED'!$M:$M,'TB FORMATTED'!O:O,0,0,1)</f>
        <v>0</v>
      </c>
      <c r="G70" s="1390">
        <f>_xlfn.XLOOKUP($A70,'TB FORMATTED'!$M:$M,'TB FORMATTED'!P:P,0,0,1)-_xlfn.XLOOKUP($A70,'TB FORMATTED'!$M:$M,'TB FORMATTED'!Q:Q,0,0,1)</f>
        <v>0</v>
      </c>
      <c r="I70" s="1390">
        <f t="shared" ref="I70:I96" si="8">F70</f>
        <v>0</v>
      </c>
      <c r="J70" s="1390">
        <f t="shared" ref="J70:J95" si="9">G70</f>
        <v>0</v>
      </c>
      <c r="L70" s="1390">
        <f t="shared" ref="L70:L94" si="10">I70</f>
        <v>0</v>
      </c>
      <c r="M70" s="1390">
        <f t="shared" ref="M70:M95" si="11">J70</f>
        <v>0</v>
      </c>
      <c r="O70" s="1390">
        <f t="shared" ref="O70:O94" si="12">L70</f>
        <v>0</v>
      </c>
      <c r="P70" s="1390">
        <f t="shared" ref="P70:P95" si="13">M70</f>
        <v>0</v>
      </c>
      <c r="R70" s="1390">
        <f t="shared" ref="R70:R94" si="14">O70</f>
        <v>0</v>
      </c>
      <c r="S70" s="1390">
        <f t="shared" ref="S70:S95" si="15">P70</f>
        <v>0</v>
      </c>
    </row>
    <row r="71" spans="1:19" x14ac:dyDescent="0.3">
      <c r="A71" s="1389" t="s">
        <v>465</v>
      </c>
      <c r="B71" s="1390">
        <v>0</v>
      </c>
      <c r="C71" s="1390">
        <v>0</v>
      </c>
      <c r="F71" s="1390">
        <f>_xlfn.XLOOKUP($A71,'TB FORMATTED'!$M:$M,'TB FORMATTED'!N:N,0,0,1)-_xlfn.XLOOKUP($A71,'TB FORMATTED'!$M:$M,'TB FORMATTED'!O:O,0,0,1)</f>
        <v>0</v>
      </c>
      <c r="G71" s="1390">
        <f>_xlfn.XLOOKUP($A71,'TB FORMATTED'!$M:$M,'TB FORMATTED'!P:P,0,0,1)-_xlfn.XLOOKUP($A71,'TB FORMATTED'!$M:$M,'TB FORMATTED'!Q:Q,0,0,1)</f>
        <v>0</v>
      </c>
      <c r="I71" s="1390">
        <f t="shared" si="8"/>
        <v>0</v>
      </c>
      <c r="J71" s="1390">
        <f t="shared" si="9"/>
        <v>0</v>
      </c>
      <c r="L71" s="1390">
        <f t="shared" si="10"/>
        <v>0</v>
      </c>
      <c r="M71" s="1390">
        <f t="shared" si="11"/>
        <v>0</v>
      </c>
      <c r="O71" s="1390">
        <f t="shared" si="12"/>
        <v>0</v>
      </c>
      <c r="P71" s="1390">
        <f t="shared" si="13"/>
        <v>0</v>
      </c>
      <c r="R71" s="1390">
        <f t="shared" si="14"/>
        <v>0</v>
      </c>
      <c r="S71" s="1390">
        <f t="shared" si="15"/>
        <v>0</v>
      </c>
    </row>
    <row r="72" spans="1:19" x14ac:dyDescent="0.3">
      <c r="A72" s="1389" t="s">
        <v>554</v>
      </c>
      <c r="B72" s="1390">
        <v>0</v>
      </c>
      <c r="C72" s="1390">
        <v>-556400</v>
      </c>
      <c r="F72" s="1390">
        <f>_xlfn.XLOOKUP($A72,'TB FORMATTED'!$M:$M,'TB FORMATTED'!N:N,0,0,1)-_xlfn.XLOOKUP($A72,'TB FORMATTED'!$M:$M,'TB FORMATTED'!O:O,0,0,1)</f>
        <v>0</v>
      </c>
      <c r="G72" s="1390">
        <f>_xlfn.XLOOKUP($A72,'TB FORMATTED'!$M:$M,'TB FORMATTED'!P:P,0,0,1)-_xlfn.XLOOKUP($A72,'TB FORMATTED'!$M:$M,'TB FORMATTED'!Q:Q,0,0,1)</f>
        <v>-556400</v>
      </c>
      <c r="I72" s="1390">
        <f t="shared" si="8"/>
        <v>0</v>
      </c>
      <c r="J72" s="1390">
        <f t="shared" si="9"/>
        <v>-556400</v>
      </c>
      <c r="L72" s="1390">
        <f t="shared" si="10"/>
        <v>0</v>
      </c>
      <c r="M72" s="1390">
        <f t="shared" si="11"/>
        <v>-556400</v>
      </c>
      <c r="O72" s="1390">
        <f t="shared" si="12"/>
        <v>0</v>
      </c>
      <c r="P72" s="1390">
        <f t="shared" si="13"/>
        <v>-556400</v>
      </c>
      <c r="R72" s="1390">
        <f t="shared" si="14"/>
        <v>0</v>
      </c>
      <c r="S72" s="1390">
        <f t="shared" si="15"/>
        <v>-556400</v>
      </c>
    </row>
    <row r="73" spans="1:19" x14ac:dyDescent="0.3">
      <c r="A73" s="1389" t="s">
        <v>555</v>
      </c>
      <c r="B73" s="1390">
        <v>0</v>
      </c>
      <c r="C73" s="1390">
        <v>0</v>
      </c>
      <c r="F73" s="1390">
        <f>_xlfn.XLOOKUP($A73,'TB FORMATTED'!$M:$M,'TB FORMATTED'!N:N,0,0,1)-_xlfn.XLOOKUP($A73,'TB FORMATTED'!$M:$M,'TB FORMATTED'!O:O,0,0,1)</f>
        <v>0</v>
      </c>
      <c r="G73" s="1390">
        <f>_xlfn.XLOOKUP($A73,'TB FORMATTED'!$M:$M,'TB FORMATTED'!P:P,0,0,1)-_xlfn.XLOOKUP($A73,'TB FORMATTED'!$M:$M,'TB FORMATTED'!Q:Q,0,0,1)</f>
        <v>0</v>
      </c>
      <c r="I73" s="1390">
        <f t="shared" si="8"/>
        <v>0</v>
      </c>
      <c r="J73" s="1390">
        <f t="shared" si="9"/>
        <v>0</v>
      </c>
      <c r="L73" s="1390">
        <f t="shared" si="10"/>
        <v>0</v>
      </c>
      <c r="M73" s="1390">
        <f t="shared" si="11"/>
        <v>0</v>
      </c>
      <c r="O73" s="1390">
        <f t="shared" si="12"/>
        <v>0</v>
      </c>
      <c r="P73" s="1390">
        <f t="shared" si="13"/>
        <v>0</v>
      </c>
      <c r="R73" s="1390">
        <f t="shared" si="14"/>
        <v>0</v>
      </c>
      <c r="S73" s="1390">
        <f t="shared" si="15"/>
        <v>0</v>
      </c>
    </row>
    <row r="74" spans="1:19" x14ac:dyDescent="0.3">
      <c r="A74" s="1389" t="s">
        <v>511</v>
      </c>
      <c r="B74" s="1390">
        <v>0</v>
      </c>
      <c r="C74" s="1390">
        <v>0</v>
      </c>
      <c r="F74" s="1390">
        <f>_xlfn.XLOOKUP($A74,'TB FORMATTED'!$M:$M,'TB FORMATTED'!N:N,0,0,1)-_xlfn.XLOOKUP($A74,'TB FORMATTED'!$M:$M,'TB FORMATTED'!O:O,0,0,1)</f>
        <v>0</v>
      </c>
      <c r="G74" s="1390">
        <f>_xlfn.XLOOKUP($A74,'TB FORMATTED'!$M:$M,'TB FORMATTED'!P:P,0,0,1)-_xlfn.XLOOKUP($A74,'TB FORMATTED'!$M:$M,'TB FORMATTED'!Q:Q,0,0,1)</f>
        <v>0</v>
      </c>
      <c r="I74" s="1390">
        <f t="shared" si="8"/>
        <v>0</v>
      </c>
      <c r="J74" s="1390">
        <f t="shared" si="9"/>
        <v>0</v>
      </c>
      <c r="L74" s="1390">
        <f t="shared" si="10"/>
        <v>0</v>
      </c>
      <c r="M74" s="1390">
        <f t="shared" si="11"/>
        <v>0</v>
      </c>
      <c r="O74" s="1390">
        <f t="shared" si="12"/>
        <v>0</v>
      </c>
      <c r="P74" s="1390">
        <f t="shared" si="13"/>
        <v>0</v>
      </c>
      <c r="R74" s="1390">
        <f t="shared" si="14"/>
        <v>0</v>
      </c>
      <c r="S74" s="1390">
        <f t="shared" si="15"/>
        <v>0</v>
      </c>
    </row>
    <row r="75" spans="1:19" x14ac:dyDescent="0.3">
      <c r="A75" s="1389" t="s">
        <v>556</v>
      </c>
      <c r="B75" s="1390">
        <v>0</v>
      </c>
      <c r="C75" s="1390">
        <v>0</v>
      </c>
      <c r="F75" s="1390">
        <f>_xlfn.XLOOKUP($A75,'TB FORMATTED'!$M:$M,'TB FORMATTED'!N:N,0,0,1)-_xlfn.XLOOKUP($A75,'TB FORMATTED'!$M:$M,'TB FORMATTED'!O:O,0,0,1)</f>
        <v>0</v>
      </c>
      <c r="G75" s="1390">
        <f>_xlfn.XLOOKUP($A75,'TB FORMATTED'!$M:$M,'TB FORMATTED'!P:P,0,0,1)-_xlfn.XLOOKUP($A75,'TB FORMATTED'!$M:$M,'TB FORMATTED'!Q:Q,0,0,1)</f>
        <v>0</v>
      </c>
      <c r="I75" s="1390">
        <f t="shared" si="8"/>
        <v>0</v>
      </c>
      <c r="J75" s="1390">
        <f t="shared" si="9"/>
        <v>0</v>
      </c>
      <c r="L75" s="1390">
        <f t="shared" si="10"/>
        <v>0</v>
      </c>
      <c r="M75" s="1390">
        <f t="shared" si="11"/>
        <v>0</v>
      </c>
      <c r="O75" s="1390">
        <f t="shared" si="12"/>
        <v>0</v>
      </c>
      <c r="P75" s="1390">
        <f t="shared" si="13"/>
        <v>0</v>
      </c>
      <c r="R75" s="1390">
        <f t="shared" si="14"/>
        <v>0</v>
      </c>
      <c r="S75" s="1390">
        <f t="shared" si="15"/>
        <v>0</v>
      </c>
    </row>
    <row r="76" spans="1:19" x14ac:dyDescent="0.3">
      <c r="A76" s="1389" t="s">
        <v>557</v>
      </c>
      <c r="B76" s="1390">
        <v>0</v>
      </c>
      <c r="C76" s="1390">
        <v>0</v>
      </c>
      <c r="F76" s="1390">
        <f>_xlfn.XLOOKUP($A76,'TB FORMATTED'!$M:$M,'TB FORMATTED'!N:N,0,0,1)-_xlfn.XLOOKUP($A76,'TB FORMATTED'!$M:$M,'TB FORMATTED'!O:O,0,0,1)</f>
        <v>0</v>
      </c>
      <c r="G76" s="1390">
        <f>_xlfn.XLOOKUP($A76,'TB FORMATTED'!$M:$M,'TB FORMATTED'!P:P,0,0,1)-_xlfn.XLOOKUP($A76,'TB FORMATTED'!$M:$M,'TB FORMATTED'!Q:Q,0,0,1)</f>
        <v>0</v>
      </c>
      <c r="I76" s="1390">
        <f t="shared" si="8"/>
        <v>0</v>
      </c>
      <c r="J76" s="1390">
        <f t="shared" si="9"/>
        <v>0</v>
      </c>
      <c r="L76" s="1390">
        <f t="shared" si="10"/>
        <v>0</v>
      </c>
      <c r="M76" s="1390">
        <f t="shared" si="11"/>
        <v>0</v>
      </c>
      <c r="O76" s="1390">
        <f t="shared" si="12"/>
        <v>0</v>
      </c>
      <c r="P76" s="1390">
        <f t="shared" si="13"/>
        <v>0</v>
      </c>
      <c r="R76" s="1390">
        <f t="shared" si="14"/>
        <v>0</v>
      </c>
      <c r="S76" s="1390">
        <f t="shared" si="15"/>
        <v>0</v>
      </c>
    </row>
    <row r="77" spans="1:19" x14ac:dyDescent="0.3">
      <c r="A77" s="1389" t="s">
        <v>558</v>
      </c>
      <c r="B77" s="1390">
        <v>0</v>
      </c>
      <c r="C77" s="1390">
        <v>0</v>
      </c>
      <c r="F77" s="1390">
        <f>_xlfn.XLOOKUP($A77,'TB FORMATTED'!$M:$M,'TB FORMATTED'!N:N,0,0,1)-_xlfn.XLOOKUP($A77,'TB FORMATTED'!$M:$M,'TB FORMATTED'!O:O,0,0,1)</f>
        <v>0</v>
      </c>
      <c r="G77" s="1390">
        <f>_xlfn.XLOOKUP($A77,'TB FORMATTED'!$M:$M,'TB FORMATTED'!P:P,0,0,1)-_xlfn.XLOOKUP($A77,'TB FORMATTED'!$M:$M,'TB FORMATTED'!Q:Q,0,0,1)</f>
        <v>0</v>
      </c>
      <c r="I77" s="1390">
        <f t="shared" si="8"/>
        <v>0</v>
      </c>
      <c r="J77" s="1390">
        <f t="shared" si="9"/>
        <v>0</v>
      </c>
      <c r="L77" s="1390">
        <f t="shared" si="10"/>
        <v>0</v>
      </c>
      <c r="M77" s="1390">
        <f t="shared" si="11"/>
        <v>0</v>
      </c>
      <c r="O77" s="1390">
        <f t="shared" si="12"/>
        <v>0</v>
      </c>
      <c r="P77" s="1390">
        <f t="shared" si="13"/>
        <v>0</v>
      </c>
      <c r="R77" s="1390">
        <f t="shared" si="14"/>
        <v>0</v>
      </c>
      <c r="S77" s="1390">
        <f t="shared" si="15"/>
        <v>0</v>
      </c>
    </row>
    <row r="78" spans="1:19" x14ac:dyDescent="0.3">
      <c r="A78" s="1389" t="s">
        <v>682</v>
      </c>
      <c r="B78" s="1390">
        <v>-206894.93</v>
      </c>
      <c r="C78" s="1390">
        <v>0</v>
      </c>
      <c r="F78" s="1390">
        <f>_xlfn.XLOOKUP($A78,'TB FORMATTED'!$M:$M,'TB FORMATTED'!N:N,0,0,1)-_xlfn.XLOOKUP($A78,'TB FORMATTED'!$M:$M,'TB FORMATTED'!O:O,0,0,1)</f>
        <v>-225000</v>
      </c>
      <c r="G78" s="1390">
        <f>_xlfn.XLOOKUP($A78,'TB FORMATTED'!$M:$M,'TB FORMATTED'!P:P,0,0,1)-_xlfn.XLOOKUP($A78,'TB FORMATTED'!$M:$M,'TB FORMATTED'!Q:Q,0,0,1)</f>
        <v>0</v>
      </c>
      <c r="I78" s="1390">
        <f t="shared" si="8"/>
        <v>-225000</v>
      </c>
      <c r="J78" s="1390">
        <f t="shared" si="9"/>
        <v>0</v>
      </c>
      <c r="L78" s="1390">
        <f t="shared" si="10"/>
        <v>-225000</v>
      </c>
      <c r="M78" s="1390">
        <f t="shared" si="11"/>
        <v>0</v>
      </c>
      <c r="O78" s="1390">
        <f t="shared" si="12"/>
        <v>-225000</v>
      </c>
      <c r="P78" s="1390">
        <f t="shared" si="13"/>
        <v>0</v>
      </c>
      <c r="R78" s="1390">
        <f t="shared" si="14"/>
        <v>-225000</v>
      </c>
      <c r="S78" s="1390">
        <f t="shared" si="15"/>
        <v>0</v>
      </c>
    </row>
    <row r="79" spans="1:19" x14ac:dyDescent="0.3">
      <c r="A79" s="1389" t="s">
        <v>681</v>
      </c>
      <c r="B79" s="1390">
        <v>0</v>
      </c>
      <c r="C79" s="1390">
        <v>0</v>
      </c>
      <c r="F79" s="1390">
        <f>_xlfn.XLOOKUP($A79,'TB FORMATTED'!$M:$M,'TB FORMATTED'!N:N,0,0,1)-_xlfn.XLOOKUP($A79,'TB FORMATTED'!$M:$M,'TB FORMATTED'!O:O,0,0,1)</f>
        <v>0</v>
      </c>
      <c r="G79" s="1390">
        <f>_xlfn.XLOOKUP($A79,'TB FORMATTED'!$M:$M,'TB FORMATTED'!P:P,0,0,1)-_xlfn.XLOOKUP($A79,'TB FORMATTED'!$M:$M,'TB FORMATTED'!Q:Q,0,0,1)</f>
        <v>0</v>
      </c>
      <c r="I79" s="1390">
        <f t="shared" si="8"/>
        <v>0</v>
      </c>
      <c r="J79" s="1390">
        <f t="shared" si="9"/>
        <v>0</v>
      </c>
      <c r="L79" s="1390">
        <f t="shared" si="10"/>
        <v>0</v>
      </c>
      <c r="M79" s="1390">
        <f t="shared" si="11"/>
        <v>0</v>
      </c>
      <c r="O79" s="1390">
        <f t="shared" si="12"/>
        <v>0</v>
      </c>
      <c r="P79" s="1390">
        <f t="shared" si="13"/>
        <v>0</v>
      </c>
      <c r="R79" s="1390">
        <f t="shared" si="14"/>
        <v>0</v>
      </c>
      <c r="S79" s="1390">
        <f t="shared" si="15"/>
        <v>0</v>
      </c>
    </row>
    <row r="80" spans="1:19" x14ac:dyDescent="0.3">
      <c r="A80" s="1389" t="s">
        <v>683</v>
      </c>
      <c r="B80" s="1390">
        <v>0</v>
      </c>
      <c r="C80" s="1390">
        <v>0</v>
      </c>
      <c r="F80" s="1390">
        <f>_xlfn.XLOOKUP($A80,'TB FORMATTED'!$M:$M,'TB FORMATTED'!N:N,0,0,1)-_xlfn.XLOOKUP($A80,'TB FORMATTED'!$M:$M,'TB FORMATTED'!O:O,0,0,1)</f>
        <v>0</v>
      </c>
      <c r="G80" s="1390">
        <f>_xlfn.XLOOKUP($A80,'TB FORMATTED'!$M:$M,'TB FORMATTED'!P:P,0,0,1)-_xlfn.XLOOKUP($A80,'TB FORMATTED'!$M:$M,'TB FORMATTED'!Q:Q,0,0,1)</f>
        <v>0</v>
      </c>
      <c r="I80" s="1390">
        <f t="shared" si="8"/>
        <v>0</v>
      </c>
      <c r="J80" s="1390">
        <f t="shared" si="9"/>
        <v>0</v>
      </c>
      <c r="L80" s="1390">
        <f t="shared" si="10"/>
        <v>0</v>
      </c>
      <c r="M80" s="1390">
        <f t="shared" si="11"/>
        <v>0</v>
      </c>
      <c r="O80" s="1390">
        <f t="shared" si="12"/>
        <v>0</v>
      </c>
      <c r="P80" s="1390">
        <f t="shared" si="13"/>
        <v>0</v>
      </c>
      <c r="R80" s="1390">
        <f t="shared" si="14"/>
        <v>0</v>
      </c>
      <c r="S80" s="1390">
        <f t="shared" si="15"/>
        <v>0</v>
      </c>
    </row>
    <row r="81" spans="1:19" x14ac:dyDescent="0.3">
      <c r="A81" s="1389" t="s">
        <v>2172</v>
      </c>
      <c r="B81" s="1390">
        <v>-67204</v>
      </c>
      <c r="C81" s="1390">
        <v>0</v>
      </c>
      <c r="F81" s="1390">
        <f>_xlfn.XLOOKUP($A81,'TB FORMATTED'!$M:$M,'TB FORMATTED'!N:N,0,0,1)-_xlfn.XLOOKUP($A81,'TB FORMATTED'!$M:$M,'TB FORMATTED'!O:O,0,0,1)</f>
        <v>-88016</v>
      </c>
      <c r="G81" s="1390">
        <f>_xlfn.XLOOKUP($A81,'TB FORMATTED'!$M:$M,'TB FORMATTED'!P:P,0,0,1)-_xlfn.XLOOKUP($A81,'TB FORMATTED'!$M:$M,'TB FORMATTED'!Q:Q,0,0,1)</f>
        <v>0</v>
      </c>
      <c r="I81" s="1390">
        <f t="shared" si="8"/>
        <v>-88016</v>
      </c>
      <c r="J81" s="1390">
        <f t="shared" si="9"/>
        <v>0</v>
      </c>
      <c r="L81" s="1390">
        <f t="shared" si="10"/>
        <v>-88016</v>
      </c>
      <c r="M81" s="1390">
        <f t="shared" si="11"/>
        <v>0</v>
      </c>
      <c r="O81" s="1390">
        <f t="shared" si="12"/>
        <v>-88016</v>
      </c>
      <c r="P81" s="1390">
        <f t="shared" si="13"/>
        <v>0</v>
      </c>
      <c r="R81" s="1390">
        <f t="shared" si="14"/>
        <v>-88016</v>
      </c>
      <c r="S81" s="1390">
        <f t="shared" si="15"/>
        <v>0</v>
      </c>
    </row>
    <row r="82" spans="1:19" x14ac:dyDescent="0.3">
      <c r="A82" s="1389" t="s">
        <v>684</v>
      </c>
      <c r="B82" s="1390">
        <v>0</v>
      </c>
      <c r="C82" s="1390">
        <v>-109089.96</v>
      </c>
      <c r="F82" s="1390">
        <f>_xlfn.XLOOKUP($A82,'TB FORMATTED'!$M:$M,'TB FORMATTED'!N:N,0,0,1)-_xlfn.XLOOKUP($A82,'TB FORMATTED'!$M:$M,'TB FORMATTED'!O:O,0,0,1)</f>
        <v>0</v>
      </c>
      <c r="G82" s="1390">
        <f>_xlfn.XLOOKUP($A82,'TB FORMATTED'!$M:$M,'TB FORMATTED'!P:P,0,0,1)-_xlfn.XLOOKUP($A82,'TB FORMATTED'!$M:$M,'TB FORMATTED'!Q:Q,0,0,1)</f>
        <v>-88904.03</v>
      </c>
      <c r="I82" s="1390">
        <f t="shared" si="8"/>
        <v>0</v>
      </c>
      <c r="J82" s="1390">
        <f t="shared" si="9"/>
        <v>-88904.03</v>
      </c>
      <c r="L82" s="1390">
        <f t="shared" si="10"/>
        <v>0</v>
      </c>
      <c r="M82" s="1390">
        <f t="shared" si="11"/>
        <v>-88904.03</v>
      </c>
      <c r="O82" s="1390">
        <f t="shared" si="12"/>
        <v>0</v>
      </c>
      <c r="P82" s="1390">
        <f t="shared" si="13"/>
        <v>-88904.03</v>
      </c>
      <c r="R82" s="1390">
        <f t="shared" si="14"/>
        <v>0</v>
      </c>
      <c r="S82" s="1390">
        <f t="shared" si="15"/>
        <v>-88904.03</v>
      </c>
    </row>
    <row r="83" spans="1:19" x14ac:dyDescent="0.3">
      <c r="A83" s="1389" t="s">
        <v>325</v>
      </c>
      <c r="B83" s="1390">
        <v>-6450000</v>
      </c>
      <c r="C83" s="1390">
        <v>0</v>
      </c>
      <c r="F83" s="1390">
        <f>_xlfn.XLOOKUP($A83,'TB FORMATTED'!$M:$M,'TB FORMATTED'!N:N,0,0,1)-_xlfn.XLOOKUP($A83,'TB FORMATTED'!$M:$M,'TB FORMATTED'!O:O,0,0,1)</f>
        <v>-6450000</v>
      </c>
      <c r="G83" s="1390">
        <f>_xlfn.XLOOKUP($A83,'TB FORMATTED'!$M:$M,'TB FORMATTED'!P:P,0,0,1)-_xlfn.XLOOKUP($A83,'TB FORMATTED'!$M:$M,'TB FORMATTED'!Q:Q,0,0,1)</f>
        <v>0</v>
      </c>
      <c r="I83" s="1390">
        <f t="shared" si="8"/>
        <v>-6450000</v>
      </c>
      <c r="J83" s="1390">
        <f t="shared" si="9"/>
        <v>0</v>
      </c>
      <c r="L83" s="1390">
        <f t="shared" si="10"/>
        <v>-6450000</v>
      </c>
      <c r="M83" s="1390">
        <f t="shared" si="11"/>
        <v>0</v>
      </c>
      <c r="O83" s="1390">
        <f t="shared" si="12"/>
        <v>-6450000</v>
      </c>
      <c r="P83" s="1390">
        <f t="shared" si="13"/>
        <v>0</v>
      </c>
      <c r="R83" s="1390">
        <f>O83</f>
        <v>-6450000</v>
      </c>
      <c r="S83" s="1390">
        <f t="shared" si="15"/>
        <v>0</v>
      </c>
    </row>
    <row r="84" spans="1:19" x14ac:dyDescent="0.3">
      <c r="A84" s="1389" t="s">
        <v>559</v>
      </c>
      <c r="B84" s="1390">
        <v>0</v>
      </c>
      <c r="C84" s="1390">
        <v>1697.62</v>
      </c>
      <c r="F84" s="1390">
        <f>_xlfn.XLOOKUP($A84,'TB FORMATTED'!$M:$M,'TB FORMATTED'!N:N,0,0,1)-_xlfn.XLOOKUP($A84,'TB FORMATTED'!$M:$M,'TB FORMATTED'!O:O,0,0,1)</f>
        <v>0</v>
      </c>
      <c r="G84" s="1390">
        <f>_xlfn.XLOOKUP($A84,'TB FORMATTED'!$M:$M,'TB FORMATTED'!P:P,0,0,1)-_xlfn.XLOOKUP($A84,'TB FORMATTED'!$M:$M,'TB FORMATTED'!Q:Q,0,0,1)</f>
        <v>1697.62</v>
      </c>
      <c r="I84" s="1390">
        <f t="shared" si="8"/>
        <v>0</v>
      </c>
      <c r="J84" s="1390">
        <f t="shared" si="9"/>
        <v>1697.62</v>
      </c>
      <c r="L84" s="1390">
        <f t="shared" si="10"/>
        <v>0</v>
      </c>
      <c r="M84" s="1390">
        <f t="shared" si="11"/>
        <v>1697.62</v>
      </c>
      <c r="O84" s="1390">
        <f t="shared" si="12"/>
        <v>0</v>
      </c>
      <c r="P84" s="1390">
        <f t="shared" si="13"/>
        <v>1697.62</v>
      </c>
      <c r="R84" s="1390">
        <f t="shared" si="14"/>
        <v>0</v>
      </c>
      <c r="S84" s="1390">
        <f t="shared" si="15"/>
        <v>1697.62</v>
      </c>
    </row>
    <row r="85" spans="1:19" x14ac:dyDescent="0.3">
      <c r="A85" s="1389" t="s">
        <v>466</v>
      </c>
      <c r="B85" s="1390">
        <v>-1801251</v>
      </c>
      <c r="C85" s="1390">
        <v>0</v>
      </c>
      <c r="F85" s="1390">
        <f>_xlfn.XLOOKUP($A85,'TB FORMATTED'!$M:$M,'TB FORMATTED'!N:N,0,0,1)-_xlfn.XLOOKUP($A85,'TB FORMATTED'!$M:$M,'TB FORMATTED'!O:O,0,0,1)</f>
        <v>-1801251</v>
      </c>
      <c r="G85" s="1390">
        <f>_xlfn.XLOOKUP($A85,'TB FORMATTED'!$M:$M,'TB FORMATTED'!P:P,0,0,1)-_xlfn.XLOOKUP($A85,'TB FORMATTED'!$M:$M,'TB FORMATTED'!Q:Q,0,0,1)</f>
        <v>0</v>
      </c>
      <c r="I85" s="1390">
        <f t="shared" si="8"/>
        <v>-1801251</v>
      </c>
      <c r="J85" s="1390">
        <f t="shared" si="9"/>
        <v>0</v>
      </c>
      <c r="L85" s="1390">
        <f t="shared" si="10"/>
        <v>-1801251</v>
      </c>
      <c r="M85" s="1390">
        <f t="shared" si="11"/>
        <v>0</v>
      </c>
      <c r="O85" s="1390">
        <f t="shared" si="12"/>
        <v>-1801251</v>
      </c>
      <c r="P85" s="1390">
        <f t="shared" si="13"/>
        <v>0</v>
      </c>
      <c r="R85" s="1390">
        <f t="shared" si="14"/>
        <v>-1801251</v>
      </c>
      <c r="S85" s="1390">
        <f t="shared" si="15"/>
        <v>0</v>
      </c>
    </row>
    <row r="86" spans="1:19" x14ac:dyDescent="0.3">
      <c r="A86" s="1389" t="s">
        <v>467</v>
      </c>
      <c r="B86" s="1390">
        <v>27152.1</v>
      </c>
      <c r="C86" s="1390">
        <v>0</v>
      </c>
      <c r="F86" s="1390">
        <f>_xlfn.XLOOKUP($A86,'TB FORMATTED'!$M:$M,'TB FORMATTED'!N:N,0,0,1)-_xlfn.XLOOKUP($A86,'TB FORMATTED'!$M:$M,'TB FORMATTED'!O:O,0,0,1)</f>
        <v>27152.1</v>
      </c>
      <c r="G86" s="1390">
        <f>_xlfn.XLOOKUP($A86,'TB FORMATTED'!$M:$M,'TB FORMATTED'!P:P,0,0,1)-_xlfn.XLOOKUP($A86,'TB FORMATTED'!$M:$M,'TB FORMATTED'!Q:Q,0,0,1)</f>
        <v>0</v>
      </c>
      <c r="I86" s="1390">
        <f t="shared" si="8"/>
        <v>27152.1</v>
      </c>
      <c r="J86" s="1390">
        <f t="shared" si="9"/>
        <v>0</v>
      </c>
      <c r="L86" s="1390">
        <f t="shared" si="10"/>
        <v>27152.1</v>
      </c>
      <c r="M86" s="1390">
        <f t="shared" si="11"/>
        <v>0</v>
      </c>
      <c r="O86" s="1390">
        <f t="shared" si="12"/>
        <v>27152.1</v>
      </c>
      <c r="P86" s="1390">
        <f t="shared" si="13"/>
        <v>0</v>
      </c>
      <c r="R86" s="1390">
        <f t="shared" si="14"/>
        <v>27152.1</v>
      </c>
      <c r="S86" s="1390">
        <f t="shared" si="15"/>
        <v>0</v>
      </c>
    </row>
    <row r="87" spans="1:19" x14ac:dyDescent="0.3">
      <c r="A87" s="1389" t="s">
        <v>468</v>
      </c>
      <c r="B87" s="1390">
        <v>-308750</v>
      </c>
      <c r="C87" s="1390">
        <v>0</v>
      </c>
      <c r="F87" s="1390">
        <f>_xlfn.XLOOKUP($A87,'TB FORMATTED'!$M:$M,'TB FORMATTED'!N:N,0,0,1)-_xlfn.XLOOKUP($A87,'TB FORMATTED'!$M:$M,'TB FORMATTED'!O:O,0,0,1)</f>
        <v>-308750</v>
      </c>
      <c r="G87" s="1390">
        <f>_xlfn.XLOOKUP($A87,'TB FORMATTED'!$M:$M,'TB FORMATTED'!P:P,0,0,1)-_xlfn.XLOOKUP($A87,'TB FORMATTED'!$M:$M,'TB FORMATTED'!Q:Q,0,0,1)</f>
        <v>0</v>
      </c>
      <c r="I87" s="1390">
        <f t="shared" si="8"/>
        <v>-308750</v>
      </c>
      <c r="J87" s="1390">
        <f t="shared" si="9"/>
        <v>0</v>
      </c>
      <c r="L87" s="1390">
        <f t="shared" si="10"/>
        <v>-308750</v>
      </c>
      <c r="M87" s="1390">
        <f t="shared" si="11"/>
        <v>0</v>
      </c>
      <c r="O87" s="1390">
        <f t="shared" si="12"/>
        <v>-308750</v>
      </c>
      <c r="P87" s="1390">
        <f t="shared" si="13"/>
        <v>0</v>
      </c>
      <c r="R87" s="1390">
        <f t="shared" si="14"/>
        <v>-308750</v>
      </c>
      <c r="S87" s="1390">
        <f t="shared" si="15"/>
        <v>0</v>
      </c>
    </row>
    <row r="88" spans="1:19" x14ac:dyDescent="0.3">
      <c r="A88" s="1389" t="s">
        <v>560</v>
      </c>
      <c r="B88" s="1390">
        <v>0</v>
      </c>
      <c r="C88" s="1390">
        <v>0</v>
      </c>
      <c r="F88" s="1390">
        <f>_xlfn.XLOOKUP($A88,'TB FORMATTED'!$M:$M,'TB FORMATTED'!N:N,0,0,1)-_xlfn.XLOOKUP($A88,'TB FORMATTED'!$M:$M,'TB FORMATTED'!O:O,0,0,1)</f>
        <v>0</v>
      </c>
      <c r="G88" s="1390">
        <f>_xlfn.XLOOKUP($A88,'TB FORMATTED'!$M:$M,'TB FORMATTED'!P:P,0,0,1)-_xlfn.XLOOKUP($A88,'TB FORMATTED'!$M:$M,'TB FORMATTED'!Q:Q,0,0,1)</f>
        <v>0</v>
      </c>
      <c r="I88" s="1390">
        <f t="shared" si="8"/>
        <v>0</v>
      </c>
      <c r="J88" s="1390">
        <f t="shared" si="9"/>
        <v>0</v>
      </c>
      <c r="L88" s="1390">
        <f t="shared" si="10"/>
        <v>0</v>
      </c>
      <c r="M88" s="1390">
        <f t="shared" si="11"/>
        <v>0</v>
      </c>
      <c r="O88" s="1390">
        <f t="shared" si="12"/>
        <v>0</v>
      </c>
      <c r="P88" s="1390">
        <f t="shared" si="13"/>
        <v>0</v>
      </c>
      <c r="R88" s="1390">
        <f t="shared" si="14"/>
        <v>0</v>
      </c>
      <c r="S88" s="1390">
        <f t="shared" si="15"/>
        <v>0</v>
      </c>
    </row>
    <row r="89" spans="1:19" x14ac:dyDescent="0.3">
      <c r="A89" s="1389" t="s">
        <v>561</v>
      </c>
      <c r="B89" s="1390">
        <v>0</v>
      </c>
      <c r="C89" s="1390">
        <v>-24</v>
      </c>
      <c r="F89" s="1390">
        <f>_xlfn.XLOOKUP($A89,'TB FORMATTED'!$M:$M,'TB FORMATTED'!N:N,0,0,1)-_xlfn.XLOOKUP($A89,'TB FORMATTED'!$M:$M,'TB FORMATTED'!O:O,0,0,1)</f>
        <v>0</v>
      </c>
      <c r="G89" s="1390">
        <f>_xlfn.XLOOKUP($A89,'TB FORMATTED'!$M:$M,'TB FORMATTED'!P:P,0,0,1)-_xlfn.XLOOKUP($A89,'TB FORMATTED'!$M:$M,'TB FORMATTED'!Q:Q,0,0,1)</f>
        <v>-24</v>
      </c>
      <c r="I89" s="1390">
        <f t="shared" si="8"/>
        <v>0</v>
      </c>
      <c r="J89" s="1390">
        <f t="shared" si="9"/>
        <v>-24</v>
      </c>
      <c r="L89" s="1390">
        <f t="shared" si="10"/>
        <v>0</v>
      </c>
      <c r="M89" s="1390">
        <f t="shared" si="11"/>
        <v>-24</v>
      </c>
      <c r="O89" s="1390">
        <f t="shared" si="12"/>
        <v>0</v>
      </c>
      <c r="P89" s="1390">
        <f t="shared" si="13"/>
        <v>-24</v>
      </c>
      <c r="R89" s="1390">
        <f t="shared" si="14"/>
        <v>0</v>
      </c>
      <c r="S89" s="1390">
        <f t="shared" si="15"/>
        <v>-24</v>
      </c>
    </row>
    <row r="90" spans="1:19" x14ac:dyDescent="0.3">
      <c r="A90" s="1389" t="s">
        <v>562</v>
      </c>
      <c r="B90" s="1390">
        <v>0</v>
      </c>
      <c r="C90" s="1390">
        <v>-12</v>
      </c>
      <c r="F90" s="1390">
        <f>_xlfn.XLOOKUP($A90,'TB FORMATTED'!$M:$M,'TB FORMATTED'!N:N,0,0,1)-_xlfn.XLOOKUP($A90,'TB FORMATTED'!$M:$M,'TB FORMATTED'!O:O,0,0,1)</f>
        <v>0</v>
      </c>
      <c r="G90" s="1390">
        <f>_xlfn.XLOOKUP($A90,'TB FORMATTED'!$M:$M,'TB FORMATTED'!P:P,0,0,1)-_xlfn.XLOOKUP($A90,'TB FORMATTED'!$M:$M,'TB FORMATTED'!Q:Q,0,0,1)</f>
        <v>-12</v>
      </c>
      <c r="I90" s="1390">
        <f t="shared" si="8"/>
        <v>0</v>
      </c>
      <c r="J90" s="1390">
        <f t="shared" si="9"/>
        <v>-12</v>
      </c>
      <c r="L90" s="1390">
        <f t="shared" si="10"/>
        <v>0</v>
      </c>
      <c r="M90" s="1390">
        <f t="shared" si="11"/>
        <v>-12</v>
      </c>
      <c r="O90" s="1390">
        <f t="shared" si="12"/>
        <v>0</v>
      </c>
      <c r="P90" s="1390">
        <f t="shared" si="13"/>
        <v>-12</v>
      </c>
      <c r="R90" s="1390">
        <f t="shared" si="14"/>
        <v>0</v>
      </c>
      <c r="S90" s="1390">
        <f t="shared" si="15"/>
        <v>-12</v>
      </c>
    </row>
    <row r="91" spans="1:19" x14ac:dyDescent="0.3">
      <c r="A91" s="1389" t="s">
        <v>563</v>
      </c>
      <c r="B91" s="1390">
        <v>0</v>
      </c>
      <c r="C91" s="1390">
        <v>-12</v>
      </c>
      <c r="F91" s="1390">
        <f>_xlfn.XLOOKUP($A91,'TB FORMATTED'!$M:$M,'TB FORMATTED'!N:N,0,0,1)-_xlfn.XLOOKUP($A91,'TB FORMATTED'!$M:$M,'TB FORMATTED'!O:O,0,0,1)</f>
        <v>0</v>
      </c>
      <c r="G91" s="1390">
        <f>_xlfn.XLOOKUP($A91,'TB FORMATTED'!$M:$M,'TB FORMATTED'!P:P,0,0,1)-_xlfn.XLOOKUP($A91,'TB FORMATTED'!$M:$M,'TB FORMATTED'!Q:Q,0,0,1)</f>
        <v>-12</v>
      </c>
      <c r="I91" s="1390">
        <f t="shared" si="8"/>
        <v>0</v>
      </c>
      <c r="J91" s="1390">
        <f t="shared" si="9"/>
        <v>-12</v>
      </c>
      <c r="L91" s="1390">
        <f t="shared" si="10"/>
        <v>0</v>
      </c>
      <c r="M91" s="1390">
        <f t="shared" si="11"/>
        <v>-12</v>
      </c>
      <c r="O91" s="1390">
        <f t="shared" si="12"/>
        <v>0</v>
      </c>
      <c r="P91" s="1390">
        <f t="shared" si="13"/>
        <v>-12</v>
      </c>
      <c r="R91" s="1390">
        <f t="shared" si="14"/>
        <v>0</v>
      </c>
      <c r="S91" s="1390">
        <f t="shared" si="15"/>
        <v>-12</v>
      </c>
    </row>
    <row r="92" spans="1:19" x14ac:dyDescent="0.3">
      <c r="A92" s="1389" t="s">
        <v>564</v>
      </c>
      <c r="B92" s="1390">
        <v>0</v>
      </c>
      <c r="C92" s="1390">
        <v>-59349.72</v>
      </c>
      <c r="F92" s="1390">
        <f>_xlfn.XLOOKUP($A92,'TB FORMATTED'!$M:$M,'TB FORMATTED'!N:N,0,0,1)-_xlfn.XLOOKUP($A92,'TB FORMATTED'!$M:$M,'TB FORMATTED'!O:O,0,0,1)</f>
        <v>0</v>
      </c>
      <c r="G92" s="1390">
        <f>_xlfn.XLOOKUP($A92,'TB FORMATTED'!$M:$M,'TB FORMATTED'!P:P,0,0,1)-_xlfn.XLOOKUP($A92,'TB FORMATTED'!$M:$M,'TB FORMATTED'!Q:Q,0,0,1)</f>
        <v>-59349.72</v>
      </c>
      <c r="I92" s="1390">
        <f t="shared" si="8"/>
        <v>0</v>
      </c>
      <c r="J92" s="1390">
        <f t="shared" si="9"/>
        <v>-59349.72</v>
      </c>
      <c r="L92" s="1390">
        <f t="shared" si="10"/>
        <v>0</v>
      </c>
      <c r="M92" s="1390">
        <f t="shared" si="11"/>
        <v>-59349.72</v>
      </c>
      <c r="O92" s="1390">
        <f t="shared" si="12"/>
        <v>0</v>
      </c>
      <c r="P92" s="1390">
        <f t="shared" si="13"/>
        <v>-59349.72</v>
      </c>
      <c r="R92" s="1390">
        <f t="shared" si="14"/>
        <v>0</v>
      </c>
      <c r="S92" s="1390">
        <f t="shared" si="15"/>
        <v>-59349.72</v>
      </c>
    </row>
    <row r="93" spans="1:19" x14ac:dyDescent="0.3">
      <c r="A93" s="1389" t="s">
        <v>326</v>
      </c>
      <c r="B93" s="1390">
        <v>0</v>
      </c>
      <c r="C93" s="1390">
        <v>0</v>
      </c>
      <c r="F93" s="1390">
        <f>_xlfn.XLOOKUP($A93,'TB FORMATTED'!$M:$M,'TB FORMATTED'!N:N,0,0,1)-_xlfn.XLOOKUP($A93,'TB FORMATTED'!$M:$M,'TB FORMATTED'!O:O,0,0,1)</f>
        <v>0</v>
      </c>
      <c r="G93" s="1390">
        <f>_xlfn.XLOOKUP($A93,'TB FORMATTED'!$M:$M,'TB FORMATTED'!P:P,0,0,1)-_xlfn.XLOOKUP($A93,'TB FORMATTED'!$M:$M,'TB FORMATTED'!Q:Q,0,0,1)</f>
        <v>0</v>
      </c>
      <c r="I93" s="1390">
        <f t="shared" si="8"/>
        <v>0</v>
      </c>
      <c r="J93" s="1390">
        <f t="shared" si="9"/>
        <v>0</v>
      </c>
      <c r="L93" s="1390">
        <f t="shared" si="10"/>
        <v>0</v>
      </c>
      <c r="M93" s="1390">
        <f t="shared" si="11"/>
        <v>0</v>
      </c>
      <c r="O93" s="1390">
        <f t="shared" si="12"/>
        <v>0</v>
      </c>
      <c r="P93" s="1390">
        <f t="shared" si="13"/>
        <v>0</v>
      </c>
      <c r="R93" s="1390">
        <f t="shared" si="14"/>
        <v>0</v>
      </c>
      <c r="S93" s="1390">
        <f t="shared" si="15"/>
        <v>0</v>
      </c>
    </row>
    <row r="94" spans="1:19" x14ac:dyDescent="0.3">
      <c r="A94" s="1389" t="s">
        <v>2283</v>
      </c>
      <c r="B94" s="1390">
        <v>0</v>
      </c>
      <c r="C94" s="1390">
        <v>0</v>
      </c>
      <c r="F94" s="1390">
        <f>_xlfn.XLOOKUP($A94,'TB FORMATTED'!$M:$M,'TB FORMATTED'!N:N,0,0,1)-_xlfn.XLOOKUP($A94,'TB FORMATTED'!$M:$M,'TB FORMATTED'!O:O,0,0,1)</f>
        <v>0</v>
      </c>
      <c r="G94" s="1390">
        <f>_xlfn.XLOOKUP($A94,'TB FORMATTED'!$M:$M,'TB FORMATTED'!P:P,0,0,1)-_xlfn.XLOOKUP($A94,'TB FORMATTED'!$M:$M,'TB FORMATTED'!Q:Q,0,0,1)</f>
        <v>-6281822</v>
      </c>
      <c r="I94" s="1390">
        <f t="shared" si="8"/>
        <v>0</v>
      </c>
      <c r="J94" s="1390">
        <f t="shared" si="9"/>
        <v>-6281822</v>
      </c>
      <c r="L94" s="1390">
        <f t="shared" si="10"/>
        <v>0</v>
      </c>
      <c r="M94" s="1390">
        <f t="shared" si="11"/>
        <v>-6281822</v>
      </c>
      <c r="O94" s="1390">
        <f t="shared" si="12"/>
        <v>0</v>
      </c>
      <c r="P94" s="1390">
        <f t="shared" si="13"/>
        <v>-6281822</v>
      </c>
      <c r="R94" s="1390">
        <f t="shared" si="14"/>
        <v>0</v>
      </c>
      <c r="S94" s="1390">
        <f t="shared" si="15"/>
        <v>-6281822</v>
      </c>
    </row>
    <row r="95" spans="1:19" x14ac:dyDescent="0.3">
      <c r="A95" s="1389" t="s">
        <v>469</v>
      </c>
      <c r="B95" s="1390">
        <v>1700383.98</v>
      </c>
      <c r="C95" s="1390">
        <v>0</v>
      </c>
      <c r="F95" s="1390">
        <f>_xlfn.XLOOKUP($A95,'TB FORMATTED'!$M:$M,'TB FORMATTED'!N:N,0,0,1)-_xlfn.XLOOKUP($A95,'TB FORMATTED'!$M:$M,'TB FORMATTED'!O:O,0,0,1)</f>
        <v>2024592.82</v>
      </c>
      <c r="G95" s="1390">
        <f>_xlfn.XLOOKUP($A95,'TB FORMATTED'!$M:$M,'TB FORMATTED'!P:P,0,0,1)-_xlfn.XLOOKUP($A95,'TB FORMATTED'!$M:$M,'TB FORMATTED'!Q:Q,0,0,1)</f>
        <v>0</v>
      </c>
      <c r="I95" s="1390">
        <f>F95+SUM(F97:F182)</f>
        <v>2080858.73</v>
      </c>
      <c r="J95" s="1390">
        <f t="shared" si="9"/>
        <v>0</v>
      </c>
      <c r="L95" s="1390">
        <f>I95+SUM(I97:I182)</f>
        <v>2080858.73</v>
      </c>
      <c r="M95" s="1390">
        <f t="shared" si="11"/>
        <v>0</v>
      </c>
      <c r="O95" s="1390">
        <f>L95+SUM(L97:L182)</f>
        <v>2080858.73</v>
      </c>
      <c r="P95" s="1390">
        <f t="shared" si="13"/>
        <v>0</v>
      </c>
      <c r="R95" s="1390">
        <f>O95+SUM(O97:O182)</f>
        <v>2080858.73</v>
      </c>
      <c r="S95" s="1390">
        <f t="shared" si="15"/>
        <v>0</v>
      </c>
    </row>
    <row r="96" spans="1:19" ht="15" thickBot="1" x14ac:dyDescent="0.35">
      <c r="A96" s="1557" t="s">
        <v>565</v>
      </c>
      <c r="B96" s="1558">
        <v>0</v>
      </c>
      <c r="C96" s="1558">
        <v>502637.82</v>
      </c>
      <c r="D96" s="1562"/>
      <c r="E96" s="1282"/>
      <c r="F96" s="1558">
        <f>_xlfn.XLOOKUP($A96,'TB FORMATTED'!$M:$M,'TB FORMATTED'!N:N,0,0,1)-_xlfn.XLOOKUP($A96,'TB FORMATTED'!$M:$M,'TB FORMATTED'!O:O,0,0,1)</f>
        <v>0</v>
      </c>
      <c r="G96" s="1558">
        <f>_xlfn.XLOOKUP($A96,'TB FORMATTED'!$M:$M,'TB FORMATTED'!P:P,0,0,1)-_xlfn.XLOOKUP($A96,'TB FORMATTED'!$M:$M,'TB FORMATTED'!Q:Q,0,0,1)</f>
        <v>3292618.99</v>
      </c>
      <c r="I96" s="1558">
        <f t="shared" si="8"/>
        <v>0</v>
      </c>
      <c r="J96" s="1558">
        <f>G96+SUM(G97:G182)</f>
        <v>3760885.79</v>
      </c>
      <c r="L96" s="1558">
        <f t="shared" ref="L96" si="16">I96</f>
        <v>0</v>
      </c>
      <c r="M96" s="1558">
        <f>J96+SUM(J97:J182)</f>
        <v>3760885.79</v>
      </c>
      <c r="O96" s="1558">
        <f t="shared" ref="O96" si="17">L96</f>
        <v>0</v>
      </c>
      <c r="P96" s="1558">
        <f>M96+SUM(M97:M182)</f>
        <v>3760885.79</v>
      </c>
      <c r="R96" s="1558">
        <f t="shared" ref="R96" si="18">O96</f>
        <v>0</v>
      </c>
      <c r="S96" s="1558">
        <f>P96+SUM(P97:P182)</f>
        <v>3760885.79</v>
      </c>
    </row>
    <row r="97" spans="1:19" x14ac:dyDescent="0.3">
      <c r="A97" s="1389" t="s">
        <v>470</v>
      </c>
      <c r="B97" s="1390">
        <v>0</v>
      </c>
      <c r="C97" s="1390">
        <v>0</v>
      </c>
      <c r="F97" s="1390">
        <f>_xlfn.XLOOKUP($A97,'TB FORMATTED'!$M:$M,'TB FORMATTED'!N:N,0,0,1)-_xlfn.XLOOKUP($A97,'TB FORMATTED'!$M:$M,'TB FORMATTED'!O:O,0,0,1)</f>
        <v>0</v>
      </c>
      <c r="G97" s="1390">
        <f>_xlfn.XLOOKUP($A97,'TB FORMATTED'!$M:$M,'TB FORMATTED'!P:P,0,0,1)-_xlfn.XLOOKUP($A97,'TB FORMATTED'!$M:$M,'TB FORMATTED'!Q:Q,0,0,1)</f>
        <v>0</v>
      </c>
      <c r="I97" s="1390"/>
      <c r="J97" s="1390"/>
      <c r="L97" s="1390"/>
      <c r="M97" s="1390"/>
      <c r="O97" s="1390"/>
      <c r="P97" s="1390"/>
      <c r="R97" s="1390"/>
      <c r="S97" s="1390"/>
    </row>
    <row r="98" spans="1:19" x14ac:dyDescent="0.3">
      <c r="A98" s="1389" t="s">
        <v>566</v>
      </c>
      <c r="B98" s="1390">
        <v>0</v>
      </c>
      <c r="C98" s="1390">
        <v>-360000</v>
      </c>
      <c r="F98" s="1390">
        <f>_xlfn.XLOOKUP($A98,'TB FORMATTED'!$M:$M,'TB FORMATTED'!N:N,0,0,1)-_xlfn.XLOOKUP($A98,'TB FORMATTED'!$M:$M,'TB FORMATTED'!O:O,0,0,1)</f>
        <v>0</v>
      </c>
      <c r="G98" s="1390">
        <f>_xlfn.XLOOKUP($A98,'TB FORMATTED'!$M:$M,'TB FORMATTED'!P:P,0,0,1)-_xlfn.XLOOKUP($A98,'TB FORMATTED'!$M:$M,'TB FORMATTED'!Q:Q,0,0,1)</f>
        <v>0</v>
      </c>
      <c r="I98" s="1390"/>
      <c r="J98" s="1390"/>
      <c r="L98" s="1390"/>
      <c r="M98" s="1390"/>
      <c r="O98" s="1390"/>
      <c r="P98" s="1390"/>
      <c r="R98" s="1390"/>
      <c r="S98" s="1390"/>
    </row>
    <row r="99" spans="1:19" x14ac:dyDescent="0.3">
      <c r="A99" s="1389" t="s">
        <v>567</v>
      </c>
      <c r="B99" s="1390">
        <v>0</v>
      </c>
      <c r="C99" s="1390">
        <v>0</v>
      </c>
      <c r="F99" s="1390">
        <f>_xlfn.XLOOKUP($A99,'TB FORMATTED'!$M:$M,'TB FORMATTED'!N:N,0,0,1)-_xlfn.XLOOKUP($A99,'TB FORMATTED'!$M:$M,'TB FORMATTED'!O:O,0,0,1)</f>
        <v>0</v>
      </c>
      <c r="G99" s="1390">
        <f>_xlfn.XLOOKUP($A99,'TB FORMATTED'!$M:$M,'TB FORMATTED'!P:P,0,0,1)-_xlfn.XLOOKUP($A99,'TB FORMATTED'!$M:$M,'TB FORMATTED'!Q:Q,0,0,1)</f>
        <v>0</v>
      </c>
      <c r="I99" s="1390"/>
      <c r="J99" s="1390"/>
      <c r="L99" s="1390"/>
      <c r="M99" s="1390"/>
      <c r="O99" s="1390"/>
      <c r="P99" s="1390"/>
      <c r="R99" s="1390"/>
      <c r="S99" s="1390"/>
    </row>
    <row r="100" spans="1:19" x14ac:dyDescent="0.3">
      <c r="A100" s="1389" t="s">
        <v>568</v>
      </c>
      <c r="B100" s="1390">
        <v>0</v>
      </c>
      <c r="C100" s="1390">
        <v>0</v>
      </c>
      <c r="F100" s="1390">
        <f>_xlfn.XLOOKUP($A100,'TB FORMATTED'!$M:$M,'TB FORMATTED'!N:N,0,0,1)-_xlfn.XLOOKUP($A100,'TB FORMATTED'!$M:$M,'TB FORMATTED'!O:O,0,0,1)</f>
        <v>0</v>
      </c>
      <c r="G100" s="1390">
        <f>_xlfn.XLOOKUP($A100,'TB FORMATTED'!$M:$M,'TB FORMATTED'!P:P,0,0,1)-_xlfn.XLOOKUP($A100,'TB FORMATTED'!$M:$M,'TB FORMATTED'!Q:Q,0,0,1)</f>
        <v>0</v>
      </c>
      <c r="I100" s="1390"/>
      <c r="J100" s="1390"/>
      <c r="L100" s="1390"/>
      <c r="M100" s="1390"/>
      <c r="O100" s="1390"/>
      <c r="P100" s="1390"/>
      <c r="R100" s="1390"/>
      <c r="S100" s="1390"/>
    </row>
    <row r="101" spans="1:19" x14ac:dyDescent="0.3">
      <c r="A101" s="1389" t="s">
        <v>569</v>
      </c>
      <c r="B101" s="1390">
        <v>0</v>
      </c>
      <c r="C101" s="1390">
        <v>0</v>
      </c>
      <c r="F101" s="1390">
        <f>_xlfn.XLOOKUP($A101,'TB FORMATTED'!$M:$M,'TB FORMATTED'!N:N,0,0,1)-_xlfn.XLOOKUP($A101,'TB FORMATTED'!$M:$M,'TB FORMATTED'!O:O,0,0,1)</f>
        <v>0</v>
      </c>
      <c r="G101" s="1390">
        <f>_xlfn.XLOOKUP($A101,'TB FORMATTED'!$M:$M,'TB FORMATTED'!P:P,0,0,1)-_xlfn.XLOOKUP($A101,'TB FORMATTED'!$M:$M,'TB FORMATTED'!Q:Q,0,0,1)</f>
        <v>0</v>
      </c>
      <c r="I101" s="1390"/>
      <c r="J101" s="1390"/>
      <c r="L101" s="1390"/>
      <c r="M101" s="1390"/>
      <c r="O101" s="1390"/>
      <c r="P101" s="1390"/>
      <c r="R101" s="1390"/>
      <c r="S101" s="1390"/>
    </row>
    <row r="102" spans="1:19" x14ac:dyDescent="0.3">
      <c r="A102" s="1389" t="s">
        <v>570</v>
      </c>
      <c r="B102" s="1390">
        <v>0</v>
      </c>
      <c r="C102" s="1390">
        <v>0</v>
      </c>
      <c r="F102" s="1390">
        <f>_xlfn.XLOOKUP($A102,'TB FORMATTED'!$M:$M,'TB FORMATTED'!N:N,0,0,1)-_xlfn.XLOOKUP($A102,'TB FORMATTED'!$M:$M,'TB FORMATTED'!O:O,0,0,1)</f>
        <v>0</v>
      </c>
      <c r="G102" s="1390">
        <f>_xlfn.XLOOKUP($A102,'TB FORMATTED'!$M:$M,'TB FORMATTED'!P:P,0,0,1)-_xlfn.XLOOKUP($A102,'TB FORMATTED'!$M:$M,'TB FORMATTED'!Q:Q,0,0,1)</f>
        <v>0</v>
      </c>
      <c r="I102" s="1390"/>
      <c r="J102" s="1390"/>
      <c r="L102" s="1390"/>
      <c r="M102" s="1390"/>
      <c r="O102" s="1390"/>
      <c r="P102" s="1390"/>
      <c r="R102" s="1390"/>
      <c r="S102" s="1390"/>
    </row>
    <row r="103" spans="1:19" x14ac:dyDescent="0.3">
      <c r="A103" s="1389" t="s">
        <v>571</v>
      </c>
      <c r="B103" s="1390">
        <v>0</v>
      </c>
      <c r="C103" s="1390">
        <v>0</v>
      </c>
      <c r="F103" s="1390">
        <f>_xlfn.XLOOKUP($A103,'TB FORMATTED'!$M:$M,'TB FORMATTED'!N:N,0,0,1)-_xlfn.XLOOKUP($A103,'TB FORMATTED'!$M:$M,'TB FORMATTED'!O:O,0,0,1)</f>
        <v>0</v>
      </c>
      <c r="G103" s="1390">
        <f>_xlfn.XLOOKUP($A103,'TB FORMATTED'!$M:$M,'TB FORMATTED'!P:P,0,0,1)-_xlfn.XLOOKUP($A103,'TB FORMATTED'!$M:$M,'TB FORMATTED'!Q:Q,0,0,1)</f>
        <v>0</v>
      </c>
      <c r="I103" s="1390"/>
      <c r="J103" s="1390"/>
      <c r="L103" s="1390"/>
      <c r="M103" s="1390"/>
      <c r="O103" s="1390"/>
      <c r="P103" s="1390"/>
      <c r="R103" s="1390"/>
      <c r="S103" s="1390"/>
    </row>
    <row r="104" spans="1:19" x14ac:dyDescent="0.3">
      <c r="A104" s="1389" t="s">
        <v>2282</v>
      </c>
      <c r="B104" s="1390"/>
      <c r="C104" s="1390"/>
      <c r="F104" s="1390">
        <f>_xlfn.XLOOKUP($A104,'TB FORMATTED'!$M:$M,'TB FORMATTED'!N:N,0,0,1)-_xlfn.XLOOKUP($A104,'TB FORMATTED'!$M:$M,'TB FORMATTED'!O:O,0,0,1)</f>
        <v>0</v>
      </c>
      <c r="G104" s="1390">
        <f>_xlfn.XLOOKUP($A104,'TB FORMATTED'!$M:$M,'TB FORMATTED'!P:P,0,0,1)-_xlfn.XLOOKUP($A104,'TB FORMATTED'!$M:$M,'TB FORMATTED'!Q:Q,0,0,1)</f>
        <v>-47084.55</v>
      </c>
      <c r="I104" s="1390"/>
      <c r="J104" s="1390"/>
      <c r="L104" s="1390"/>
      <c r="M104" s="1390"/>
      <c r="O104" s="1390"/>
      <c r="P104" s="1390"/>
      <c r="R104" s="1390"/>
      <c r="S104" s="1390"/>
    </row>
    <row r="105" spans="1:19" x14ac:dyDescent="0.3">
      <c r="A105" s="1389" t="s">
        <v>490</v>
      </c>
      <c r="B105" s="1390">
        <v>0</v>
      </c>
      <c r="C105" s="1390">
        <v>-13.5</v>
      </c>
      <c r="F105" s="1390">
        <f>_xlfn.XLOOKUP($A105,'TB FORMATTED'!$M:$M,'TB FORMATTED'!N:N,0,0,1)-_xlfn.XLOOKUP($A105,'TB FORMATTED'!$M:$M,'TB FORMATTED'!O:O,0,0,1)</f>
        <v>0</v>
      </c>
      <c r="G105" s="1390">
        <f>_xlfn.XLOOKUP($A105,'TB FORMATTED'!$M:$M,'TB FORMATTED'!P:P,0,0,1)-_xlfn.XLOOKUP($A105,'TB FORMATTED'!$M:$M,'TB FORMATTED'!Q:Q,0,0,1)</f>
        <v>0</v>
      </c>
      <c r="I105" s="1390"/>
      <c r="J105" s="1390"/>
      <c r="L105" s="1390"/>
      <c r="M105" s="1390"/>
      <c r="O105" s="1390"/>
      <c r="P105" s="1390"/>
      <c r="R105" s="1390"/>
      <c r="S105" s="1390"/>
    </row>
    <row r="106" spans="1:19" x14ac:dyDescent="0.3">
      <c r="A106" s="1389" t="s">
        <v>572</v>
      </c>
      <c r="B106" s="1390">
        <v>0</v>
      </c>
      <c r="C106" s="1390">
        <v>0</v>
      </c>
      <c r="F106" s="1390">
        <f>_xlfn.XLOOKUP($A106,'TB FORMATTED'!$M:$M,'TB FORMATTED'!N:N,0,0,1)-_xlfn.XLOOKUP($A106,'TB FORMATTED'!$M:$M,'TB FORMATTED'!O:O,0,0,1)</f>
        <v>0</v>
      </c>
      <c r="G106" s="1390">
        <f>_xlfn.XLOOKUP($A106,'TB FORMATTED'!$M:$M,'TB FORMATTED'!P:P,0,0,1)-_xlfn.XLOOKUP($A106,'TB FORMATTED'!$M:$M,'TB FORMATTED'!Q:Q,0,0,1)</f>
        <v>0</v>
      </c>
      <c r="I106" s="1390"/>
      <c r="J106" s="1390"/>
      <c r="L106" s="1390"/>
      <c r="M106" s="1390"/>
      <c r="O106" s="1390"/>
      <c r="P106" s="1390"/>
      <c r="R106" s="1390"/>
      <c r="S106" s="1390"/>
    </row>
    <row r="107" spans="1:19" x14ac:dyDescent="0.3">
      <c r="A107" s="1389" t="s">
        <v>575</v>
      </c>
      <c r="B107" s="1390">
        <v>0</v>
      </c>
      <c r="C107" s="1390">
        <v>322512.24</v>
      </c>
      <c r="F107" s="1390">
        <f>_xlfn.XLOOKUP($A107,'TB FORMATTED'!$M:$M,'TB FORMATTED'!N:N,0,0,1)-_xlfn.XLOOKUP($A107,'TB FORMATTED'!$M:$M,'TB FORMATTED'!O:O,0,0,1)</f>
        <v>0</v>
      </c>
      <c r="G107" s="1390">
        <f>_xlfn.XLOOKUP($A107,'TB FORMATTED'!$M:$M,'TB FORMATTED'!P:P,0,0,1)-_xlfn.XLOOKUP($A107,'TB FORMATTED'!$M:$M,'TB FORMATTED'!Q:Q,0,0,1)</f>
        <v>0</v>
      </c>
      <c r="I107" s="1390"/>
      <c r="J107" s="1390"/>
      <c r="L107" s="1390"/>
      <c r="M107" s="1390"/>
      <c r="O107" s="1390"/>
      <c r="P107" s="1390"/>
      <c r="R107" s="1390"/>
      <c r="S107" s="1390"/>
    </row>
    <row r="108" spans="1:19" x14ac:dyDescent="0.3">
      <c r="A108" s="1389" t="s">
        <v>576</v>
      </c>
      <c r="B108" s="1390">
        <v>0</v>
      </c>
      <c r="C108" s="1390">
        <v>4655.68</v>
      </c>
      <c r="F108" s="1390">
        <f>_xlfn.XLOOKUP($A108,'TB FORMATTED'!$M:$M,'TB FORMATTED'!N:N,0,0,1)-_xlfn.XLOOKUP($A108,'TB FORMATTED'!$M:$M,'TB FORMATTED'!O:O,0,0,1)</f>
        <v>0</v>
      </c>
      <c r="G108" s="1390">
        <f>_xlfn.XLOOKUP($A108,'TB FORMATTED'!$M:$M,'TB FORMATTED'!P:P,0,0,1)-_xlfn.XLOOKUP($A108,'TB FORMATTED'!$M:$M,'TB FORMATTED'!Q:Q,0,0,1)</f>
        <v>0</v>
      </c>
      <c r="I108" s="1390"/>
      <c r="J108" s="1390"/>
      <c r="L108" s="1390"/>
      <c r="M108" s="1390"/>
      <c r="O108" s="1390"/>
      <c r="P108" s="1390"/>
      <c r="R108" s="1390"/>
      <c r="S108" s="1390"/>
    </row>
    <row r="109" spans="1:19" x14ac:dyDescent="0.3">
      <c r="A109" s="1389" t="s">
        <v>577</v>
      </c>
      <c r="B109" s="1390">
        <v>0</v>
      </c>
      <c r="C109" s="1390">
        <v>0</v>
      </c>
      <c r="F109" s="1390">
        <f>_xlfn.XLOOKUP($A109,'TB FORMATTED'!$M:$M,'TB FORMATTED'!N:N,0,0,1)-_xlfn.XLOOKUP($A109,'TB FORMATTED'!$M:$M,'TB FORMATTED'!O:O,0,0,1)</f>
        <v>0</v>
      </c>
      <c r="G109" s="1390">
        <f>_xlfn.XLOOKUP($A109,'TB FORMATTED'!$M:$M,'TB FORMATTED'!P:P,0,0,1)-_xlfn.XLOOKUP($A109,'TB FORMATTED'!$M:$M,'TB FORMATTED'!Q:Q,0,0,1)</f>
        <v>0</v>
      </c>
      <c r="I109" s="1390"/>
      <c r="J109" s="1390"/>
      <c r="L109" s="1390"/>
      <c r="M109" s="1390"/>
      <c r="O109" s="1390"/>
      <c r="P109" s="1390"/>
      <c r="R109" s="1390"/>
      <c r="S109" s="1390"/>
    </row>
    <row r="110" spans="1:19" x14ac:dyDescent="0.3">
      <c r="A110" s="1389" t="s">
        <v>578</v>
      </c>
      <c r="B110" s="1390">
        <v>0</v>
      </c>
      <c r="C110" s="1390">
        <v>887.29</v>
      </c>
      <c r="F110" s="1390">
        <f>_xlfn.XLOOKUP($A110,'TB FORMATTED'!$M:$M,'TB FORMATTED'!N:N,0,0,1)-_xlfn.XLOOKUP($A110,'TB FORMATTED'!$M:$M,'TB FORMATTED'!O:O,0,0,1)</f>
        <v>0</v>
      </c>
      <c r="G110" s="1390">
        <f>_xlfn.XLOOKUP($A110,'TB FORMATTED'!$M:$M,'TB FORMATTED'!P:P,0,0,1)-_xlfn.XLOOKUP($A110,'TB FORMATTED'!$M:$M,'TB FORMATTED'!Q:Q,0,0,1)</f>
        <v>0</v>
      </c>
      <c r="I110" s="1390"/>
      <c r="J110" s="1390"/>
      <c r="L110" s="1390"/>
      <c r="M110" s="1390"/>
      <c r="O110" s="1390"/>
      <c r="P110" s="1390"/>
      <c r="R110" s="1390"/>
      <c r="S110" s="1390"/>
    </row>
    <row r="111" spans="1:19" x14ac:dyDescent="0.3">
      <c r="A111" s="1389" t="s">
        <v>579</v>
      </c>
      <c r="B111" s="1390">
        <v>0</v>
      </c>
      <c r="C111" s="1390">
        <v>0</v>
      </c>
      <c r="F111" s="1390">
        <f>_xlfn.XLOOKUP($A111,'TB FORMATTED'!$M:$M,'TB FORMATTED'!N:N,0,0,1)-_xlfn.XLOOKUP($A111,'TB FORMATTED'!$M:$M,'TB FORMATTED'!O:O,0,0,1)</f>
        <v>0</v>
      </c>
      <c r="G111" s="1390">
        <f>_xlfn.XLOOKUP($A111,'TB FORMATTED'!$M:$M,'TB FORMATTED'!P:P,0,0,1)-_xlfn.XLOOKUP($A111,'TB FORMATTED'!$M:$M,'TB FORMATTED'!Q:Q,0,0,1)</f>
        <v>0</v>
      </c>
      <c r="I111" s="1390"/>
      <c r="J111" s="1390"/>
      <c r="L111" s="1390"/>
      <c r="M111" s="1390"/>
      <c r="O111" s="1390"/>
      <c r="P111" s="1390"/>
      <c r="R111" s="1390"/>
      <c r="S111" s="1390"/>
    </row>
    <row r="112" spans="1:19" x14ac:dyDescent="0.3">
      <c r="A112" s="1389" t="s">
        <v>580</v>
      </c>
      <c r="B112" s="1390">
        <v>0</v>
      </c>
      <c r="C112" s="1390">
        <v>0</v>
      </c>
      <c r="F112" s="1390">
        <f>_xlfn.XLOOKUP($A112,'TB FORMATTED'!$M:$M,'TB FORMATTED'!N:N,0,0,1)-_xlfn.XLOOKUP($A112,'TB FORMATTED'!$M:$M,'TB FORMATTED'!O:O,0,0,1)</f>
        <v>0</v>
      </c>
      <c r="G112" s="1390">
        <f>_xlfn.XLOOKUP($A112,'TB FORMATTED'!$M:$M,'TB FORMATTED'!P:P,0,0,1)-_xlfn.XLOOKUP($A112,'TB FORMATTED'!$M:$M,'TB FORMATTED'!Q:Q,0,0,1)</f>
        <v>0</v>
      </c>
      <c r="I112" s="1390"/>
      <c r="J112" s="1390"/>
      <c r="L112" s="1390"/>
      <c r="M112" s="1390"/>
      <c r="O112" s="1390"/>
      <c r="P112" s="1390"/>
      <c r="R112" s="1390"/>
      <c r="S112" s="1390"/>
    </row>
    <row r="113" spans="1:19" x14ac:dyDescent="0.3">
      <c r="A113" s="1389" t="s">
        <v>581</v>
      </c>
      <c r="B113" s="1390">
        <v>0</v>
      </c>
      <c r="C113" s="1390">
        <v>0</v>
      </c>
      <c r="F113" s="1390">
        <f>_xlfn.XLOOKUP($A113,'TB FORMATTED'!$M:$M,'TB FORMATTED'!N:N,0,0,1)-_xlfn.XLOOKUP($A113,'TB FORMATTED'!$M:$M,'TB FORMATTED'!O:O,0,0,1)</f>
        <v>0</v>
      </c>
      <c r="G113" s="1390">
        <f>_xlfn.XLOOKUP($A113,'TB FORMATTED'!$M:$M,'TB FORMATTED'!P:P,0,0,1)-_xlfn.XLOOKUP($A113,'TB FORMATTED'!$M:$M,'TB FORMATTED'!Q:Q,0,0,1)</f>
        <v>0</v>
      </c>
      <c r="I113" s="1390"/>
      <c r="J113" s="1390"/>
      <c r="L113" s="1390"/>
      <c r="M113" s="1390"/>
      <c r="O113" s="1390"/>
      <c r="P113" s="1390"/>
      <c r="R113" s="1390"/>
      <c r="S113" s="1390"/>
    </row>
    <row r="114" spans="1:19" x14ac:dyDescent="0.3">
      <c r="A114" s="1389" t="s">
        <v>582</v>
      </c>
      <c r="B114" s="1390">
        <v>0</v>
      </c>
      <c r="C114" s="1390">
        <v>0</v>
      </c>
      <c r="F114" s="1390">
        <f>_xlfn.XLOOKUP($A114,'TB FORMATTED'!$M:$M,'TB FORMATTED'!N:N,0,0,1)-_xlfn.XLOOKUP($A114,'TB FORMATTED'!$M:$M,'TB FORMATTED'!O:O,0,0,1)</f>
        <v>0</v>
      </c>
      <c r="G114" s="1390">
        <f>_xlfn.XLOOKUP($A114,'TB FORMATTED'!$M:$M,'TB FORMATTED'!P:P,0,0,1)-_xlfn.XLOOKUP($A114,'TB FORMATTED'!$M:$M,'TB FORMATTED'!Q:Q,0,0,1)</f>
        <v>0</v>
      </c>
      <c r="I114" s="1390"/>
      <c r="J114" s="1390"/>
      <c r="L114" s="1390"/>
      <c r="M114" s="1390"/>
      <c r="O114" s="1390"/>
      <c r="P114" s="1390"/>
      <c r="R114" s="1390"/>
      <c r="S114" s="1390"/>
    </row>
    <row r="115" spans="1:19" x14ac:dyDescent="0.3">
      <c r="A115" s="1389" t="s">
        <v>583</v>
      </c>
      <c r="B115" s="1390">
        <v>0</v>
      </c>
      <c r="C115" s="1390">
        <v>0</v>
      </c>
      <c r="F115" s="1390">
        <f>_xlfn.XLOOKUP($A115,'TB FORMATTED'!$M:$M,'TB FORMATTED'!N:N,0,0,1)-_xlfn.XLOOKUP($A115,'TB FORMATTED'!$M:$M,'TB FORMATTED'!O:O,0,0,1)</f>
        <v>0</v>
      </c>
      <c r="G115" s="1390">
        <f>_xlfn.XLOOKUP($A115,'TB FORMATTED'!$M:$M,'TB FORMATTED'!P:P,0,0,1)-_xlfn.XLOOKUP($A115,'TB FORMATTED'!$M:$M,'TB FORMATTED'!Q:Q,0,0,1)</f>
        <v>0</v>
      </c>
      <c r="I115" s="1390"/>
      <c r="J115" s="1390"/>
      <c r="L115" s="1390"/>
      <c r="M115" s="1390"/>
      <c r="O115" s="1390"/>
      <c r="P115" s="1390"/>
      <c r="R115" s="1390"/>
      <c r="S115" s="1390"/>
    </row>
    <row r="116" spans="1:19" x14ac:dyDescent="0.3">
      <c r="A116" s="1389" t="s">
        <v>584</v>
      </c>
      <c r="B116" s="1390">
        <v>0</v>
      </c>
      <c r="C116" s="1390">
        <v>103.12</v>
      </c>
      <c r="F116" s="1390">
        <f>_xlfn.XLOOKUP($A116,'TB FORMATTED'!$M:$M,'TB FORMATTED'!N:N,0,0,1)-_xlfn.XLOOKUP($A116,'TB FORMATTED'!$M:$M,'TB FORMATTED'!O:O,0,0,1)</f>
        <v>0</v>
      </c>
      <c r="G116" s="1390">
        <f>_xlfn.XLOOKUP($A116,'TB FORMATTED'!$M:$M,'TB FORMATTED'!P:P,0,0,1)-_xlfn.XLOOKUP($A116,'TB FORMATTED'!$M:$M,'TB FORMATTED'!Q:Q,0,0,1)</f>
        <v>0</v>
      </c>
      <c r="I116" s="1390"/>
      <c r="J116" s="1390"/>
      <c r="L116" s="1390"/>
      <c r="M116" s="1390"/>
      <c r="O116" s="1390"/>
      <c r="P116" s="1390"/>
      <c r="R116" s="1390"/>
      <c r="S116" s="1390"/>
    </row>
    <row r="117" spans="1:19" x14ac:dyDescent="0.3">
      <c r="A117" s="1389" t="s">
        <v>573</v>
      </c>
      <c r="B117" s="1390">
        <v>0</v>
      </c>
      <c r="C117" s="1390">
        <v>0</v>
      </c>
      <c r="F117" s="1390">
        <f>_xlfn.XLOOKUP($A117,'TB FORMATTED'!$M:$M,'TB FORMATTED'!N:N,0,0,1)-_xlfn.XLOOKUP($A117,'TB FORMATTED'!$M:$M,'TB FORMATTED'!O:O,0,0,1)</f>
        <v>0</v>
      </c>
      <c r="G117" s="1390">
        <f>_xlfn.XLOOKUP($A117,'TB FORMATTED'!$M:$M,'TB FORMATTED'!P:P,0,0,1)-_xlfn.XLOOKUP($A117,'TB FORMATTED'!$M:$M,'TB FORMATTED'!Q:Q,0,0,1)</f>
        <v>0</v>
      </c>
      <c r="I117" s="1390"/>
      <c r="J117" s="1390"/>
      <c r="L117" s="1390"/>
      <c r="M117" s="1390"/>
      <c r="O117" s="1390"/>
      <c r="P117" s="1390"/>
      <c r="R117" s="1390"/>
      <c r="S117" s="1390"/>
    </row>
    <row r="118" spans="1:19" x14ac:dyDescent="0.3">
      <c r="A118" s="1389" t="s">
        <v>471</v>
      </c>
      <c r="B118" s="1390">
        <v>0</v>
      </c>
      <c r="C118" s="1390">
        <v>0</v>
      </c>
      <c r="F118" s="1390">
        <f>_xlfn.XLOOKUP($A118,'TB FORMATTED'!$M:$M,'TB FORMATTED'!N:N,0,0,1)-_xlfn.XLOOKUP($A118,'TB FORMATTED'!$M:$M,'TB FORMATTED'!O:O,0,0,1)</f>
        <v>0</v>
      </c>
      <c r="G118" s="1390">
        <f>_xlfn.XLOOKUP($A118,'TB FORMATTED'!$M:$M,'TB FORMATTED'!P:P,0,0,1)-_xlfn.XLOOKUP($A118,'TB FORMATTED'!$M:$M,'TB FORMATTED'!Q:Q,0,0,1)</f>
        <v>0</v>
      </c>
      <c r="I118" s="1390"/>
      <c r="J118" s="1390"/>
      <c r="L118" s="1390"/>
      <c r="M118" s="1390"/>
      <c r="O118" s="1390"/>
      <c r="P118" s="1390"/>
      <c r="R118" s="1390"/>
      <c r="S118" s="1390"/>
    </row>
    <row r="119" spans="1:19" x14ac:dyDescent="0.3">
      <c r="A119" s="1389" t="s">
        <v>574</v>
      </c>
      <c r="B119" s="1390">
        <v>0</v>
      </c>
      <c r="C119" s="1390">
        <v>0</v>
      </c>
      <c r="F119" s="1390">
        <f>_xlfn.XLOOKUP($A119,'TB FORMATTED'!$M:$M,'TB FORMATTED'!N:N,0,0,1)-_xlfn.XLOOKUP($A119,'TB FORMATTED'!$M:$M,'TB FORMATTED'!O:O,0,0,1)</f>
        <v>0</v>
      </c>
      <c r="G119" s="1390">
        <f>_xlfn.XLOOKUP($A119,'TB FORMATTED'!$M:$M,'TB FORMATTED'!P:P,0,0,1)-_xlfn.XLOOKUP($A119,'TB FORMATTED'!$M:$M,'TB FORMATTED'!Q:Q,0,0,1)</f>
        <v>0</v>
      </c>
      <c r="I119" s="1390"/>
      <c r="J119" s="1390"/>
      <c r="L119" s="1390"/>
      <c r="M119" s="1390"/>
      <c r="O119" s="1390"/>
      <c r="P119" s="1390"/>
      <c r="R119" s="1390"/>
      <c r="S119" s="1390"/>
    </row>
    <row r="120" spans="1:19" x14ac:dyDescent="0.3">
      <c r="A120" s="1389" t="s">
        <v>585</v>
      </c>
      <c r="B120" s="1390">
        <v>0</v>
      </c>
      <c r="C120" s="1390">
        <v>0</v>
      </c>
      <c r="F120" s="1390">
        <f>_xlfn.XLOOKUP($A120,'TB FORMATTED'!$M:$M,'TB FORMATTED'!N:N,0,0,1)-_xlfn.XLOOKUP($A120,'TB FORMATTED'!$M:$M,'TB FORMATTED'!O:O,0,0,1)</f>
        <v>0</v>
      </c>
      <c r="G120" s="1390">
        <f>_xlfn.XLOOKUP($A120,'TB FORMATTED'!$M:$M,'TB FORMATTED'!P:P,0,0,1)-_xlfn.XLOOKUP($A120,'TB FORMATTED'!$M:$M,'TB FORMATTED'!Q:Q,0,0,1)</f>
        <v>0</v>
      </c>
      <c r="I120" s="1390"/>
      <c r="J120" s="1390"/>
      <c r="L120" s="1390"/>
      <c r="M120" s="1390"/>
      <c r="O120" s="1390"/>
      <c r="P120" s="1390"/>
      <c r="R120" s="1390"/>
      <c r="S120" s="1390"/>
    </row>
    <row r="121" spans="1:19" x14ac:dyDescent="0.3">
      <c r="A121" s="1389" t="s">
        <v>586</v>
      </c>
      <c r="B121" s="1390">
        <v>0</v>
      </c>
      <c r="C121" s="1390">
        <v>0</v>
      </c>
      <c r="F121" s="1390">
        <f>_xlfn.XLOOKUP($A121,'TB FORMATTED'!$M:$M,'TB FORMATTED'!N:N,0,0,1)-_xlfn.XLOOKUP($A121,'TB FORMATTED'!$M:$M,'TB FORMATTED'!O:O,0,0,1)</f>
        <v>0</v>
      </c>
      <c r="G121" s="1390">
        <f>_xlfn.XLOOKUP($A121,'TB FORMATTED'!$M:$M,'TB FORMATTED'!P:P,0,0,1)-_xlfn.XLOOKUP($A121,'TB FORMATTED'!$M:$M,'TB FORMATTED'!Q:Q,0,0,1)</f>
        <v>0</v>
      </c>
      <c r="I121" s="1390"/>
      <c r="J121" s="1390"/>
      <c r="L121" s="1390"/>
      <c r="M121" s="1390"/>
      <c r="O121" s="1390"/>
      <c r="P121" s="1390"/>
      <c r="R121" s="1390"/>
      <c r="S121" s="1390"/>
    </row>
    <row r="122" spans="1:19" x14ac:dyDescent="0.3">
      <c r="A122" s="1389" t="s">
        <v>587</v>
      </c>
      <c r="B122" s="1390">
        <v>0</v>
      </c>
      <c r="C122" s="1390">
        <v>0</v>
      </c>
      <c r="F122" s="1390">
        <f>_xlfn.XLOOKUP($A122,'TB FORMATTED'!$M:$M,'TB FORMATTED'!N:N,0,0,1)-_xlfn.XLOOKUP($A122,'TB FORMATTED'!$M:$M,'TB FORMATTED'!O:O,0,0,1)</f>
        <v>0</v>
      </c>
      <c r="G122" s="1390">
        <f>_xlfn.XLOOKUP($A122,'TB FORMATTED'!$M:$M,'TB FORMATTED'!P:P,0,0,1)-_xlfn.XLOOKUP($A122,'TB FORMATTED'!$M:$M,'TB FORMATTED'!Q:Q,0,0,1)</f>
        <v>0</v>
      </c>
      <c r="I122" s="1390"/>
      <c r="J122" s="1390"/>
      <c r="L122" s="1390"/>
      <c r="M122" s="1390"/>
      <c r="O122" s="1390"/>
      <c r="P122" s="1390"/>
      <c r="R122" s="1390"/>
      <c r="S122" s="1390"/>
    </row>
    <row r="123" spans="1:19" x14ac:dyDescent="0.3">
      <c r="A123" s="1389" t="s">
        <v>588</v>
      </c>
      <c r="B123" s="1390">
        <v>0</v>
      </c>
      <c r="C123" s="1390">
        <v>0</v>
      </c>
      <c r="F123" s="1390">
        <f>_xlfn.XLOOKUP($A123,'TB FORMATTED'!$M:$M,'TB FORMATTED'!N:N,0,0,1)-_xlfn.XLOOKUP($A123,'TB FORMATTED'!$M:$M,'TB FORMATTED'!O:O,0,0,1)</f>
        <v>0</v>
      </c>
      <c r="G123" s="1390">
        <f>_xlfn.XLOOKUP($A123,'TB FORMATTED'!$M:$M,'TB FORMATTED'!P:P,0,0,1)-_xlfn.XLOOKUP($A123,'TB FORMATTED'!$M:$M,'TB FORMATTED'!Q:Q,0,0,1)</f>
        <v>0</v>
      </c>
      <c r="I123" s="1390"/>
      <c r="J123" s="1390"/>
      <c r="L123" s="1390"/>
      <c r="M123" s="1390"/>
      <c r="O123" s="1390"/>
      <c r="P123" s="1390"/>
      <c r="R123" s="1390"/>
      <c r="S123" s="1390"/>
    </row>
    <row r="124" spans="1:19" x14ac:dyDescent="0.3">
      <c r="A124" s="1389" t="s">
        <v>589</v>
      </c>
      <c r="B124" s="1390">
        <v>0</v>
      </c>
      <c r="C124" s="1390">
        <v>0</v>
      </c>
      <c r="F124" s="1390">
        <f>_xlfn.XLOOKUP($A124,'TB FORMATTED'!$M:$M,'TB FORMATTED'!N:N,0,0,1)-_xlfn.XLOOKUP($A124,'TB FORMATTED'!$M:$M,'TB FORMATTED'!O:O,0,0,1)</f>
        <v>0</v>
      </c>
      <c r="G124" s="1390">
        <f>_xlfn.XLOOKUP($A124,'TB FORMATTED'!$M:$M,'TB FORMATTED'!P:P,0,0,1)-_xlfn.XLOOKUP($A124,'TB FORMATTED'!$M:$M,'TB FORMATTED'!Q:Q,0,0,1)</f>
        <v>0</v>
      </c>
      <c r="I124" s="1390"/>
      <c r="J124" s="1390"/>
      <c r="L124" s="1390"/>
      <c r="M124" s="1390"/>
      <c r="O124" s="1390"/>
      <c r="P124" s="1390"/>
      <c r="R124" s="1390"/>
      <c r="S124" s="1390"/>
    </row>
    <row r="125" spans="1:19" x14ac:dyDescent="0.3">
      <c r="A125" s="1389" t="s">
        <v>590</v>
      </c>
      <c r="B125" s="1390">
        <v>0</v>
      </c>
      <c r="C125" s="1390">
        <v>0</v>
      </c>
      <c r="F125" s="1390">
        <f>_xlfn.XLOOKUP($A125,'TB FORMATTED'!$M:$M,'TB FORMATTED'!N:N,0,0,1)-_xlfn.XLOOKUP($A125,'TB FORMATTED'!$M:$M,'TB FORMATTED'!O:O,0,0,1)</f>
        <v>0</v>
      </c>
      <c r="G125" s="1390">
        <f>_xlfn.XLOOKUP($A125,'TB FORMATTED'!$M:$M,'TB FORMATTED'!P:P,0,0,1)-_xlfn.XLOOKUP($A125,'TB FORMATTED'!$M:$M,'TB FORMATTED'!Q:Q,0,0,1)</f>
        <v>0</v>
      </c>
      <c r="I125" s="1390"/>
      <c r="J125" s="1390"/>
      <c r="L125" s="1390"/>
      <c r="M125" s="1390"/>
      <c r="O125" s="1390"/>
      <c r="P125" s="1390"/>
      <c r="R125" s="1390"/>
      <c r="S125" s="1390"/>
    </row>
    <row r="126" spans="1:19" x14ac:dyDescent="0.3">
      <c r="A126" s="1389" t="s">
        <v>591</v>
      </c>
      <c r="B126" s="1390">
        <v>0</v>
      </c>
      <c r="C126" s="1390">
        <v>0</v>
      </c>
      <c r="F126" s="1390">
        <f>_xlfn.XLOOKUP($A126,'TB FORMATTED'!$M:$M,'TB FORMATTED'!N:N,0,0,1)-_xlfn.XLOOKUP($A126,'TB FORMATTED'!$M:$M,'TB FORMATTED'!O:O,0,0,1)</f>
        <v>0</v>
      </c>
      <c r="G126" s="1390">
        <f>_xlfn.XLOOKUP($A126,'TB FORMATTED'!$M:$M,'TB FORMATTED'!P:P,0,0,1)-_xlfn.XLOOKUP($A126,'TB FORMATTED'!$M:$M,'TB FORMATTED'!Q:Q,0,0,1)</f>
        <v>0</v>
      </c>
      <c r="I126" s="1390"/>
      <c r="J126" s="1390"/>
      <c r="L126" s="1390"/>
      <c r="M126" s="1390"/>
      <c r="O126" s="1390"/>
      <c r="P126" s="1390"/>
      <c r="R126" s="1390"/>
      <c r="S126" s="1390"/>
    </row>
    <row r="127" spans="1:19" x14ac:dyDescent="0.3">
      <c r="A127" s="1389" t="s">
        <v>472</v>
      </c>
      <c r="B127" s="1390">
        <v>1602.05</v>
      </c>
      <c r="C127" s="1390">
        <v>678.5</v>
      </c>
      <c r="F127" s="1390">
        <f>_xlfn.XLOOKUP($A127,'TB FORMATTED'!$M:$M,'TB FORMATTED'!N:N,0,0,1)-_xlfn.XLOOKUP($A127,'TB FORMATTED'!$M:$M,'TB FORMATTED'!O:O,0,0,1)</f>
        <v>563.70000000000005</v>
      </c>
      <c r="G127" s="1390">
        <f>_xlfn.XLOOKUP($A127,'TB FORMATTED'!$M:$M,'TB FORMATTED'!P:P,0,0,1)-_xlfn.XLOOKUP($A127,'TB FORMATTED'!$M:$M,'TB FORMATTED'!Q:Q,0,0,1)</f>
        <v>313.16000000000003</v>
      </c>
      <c r="I127" s="1390"/>
      <c r="J127" s="1390"/>
      <c r="L127" s="1390"/>
      <c r="M127" s="1390"/>
      <c r="O127" s="1390"/>
      <c r="P127" s="1390"/>
      <c r="R127" s="1390"/>
      <c r="S127" s="1390"/>
    </row>
    <row r="128" spans="1:19" x14ac:dyDescent="0.3">
      <c r="A128" s="1389" t="s">
        <v>473</v>
      </c>
      <c r="B128" s="1390">
        <v>0</v>
      </c>
      <c r="C128" s="1390">
        <v>0</v>
      </c>
      <c r="F128" s="1390">
        <f>_xlfn.XLOOKUP($A128,'TB FORMATTED'!$M:$M,'TB FORMATTED'!N:N,0,0,1)-_xlfn.XLOOKUP($A128,'TB FORMATTED'!$M:$M,'TB FORMATTED'!O:O,0,0,1)</f>
        <v>0</v>
      </c>
      <c r="G128" s="1390">
        <f>_xlfn.XLOOKUP($A128,'TB FORMATTED'!$M:$M,'TB FORMATTED'!P:P,0,0,1)-_xlfn.XLOOKUP($A128,'TB FORMATTED'!$M:$M,'TB FORMATTED'!Q:Q,0,0,1)</f>
        <v>0</v>
      </c>
      <c r="I128" s="1390"/>
      <c r="J128" s="1390"/>
      <c r="L128" s="1390"/>
      <c r="M128" s="1390"/>
      <c r="O128" s="1390"/>
      <c r="P128" s="1390"/>
      <c r="R128" s="1390"/>
      <c r="S128" s="1390"/>
    </row>
    <row r="129" spans="1:19" x14ac:dyDescent="0.3">
      <c r="A129" s="1389" t="s">
        <v>593</v>
      </c>
      <c r="B129" s="1390">
        <v>0</v>
      </c>
      <c r="C129" s="1390">
        <v>0</v>
      </c>
      <c r="F129" s="1390">
        <f>_xlfn.XLOOKUP($A129,'TB FORMATTED'!$M:$M,'TB FORMATTED'!N:N,0,0,1)-_xlfn.XLOOKUP($A129,'TB FORMATTED'!$M:$M,'TB FORMATTED'!O:O,0,0,1)</f>
        <v>0</v>
      </c>
      <c r="G129" s="1390">
        <f>_xlfn.XLOOKUP($A129,'TB FORMATTED'!$M:$M,'TB FORMATTED'!P:P,0,0,1)-_xlfn.XLOOKUP($A129,'TB FORMATTED'!$M:$M,'TB FORMATTED'!Q:Q,0,0,1)</f>
        <v>0</v>
      </c>
      <c r="I129" s="1390"/>
      <c r="J129" s="1390"/>
      <c r="L129" s="1390"/>
      <c r="M129" s="1390"/>
      <c r="O129" s="1390"/>
      <c r="P129" s="1390"/>
      <c r="R129" s="1390"/>
      <c r="S129" s="1390"/>
    </row>
    <row r="130" spans="1:19" x14ac:dyDescent="0.3">
      <c r="A130" s="1389" t="s">
        <v>474</v>
      </c>
      <c r="B130" s="1390">
        <v>37565</v>
      </c>
      <c r="C130" s="1390">
        <v>7666.57</v>
      </c>
      <c r="F130" s="1390">
        <f>_xlfn.XLOOKUP($A130,'TB FORMATTED'!$M:$M,'TB FORMATTED'!N:N,0,0,1)-_xlfn.XLOOKUP($A130,'TB FORMATTED'!$M:$M,'TB FORMATTED'!O:O,0,0,1)</f>
        <v>20812</v>
      </c>
      <c r="G130" s="1390">
        <f>_xlfn.XLOOKUP($A130,'TB FORMATTED'!$M:$M,'TB FORMATTED'!P:P,0,0,1)-_xlfn.XLOOKUP($A130,'TB FORMATTED'!$M:$M,'TB FORMATTED'!Q:Q,0,0,1)</f>
        <v>961.17</v>
      </c>
      <c r="I130" s="1390"/>
      <c r="J130" s="1390"/>
      <c r="L130" s="1390"/>
      <c r="M130" s="1390"/>
      <c r="O130" s="1390"/>
      <c r="P130" s="1390"/>
      <c r="R130" s="1390"/>
      <c r="S130" s="1390"/>
    </row>
    <row r="131" spans="1:19" x14ac:dyDescent="0.3">
      <c r="A131" s="1389" t="s">
        <v>475</v>
      </c>
      <c r="B131" s="1390">
        <v>0</v>
      </c>
      <c r="C131" s="1390">
        <v>0</v>
      </c>
      <c r="F131" s="1390">
        <f>_xlfn.XLOOKUP($A131,'TB FORMATTED'!$M:$M,'TB FORMATTED'!N:N,0,0,1)-_xlfn.XLOOKUP($A131,'TB FORMATTED'!$M:$M,'TB FORMATTED'!O:O,0,0,1)</f>
        <v>0</v>
      </c>
      <c r="G131" s="1390">
        <f>_xlfn.XLOOKUP($A131,'TB FORMATTED'!$M:$M,'TB FORMATTED'!P:P,0,0,1)-_xlfn.XLOOKUP($A131,'TB FORMATTED'!$M:$M,'TB FORMATTED'!Q:Q,0,0,1)</f>
        <v>0</v>
      </c>
      <c r="I131" s="1390"/>
      <c r="J131" s="1390"/>
      <c r="L131" s="1390"/>
      <c r="M131" s="1390"/>
      <c r="O131" s="1390"/>
      <c r="P131" s="1390"/>
      <c r="R131" s="1390"/>
      <c r="S131" s="1390"/>
    </row>
    <row r="132" spans="1:19" x14ac:dyDescent="0.3">
      <c r="A132" s="1389" t="s">
        <v>594</v>
      </c>
      <c r="B132" s="1390">
        <v>0</v>
      </c>
      <c r="C132" s="1390">
        <v>449.4</v>
      </c>
      <c r="F132" s="1390">
        <f>_xlfn.XLOOKUP($A132,'TB FORMATTED'!$M:$M,'TB FORMATTED'!N:N,0,0,1)-_xlfn.XLOOKUP($A132,'TB FORMATTED'!$M:$M,'TB FORMATTED'!O:O,0,0,1)</f>
        <v>0</v>
      </c>
      <c r="G132" s="1390">
        <f>_xlfn.XLOOKUP($A132,'TB FORMATTED'!$M:$M,'TB FORMATTED'!P:P,0,0,1)-_xlfn.XLOOKUP($A132,'TB FORMATTED'!$M:$M,'TB FORMATTED'!Q:Q,0,0,1)</f>
        <v>1500</v>
      </c>
      <c r="I132" s="1390"/>
      <c r="J132" s="1390"/>
      <c r="L132" s="1390"/>
      <c r="M132" s="1390"/>
      <c r="O132" s="1390"/>
      <c r="P132" s="1390"/>
      <c r="R132" s="1390"/>
      <c r="S132" s="1390"/>
    </row>
    <row r="133" spans="1:19" x14ac:dyDescent="0.3">
      <c r="A133" s="1389" t="s">
        <v>476</v>
      </c>
      <c r="B133" s="1390">
        <v>133276.85</v>
      </c>
      <c r="C133" s="1390">
        <v>0</v>
      </c>
      <c r="F133" s="1390">
        <f>_xlfn.XLOOKUP($A133,'TB FORMATTED'!$M:$M,'TB FORMATTED'!N:N,0,0,1)-_xlfn.XLOOKUP($A133,'TB FORMATTED'!$M:$M,'TB FORMATTED'!O:O,0,0,1)</f>
        <v>0</v>
      </c>
      <c r="G133" s="1390">
        <f>_xlfn.XLOOKUP($A133,'TB FORMATTED'!$M:$M,'TB FORMATTED'!P:P,0,0,1)-_xlfn.XLOOKUP($A133,'TB FORMATTED'!$M:$M,'TB FORMATTED'!Q:Q,0,0,1)</f>
        <v>0</v>
      </c>
      <c r="I133" s="1390"/>
      <c r="J133" s="1390"/>
      <c r="L133" s="1390"/>
      <c r="M133" s="1390"/>
      <c r="O133" s="1390"/>
      <c r="P133" s="1390"/>
      <c r="R133" s="1390"/>
      <c r="S133" s="1390"/>
    </row>
    <row r="134" spans="1:19" x14ac:dyDescent="0.3">
      <c r="A134" s="1389" t="s">
        <v>595</v>
      </c>
      <c r="B134" s="1390">
        <v>0</v>
      </c>
      <c r="C134" s="1390">
        <v>225291.05</v>
      </c>
      <c r="F134" s="1390">
        <f>_xlfn.XLOOKUP($A134,'TB FORMATTED'!$M:$M,'TB FORMATTED'!N:N,0,0,1)-_xlfn.XLOOKUP($A134,'TB FORMATTED'!$M:$M,'TB FORMATTED'!O:O,0,0,1)</f>
        <v>0</v>
      </c>
      <c r="G134" s="1390">
        <f>_xlfn.XLOOKUP($A134,'TB FORMATTED'!$M:$M,'TB FORMATTED'!P:P,0,0,1)-_xlfn.XLOOKUP($A134,'TB FORMATTED'!$M:$M,'TB FORMATTED'!Q:Q,0,0,1)</f>
        <v>149417</v>
      </c>
      <c r="I134" s="1390"/>
      <c r="J134" s="1390"/>
      <c r="L134" s="1390"/>
      <c r="M134" s="1390"/>
      <c r="O134" s="1390"/>
      <c r="P134" s="1390"/>
      <c r="R134" s="1390"/>
      <c r="S134" s="1390"/>
    </row>
    <row r="135" spans="1:19" x14ac:dyDescent="0.3">
      <c r="A135" s="1389" t="s">
        <v>477</v>
      </c>
      <c r="B135" s="1390">
        <v>93000</v>
      </c>
      <c r="C135" s="1390">
        <v>0</v>
      </c>
      <c r="F135" s="1390">
        <f>_xlfn.XLOOKUP($A135,'TB FORMATTED'!$M:$M,'TB FORMATTED'!N:N,0,0,1)-_xlfn.XLOOKUP($A135,'TB FORMATTED'!$M:$M,'TB FORMATTED'!O:O,0,0,1)</f>
        <v>16000</v>
      </c>
      <c r="G135" s="1390">
        <f>_xlfn.XLOOKUP($A135,'TB FORMATTED'!$M:$M,'TB FORMATTED'!P:P,0,0,1)-_xlfn.XLOOKUP($A135,'TB FORMATTED'!$M:$M,'TB FORMATTED'!Q:Q,0,0,1)</f>
        <v>0</v>
      </c>
      <c r="I135" s="1390"/>
      <c r="J135" s="1390"/>
      <c r="L135" s="1390"/>
      <c r="M135" s="1390"/>
      <c r="O135" s="1390"/>
      <c r="P135" s="1390"/>
      <c r="R135" s="1390"/>
      <c r="S135" s="1390"/>
    </row>
    <row r="136" spans="1:19" x14ac:dyDescent="0.3">
      <c r="A136" s="1389" t="s">
        <v>1850</v>
      </c>
      <c r="B136" s="1390">
        <v>0</v>
      </c>
      <c r="C136" s="1390">
        <v>-29.16</v>
      </c>
      <c r="F136" s="1390">
        <f>_xlfn.XLOOKUP($A136,'TB FORMATTED'!$M:$M,'TB FORMATTED'!N:N,0,0,1)-_xlfn.XLOOKUP($A136,'TB FORMATTED'!$M:$M,'TB FORMATTED'!O:O,0,0,1)</f>
        <v>0</v>
      </c>
      <c r="G136" s="1390">
        <f>_xlfn.XLOOKUP($A136,'TB FORMATTED'!$M:$M,'TB FORMATTED'!P:P,0,0,1)-_xlfn.XLOOKUP($A136,'TB FORMATTED'!$M:$M,'TB FORMATTED'!Q:Q,0,0,1)</f>
        <v>0</v>
      </c>
      <c r="I136" s="1390"/>
      <c r="J136" s="1390"/>
      <c r="L136" s="1390"/>
      <c r="M136" s="1390"/>
      <c r="O136" s="1390"/>
      <c r="P136" s="1390"/>
      <c r="R136" s="1390"/>
      <c r="S136" s="1390"/>
    </row>
    <row r="137" spans="1:19" x14ac:dyDescent="0.3">
      <c r="A137" s="1389" t="s">
        <v>478</v>
      </c>
      <c r="B137" s="1390">
        <v>0</v>
      </c>
      <c r="C137" s="1390">
        <v>65281.8</v>
      </c>
      <c r="F137" s="1390">
        <f>_xlfn.XLOOKUP($A137,'TB FORMATTED'!$M:$M,'TB FORMATTED'!N:N,0,0,1)-_xlfn.XLOOKUP($A137,'TB FORMATTED'!$M:$M,'TB FORMATTED'!O:O,0,0,1)</f>
        <v>0</v>
      </c>
      <c r="G137" s="1390">
        <f>_xlfn.XLOOKUP($A137,'TB FORMATTED'!$M:$M,'TB FORMATTED'!P:P,0,0,1)-_xlfn.XLOOKUP($A137,'TB FORMATTED'!$M:$M,'TB FORMATTED'!Q:Q,0,0,1)</f>
        <v>39640.050000000003</v>
      </c>
      <c r="I137" s="1390"/>
      <c r="J137" s="1390"/>
      <c r="L137" s="1390"/>
      <c r="M137" s="1390"/>
      <c r="O137" s="1390"/>
      <c r="P137" s="1390"/>
      <c r="R137" s="1390"/>
      <c r="S137" s="1390"/>
    </row>
    <row r="138" spans="1:19" x14ac:dyDescent="0.3">
      <c r="A138" s="1389" t="s">
        <v>596</v>
      </c>
      <c r="B138" s="1390">
        <v>0</v>
      </c>
      <c r="C138" s="1390">
        <v>5675.68</v>
      </c>
      <c r="F138" s="1390">
        <f>_xlfn.XLOOKUP($A138,'TB FORMATTED'!$M:$M,'TB FORMATTED'!N:N,0,0,1)-_xlfn.XLOOKUP($A138,'TB FORMATTED'!$M:$M,'TB FORMATTED'!O:O,0,0,1)</f>
        <v>0</v>
      </c>
      <c r="G138" s="1390">
        <f>_xlfn.XLOOKUP($A138,'TB FORMATTED'!$M:$M,'TB FORMATTED'!P:P,0,0,1)-_xlfn.XLOOKUP($A138,'TB FORMATTED'!$M:$M,'TB FORMATTED'!Q:Q,0,0,1)</f>
        <v>0</v>
      </c>
      <c r="I138" s="1390"/>
      <c r="J138" s="1390"/>
      <c r="L138" s="1390"/>
      <c r="M138" s="1390"/>
      <c r="O138" s="1390"/>
      <c r="P138" s="1390"/>
      <c r="R138" s="1390"/>
      <c r="S138" s="1390"/>
    </row>
    <row r="139" spans="1:19" x14ac:dyDescent="0.3">
      <c r="A139" s="1389" t="s">
        <v>479</v>
      </c>
      <c r="B139" s="1390">
        <v>1771.23</v>
      </c>
      <c r="C139" s="1390">
        <v>0</v>
      </c>
      <c r="F139" s="1390">
        <f>_xlfn.XLOOKUP($A139,'TB FORMATTED'!$M:$M,'TB FORMATTED'!N:N,0,0,1)-_xlfn.XLOOKUP($A139,'TB FORMATTED'!$M:$M,'TB FORMATTED'!O:O,0,0,1)</f>
        <v>417.3</v>
      </c>
      <c r="G139" s="1390">
        <f>_xlfn.XLOOKUP($A139,'TB FORMATTED'!$M:$M,'TB FORMATTED'!P:P,0,0,1)-_xlfn.XLOOKUP($A139,'TB FORMATTED'!$M:$M,'TB FORMATTED'!Q:Q,0,0,1)</f>
        <v>0</v>
      </c>
      <c r="I139" s="1390"/>
      <c r="J139" s="1390"/>
      <c r="L139" s="1390"/>
      <c r="M139" s="1390"/>
      <c r="O139" s="1390"/>
      <c r="P139" s="1390"/>
      <c r="R139" s="1390"/>
      <c r="S139" s="1390"/>
    </row>
    <row r="140" spans="1:19" x14ac:dyDescent="0.3">
      <c r="A140" s="1389" t="s">
        <v>597</v>
      </c>
      <c r="B140" s="1390">
        <v>0</v>
      </c>
      <c r="C140" s="1390">
        <v>0</v>
      </c>
      <c r="F140" s="1390">
        <f>_xlfn.XLOOKUP($A140,'TB FORMATTED'!$M:$M,'TB FORMATTED'!N:N,0,0,1)-_xlfn.XLOOKUP($A140,'TB FORMATTED'!$M:$M,'TB FORMATTED'!O:O,0,0,1)</f>
        <v>0</v>
      </c>
      <c r="G140" s="1390">
        <f>_xlfn.XLOOKUP($A140,'TB FORMATTED'!$M:$M,'TB FORMATTED'!P:P,0,0,1)-_xlfn.XLOOKUP($A140,'TB FORMATTED'!$M:$M,'TB FORMATTED'!Q:Q,0,0,1)</f>
        <v>0</v>
      </c>
      <c r="I140" s="1390"/>
      <c r="J140" s="1390"/>
      <c r="L140" s="1390"/>
      <c r="M140" s="1390"/>
      <c r="O140" s="1390"/>
      <c r="P140" s="1390"/>
      <c r="R140" s="1390"/>
      <c r="S140" s="1390"/>
    </row>
    <row r="141" spans="1:19" x14ac:dyDescent="0.3">
      <c r="A141" s="1389" t="s">
        <v>598</v>
      </c>
      <c r="B141" s="1390">
        <v>0</v>
      </c>
      <c r="C141" s="1390">
        <v>1350.8</v>
      </c>
      <c r="F141" s="1390">
        <f>_xlfn.XLOOKUP($A141,'TB FORMATTED'!$M:$M,'TB FORMATTED'!N:N,0,0,1)-_xlfn.XLOOKUP($A141,'TB FORMATTED'!$M:$M,'TB FORMATTED'!O:O,0,0,1)</f>
        <v>0</v>
      </c>
      <c r="G141" s="1390">
        <f>_xlfn.XLOOKUP($A141,'TB FORMATTED'!$M:$M,'TB FORMATTED'!P:P,0,0,1)-_xlfn.XLOOKUP($A141,'TB FORMATTED'!$M:$M,'TB FORMATTED'!Q:Q,0,0,1)</f>
        <v>0</v>
      </c>
      <c r="I141" s="1390"/>
      <c r="J141" s="1390"/>
      <c r="L141" s="1390"/>
      <c r="M141" s="1390"/>
      <c r="O141" s="1390"/>
      <c r="P141" s="1390"/>
      <c r="R141" s="1390"/>
      <c r="S141" s="1390"/>
    </row>
    <row r="142" spans="1:19" x14ac:dyDescent="0.3">
      <c r="A142" s="1389" t="s">
        <v>599</v>
      </c>
      <c r="B142" s="1390">
        <v>0</v>
      </c>
      <c r="C142" s="1390">
        <v>0</v>
      </c>
      <c r="F142" s="1390">
        <f>_xlfn.XLOOKUP($A142,'TB FORMATTED'!$M:$M,'TB FORMATTED'!N:N,0,0,1)-_xlfn.XLOOKUP($A142,'TB FORMATTED'!$M:$M,'TB FORMATTED'!O:O,0,0,1)</f>
        <v>0</v>
      </c>
      <c r="G142" s="1390">
        <f>_xlfn.XLOOKUP($A142,'TB FORMATTED'!$M:$M,'TB FORMATTED'!P:P,0,0,1)-_xlfn.XLOOKUP($A142,'TB FORMATTED'!$M:$M,'TB FORMATTED'!Q:Q,0,0,1)</f>
        <v>0</v>
      </c>
      <c r="I142" s="1390"/>
      <c r="J142" s="1390"/>
      <c r="L142" s="1390"/>
      <c r="M142" s="1390"/>
      <c r="O142" s="1390"/>
      <c r="P142" s="1390"/>
      <c r="R142" s="1390"/>
      <c r="S142" s="1390"/>
    </row>
    <row r="143" spans="1:19" x14ac:dyDescent="0.3">
      <c r="A143" s="1389" t="s">
        <v>600</v>
      </c>
      <c r="B143" s="1390">
        <v>0</v>
      </c>
      <c r="C143" s="1390">
        <v>2566.8200000000002</v>
      </c>
      <c r="F143" s="1390">
        <f>_xlfn.XLOOKUP($A143,'TB FORMATTED'!$M:$M,'TB FORMATTED'!N:N,0,0,1)-_xlfn.XLOOKUP($A143,'TB FORMATTED'!$M:$M,'TB FORMATTED'!O:O,0,0,1)</f>
        <v>0</v>
      </c>
      <c r="G143" s="1390">
        <f>_xlfn.XLOOKUP($A143,'TB FORMATTED'!$M:$M,'TB FORMATTED'!P:P,0,0,1)-_xlfn.XLOOKUP($A143,'TB FORMATTED'!$M:$M,'TB FORMATTED'!Q:Q,0,0,1)</f>
        <v>220.85</v>
      </c>
      <c r="I143" s="1390"/>
      <c r="J143" s="1390"/>
      <c r="L143" s="1390"/>
      <c r="M143" s="1390"/>
      <c r="O143" s="1390"/>
      <c r="P143" s="1390"/>
      <c r="R143" s="1390"/>
      <c r="S143" s="1390"/>
    </row>
    <row r="144" spans="1:19" x14ac:dyDescent="0.3">
      <c r="A144" s="1389" t="s">
        <v>480</v>
      </c>
      <c r="B144" s="1390">
        <v>0</v>
      </c>
      <c r="C144" s="1390">
        <v>934.17</v>
      </c>
      <c r="F144" s="1390">
        <f>_xlfn.XLOOKUP($A144,'TB FORMATTED'!$M:$M,'TB FORMATTED'!N:N,0,0,1)-_xlfn.XLOOKUP($A144,'TB FORMATTED'!$M:$M,'TB FORMATTED'!O:O,0,0,1)</f>
        <v>0</v>
      </c>
      <c r="G144" s="1390">
        <f>_xlfn.XLOOKUP($A144,'TB FORMATTED'!$M:$M,'TB FORMATTED'!P:P,0,0,1)-_xlfn.XLOOKUP($A144,'TB FORMATTED'!$M:$M,'TB FORMATTED'!Q:Q,0,0,1)</f>
        <v>0</v>
      </c>
      <c r="I144" s="1390"/>
      <c r="J144" s="1390"/>
      <c r="L144" s="1390"/>
      <c r="M144" s="1390"/>
      <c r="O144" s="1390"/>
      <c r="P144" s="1390"/>
      <c r="R144" s="1390"/>
      <c r="S144" s="1390"/>
    </row>
    <row r="145" spans="1:19" x14ac:dyDescent="0.3">
      <c r="A145" s="1389" t="s">
        <v>602</v>
      </c>
      <c r="B145" s="1390">
        <v>0</v>
      </c>
      <c r="C145" s="1390">
        <v>198.61</v>
      </c>
      <c r="F145" s="1390">
        <f>_xlfn.XLOOKUP($A145,'TB FORMATTED'!$M:$M,'TB FORMATTED'!N:N,0,0,1)-_xlfn.XLOOKUP($A145,'TB FORMATTED'!$M:$M,'TB FORMATTED'!O:O,0,0,1)</f>
        <v>0</v>
      </c>
      <c r="G145" s="1390">
        <f>_xlfn.XLOOKUP($A145,'TB FORMATTED'!$M:$M,'TB FORMATTED'!P:P,0,0,1)-_xlfn.XLOOKUP($A145,'TB FORMATTED'!$M:$M,'TB FORMATTED'!Q:Q,0,0,1)</f>
        <v>0</v>
      </c>
      <c r="I145" s="1390"/>
      <c r="J145" s="1390"/>
      <c r="L145" s="1390"/>
      <c r="M145" s="1390"/>
      <c r="O145" s="1390"/>
      <c r="P145" s="1390"/>
      <c r="R145" s="1390"/>
      <c r="S145" s="1390"/>
    </row>
    <row r="146" spans="1:19" x14ac:dyDescent="0.3">
      <c r="A146" s="1389" t="s">
        <v>481</v>
      </c>
      <c r="B146" s="1390">
        <v>0</v>
      </c>
      <c r="C146" s="1390">
        <v>4325.18</v>
      </c>
      <c r="F146" s="1390">
        <f>_xlfn.XLOOKUP($A146,'TB FORMATTED'!$M:$M,'TB FORMATTED'!N:N,0,0,1)-_xlfn.XLOOKUP($A146,'TB FORMATTED'!$M:$M,'TB FORMATTED'!O:O,0,0,1)</f>
        <v>0</v>
      </c>
      <c r="G146" s="1390">
        <f>_xlfn.XLOOKUP($A146,'TB FORMATTED'!$M:$M,'TB FORMATTED'!P:P,0,0,1)-_xlfn.XLOOKUP($A146,'TB FORMATTED'!$M:$M,'TB FORMATTED'!Q:Q,0,0,1)</f>
        <v>0</v>
      </c>
      <c r="I146" s="1390"/>
      <c r="J146" s="1390"/>
      <c r="L146" s="1390"/>
      <c r="M146" s="1390"/>
      <c r="O146" s="1390"/>
      <c r="P146" s="1390"/>
      <c r="R146" s="1390"/>
      <c r="S146" s="1390"/>
    </row>
    <row r="147" spans="1:19" x14ac:dyDescent="0.3">
      <c r="A147" s="1389" t="s">
        <v>812</v>
      </c>
      <c r="B147" s="1390">
        <v>0</v>
      </c>
      <c r="C147" s="1390">
        <v>0</v>
      </c>
      <c r="F147" s="1390">
        <f>_xlfn.XLOOKUP($A147,'TB FORMATTED'!$M:$M,'TB FORMATTED'!N:N,0,0,1)-_xlfn.XLOOKUP($A147,'TB FORMATTED'!$M:$M,'TB FORMATTED'!O:O,0,0,1)</f>
        <v>0</v>
      </c>
      <c r="G147" s="1390">
        <f>_xlfn.XLOOKUP($A147,'TB FORMATTED'!$M:$M,'TB FORMATTED'!P:P,0,0,1)-_xlfn.XLOOKUP($A147,'TB FORMATTED'!$M:$M,'TB FORMATTED'!Q:Q,0,0,1)</f>
        <v>0</v>
      </c>
      <c r="I147" s="1390"/>
      <c r="J147" s="1390"/>
      <c r="L147" s="1390"/>
      <c r="M147" s="1390"/>
      <c r="O147" s="1390"/>
      <c r="P147" s="1390"/>
      <c r="R147" s="1390"/>
      <c r="S147" s="1390"/>
    </row>
    <row r="148" spans="1:19" x14ac:dyDescent="0.3">
      <c r="A148" s="1389" t="s">
        <v>482</v>
      </c>
      <c r="B148" s="1390">
        <v>26182.36</v>
      </c>
      <c r="C148" s="1390">
        <v>0</v>
      </c>
      <c r="F148" s="1390">
        <f>_xlfn.XLOOKUP($A148,'TB FORMATTED'!$M:$M,'TB FORMATTED'!N:N,0,0,1)-_xlfn.XLOOKUP($A148,'TB FORMATTED'!$M:$M,'TB FORMATTED'!O:O,0,0,1)</f>
        <v>0</v>
      </c>
      <c r="G148" s="1390">
        <f>_xlfn.XLOOKUP($A148,'TB FORMATTED'!$M:$M,'TB FORMATTED'!P:P,0,0,1)-_xlfn.XLOOKUP($A148,'TB FORMATTED'!$M:$M,'TB FORMATTED'!Q:Q,0,0,1)</f>
        <v>204.28</v>
      </c>
      <c r="I148" s="1390"/>
      <c r="J148" s="1390"/>
      <c r="L148" s="1390"/>
      <c r="M148" s="1390"/>
      <c r="O148" s="1390"/>
      <c r="P148" s="1390"/>
      <c r="R148" s="1390"/>
      <c r="S148" s="1390"/>
    </row>
    <row r="149" spans="1:19" x14ac:dyDescent="0.3">
      <c r="A149" s="1389" t="s">
        <v>483</v>
      </c>
      <c r="B149" s="1390">
        <v>64.319999999999993</v>
      </c>
      <c r="C149" s="1390">
        <v>0</v>
      </c>
      <c r="F149" s="1390">
        <f>_xlfn.XLOOKUP($A149,'TB FORMATTED'!$M:$M,'TB FORMATTED'!N:N,0,0,1)-_xlfn.XLOOKUP($A149,'TB FORMATTED'!$M:$M,'TB FORMATTED'!O:O,0,0,1)</f>
        <v>367.84</v>
      </c>
      <c r="G149" s="1390">
        <f>_xlfn.XLOOKUP($A149,'TB FORMATTED'!$M:$M,'TB FORMATTED'!P:P,0,0,1)-_xlfn.XLOOKUP($A149,'TB FORMATTED'!$M:$M,'TB FORMATTED'!Q:Q,0,0,1)</f>
        <v>0</v>
      </c>
      <c r="I149" s="1390"/>
      <c r="J149" s="1390"/>
      <c r="L149" s="1390"/>
      <c r="M149" s="1390"/>
      <c r="O149" s="1390"/>
      <c r="P149" s="1390"/>
      <c r="R149" s="1390"/>
      <c r="S149" s="1390"/>
    </row>
    <row r="150" spans="1:19" x14ac:dyDescent="0.3">
      <c r="A150" s="1389" t="s">
        <v>603</v>
      </c>
      <c r="B150" s="1390">
        <v>0</v>
      </c>
      <c r="C150" s="1390">
        <v>0</v>
      </c>
      <c r="F150" s="1390">
        <f>_xlfn.XLOOKUP($A150,'TB FORMATTED'!$M:$M,'TB FORMATTED'!N:N,0,0,1)-_xlfn.XLOOKUP($A150,'TB FORMATTED'!$M:$M,'TB FORMATTED'!O:O,0,0,1)</f>
        <v>0</v>
      </c>
      <c r="G150" s="1390">
        <f>_xlfn.XLOOKUP($A150,'TB FORMATTED'!$M:$M,'TB FORMATTED'!P:P,0,0,1)-_xlfn.XLOOKUP($A150,'TB FORMATTED'!$M:$M,'TB FORMATTED'!Q:Q,0,0,1)</f>
        <v>0</v>
      </c>
      <c r="I150" s="1390"/>
      <c r="J150" s="1390"/>
      <c r="L150" s="1390"/>
      <c r="M150" s="1390"/>
      <c r="O150" s="1390"/>
      <c r="P150" s="1390"/>
      <c r="R150" s="1390"/>
      <c r="S150" s="1390"/>
    </row>
    <row r="151" spans="1:19" x14ac:dyDescent="0.3">
      <c r="A151" s="1389" t="s">
        <v>484</v>
      </c>
      <c r="B151" s="1390">
        <v>0</v>
      </c>
      <c r="C151" s="1390">
        <v>0</v>
      </c>
      <c r="F151" s="1390">
        <f>_xlfn.XLOOKUP($A151,'TB FORMATTED'!$M:$M,'TB FORMATTED'!N:N,0,0,1)-_xlfn.XLOOKUP($A151,'TB FORMATTED'!$M:$M,'TB FORMATTED'!O:O,0,0,1)</f>
        <v>0</v>
      </c>
      <c r="G151" s="1390">
        <f>_xlfn.XLOOKUP($A151,'TB FORMATTED'!$M:$M,'TB FORMATTED'!P:P,0,0,1)-_xlfn.XLOOKUP($A151,'TB FORMATTED'!$M:$M,'TB FORMATTED'!Q:Q,0,0,1)</f>
        <v>0</v>
      </c>
      <c r="I151" s="1390"/>
      <c r="J151" s="1390"/>
      <c r="L151" s="1390"/>
      <c r="M151" s="1390"/>
      <c r="O151" s="1390"/>
      <c r="P151" s="1390"/>
      <c r="R151" s="1390"/>
      <c r="S151" s="1390"/>
    </row>
    <row r="152" spans="1:19" x14ac:dyDescent="0.3">
      <c r="A152" s="1389" t="s">
        <v>485</v>
      </c>
      <c r="B152" s="1390">
        <v>0</v>
      </c>
      <c r="C152" s="1390">
        <v>0</v>
      </c>
      <c r="F152" s="1390">
        <f>_xlfn.XLOOKUP($A152,'TB FORMATTED'!$M:$M,'TB FORMATTED'!N:N,0,0,1)-_xlfn.XLOOKUP($A152,'TB FORMATTED'!$M:$M,'TB FORMATTED'!O:O,0,0,1)</f>
        <v>0</v>
      </c>
      <c r="G152" s="1390">
        <f>_xlfn.XLOOKUP($A152,'TB FORMATTED'!$M:$M,'TB FORMATTED'!P:P,0,0,1)-_xlfn.XLOOKUP($A152,'TB FORMATTED'!$M:$M,'TB FORMATTED'!Q:Q,0,0,1)</f>
        <v>9000</v>
      </c>
      <c r="I152" s="1390"/>
      <c r="J152" s="1390"/>
      <c r="L152" s="1390"/>
      <c r="M152" s="1390"/>
      <c r="O152" s="1390"/>
      <c r="P152" s="1390"/>
      <c r="R152" s="1390"/>
      <c r="S152" s="1390"/>
    </row>
    <row r="153" spans="1:19" x14ac:dyDescent="0.3">
      <c r="A153" s="1389" t="s">
        <v>604</v>
      </c>
      <c r="B153" s="1390">
        <v>0</v>
      </c>
      <c r="C153" s="1390">
        <v>0</v>
      </c>
      <c r="F153" s="1390">
        <f>_xlfn.XLOOKUP($A153,'TB FORMATTED'!$M:$M,'TB FORMATTED'!N:N,0,0,1)-_xlfn.XLOOKUP($A153,'TB FORMATTED'!$M:$M,'TB FORMATTED'!O:O,0,0,1)</f>
        <v>0</v>
      </c>
      <c r="G153" s="1390">
        <f>_xlfn.XLOOKUP($A153,'TB FORMATTED'!$M:$M,'TB FORMATTED'!P:P,0,0,1)-_xlfn.XLOOKUP($A153,'TB FORMATTED'!$M:$M,'TB FORMATTED'!Q:Q,0,0,1)</f>
        <v>0</v>
      </c>
      <c r="I153" s="1390"/>
      <c r="J153" s="1390"/>
      <c r="L153" s="1390"/>
      <c r="M153" s="1390"/>
      <c r="O153" s="1390"/>
      <c r="P153" s="1390"/>
      <c r="R153" s="1390"/>
      <c r="S153" s="1390"/>
    </row>
    <row r="154" spans="1:19" x14ac:dyDescent="0.3">
      <c r="A154" s="1389" t="s">
        <v>605</v>
      </c>
      <c r="B154" s="1390">
        <v>0</v>
      </c>
      <c r="C154" s="1390">
        <v>0</v>
      </c>
      <c r="F154" s="1390">
        <f>_xlfn.XLOOKUP($A154,'TB FORMATTED'!$M:$M,'TB FORMATTED'!N:N,0,0,1)-_xlfn.XLOOKUP($A154,'TB FORMATTED'!$M:$M,'TB FORMATTED'!O:O,0,0,1)</f>
        <v>0</v>
      </c>
      <c r="G154" s="1390">
        <f>_xlfn.XLOOKUP($A154,'TB FORMATTED'!$M:$M,'TB FORMATTED'!P:P,0,0,1)-_xlfn.XLOOKUP($A154,'TB FORMATTED'!$M:$M,'TB FORMATTED'!Q:Q,0,0,1)</f>
        <v>0</v>
      </c>
      <c r="I154" s="1390"/>
      <c r="J154" s="1390"/>
      <c r="L154" s="1390"/>
      <c r="M154" s="1390"/>
      <c r="O154" s="1390"/>
      <c r="P154" s="1390"/>
      <c r="R154" s="1390"/>
      <c r="S154" s="1390"/>
    </row>
    <row r="155" spans="1:19" x14ac:dyDescent="0.3">
      <c r="A155" s="1389" t="s">
        <v>486</v>
      </c>
      <c r="B155" s="1390">
        <v>0</v>
      </c>
      <c r="C155" s="1390">
        <v>116.46</v>
      </c>
      <c r="F155" s="1390">
        <f>_xlfn.XLOOKUP($A155,'TB FORMATTED'!$M:$M,'TB FORMATTED'!N:N,0,0,1)-_xlfn.XLOOKUP($A155,'TB FORMATTED'!$M:$M,'TB FORMATTED'!O:O,0,0,1)</f>
        <v>0</v>
      </c>
      <c r="G155" s="1390">
        <f>_xlfn.XLOOKUP($A155,'TB FORMATTED'!$M:$M,'TB FORMATTED'!P:P,0,0,1)-_xlfn.XLOOKUP($A155,'TB FORMATTED'!$M:$M,'TB FORMATTED'!Q:Q,0,0,1)</f>
        <v>0</v>
      </c>
      <c r="I155" s="1390"/>
      <c r="J155" s="1390"/>
      <c r="L155" s="1390"/>
      <c r="M155" s="1390"/>
      <c r="O155" s="1390"/>
      <c r="P155" s="1390"/>
      <c r="R155" s="1390"/>
      <c r="S155" s="1390"/>
    </row>
    <row r="156" spans="1:19" x14ac:dyDescent="0.3">
      <c r="A156" s="1389" t="s">
        <v>606</v>
      </c>
      <c r="B156" s="1390">
        <v>0</v>
      </c>
      <c r="C156" s="1390">
        <v>0</v>
      </c>
      <c r="F156" s="1390">
        <f>_xlfn.XLOOKUP($A156,'TB FORMATTED'!$M:$M,'TB FORMATTED'!N:N,0,0,1)-_xlfn.XLOOKUP($A156,'TB FORMATTED'!$M:$M,'TB FORMATTED'!O:O,0,0,1)</f>
        <v>0</v>
      </c>
      <c r="G156" s="1390">
        <f>_xlfn.XLOOKUP($A156,'TB FORMATTED'!$M:$M,'TB FORMATTED'!P:P,0,0,1)-_xlfn.XLOOKUP($A156,'TB FORMATTED'!$M:$M,'TB FORMATTED'!Q:Q,0,0,1)</f>
        <v>0</v>
      </c>
      <c r="I156" s="1390"/>
      <c r="J156" s="1390"/>
      <c r="L156" s="1390"/>
      <c r="M156" s="1390"/>
      <c r="O156" s="1390"/>
      <c r="P156" s="1390"/>
      <c r="R156" s="1390"/>
      <c r="S156" s="1390"/>
    </row>
    <row r="157" spans="1:19" x14ac:dyDescent="0.3">
      <c r="A157" s="1389" t="s">
        <v>607</v>
      </c>
      <c r="B157" s="1390">
        <v>0</v>
      </c>
      <c r="C157" s="1390">
        <v>0</v>
      </c>
      <c r="F157" s="1390">
        <f>_xlfn.XLOOKUP($A157,'TB FORMATTED'!$M:$M,'TB FORMATTED'!N:N,0,0,1)-_xlfn.XLOOKUP($A157,'TB FORMATTED'!$M:$M,'TB FORMATTED'!O:O,0,0,1)</f>
        <v>0</v>
      </c>
      <c r="G157" s="1390">
        <f>_xlfn.XLOOKUP($A157,'TB FORMATTED'!$M:$M,'TB FORMATTED'!P:P,0,0,1)-_xlfn.XLOOKUP($A157,'TB FORMATTED'!$M:$M,'TB FORMATTED'!Q:Q,0,0,1)</f>
        <v>0</v>
      </c>
      <c r="I157" s="1390"/>
      <c r="J157" s="1390"/>
      <c r="L157" s="1390"/>
      <c r="M157" s="1390"/>
      <c r="O157" s="1390"/>
      <c r="P157" s="1390"/>
      <c r="R157" s="1390"/>
      <c r="S157" s="1390"/>
    </row>
    <row r="158" spans="1:19" x14ac:dyDescent="0.3">
      <c r="A158" s="1389" t="s">
        <v>487</v>
      </c>
      <c r="B158" s="1390">
        <v>0</v>
      </c>
      <c r="C158" s="1390">
        <v>0</v>
      </c>
      <c r="F158" s="1390">
        <f>_xlfn.XLOOKUP($A158,'TB FORMATTED'!$M:$M,'TB FORMATTED'!N:N,0,0,1)-_xlfn.XLOOKUP($A158,'TB FORMATTED'!$M:$M,'TB FORMATTED'!O:O,0,0,1)</f>
        <v>0</v>
      </c>
      <c r="G158" s="1390">
        <f>_xlfn.XLOOKUP($A158,'TB FORMATTED'!$M:$M,'TB FORMATTED'!P:P,0,0,1)-_xlfn.XLOOKUP($A158,'TB FORMATTED'!$M:$M,'TB FORMATTED'!Q:Q,0,0,1)</f>
        <v>0</v>
      </c>
      <c r="I158" s="1390"/>
      <c r="J158" s="1390"/>
      <c r="L158" s="1390"/>
      <c r="M158" s="1390"/>
      <c r="O158" s="1390"/>
      <c r="P158" s="1390"/>
      <c r="R158" s="1390"/>
      <c r="S158" s="1390"/>
    </row>
    <row r="159" spans="1:19" x14ac:dyDescent="0.3">
      <c r="A159" s="1389" t="s">
        <v>608</v>
      </c>
      <c r="B159" s="1390">
        <v>0</v>
      </c>
      <c r="C159" s="1390">
        <v>241.4</v>
      </c>
      <c r="F159" s="1390">
        <f>_xlfn.XLOOKUP($A159,'TB FORMATTED'!$M:$M,'TB FORMATTED'!N:N,0,0,1)-_xlfn.XLOOKUP($A159,'TB FORMATTED'!$M:$M,'TB FORMATTED'!O:O,0,0,1)</f>
        <v>0</v>
      </c>
      <c r="G159" s="1390">
        <f>_xlfn.XLOOKUP($A159,'TB FORMATTED'!$M:$M,'TB FORMATTED'!P:P,0,0,1)-_xlfn.XLOOKUP($A159,'TB FORMATTED'!$M:$M,'TB FORMATTED'!Q:Q,0,0,1)</f>
        <v>0</v>
      </c>
      <c r="I159" s="1390"/>
      <c r="J159" s="1390"/>
      <c r="L159" s="1390"/>
      <c r="M159" s="1390"/>
      <c r="O159" s="1390"/>
      <c r="P159" s="1390"/>
      <c r="R159" s="1390"/>
      <c r="S159" s="1390"/>
    </row>
    <row r="160" spans="1:19" x14ac:dyDescent="0.3">
      <c r="A160" s="1389" t="s">
        <v>610</v>
      </c>
      <c r="B160" s="1390">
        <v>0</v>
      </c>
      <c r="C160" s="1390">
        <v>0</v>
      </c>
      <c r="F160" s="1390">
        <f>_xlfn.XLOOKUP($A160,'TB FORMATTED'!$M:$M,'TB FORMATTED'!N:N,0,0,1)-_xlfn.XLOOKUP($A160,'TB FORMATTED'!$M:$M,'TB FORMATTED'!O:O,0,0,1)</f>
        <v>0</v>
      </c>
      <c r="G160" s="1390">
        <f>_xlfn.XLOOKUP($A160,'TB FORMATTED'!$M:$M,'TB FORMATTED'!P:P,0,0,1)-_xlfn.XLOOKUP($A160,'TB FORMATTED'!$M:$M,'TB FORMATTED'!Q:Q,0,0,1)</f>
        <v>0</v>
      </c>
      <c r="I160" s="1390"/>
      <c r="J160" s="1390"/>
      <c r="L160" s="1390"/>
      <c r="M160" s="1390"/>
      <c r="O160" s="1390"/>
      <c r="P160" s="1390"/>
      <c r="R160" s="1390"/>
      <c r="S160" s="1390"/>
    </row>
    <row r="161" spans="1:19" x14ac:dyDescent="0.3">
      <c r="A161" s="1389" t="s">
        <v>488</v>
      </c>
      <c r="B161" s="1390">
        <v>0</v>
      </c>
      <c r="C161" s="1390">
        <v>0</v>
      </c>
      <c r="F161" s="1390">
        <f>_xlfn.XLOOKUP($A161,'TB FORMATTED'!$M:$M,'TB FORMATTED'!N:N,0,0,1)-_xlfn.XLOOKUP($A161,'TB FORMATTED'!$M:$M,'TB FORMATTED'!O:O,0,0,1)</f>
        <v>0</v>
      </c>
      <c r="G161" s="1390">
        <f>_xlfn.XLOOKUP($A161,'TB FORMATTED'!$M:$M,'TB FORMATTED'!P:P,0,0,1)-_xlfn.XLOOKUP($A161,'TB FORMATTED'!$M:$M,'TB FORMATTED'!Q:Q,0,0,1)</f>
        <v>0</v>
      </c>
      <c r="I161" s="1390"/>
      <c r="J161" s="1390"/>
      <c r="L161" s="1390"/>
      <c r="M161" s="1390"/>
      <c r="O161" s="1390"/>
      <c r="P161" s="1390"/>
      <c r="R161" s="1390"/>
      <c r="S161" s="1390"/>
    </row>
    <row r="162" spans="1:19" x14ac:dyDescent="0.3">
      <c r="A162" s="1389" t="s">
        <v>491</v>
      </c>
      <c r="B162" s="1390">
        <v>0</v>
      </c>
      <c r="C162" s="1390">
        <v>0</v>
      </c>
      <c r="F162" s="1390">
        <f>_xlfn.XLOOKUP($A162,'TB FORMATTED'!$M:$M,'TB FORMATTED'!N:N,0,0,1)-_xlfn.XLOOKUP($A162,'TB FORMATTED'!$M:$M,'TB FORMATTED'!O:O,0,0,1)</f>
        <v>0</v>
      </c>
      <c r="G162" s="1390">
        <f>_xlfn.XLOOKUP($A162,'TB FORMATTED'!$M:$M,'TB FORMATTED'!P:P,0,0,1)-_xlfn.XLOOKUP($A162,'TB FORMATTED'!$M:$M,'TB FORMATTED'!Q:Q,0,0,1)</f>
        <v>0</v>
      </c>
      <c r="I162" s="1390"/>
      <c r="J162" s="1390"/>
      <c r="L162" s="1390"/>
      <c r="M162" s="1390"/>
      <c r="O162" s="1390"/>
      <c r="P162" s="1390"/>
      <c r="R162" s="1390"/>
      <c r="S162" s="1390"/>
    </row>
    <row r="163" spans="1:19" x14ac:dyDescent="0.3">
      <c r="A163" s="1389" t="s">
        <v>611</v>
      </c>
      <c r="B163" s="1390">
        <v>0</v>
      </c>
      <c r="C163" s="1390">
        <v>0</v>
      </c>
      <c r="F163" s="1390">
        <f>_xlfn.XLOOKUP($A163,'TB FORMATTED'!$M:$M,'TB FORMATTED'!N:N,0,0,1)-_xlfn.XLOOKUP($A163,'TB FORMATTED'!$M:$M,'TB FORMATTED'!O:O,0,0,1)</f>
        <v>0</v>
      </c>
      <c r="G163" s="1390">
        <f>_xlfn.XLOOKUP($A163,'TB FORMATTED'!$M:$M,'TB FORMATTED'!P:P,0,0,1)-_xlfn.XLOOKUP($A163,'TB FORMATTED'!$M:$M,'TB FORMATTED'!Q:Q,0,0,1)</f>
        <v>0</v>
      </c>
      <c r="I163" s="1390"/>
      <c r="J163" s="1390"/>
      <c r="L163" s="1390"/>
      <c r="M163" s="1390"/>
      <c r="O163" s="1390"/>
      <c r="P163" s="1390"/>
      <c r="R163" s="1390"/>
      <c r="S163" s="1390"/>
    </row>
    <row r="164" spans="1:19" x14ac:dyDescent="0.3">
      <c r="A164" s="1389" t="s">
        <v>497</v>
      </c>
      <c r="B164" s="1390">
        <v>0</v>
      </c>
      <c r="C164" s="1390">
        <v>0</v>
      </c>
      <c r="F164" s="1390">
        <f>_xlfn.XLOOKUP($A164,'TB FORMATTED'!$M:$M,'TB FORMATTED'!N:N,0,0,1)-_xlfn.XLOOKUP($A164,'TB FORMATTED'!$M:$M,'TB FORMATTED'!O:O,0,0,1)</f>
        <v>0</v>
      </c>
      <c r="G164" s="1390">
        <f>_xlfn.XLOOKUP($A164,'TB FORMATTED'!$M:$M,'TB FORMATTED'!P:P,0,0,1)-_xlfn.XLOOKUP($A164,'TB FORMATTED'!$M:$M,'TB FORMATTED'!Q:Q,0,0,1)</f>
        <v>0</v>
      </c>
      <c r="I164" s="1390"/>
      <c r="J164" s="1390"/>
      <c r="L164" s="1390"/>
      <c r="M164" s="1390"/>
      <c r="O164" s="1390"/>
      <c r="P164" s="1390"/>
      <c r="R164" s="1390"/>
      <c r="S164" s="1390"/>
    </row>
    <row r="165" spans="1:19" x14ac:dyDescent="0.3">
      <c r="A165" s="1389" t="s">
        <v>327</v>
      </c>
      <c r="B165" s="1390">
        <v>0</v>
      </c>
      <c r="C165" s="1390">
        <v>0</v>
      </c>
      <c r="F165" s="1390">
        <f>_xlfn.XLOOKUP($A165,'TB FORMATTED'!$M:$M,'TB FORMATTED'!N:N,0,0,1)-_xlfn.XLOOKUP($A165,'TB FORMATTED'!$M:$M,'TB FORMATTED'!O:O,0,0,1)</f>
        <v>0</v>
      </c>
      <c r="G165" s="1390">
        <f>_xlfn.XLOOKUP($A165,'TB FORMATTED'!$M:$M,'TB FORMATTED'!P:P,0,0,1)-_xlfn.XLOOKUP($A165,'TB FORMATTED'!$M:$M,'TB FORMATTED'!Q:Q,0,0,1)</f>
        <v>0</v>
      </c>
      <c r="I165" s="1390"/>
      <c r="J165" s="1390"/>
      <c r="L165" s="1390"/>
      <c r="M165" s="1390"/>
      <c r="O165" s="1390"/>
      <c r="P165" s="1390"/>
      <c r="R165" s="1390"/>
      <c r="S165" s="1390"/>
    </row>
    <row r="166" spans="1:19" x14ac:dyDescent="0.3">
      <c r="A166" s="1389" t="s">
        <v>1989</v>
      </c>
      <c r="B166" s="1390">
        <v>0</v>
      </c>
      <c r="C166" s="1390">
        <v>5306.24</v>
      </c>
      <c r="F166" s="1390">
        <f>_xlfn.XLOOKUP($A166,'TB FORMATTED'!$M:$M,'TB FORMATTED'!N:N,0,0,1)-_xlfn.XLOOKUP($A166,'TB FORMATTED'!$M:$M,'TB FORMATTED'!O:O,0,0,1)</f>
        <v>0</v>
      </c>
      <c r="G166" s="1390">
        <f>_xlfn.XLOOKUP($A166,'TB FORMATTED'!$M:$M,'TB FORMATTED'!P:P,0,0,1)-_xlfn.XLOOKUP($A166,'TB FORMATTED'!$M:$M,'TB FORMATTED'!Q:Q,0,0,1)</f>
        <v>0</v>
      </c>
      <c r="I166" s="1390"/>
      <c r="J166" s="1390"/>
      <c r="L166" s="1390"/>
      <c r="M166" s="1390"/>
      <c r="O166" s="1390"/>
      <c r="P166" s="1390"/>
      <c r="R166" s="1390"/>
      <c r="S166" s="1390"/>
    </row>
    <row r="167" spans="1:19" x14ac:dyDescent="0.3">
      <c r="A167" s="1389" t="s">
        <v>1990</v>
      </c>
      <c r="B167" s="1390">
        <v>0</v>
      </c>
      <c r="C167" s="1390">
        <v>1713.44</v>
      </c>
      <c r="F167" s="1390">
        <f>_xlfn.XLOOKUP($A167,'TB FORMATTED'!$M:$M,'TB FORMATTED'!N:N,0,0,1)-_xlfn.XLOOKUP($A167,'TB FORMATTED'!$M:$M,'TB FORMATTED'!O:O,0,0,1)</f>
        <v>0</v>
      </c>
      <c r="G167" s="1390">
        <f>_xlfn.XLOOKUP($A167,'TB FORMATTED'!$M:$M,'TB FORMATTED'!P:P,0,0,1)-_xlfn.XLOOKUP($A167,'TB FORMATTED'!$M:$M,'TB FORMATTED'!Q:Q,0,0,1)</f>
        <v>0</v>
      </c>
      <c r="I167" s="1390"/>
      <c r="J167" s="1390"/>
      <c r="L167" s="1390"/>
      <c r="M167" s="1390"/>
      <c r="O167" s="1390"/>
      <c r="P167" s="1390"/>
      <c r="R167" s="1390"/>
      <c r="S167" s="1390"/>
    </row>
    <row r="168" spans="1:19" x14ac:dyDescent="0.3">
      <c r="A168" s="1389" t="s">
        <v>609</v>
      </c>
      <c r="B168" s="1390">
        <v>0</v>
      </c>
      <c r="C168" s="1390">
        <v>0</v>
      </c>
      <c r="F168" s="1390">
        <f>_xlfn.XLOOKUP($A168,'TB FORMATTED'!$M:$M,'TB FORMATTED'!N:N,0,0,1)-_xlfn.XLOOKUP($A168,'TB FORMATTED'!$M:$M,'TB FORMATTED'!O:O,0,0,1)</f>
        <v>0</v>
      </c>
      <c r="G168" s="1390">
        <f>_xlfn.XLOOKUP($A168,'TB FORMATTED'!$M:$M,'TB FORMATTED'!P:P,0,0,1)-_xlfn.XLOOKUP($A168,'TB FORMATTED'!$M:$M,'TB FORMATTED'!Q:Q,0,0,1)</f>
        <v>0</v>
      </c>
      <c r="I168" s="1390"/>
      <c r="J168" s="1390"/>
      <c r="L168" s="1390"/>
      <c r="M168" s="1390"/>
      <c r="O168" s="1390"/>
      <c r="P168" s="1390"/>
      <c r="R168" s="1390"/>
      <c r="S168" s="1390"/>
    </row>
    <row r="169" spans="1:19" x14ac:dyDescent="0.3">
      <c r="A169" s="1389" t="s">
        <v>489</v>
      </c>
      <c r="B169" s="1390">
        <v>0</v>
      </c>
      <c r="C169" s="1390">
        <v>0</v>
      </c>
      <c r="F169" s="1390">
        <f>_xlfn.XLOOKUP($A169,'TB FORMATTED'!$M:$M,'TB FORMATTED'!N:N,0,0,1)-_xlfn.XLOOKUP($A169,'TB FORMATTED'!$M:$M,'TB FORMATTED'!O:O,0,0,1)</f>
        <v>0</v>
      </c>
      <c r="G169" s="1390">
        <f>_xlfn.XLOOKUP($A169,'TB FORMATTED'!$M:$M,'TB FORMATTED'!P:P,0,0,1)-_xlfn.XLOOKUP($A169,'TB FORMATTED'!$M:$M,'TB FORMATTED'!Q:Q,0,0,1)</f>
        <v>0</v>
      </c>
      <c r="I169" s="1390"/>
      <c r="J169" s="1390"/>
      <c r="L169" s="1390"/>
      <c r="M169" s="1390"/>
      <c r="O169" s="1390"/>
      <c r="P169" s="1390"/>
      <c r="R169" s="1390"/>
      <c r="S169" s="1390"/>
    </row>
    <row r="170" spans="1:19" x14ac:dyDescent="0.3">
      <c r="A170" s="1389" t="s">
        <v>492</v>
      </c>
      <c r="B170" s="1390">
        <v>0</v>
      </c>
      <c r="C170" s="1390">
        <v>0</v>
      </c>
      <c r="F170" s="1390">
        <f>_xlfn.XLOOKUP($A170,'TB FORMATTED'!$M:$M,'TB FORMATTED'!N:N,0,0,1)-_xlfn.XLOOKUP($A170,'TB FORMATTED'!$M:$M,'TB FORMATTED'!O:O,0,0,1)</f>
        <v>0</v>
      </c>
      <c r="G170" s="1390">
        <f>_xlfn.XLOOKUP($A170,'TB FORMATTED'!$M:$M,'TB FORMATTED'!P:P,0,0,1)-_xlfn.XLOOKUP($A170,'TB FORMATTED'!$M:$M,'TB FORMATTED'!Q:Q,0,0,1)</f>
        <v>0</v>
      </c>
      <c r="I170" s="1390"/>
      <c r="J170" s="1390"/>
      <c r="L170" s="1390"/>
      <c r="M170" s="1390"/>
      <c r="O170" s="1390"/>
      <c r="P170" s="1390"/>
      <c r="R170" s="1390"/>
      <c r="S170" s="1390"/>
    </row>
    <row r="171" spans="1:19" x14ac:dyDescent="0.3">
      <c r="A171" s="1389" t="s">
        <v>493</v>
      </c>
      <c r="B171" s="1390">
        <v>0</v>
      </c>
      <c r="C171" s="1390">
        <v>0</v>
      </c>
      <c r="F171" s="1390">
        <f>_xlfn.XLOOKUP($A171,'TB FORMATTED'!$M:$M,'TB FORMATTED'!N:N,0,0,1)-_xlfn.XLOOKUP($A171,'TB FORMATTED'!$M:$M,'TB FORMATTED'!O:O,0,0,1)</f>
        <v>0</v>
      </c>
      <c r="G171" s="1390">
        <f>_xlfn.XLOOKUP($A171,'TB FORMATTED'!$M:$M,'TB FORMATTED'!P:P,0,0,1)-_xlfn.XLOOKUP($A171,'TB FORMATTED'!$M:$M,'TB FORMATTED'!Q:Q,0,0,1)</f>
        <v>0</v>
      </c>
      <c r="I171" s="1390"/>
      <c r="J171" s="1390"/>
      <c r="L171" s="1390"/>
      <c r="M171" s="1390"/>
      <c r="O171" s="1390"/>
      <c r="P171" s="1390"/>
      <c r="R171" s="1390"/>
      <c r="S171" s="1390"/>
    </row>
    <row r="172" spans="1:19" x14ac:dyDescent="0.3">
      <c r="A172" s="1389" t="s">
        <v>612</v>
      </c>
      <c r="B172" s="1390">
        <v>0</v>
      </c>
      <c r="C172" s="1390">
        <v>42.78</v>
      </c>
      <c r="F172" s="1390">
        <f>_xlfn.XLOOKUP($A172,'TB FORMATTED'!$M:$M,'TB FORMATTED'!N:N,0,0,1)-_xlfn.XLOOKUP($A172,'TB FORMATTED'!$M:$M,'TB FORMATTED'!O:O,0,0,1)</f>
        <v>0</v>
      </c>
      <c r="G172" s="1390">
        <f>_xlfn.XLOOKUP($A172,'TB FORMATTED'!$M:$M,'TB FORMATTED'!P:P,0,0,1)-_xlfn.XLOOKUP($A172,'TB FORMATTED'!$M:$M,'TB FORMATTED'!Q:Q,0,0,1)</f>
        <v>3.84</v>
      </c>
      <c r="I172" s="1390"/>
      <c r="J172" s="1390"/>
      <c r="L172" s="1390"/>
      <c r="M172" s="1390"/>
      <c r="O172" s="1390"/>
      <c r="P172" s="1390"/>
      <c r="R172" s="1390"/>
      <c r="S172" s="1390"/>
    </row>
    <row r="173" spans="1:19" x14ac:dyDescent="0.3">
      <c r="A173" s="1389" t="s">
        <v>613</v>
      </c>
      <c r="B173" s="1390">
        <v>0</v>
      </c>
      <c r="C173" s="1390">
        <v>0</v>
      </c>
      <c r="F173" s="1390">
        <f>_xlfn.XLOOKUP($A173,'TB FORMATTED'!$M:$M,'TB FORMATTED'!N:N,0,0,1)-_xlfn.XLOOKUP($A173,'TB FORMATTED'!$M:$M,'TB FORMATTED'!O:O,0,0,1)</f>
        <v>0</v>
      </c>
      <c r="G173" s="1390">
        <f>_xlfn.XLOOKUP($A173,'TB FORMATTED'!$M:$M,'TB FORMATTED'!P:P,0,0,1)-_xlfn.XLOOKUP($A173,'TB FORMATTED'!$M:$M,'TB FORMATTED'!Q:Q,0,0,1)</f>
        <v>0</v>
      </c>
      <c r="I173" s="1390"/>
      <c r="J173" s="1390"/>
      <c r="L173" s="1390"/>
      <c r="M173" s="1390"/>
      <c r="O173" s="1390"/>
      <c r="P173" s="1390"/>
      <c r="R173" s="1390"/>
      <c r="S173" s="1390"/>
    </row>
    <row r="174" spans="1:19" x14ac:dyDescent="0.3">
      <c r="A174" s="1389" t="s">
        <v>614</v>
      </c>
      <c r="B174" s="1390">
        <v>0</v>
      </c>
      <c r="C174" s="1390">
        <v>0</v>
      </c>
      <c r="F174" s="1390">
        <f>_xlfn.XLOOKUP($A174,'TB FORMATTED'!$M:$M,'TB FORMATTED'!N:N,0,0,1)-_xlfn.XLOOKUP($A174,'TB FORMATTED'!$M:$M,'TB FORMATTED'!O:O,0,0,1)</f>
        <v>0</v>
      </c>
      <c r="G174" s="1390">
        <f>_xlfn.XLOOKUP($A174,'TB FORMATTED'!$M:$M,'TB FORMATTED'!P:P,0,0,1)-_xlfn.XLOOKUP($A174,'TB FORMATTED'!$M:$M,'TB FORMATTED'!Q:Q,0,0,1)</f>
        <v>0</v>
      </c>
      <c r="I174" s="1390"/>
      <c r="J174" s="1390"/>
      <c r="L174" s="1390"/>
      <c r="M174" s="1390"/>
      <c r="O174" s="1390"/>
      <c r="P174" s="1390"/>
      <c r="R174" s="1390"/>
      <c r="S174" s="1390"/>
    </row>
    <row r="175" spans="1:19" x14ac:dyDescent="0.3">
      <c r="A175" s="1389" t="s">
        <v>615</v>
      </c>
      <c r="B175" s="1390">
        <v>0</v>
      </c>
      <c r="C175" s="1390">
        <v>0</v>
      </c>
      <c r="F175" s="1390">
        <f>_xlfn.XLOOKUP($A175,'TB FORMATTED'!$M:$M,'TB FORMATTED'!N:N,0,0,1)-_xlfn.XLOOKUP($A175,'TB FORMATTED'!$M:$M,'TB FORMATTED'!O:O,0,0,1)</f>
        <v>0</v>
      </c>
      <c r="G175" s="1390">
        <f>_xlfn.XLOOKUP($A175,'TB FORMATTED'!$M:$M,'TB FORMATTED'!P:P,0,0,1)-_xlfn.XLOOKUP($A175,'TB FORMATTED'!$M:$M,'TB FORMATTED'!Q:Q,0,0,1)</f>
        <v>0</v>
      </c>
      <c r="I175" s="1390"/>
      <c r="J175" s="1390"/>
      <c r="L175" s="1390"/>
      <c r="M175" s="1390"/>
      <c r="O175" s="1390"/>
      <c r="P175" s="1390"/>
      <c r="R175" s="1390"/>
      <c r="S175" s="1390"/>
    </row>
    <row r="176" spans="1:19" x14ac:dyDescent="0.3">
      <c r="A176" s="1389" t="s">
        <v>534</v>
      </c>
      <c r="B176" s="1390">
        <v>0</v>
      </c>
      <c r="C176" s="1390">
        <v>0</v>
      </c>
      <c r="F176" s="1390">
        <f>_xlfn.XLOOKUP($A176,'TB FORMATTED'!$M:$M,'TB FORMATTED'!N:N,0,0,1)-_xlfn.XLOOKUP($A176,'TB FORMATTED'!$M:$M,'TB FORMATTED'!O:O,0,0,1)</f>
        <v>0</v>
      </c>
      <c r="G176" s="1390">
        <f>_xlfn.XLOOKUP($A176,'TB FORMATTED'!$M:$M,'TB FORMATTED'!P:P,0,0,1)-_xlfn.XLOOKUP($A176,'TB FORMATTED'!$M:$M,'TB FORMATTED'!Q:Q,0,0,1)</f>
        <v>0</v>
      </c>
      <c r="I176" s="1390"/>
      <c r="J176" s="1390"/>
      <c r="L176" s="1390"/>
      <c r="M176" s="1390"/>
      <c r="O176" s="1390"/>
      <c r="P176" s="1390"/>
      <c r="R176" s="1390"/>
      <c r="S176" s="1390"/>
    </row>
    <row r="177" spans="1:19" x14ac:dyDescent="0.3">
      <c r="A177" s="1389" t="s">
        <v>712</v>
      </c>
      <c r="B177" s="1390">
        <v>0</v>
      </c>
      <c r="C177" s="1390">
        <v>0</v>
      </c>
      <c r="F177" s="1390">
        <f>_xlfn.XLOOKUP($A177,'TB FORMATTED'!$M:$M,'TB FORMATTED'!N:N,0,0,1)-_xlfn.XLOOKUP($A177,'TB FORMATTED'!$M:$M,'TB FORMATTED'!O:O,0,0,1)</f>
        <v>0</v>
      </c>
      <c r="G177" s="1390">
        <f>_xlfn.XLOOKUP($A177,'TB FORMATTED'!$M:$M,'TB FORMATTED'!P:P,0,0,1)-_xlfn.XLOOKUP($A177,'TB FORMATTED'!$M:$M,'TB FORMATTED'!Q:Q,0,0,1)</f>
        <v>0</v>
      </c>
      <c r="I177" s="1390"/>
      <c r="J177" s="1390"/>
      <c r="L177" s="1390"/>
      <c r="M177" s="1390"/>
      <c r="O177" s="1390"/>
      <c r="P177" s="1390"/>
      <c r="R177" s="1390"/>
      <c r="S177" s="1390"/>
    </row>
    <row r="178" spans="1:19" x14ac:dyDescent="0.3">
      <c r="A178" s="1389" t="s">
        <v>713</v>
      </c>
      <c r="B178" s="1390">
        <v>0</v>
      </c>
      <c r="C178" s="1390">
        <v>0</v>
      </c>
      <c r="F178" s="1390">
        <f>_xlfn.XLOOKUP($A178,'TB FORMATTED'!$M:$M,'TB FORMATTED'!N:N,0,0,1)-_xlfn.XLOOKUP($A178,'TB FORMATTED'!$M:$M,'TB FORMATTED'!O:O,0,0,1)</f>
        <v>0</v>
      </c>
      <c r="G178" s="1390">
        <f>_xlfn.XLOOKUP($A178,'TB FORMATTED'!$M:$M,'TB FORMATTED'!P:P,0,0,1)-_xlfn.XLOOKUP($A178,'TB FORMATTED'!$M:$M,'TB FORMATTED'!Q:Q,0,0,1)</f>
        <v>0</v>
      </c>
      <c r="I178" s="1390"/>
      <c r="J178" s="1390"/>
      <c r="L178" s="1390"/>
      <c r="M178" s="1390"/>
      <c r="O178" s="1390"/>
      <c r="P178" s="1390"/>
      <c r="R178" s="1390"/>
      <c r="S178" s="1390"/>
    </row>
    <row r="179" spans="1:19" x14ac:dyDescent="0.3">
      <c r="A179" s="1389" t="s">
        <v>744</v>
      </c>
      <c r="B179" s="1390">
        <v>0</v>
      </c>
      <c r="C179" s="1390">
        <v>0</v>
      </c>
      <c r="F179" s="1390">
        <f>_xlfn.XLOOKUP($A179,'TB FORMATTED'!$M:$M,'TB FORMATTED'!N:N,0,0,1)-_xlfn.XLOOKUP($A179,'TB FORMATTED'!$M:$M,'TB FORMATTED'!O:O,0,0,1)</f>
        <v>0</v>
      </c>
      <c r="G179" s="1390">
        <f>_xlfn.XLOOKUP($A179,'TB FORMATTED'!$M:$M,'TB FORMATTED'!P:P,0,0,1)-_xlfn.XLOOKUP($A179,'TB FORMATTED'!$M:$M,'TB FORMATTED'!Q:Q,0,0,1)</f>
        <v>0</v>
      </c>
      <c r="I179" s="1390"/>
      <c r="J179" s="1390"/>
      <c r="L179" s="1390"/>
      <c r="M179" s="1390"/>
      <c r="O179" s="1390"/>
      <c r="P179" s="1390"/>
      <c r="R179" s="1390"/>
      <c r="S179" s="1390"/>
    </row>
    <row r="180" spans="1:19" x14ac:dyDescent="0.3">
      <c r="A180" s="1389" t="s">
        <v>2167</v>
      </c>
      <c r="B180" s="1390">
        <v>31956.79</v>
      </c>
      <c r="C180" s="1390">
        <v>0</v>
      </c>
      <c r="F180" s="1390">
        <f>_xlfn.XLOOKUP($A180,'TB FORMATTED'!$M:$M,'TB FORMATTED'!N:N,0,0,1)-_xlfn.XLOOKUP($A180,'TB FORMATTED'!$M:$M,'TB FORMATTED'!O:O,0,0,1)</f>
        <v>18105.07</v>
      </c>
      <c r="G180" s="1390">
        <f>_xlfn.XLOOKUP($A180,'TB FORMATTED'!$M:$M,'TB FORMATTED'!P:P,0,0,1)-_xlfn.XLOOKUP($A180,'TB FORMATTED'!$M:$M,'TB FORMATTED'!Q:Q,0,0,1)</f>
        <v>0</v>
      </c>
      <c r="I180" s="1390"/>
      <c r="J180" s="1390"/>
      <c r="L180" s="1390"/>
      <c r="M180" s="1390"/>
      <c r="O180" s="1390"/>
      <c r="P180" s="1390"/>
      <c r="R180" s="1390"/>
      <c r="S180" s="1390"/>
    </row>
    <row r="181" spans="1:19" x14ac:dyDescent="0.3">
      <c r="A181" s="1389" t="s">
        <v>2168</v>
      </c>
      <c r="B181" s="1390">
        <v>0</v>
      </c>
      <c r="C181" s="1390">
        <v>0</v>
      </c>
      <c r="F181" s="1390">
        <f>_xlfn.XLOOKUP($A181,'TB FORMATTED'!$M:$M,'TB FORMATTED'!N:N,0,0,1)-_xlfn.XLOOKUP($A181,'TB FORMATTED'!$M:$M,'TB FORMATTED'!O:O,0,0,1)</f>
        <v>0</v>
      </c>
      <c r="G181" s="1390">
        <f>_xlfn.XLOOKUP($A181,'TB FORMATTED'!$M:$M,'TB FORMATTED'!P:P,0,0,1)-_xlfn.XLOOKUP($A181,'TB FORMATTED'!$M:$M,'TB FORMATTED'!Q:Q,0,0,1)</f>
        <v>0</v>
      </c>
      <c r="I181" s="1390"/>
      <c r="J181" s="1390"/>
      <c r="L181" s="1390"/>
      <c r="M181" s="1390"/>
      <c r="O181" s="1390"/>
      <c r="P181" s="1390"/>
      <c r="R181" s="1390"/>
      <c r="S181" s="1390"/>
    </row>
    <row r="182" spans="1:19" x14ac:dyDescent="0.3">
      <c r="A182" s="1389" t="s">
        <v>2278</v>
      </c>
      <c r="B182" s="1390"/>
      <c r="C182" s="1390"/>
      <c r="F182" s="1390">
        <f>_xlfn.XLOOKUP($A182,'TB FORMATTED'!$M:$M,'TB FORMATTED'!N:N,0,0,1)-_xlfn.XLOOKUP($A182,'TB FORMATTED'!$M:$M,'TB FORMATTED'!O:O,0,0,1)</f>
        <v>0</v>
      </c>
      <c r="G182" s="1390">
        <f>_xlfn.XLOOKUP($A182,'TB FORMATTED'!$M:$M,'TB FORMATTED'!P:P,0,0,1)-_xlfn.XLOOKUP($A182,'TB FORMATTED'!$M:$M,'TB FORMATTED'!Q:Q,0,0,1)</f>
        <v>314091</v>
      </c>
      <c r="I182" s="1390"/>
      <c r="J182" s="1390"/>
      <c r="L182" s="1390"/>
      <c r="M182" s="1390"/>
      <c r="O182" s="1390"/>
      <c r="P182" s="1390"/>
      <c r="R182" s="1390"/>
      <c r="S182" s="1390"/>
    </row>
  </sheetData>
  <conditionalFormatting sqref="A5:A182">
    <cfRule type="duplicateValues" dxfId="8" priority="2"/>
  </conditionalFormatting>
  <conditionalFormatting sqref="A210:A211 A213:A227 A229:A249 A251:A1048576 A200:A208 A1:A193">
    <cfRule type="duplicateValues" dxfId="7" priority="99"/>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CFE4-51CF-4FCD-9EC5-6FD85254DD81}">
  <sheetPr filterMode="1">
    <tabColor theme="7" tint="0.59999389629810485"/>
  </sheetPr>
  <dimension ref="A1:J177"/>
  <sheetViews>
    <sheetView workbookViewId="0"/>
  </sheetViews>
  <sheetFormatPr defaultRowHeight="14.4" outlineLevelCol="1" x14ac:dyDescent="0.3"/>
  <cols>
    <col min="1" max="1" width="46.6640625" bestFit="1" customWidth="1"/>
    <col min="2" max="2" width="12.88671875" hidden="1" customWidth="1" outlineLevel="1"/>
    <col min="3" max="3" width="11.6640625" hidden="1" customWidth="1" outlineLevel="1"/>
    <col min="4" max="4" width="13.33203125" bestFit="1" customWidth="1" collapsed="1"/>
    <col min="5" max="5" width="4.33203125" customWidth="1"/>
    <col min="6" max="6" width="14.5546875" customWidth="1"/>
    <col min="7" max="7" width="10.88671875" bestFit="1" customWidth="1"/>
    <col min="8" max="8" width="10.33203125" bestFit="1" customWidth="1"/>
    <col min="10" max="10" width="12.88671875" bestFit="1" customWidth="1"/>
    <col min="11" max="11" width="13.109375" customWidth="1"/>
  </cols>
  <sheetData>
    <row r="1" spans="1:10" ht="17.399999999999999" x14ac:dyDescent="0.3">
      <c r="A1" s="412" t="s">
        <v>496</v>
      </c>
      <c r="F1" s="412" t="s">
        <v>642</v>
      </c>
    </row>
    <row r="2" spans="1:10" ht="17.399999999999999" x14ac:dyDescent="0.3">
      <c r="A2" s="412" t="s">
        <v>374</v>
      </c>
      <c r="D2" s="209" t="s">
        <v>507</v>
      </c>
      <c r="F2" s="412" t="s">
        <v>374</v>
      </c>
      <c r="H2" s="209" t="s">
        <v>507</v>
      </c>
    </row>
    <row r="3" spans="1:10" x14ac:dyDescent="0.3">
      <c r="A3" s="1455">
        <f>currentperiod_end_date</f>
        <v>45838</v>
      </c>
      <c r="C3" s="209"/>
      <c r="D3" s="1343">
        <f>SUM(D6:D198)</f>
        <v>-5.6024873629212379E-10</v>
      </c>
      <c r="F3" s="1455">
        <f>currentperiod_end_date</f>
        <v>45838</v>
      </c>
      <c r="G3" s="209"/>
      <c r="H3" s="1343">
        <f>SUM(H6:H198)</f>
        <v>1.4350121091410983E-10</v>
      </c>
    </row>
    <row r="5" spans="1:10" x14ac:dyDescent="0.3">
      <c r="A5" s="163"/>
      <c r="B5" s="646" t="s">
        <v>251</v>
      </c>
      <c r="C5" s="646" t="s">
        <v>252</v>
      </c>
      <c r="D5" s="414" t="s">
        <v>253</v>
      </c>
      <c r="F5" s="414" t="s">
        <v>251</v>
      </c>
      <c r="G5" s="414" t="s">
        <v>252</v>
      </c>
      <c r="H5" s="414" t="s">
        <v>253</v>
      </c>
    </row>
    <row r="6" spans="1:10" x14ac:dyDescent="0.3">
      <c r="A6" s="1036" t="str">
        <f>COA!B5</f>
        <v>1000 Chequing - 5002829</v>
      </c>
      <c r="B6" s="955">
        <f>_xlfn.XLOOKUP($A6,'TB FORMATTED'!$A:$A,'TB FORMATTED'!B:B,0,0,1)</f>
        <v>0</v>
      </c>
      <c r="C6" s="955">
        <f>_xlfn.XLOOKUP($A6,'TB FORMATTED'!$A:$A,'TB FORMATTED'!C:C,0,0,1)</f>
        <v>101.64</v>
      </c>
      <c r="D6" s="280">
        <f t="shared" ref="D6:D69" si="0">B6-C6</f>
        <v>-101.64</v>
      </c>
      <c r="F6" s="1340">
        <f>_xlfn.XLOOKUP($A6,'TB FORMATTED'!$A:$A,'TB FORMATTED'!D:D,0,0,1)</f>
        <v>0</v>
      </c>
      <c r="G6" s="1340">
        <f>_xlfn.XLOOKUP($A6,'TB FORMATTED'!$A:$A,'TB FORMATTED'!E:E,0,0,1)</f>
        <v>0</v>
      </c>
      <c r="H6" s="280">
        <f>F6-G6</f>
        <v>0</v>
      </c>
      <c r="I6" s="280"/>
      <c r="J6" s="280"/>
    </row>
    <row r="7" spans="1:10" hidden="1" x14ac:dyDescent="0.3">
      <c r="A7" s="1036" t="str">
        <f>COA!B6</f>
        <v>1000 Undeposited Funds</v>
      </c>
      <c r="B7" s="955">
        <f>_xlfn.XLOOKUP($A7,'TB FORMATTED'!$A:$A,'TB FORMATTED'!B:B,0,0,1)</f>
        <v>0</v>
      </c>
      <c r="C7" s="955">
        <f>_xlfn.XLOOKUP($A7,'TB FORMATTED'!$A:$A,'TB FORMATTED'!C:C,0,0,1)</f>
        <v>0</v>
      </c>
      <c r="D7" s="280">
        <f t="shared" si="0"/>
        <v>0</v>
      </c>
      <c r="F7" s="1340">
        <f>_xlfn.XLOOKUP($A7,'TB FORMATTED'!$A:$A,'TB FORMATTED'!D:D,0,0,1)</f>
        <v>0</v>
      </c>
      <c r="G7" s="1340">
        <f>_xlfn.XLOOKUP($A7,'TB FORMATTED'!$A:$A,'TB FORMATTED'!E:E,0,0,1)</f>
        <v>0</v>
      </c>
      <c r="H7" s="280">
        <f t="shared" ref="H7:H70" si="1">F7-G7</f>
        <v>0</v>
      </c>
      <c r="I7" s="280"/>
      <c r="J7" s="280"/>
    </row>
    <row r="8" spans="1:10" hidden="1" x14ac:dyDescent="0.3">
      <c r="A8" s="1036" t="str">
        <f>COA!B7</f>
        <v>1001 Petty Cash</v>
      </c>
      <c r="B8" s="955">
        <f>_xlfn.XLOOKUP($A8,'TB FORMATTED'!$A:$A,'TB FORMATTED'!B:B,0,0,1)</f>
        <v>0</v>
      </c>
      <c r="C8" s="955">
        <f>_xlfn.XLOOKUP($A8,'TB FORMATTED'!$A:$A,'TB FORMATTED'!C:C,0,0,1)</f>
        <v>0</v>
      </c>
      <c r="D8" s="280">
        <f t="shared" si="0"/>
        <v>0</v>
      </c>
      <c r="F8" s="1340">
        <f>_xlfn.XLOOKUP($A8,'TB FORMATTED'!$A:$A,'TB FORMATTED'!D:D,0,0,1)</f>
        <v>198</v>
      </c>
      <c r="G8" s="1340">
        <f>_xlfn.XLOOKUP($A8,'TB FORMATTED'!$A:$A,'TB FORMATTED'!E:E,0,0,1)</f>
        <v>0</v>
      </c>
      <c r="H8" s="280">
        <f t="shared" si="1"/>
        <v>198</v>
      </c>
      <c r="I8" s="280"/>
      <c r="J8" s="280"/>
    </row>
    <row r="9" spans="1:10" hidden="1" x14ac:dyDescent="0.3">
      <c r="A9" s="1036" t="str">
        <f>COA!B8</f>
        <v>1002 TD - Chequing 1869</v>
      </c>
      <c r="B9" s="955">
        <f>_xlfn.XLOOKUP($A9,'TB FORMATTED'!$A:$A,'TB FORMATTED'!B:B,0,0,1)</f>
        <v>0</v>
      </c>
      <c r="C9" s="955">
        <f>_xlfn.XLOOKUP($A9,'TB FORMATTED'!$A:$A,'TB FORMATTED'!C:C,0,0,1)</f>
        <v>0</v>
      </c>
      <c r="D9" s="280">
        <f t="shared" si="0"/>
        <v>0</v>
      </c>
      <c r="F9" s="1340">
        <f>_xlfn.XLOOKUP($A9,'TB FORMATTED'!$A:$A,'TB FORMATTED'!D:D,0,0,1)</f>
        <v>52.7</v>
      </c>
      <c r="G9" s="1340">
        <f>_xlfn.XLOOKUP($A9,'TB FORMATTED'!$A:$A,'TB FORMATTED'!E:E,0,0,1)</f>
        <v>0</v>
      </c>
      <c r="H9" s="280">
        <f t="shared" si="1"/>
        <v>52.7</v>
      </c>
      <c r="I9" s="280"/>
      <c r="J9" s="280"/>
    </row>
    <row r="10" spans="1:10" hidden="1" x14ac:dyDescent="0.3">
      <c r="A10" s="1036" t="str">
        <f>COA!B9</f>
        <v>1003 TD - Savings 2407</v>
      </c>
      <c r="B10" s="955">
        <f>_xlfn.XLOOKUP($A10,'TB FORMATTED'!$A:$A,'TB FORMATTED'!B:B,0,0,1)</f>
        <v>0</v>
      </c>
      <c r="C10" s="955">
        <f>_xlfn.XLOOKUP($A10,'TB FORMATTED'!$A:$A,'TB FORMATTED'!C:C,0,0,1)</f>
        <v>0</v>
      </c>
      <c r="D10" s="280">
        <f t="shared" si="0"/>
        <v>0</v>
      </c>
      <c r="F10" s="1340">
        <f>_xlfn.XLOOKUP($A10,'TB FORMATTED'!$A:$A,'TB FORMATTED'!D:D,0,0,1)</f>
        <v>0.03</v>
      </c>
      <c r="G10" s="1340">
        <f>_xlfn.XLOOKUP($A10,'TB FORMATTED'!$A:$A,'TB FORMATTED'!E:E,0,0,1)</f>
        <v>0</v>
      </c>
      <c r="H10" s="280">
        <f t="shared" si="1"/>
        <v>0.03</v>
      </c>
      <c r="I10" s="280"/>
      <c r="J10" s="280"/>
    </row>
    <row r="11" spans="1:10" hidden="1" x14ac:dyDescent="0.3">
      <c r="A11" s="1036" t="str">
        <f>COA!B10</f>
        <v>1004 TD - Visa 7692</v>
      </c>
      <c r="B11" s="955">
        <f>_xlfn.XLOOKUP($A11,'TB FORMATTED'!$A:$A,'TB FORMATTED'!B:B,0,0,1)</f>
        <v>0</v>
      </c>
      <c r="C11" s="955">
        <f>_xlfn.XLOOKUP($A11,'TB FORMATTED'!$A:$A,'TB FORMATTED'!C:C,0,0,1)</f>
        <v>0</v>
      </c>
      <c r="D11" s="280">
        <f t="shared" si="0"/>
        <v>0</v>
      </c>
      <c r="F11" s="1340">
        <f>_xlfn.XLOOKUP($A11,'TB FORMATTED'!$A:$A,'TB FORMATTED'!D:D,0,0,1)</f>
        <v>0</v>
      </c>
      <c r="G11" s="1340">
        <f>_xlfn.XLOOKUP($A11,'TB FORMATTED'!$A:$A,'TB FORMATTED'!E:E,0,0,1)</f>
        <v>7199.51</v>
      </c>
      <c r="H11" s="280">
        <f t="shared" si="1"/>
        <v>-7199.51</v>
      </c>
      <c r="I11" s="280"/>
      <c r="J11" s="280"/>
    </row>
    <row r="12" spans="1:10" hidden="1" x14ac:dyDescent="0.3">
      <c r="A12" s="1036" t="str">
        <f>COA!B11</f>
        <v>1005 Undeposited Funds</v>
      </c>
      <c r="B12" s="955">
        <f>_xlfn.XLOOKUP($A12,'TB FORMATTED'!$A:$A,'TB FORMATTED'!B:B,0,0,1)</f>
        <v>0</v>
      </c>
      <c r="C12" s="955">
        <f>_xlfn.XLOOKUP($A12,'TB FORMATTED'!$A:$A,'TB FORMATTED'!C:C,0,0,1)</f>
        <v>0</v>
      </c>
      <c r="D12" s="280">
        <f t="shared" si="0"/>
        <v>0</v>
      </c>
      <c r="F12" s="1340">
        <f>_xlfn.XLOOKUP($A12,'TB FORMATTED'!$A:$A,'TB FORMATTED'!D:D,0,0,1)</f>
        <v>0</v>
      </c>
      <c r="G12" s="1340">
        <f>_xlfn.XLOOKUP($A12,'TB FORMATTED'!$A:$A,'TB FORMATTED'!E:E,0,0,1)</f>
        <v>0</v>
      </c>
      <c r="H12" s="280">
        <f t="shared" si="1"/>
        <v>0</v>
      </c>
      <c r="I12" s="280"/>
      <c r="J12" s="280"/>
    </row>
    <row r="13" spans="1:10" hidden="1" x14ac:dyDescent="0.3">
      <c r="A13" s="1036" t="str">
        <f>COA!B12</f>
        <v>1005 Interior Savings - 5224</v>
      </c>
      <c r="B13" s="955">
        <f>_xlfn.XLOOKUP($A13,'TB FORMATTED'!$A:$A,'TB FORMATTED'!B:B,0,0,1)</f>
        <v>0</v>
      </c>
      <c r="C13" s="955">
        <f>_xlfn.XLOOKUP($A13,'TB FORMATTED'!$A:$A,'TB FORMATTED'!C:C,0,0,1)</f>
        <v>0</v>
      </c>
      <c r="D13" s="280">
        <f t="shared" si="0"/>
        <v>0</v>
      </c>
      <c r="F13" s="1340">
        <f>_xlfn.XLOOKUP($A13,'TB FORMATTED'!$A:$A,'TB FORMATTED'!D:D,0,0,1)</f>
        <v>242.6</v>
      </c>
      <c r="G13" s="1340">
        <f>_xlfn.XLOOKUP($A13,'TB FORMATTED'!$A:$A,'TB FORMATTED'!E:E,0,0,1)</f>
        <v>0</v>
      </c>
      <c r="H13" s="280">
        <f t="shared" si="1"/>
        <v>242.6</v>
      </c>
      <c r="I13" s="280"/>
      <c r="J13" s="280"/>
    </row>
    <row r="14" spans="1:10" hidden="1" x14ac:dyDescent="0.3">
      <c r="A14" s="1036" t="str">
        <f>COA!B13</f>
        <v>1006 Interior Savings - Member Shares 5182</v>
      </c>
      <c r="B14" s="955">
        <f>_xlfn.XLOOKUP($A14,'TB FORMATTED'!$A:$A,'TB FORMATTED'!B:B,0,0,1)</f>
        <v>0</v>
      </c>
      <c r="C14" s="955">
        <f>_xlfn.XLOOKUP($A14,'TB FORMATTED'!$A:$A,'TB FORMATTED'!C:C,0,0,1)</f>
        <v>0</v>
      </c>
      <c r="D14" s="280">
        <f t="shared" si="0"/>
        <v>0</v>
      </c>
      <c r="F14" s="1340">
        <f>_xlfn.XLOOKUP($A14,'TB FORMATTED'!$A:$A,'TB FORMATTED'!D:D,0,0,1)</f>
        <v>6.04</v>
      </c>
      <c r="G14" s="1340">
        <f>_xlfn.XLOOKUP($A14,'TB FORMATTED'!$A:$A,'TB FORMATTED'!E:E,0,0,1)</f>
        <v>0</v>
      </c>
      <c r="H14" s="280">
        <f t="shared" si="1"/>
        <v>6.04</v>
      </c>
      <c r="I14" s="280"/>
      <c r="J14" s="280"/>
    </row>
    <row r="15" spans="1:10" hidden="1" x14ac:dyDescent="0.3">
      <c r="A15" s="1036" t="str">
        <f>COA!B14</f>
        <v>1010 Bank - suspense</v>
      </c>
      <c r="B15" s="955">
        <f>_xlfn.XLOOKUP($A15,'TB FORMATTED'!$A:$A,'TB FORMATTED'!B:B,0,0,1)</f>
        <v>0</v>
      </c>
      <c r="C15" s="955">
        <f>_xlfn.XLOOKUP($A15,'TB FORMATTED'!$A:$A,'TB FORMATTED'!C:C,0,0,1)</f>
        <v>0</v>
      </c>
      <c r="D15" s="280">
        <f t="shared" si="0"/>
        <v>0</v>
      </c>
      <c r="F15" s="1340">
        <f>_xlfn.XLOOKUP($A15,'TB FORMATTED'!$A:$A,'TB FORMATTED'!D:D,0,0,1)</f>
        <v>0</v>
      </c>
      <c r="G15" s="1340">
        <f>_xlfn.XLOOKUP($A15,'TB FORMATTED'!$A:$A,'TB FORMATTED'!E:E,0,0,1)</f>
        <v>5.5</v>
      </c>
      <c r="H15" s="280">
        <f t="shared" si="1"/>
        <v>-5.5</v>
      </c>
      <c r="I15" s="280"/>
      <c r="J15" s="280"/>
    </row>
    <row r="16" spans="1:10" hidden="1" x14ac:dyDescent="0.3">
      <c r="A16" s="1036" t="str">
        <f>COA!B15</f>
        <v>1100 Accounts Receivable (A/R)</v>
      </c>
      <c r="B16" s="955">
        <f>_xlfn.XLOOKUP($A16,'TB FORMATTED'!$A:$A,'TB FORMATTED'!B:B,0,0,1)</f>
        <v>0</v>
      </c>
      <c r="C16" s="955">
        <f>_xlfn.XLOOKUP($A16,'TB FORMATTED'!$A:$A,'TB FORMATTED'!C:C,0,0,1)</f>
        <v>0</v>
      </c>
      <c r="D16" s="280">
        <f t="shared" si="0"/>
        <v>0</v>
      </c>
      <c r="F16" s="1340">
        <f>_xlfn.XLOOKUP($A16,'TB FORMATTED'!$A:$A,'TB FORMATTED'!D:D,0,0,1)</f>
        <v>0</v>
      </c>
      <c r="G16" s="1340">
        <f>_xlfn.XLOOKUP($A16,'TB FORMATTED'!$A:$A,'TB FORMATTED'!E:E,0,0,1)</f>
        <v>0</v>
      </c>
      <c r="H16" s="280">
        <f t="shared" si="1"/>
        <v>0</v>
      </c>
      <c r="I16" s="280"/>
      <c r="J16" s="280"/>
    </row>
    <row r="17" spans="1:10" hidden="1" x14ac:dyDescent="0.3">
      <c r="A17" s="1036" t="str">
        <f>COA!B16</f>
        <v>1100 Accounts Receivable</v>
      </c>
      <c r="B17" s="955">
        <f>_xlfn.XLOOKUP($A17,'TB FORMATTED'!$A:$A,'TB FORMATTED'!B:B,0,0,1)</f>
        <v>0</v>
      </c>
      <c r="C17" s="955">
        <f>_xlfn.XLOOKUP($A17,'TB FORMATTED'!$A:$A,'TB FORMATTED'!C:C,0,0,1)</f>
        <v>0</v>
      </c>
      <c r="D17" s="280">
        <f t="shared" si="0"/>
        <v>0</v>
      </c>
      <c r="F17" s="1340">
        <f>_xlfn.XLOOKUP($A17,'TB FORMATTED'!$A:$A,'TB FORMATTED'!D:D,0,0,1)</f>
        <v>0</v>
      </c>
      <c r="G17" s="1340">
        <f>_xlfn.XLOOKUP($A17,'TB FORMATTED'!$A:$A,'TB FORMATTED'!E:E,0,0,1)</f>
        <v>0</v>
      </c>
      <c r="H17" s="280">
        <f t="shared" si="1"/>
        <v>0</v>
      </c>
      <c r="I17" s="280"/>
      <c r="J17" s="280"/>
    </row>
    <row r="18" spans="1:10" hidden="1" x14ac:dyDescent="0.3">
      <c r="A18" s="1036" t="str">
        <f>COA!B17</f>
        <v>1120 Work in progress inventory</v>
      </c>
      <c r="B18" s="955">
        <f>_xlfn.XLOOKUP($A18,'TB FORMATTED'!$A:$A,'TB FORMATTED'!B:B,0,0,1)</f>
        <v>0</v>
      </c>
      <c r="C18" s="955">
        <f>_xlfn.XLOOKUP($A18,'TB FORMATTED'!$A:$A,'TB FORMATTED'!C:C,0,0,1)</f>
        <v>0</v>
      </c>
      <c r="D18" s="280">
        <f t="shared" si="0"/>
        <v>0</v>
      </c>
      <c r="F18" s="1340">
        <f>_xlfn.XLOOKUP($A18,'TB FORMATTED'!$A:$A,'TB FORMATTED'!D:D,0,0,1)</f>
        <v>161256.15</v>
      </c>
      <c r="G18" s="1340">
        <f>_xlfn.XLOOKUP($A18,'TB FORMATTED'!$A:$A,'TB FORMATTED'!E:E,0,0,1)</f>
        <v>0</v>
      </c>
      <c r="H18" s="280">
        <f t="shared" si="1"/>
        <v>161256.15</v>
      </c>
      <c r="I18" s="280"/>
      <c r="J18" s="280"/>
    </row>
    <row r="19" spans="1:10" hidden="1" x14ac:dyDescent="0.3">
      <c r="A19" s="1036" t="str">
        <f>COA!B18</f>
        <v>1020 Prepaid expenses</v>
      </c>
      <c r="B19" s="955">
        <f>_xlfn.XLOOKUP($A19,'TB FORMATTED'!$A:$A,'TB FORMATTED'!B:B,0,0,1)</f>
        <v>0</v>
      </c>
      <c r="C19" s="955">
        <f>_xlfn.XLOOKUP($A19,'TB FORMATTED'!$A:$A,'TB FORMATTED'!C:C,0,0,1)</f>
        <v>0</v>
      </c>
      <c r="D19" s="280">
        <f t="shared" si="0"/>
        <v>0</v>
      </c>
      <c r="F19" s="1340">
        <f>_xlfn.XLOOKUP($A19,'TB FORMATTED'!$A:$A,'TB FORMATTED'!D:D,0,0,1)</f>
        <v>0</v>
      </c>
      <c r="G19" s="1340">
        <f>_xlfn.XLOOKUP($A19,'TB FORMATTED'!$A:$A,'TB FORMATTED'!E:E,0,0,1)</f>
        <v>0</v>
      </c>
      <c r="H19" s="280">
        <f t="shared" si="1"/>
        <v>0</v>
      </c>
      <c r="I19" s="280"/>
      <c r="J19" s="280"/>
    </row>
    <row r="20" spans="1:10" hidden="1" x14ac:dyDescent="0.3">
      <c r="A20" s="1036" t="str">
        <f>COA!B19</f>
        <v>1200 Prepaid expenses</v>
      </c>
      <c r="B20" s="955">
        <f>_xlfn.XLOOKUP($A20,'TB FORMATTED'!$A:$A,'TB FORMATTED'!B:B,0,0,1)</f>
        <v>0</v>
      </c>
      <c r="C20" s="955">
        <f>_xlfn.XLOOKUP($A20,'TB FORMATTED'!$A:$A,'TB FORMATTED'!C:C,0,0,1)</f>
        <v>0</v>
      </c>
      <c r="D20" s="280">
        <f t="shared" si="0"/>
        <v>0</v>
      </c>
      <c r="F20" s="1340">
        <f>_xlfn.XLOOKUP($A20,'TB FORMATTED'!$A:$A,'TB FORMATTED'!D:D,0,0,1)</f>
        <v>0</v>
      </c>
      <c r="G20" s="1340">
        <f>_xlfn.XLOOKUP($A20,'TB FORMATTED'!$A:$A,'TB FORMATTED'!E:E,0,0,1)</f>
        <v>0</v>
      </c>
      <c r="H20" s="280">
        <f t="shared" si="1"/>
        <v>0</v>
      </c>
      <c r="I20" s="280"/>
      <c r="J20" s="280"/>
    </row>
    <row r="21" spans="1:10" x14ac:dyDescent="0.3">
      <c r="A21" s="1036" t="str">
        <f>COA!B20</f>
        <v>1300 Current portion of loan receivable</v>
      </c>
      <c r="B21" s="955">
        <f>_xlfn.XLOOKUP($A21,'TB FORMATTED'!$A:$A,'TB FORMATTED'!B:B,0,0,1)</f>
        <v>556400</v>
      </c>
      <c r="C21" s="955">
        <f>_xlfn.XLOOKUP($A21,'TB FORMATTED'!$A:$A,'TB FORMATTED'!C:C,0,0,1)</f>
        <v>0</v>
      </c>
      <c r="D21" s="280">
        <f t="shared" si="0"/>
        <v>556400</v>
      </c>
      <c r="F21" s="1340">
        <f>_xlfn.XLOOKUP($A21,'TB FORMATTED'!$A:$A,'TB FORMATTED'!D:D,0,0,1)</f>
        <v>0</v>
      </c>
      <c r="G21" s="1340">
        <f>_xlfn.XLOOKUP($A21,'TB FORMATTED'!$A:$A,'TB FORMATTED'!E:E,0,0,1)</f>
        <v>0</v>
      </c>
      <c r="H21" s="280">
        <f t="shared" si="1"/>
        <v>0</v>
      </c>
      <c r="I21" s="280"/>
      <c r="J21" s="280"/>
    </row>
    <row r="22" spans="1:10" hidden="1" x14ac:dyDescent="0.3">
      <c r="A22" s="1036" t="str">
        <f>COA!B21</f>
        <v>1400 Other current assets</v>
      </c>
      <c r="B22" s="955">
        <f>_xlfn.XLOOKUP($A22,'TB FORMATTED'!$A:$A,'TB FORMATTED'!B:B,0,0,1)</f>
        <v>0</v>
      </c>
      <c r="C22" s="955">
        <f>_xlfn.XLOOKUP($A22,'TB FORMATTED'!$A:$A,'TB FORMATTED'!C:C,0,0,1)</f>
        <v>0</v>
      </c>
      <c r="D22" s="280">
        <f t="shared" si="0"/>
        <v>0</v>
      </c>
      <c r="F22" s="1340">
        <f>_xlfn.XLOOKUP($A22,'TB FORMATTED'!$A:$A,'TB FORMATTED'!D:D,0,0,1)</f>
        <v>0</v>
      </c>
      <c r="G22" s="1340">
        <f>_xlfn.XLOOKUP($A22,'TB FORMATTED'!$A:$A,'TB FORMATTED'!E:E,0,0,1)</f>
        <v>0</v>
      </c>
      <c r="H22" s="280">
        <f t="shared" si="1"/>
        <v>0</v>
      </c>
      <c r="I22" s="280"/>
      <c r="J22" s="280"/>
    </row>
    <row r="23" spans="1:10" x14ac:dyDescent="0.3">
      <c r="A23" s="1036" t="str">
        <f>COA!B22</f>
        <v>1420 Intangible assets</v>
      </c>
      <c r="B23" s="955">
        <f>_xlfn.XLOOKUP($A23,'TB FORMATTED'!$A:$A,'TB FORMATTED'!B:B,0,0,1)</f>
        <v>450000</v>
      </c>
      <c r="C23" s="955">
        <f>_xlfn.XLOOKUP($A23,'TB FORMATTED'!$A:$A,'TB FORMATTED'!C:C,0,0,1)</f>
        <v>0</v>
      </c>
      <c r="D23" s="280">
        <f t="shared" si="0"/>
        <v>450000</v>
      </c>
      <c r="F23" s="1340">
        <f>_xlfn.XLOOKUP($A23,'TB FORMATTED'!$A:$A,'TB FORMATTED'!D:D,0,0,1)</f>
        <v>0</v>
      </c>
      <c r="G23" s="1340">
        <f>_xlfn.XLOOKUP($A23,'TB FORMATTED'!$A:$A,'TB FORMATTED'!E:E,0,0,1)</f>
        <v>0</v>
      </c>
      <c r="H23" s="280">
        <f t="shared" si="1"/>
        <v>0</v>
      </c>
      <c r="I23" s="280"/>
      <c r="J23" s="280"/>
    </row>
    <row r="24" spans="1:10" hidden="1" x14ac:dyDescent="0.3">
      <c r="A24" s="1036" t="str">
        <f>COA!B23</f>
        <v>1421 Accumulated amortization</v>
      </c>
      <c r="B24" s="955">
        <f>_xlfn.XLOOKUP($A24,'TB FORMATTED'!$A:$A,'TB FORMATTED'!B:B,0,0,1)</f>
        <v>0</v>
      </c>
      <c r="C24" s="955">
        <f>_xlfn.XLOOKUP($A24,'TB FORMATTED'!$A:$A,'TB FORMATTED'!C:C,0,0,1)</f>
        <v>0</v>
      </c>
      <c r="D24" s="280">
        <f t="shared" si="0"/>
        <v>0</v>
      </c>
      <c r="F24" s="1340">
        <f>_xlfn.XLOOKUP($A24,'TB FORMATTED'!$A:$A,'TB FORMATTED'!D:D,0,0,1)</f>
        <v>0</v>
      </c>
      <c r="G24" s="1340">
        <f>_xlfn.XLOOKUP($A24,'TB FORMATTED'!$A:$A,'TB FORMATTED'!E:E,0,0,1)</f>
        <v>0</v>
      </c>
      <c r="H24" s="280">
        <f t="shared" si="1"/>
        <v>0</v>
      </c>
      <c r="I24" s="280"/>
      <c r="J24" s="280"/>
    </row>
    <row r="25" spans="1:10" hidden="1" x14ac:dyDescent="0.3">
      <c r="A25" s="1036" t="str">
        <f>COA!B24</f>
        <v>1500 Payroll Advances Receivable</v>
      </c>
      <c r="B25" s="955">
        <f>_xlfn.XLOOKUP($A25,'TB FORMATTED'!$A:$A,'TB FORMATTED'!B:B,0,0,1)</f>
        <v>0</v>
      </c>
      <c r="C25" s="955">
        <f>_xlfn.XLOOKUP($A25,'TB FORMATTED'!$A:$A,'TB FORMATTED'!C:C,0,0,1)</f>
        <v>0</v>
      </c>
      <c r="D25" s="280">
        <f t="shared" si="0"/>
        <v>0</v>
      </c>
      <c r="F25" s="1340">
        <f>_xlfn.XLOOKUP($A25,'TB FORMATTED'!$A:$A,'TB FORMATTED'!D:D,0,0,1)</f>
        <v>0</v>
      </c>
      <c r="G25" s="1340">
        <f>_xlfn.XLOOKUP($A25,'TB FORMATTED'!$A:$A,'TB FORMATTED'!E:E,0,0,1)</f>
        <v>0</v>
      </c>
      <c r="H25" s="280">
        <f t="shared" si="1"/>
        <v>0</v>
      </c>
      <c r="I25" s="280"/>
      <c r="J25" s="280"/>
    </row>
    <row r="26" spans="1:10" x14ac:dyDescent="0.3">
      <c r="A26" s="1036" t="str">
        <f>COA!B25</f>
        <v>1500 Intercompany - Due from Hallor Industries Inc.</v>
      </c>
      <c r="B26" s="955">
        <f>_xlfn.XLOOKUP($A26,'TB FORMATTED'!$A:$A,'TB FORMATTED'!B:B,0,0,1)</f>
        <v>109064.08</v>
      </c>
      <c r="C26" s="955">
        <f>_xlfn.XLOOKUP($A26,'TB FORMATTED'!$A:$A,'TB FORMATTED'!C:C,0,0,1)</f>
        <v>0</v>
      </c>
      <c r="D26" s="280">
        <f t="shared" si="0"/>
        <v>109064.08</v>
      </c>
      <c r="F26" s="1340">
        <f>_xlfn.XLOOKUP($A26,'TB FORMATTED'!$A:$A,'TB FORMATTED'!D:D,0,0,1)</f>
        <v>0</v>
      </c>
      <c r="G26" s="1340">
        <f>_xlfn.XLOOKUP($A26,'TB FORMATTED'!$A:$A,'TB FORMATTED'!E:E,0,0,1)</f>
        <v>0</v>
      </c>
      <c r="H26" s="280">
        <f t="shared" si="1"/>
        <v>0</v>
      </c>
      <c r="I26" s="280"/>
      <c r="J26" s="280"/>
    </row>
    <row r="27" spans="1:10" x14ac:dyDescent="0.3">
      <c r="A27" s="1036" t="str">
        <f>COA!B26</f>
        <v>1600 Investment in Hallor Industries</v>
      </c>
      <c r="B27" s="955">
        <f>_xlfn.XLOOKUP($A27,'TB FORMATTED'!$A:$A,'TB FORMATTED'!B:B,0,0,1)</f>
        <v>6000000</v>
      </c>
      <c r="C27" s="955">
        <f>_xlfn.XLOOKUP($A27,'TB FORMATTED'!$A:$A,'TB FORMATTED'!C:C,0,0,1)</f>
        <v>0</v>
      </c>
      <c r="D27" s="280">
        <f t="shared" si="0"/>
        <v>6000000</v>
      </c>
      <c r="F27" s="1340">
        <f>_xlfn.XLOOKUP($A27,'TB FORMATTED'!$A:$A,'TB FORMATTED'!D:D,0,0,1)</f>
        <v>0</v>
      </c>
      <c r="G27" s="1340">
        <f>_xlfn.XLOOKUP($A27,'TB FORMATTED'!$A:$A,'TB FORMATTED'!E:E,0,0,1)</f>
        <v>0</v>
      </c>
      <c r="H27" s="280">
        <f t="shared" si="1"/>
        <v>0</v>
      </c>
      <c r="I27" s="280"/>
      <c r="J27" s="280"/>
    </row>
    <row r="28" spans="1:10" hidden="1" x14ac:dyDescent="0.3">
      <c r="A28" s="1036" t="str">
        <f>COA!B27</f>
        <v>1800 Computer Equipment</v>
      </c>
      <c r="B28" s="955">
        <f>_xlfn.XLOOKUP($A28,'TB FORMATTED'!$A:$A,'TB FORMATTED'!B:B,0,0,1)</f>
        <v>0</v>
      </c>
      <c r="C28" s="955">
        <f>_xlfn.XLOOKUP($A28,'TB FORMATTED'!$A:$A,'TB FORMATTED'!C:C,0,0,1)</f>
        <v>0</v>
      </c>
      <c r="D28" s="280">
        <f t="shared" si="0"/>
        <v>0</v>
      </c>
      <c r="F28" s="1340">
        <f>_xlfn.XLOOKUP($A28,'TB FORMATTED'!$A:$A,'TB FORMATTED'!D:D,0,0,1)</f>
        <v>0</v>
      </c>
      <c r="G28" s="1340">
        <f>_xlfn.XLOOKUP($A28,'TB FORMATTED'!$A:$A,'TB FORMATTED'!E:E,0,0,1)</f>
        <v>0</v>
      </c>
      <c r="H28" s="280">
        <f t="shared" si="1"/>
        <v>0</v>
      </c>
      <c r="I28" s="280"/>
      <c r="J28" s="280"/>
    </row>
    <row r="29" spans="1:10" hidden="1" x14ac:dyDescent="0.3">
      <c r="A29" s="1036" t="str">
        <f>COA!B28</f>
        <v>1801 Computer Equipment:Accumulated Depreciation</v>
      </c>
      <c r="B29" s="955">
        <f>_xlfn.XLOOKUP($A29,'TB FORMATTED'!$A:$A,'TB FORMATTED'!B:B,0,0,1)</f>
        <v>0</v>
      </c>
      <c r="C29" s="955">
        <f>_xlfn.XLOOKUP($A29,'TB FORMATTED'!$A:$A,'TB FORMATTED'!C:C,0,0,1)</f>
        <v>0</v>
      </c>
      <c r="D29" s="280">
        <f t="shared" si="0"/>
        <v>0</v>
      </c>
      <c r="F29" s="1340">
        <f>_xlfn.XLOOKUP($A29,'TB FORMATTED'!$A:$A,'TB FORMATTED'!D:D,0,0,1)</f>
        <v>0</v>
      </c>
      <c r="G29" s="1340">
        <f>_xlfn.XLOOKUP($A29,'TB FORMATTED'!$A:$A,'TB FORMATTED'!E:E,0,0,1)</f>
        <v>0</v>
      </c>
      <c r="H29" s="280">
        <f t="shared" si="1"/>
        <v>0</v>
      </c>
      <c r="I29" s="280"/>
      <c r="J29" s="280"/>
    </row>
    <row r="30" spans="1:10" hidden="1" x14ac:dyDescent="0.3">
      <c r="A30" s="1036" t="str">
        <f>COA!B29</f>
        <v>1810 Office Furniture</v>
      </c>
      <c r="B30" s="955">
        <f>_xlfn.XLOOKUP($A30,'TB FORMATTED'!$A:$A,'TB FORMATTED'!B:B,0,0,1)</f>
        <v>0</v>
      </c>
      <c r="C30" s="955">
        <f>_xlfn.XLOOKUP($A30,'TB FORMATTED'!$A:$A,'TB FORMATTED'!C:C,0,0,1)</f>
        <v>0</v>
      </c>
      <c r="D30" s="280">
        <f t="shared" si="0"/>
        <v>0</v>
      </c>
      <c r="F30" s="1340">
        <f>_xlfn.XLOOKUP($A30,'TB FORMATTED'!$A:$A,'TB FORMATTED'!D:D,0,0,1)</f>
        <v>0</v>
      </c>
      <c r="G30" s="1340">
        <f>_xlfn.XLOOKUP($A30,'TB FORMATTED'!$A:$A,'TB FORMATTED'!E:E,0,0,1)</f>
        <v>0</v>
      </c>
      <c r="H30" s="280">
        <f t="shared" si="1"/>
        <v>0</v>
      </c>
      <c r="I30" s="280"/>
      <c r="J30" s="280"/>
    </row>
    <row r="31" spans="1:10" hidden="1" x14ac:dyDescent="0.3">
      <c r="A31" s="1036" t="str">
        <f>COA!B30</f>
        <v>1811 Office Furniture:Accumulated Depreciation</v>
      </c>
      <c r="B31" s="955">
        <f>_xlfn.XLOOKUP($A31,'TB FORMATTED'!$A:$A,'TB FORMATTED'!B:B,0,0,1)</f>
        <v>0</v>
      </c>
      <c r="C31" s="955">
        <f>_xlfn.XLOOKUP($A31,'TB FORMATTED'!$A:$A,'TB FORMATTED'!C:C,0,0,1)</f>
        <v>0</v>
      </c>
      <c r="D31" s="280">
        <f t="shared" si="0"/>
        <v>0</v>
      </c>
      <c r="F31" s="1340">
        <f>_xlfn.XLOOKUP($A31,'TB FORMATTED'!$A:$A,'TB FORMATTED'!D:D,0,0,1)</f>
        <v>0</v>
      </c>
      <c r="G31" s="1340">
        <f>_xlfn.XLOOKUP($A31,'TB FORMATTED'!$A:$A,'TB FORMATTED'!E:E,0,0,1)</f>
        <v>0</v>
      </c>
      <c r="H31" s="280">
        <f t="shared" si="1"/>
        <v>0</v>
      </c>
      <c r="I31" s="280"/>
      <c r="J31" s="280"/>
    </row>
    <row r="32" spans="1:10" hidden="1" x14ac:dyDescent="0.3">
      <c r="A32" s="1036" t="str">
        <f>COA!B31</f>
        <v>1900 Shop Equipment</v>
      </c>
      <c r="B32" s="955">
        <f>_xlfn.XLOOKUP($A32,'TB FORMATTED'!$A:$A,'TB FORMATTED'!B:B,0,0,1)</f>
        <v>0</v>
      </c>
      <c r="C32" s="955">
        <f>_xlfn.XLOOKUP($A32,'TB FORMATTED'!$A:$A,'TB FORMATTED'!C:C,0,0,1)</f>
        <v>0</v>
      </c>
      <c r="D32" s="280">
        <f t="shared" si="0"/>
        <v>0</v>
      </c>
      <c r="F32" s="1340">
        <f>_xlfn.XLOOKUP($A32,'TB FORMATTED'!$A:$A,'TB FORMATTED'!D:D,0,0,1)</f>
        <v>6288.98</v>
      </c>
      <c r="G32" s="1340">
        <f>_xlfn.XLOOKUP($A32,'TB FORMATTED'!$A:$A,'TB FORMATTED'!E:E,0,0,1)</f>
        <v>0</v>
      </c>
      <c r="H32" s="280">
        <f t="shared" si="1"/>
        <v>6288.98</v>
      </c>
      <c r="I32" s="280"/>
      <c r="J32" s="280"/>
    </row>
    <row r="33" spans="1:10" hidden="1" x14ac:dyDescent="0.3">
      <c r="A33" s="1036" t="str">
        <f>COA!B32</f>
        <v>1901 Shop Equipment:Accum deprec - shop equipment</v>
      </c>
      <c r="B33" s="955">
        <f>_xlfn.XLOOKUP($A33,'TB FORMATTED'!$A:$A,'TB FORMATTED'!B:B,0,0,1)</f>
        <v>0</v>
      </c>
      <c r="C33" s="955">
        <f>_xlfn.XLOOKUP($A33,'TB FORMATTED'!$A:$A,'TB FORMATTED'!C:C,0,0,1)</f>
        <v>0</v>
      </c>
      <c r="D33" s="280">
        <f t="shared" si="0"/>
        <v>0</v>
      </c>
      <c r="F33" s="1340">
        <f>_xlfn.XLOOKUP($A33,'TB FORMATTED'!$A:$A,'TB FORMATTED'!D:D,0,0,1)</f>
        <v>0</v>
      </c>
      <c r="G33" s="1340">
        <f>_xlfn.XLOOKUP($A33,'TB FORMATTED'!$A:$A,'TB FORMATTED'!E:E,0,0,1)</f>
        <v>948.31</v>
      </c>
      <c r="H33" s="280">
        <f t="shared" si="1"/>
        <v>-948.31</v>
      </c>
      <c r="I33" s="280"/>
      <c r="J33" s="280"/>
    </row>
    <row r="34" spans="1:10" hidden="1" x14ac:dyDescent="0.3">
      <c r="A34" s="1036" t="str">
        <f>COA!B33</f>
        <v>1999 Uncategorized Asset</v>
      </c>
      <c r="B34" s="955">
        <f>_xlfn.XLOOKUP($A34,'TB FORMATTED'!$A:$A,'TB FORMATTED'!B:B,0,0,1)</f>
        <v>0</v>
      </c>
      <c r="C34" s="955">
        <f>_xlfn.XLOOKUP($A34,'TB FORMATTED'!$A:$A,'TB FORMATTED'!C:C,0,0,1)</f>
        <v>0</v>
      </c>
      <c r="D34" s="280">
        <f t="shared" si="0"/>
        <v>0</v>
      </c>
      <c r="F34" s="1340">
        <f>_xlfn.XLOOKUP($A34,'TB FORMATTED'!$A:$A,'TB FORMATTED'!D:D,0,0,1)</f>
        <v>0</v>
      </c>
      <c r="G34" s="1340">
        <f>_xlfn.XLOOKUP($A34,'TB FORMATTED'!$A:$A,'TB FORMATTED'!E:E,0,0,1)</f>
        <v>0</v>
      </c>
      <c r="H34" s="280">
        <f t="shared" si="1"/>
        <v>0</v>
      </c>
      <c r="I34" s="280"/>
      <c r="J34" s="280"/>
    </row>
    <row r="35" spans="1:10" x14ac:dyDescent="0.3">
      <c r="A35" s="1036" t="str">
        <f>COA!B34</f>
        <v>2000 Accounts Payable (A/P)</v>
      </c>
      <c r="B35" s="955">
        <f>_xlfn.XLOOKUP($A35,'TB FORMATTED'!$A:$A,'TB FORMATTED'!B:B,0,0,1)</f>
        <v>0</v>
      </c>
      <c r="C35" s="955">
        <f>_xlfn.XLOOKUP($A35,'TB FORMATTED'!$A:$A,'TB FORMATTED'!C:C,0,0,1)</f>
        <v>307036.95</v>
      </c>
      <c r="D35" s="280">
        <f t="shared" si="0"/>
        <v>-307036.95</v>
      </c>
      <c r="F35" s="1340">
        <f>_xlfn.XLOOKUP($A35,'TB FORMATTED'!$A:$A,'TB FORMATTED'!D:D,0,0,1)</f>
        <v>0</v>
      </c>
      <c r="G35" s="1340">
        <f>_xlfn.XLOOKUP($A35,'TB FORMATTED'!$A:$A,'TB FORMATTED'!E:E,0,0,1)</f>
        <v>0</v>
      </c>
      <c r="H35" s="280">
        <f t="shared" si="1"/>
        <v>0</v>
      </c>
      <c r="I35" s="280"/>
      <c r="J35" s="280"/>
    </row>
    <row r="36" spans="1:10" hidden="1" x14ac:dyDescent="0.3">
      <c r="A36" s="1036" t="str">
        <f>COA!B35</f>
        <v>2000 Accounts Payable</v>
      </c>
      <c r="B36" s="955">
        <f>_xlfn.XLOOKUP($A36,'TB FORMATTED'!$A:$A,'TB FORMATTED'!B:B,0,0,1)</f>
        <v>0</v>
      </c>
      <c r="C36" s="955">
        <f>_xlfn.XLOOKUP($A36,'TB FORMATTED'!$A:$A,'TB FORMATTED'!C:C,0,0,1)</f>
        <v>0</v>
      </c>
      <c r="D36" s="280">
        <f t="shared" si="0"/>
        <v>0</v>
      </c>
      <c r="F36" s="1340">
        <f>_xlfn.XLOOKUP($A36,'TB FORMATTED'!$A:$A,'TB FORMATTED'!D:D,0,0,1)</f>
        <v>0</v>
      </c>
      <c r="G36" s="1340">
        <f>_xlfn.XLOOKUP($A36,'TB FORMATTED'!$A:$A,'TB FORMATTED'!E:E,0,0,1)</f>
        <v>175040.55</v>
      </c>
      <c r="H36" s="280">
        <f t="shared" si="1"/>
        <v>-175040.55</v>
      </c>
      <c r="I36" s="280"/>
      <c r="J36" s="280"/>
    </row>
    <row r="37" spans="1:10" hidden="1" x14ac:dyDescent="0.3">
      <c r="A37" s="1036" t="str">
        <f>COA!B36</f>
        <v>2001 Accounts Payable (A/P) - USD</v>
      </c>
      <c r="B37" s="955">
        <f>_xlfn.XLOOKUP($A37,'TB FORMATTED'!$A:$A,'TB FORMATTED'!B:B,0,0,1)</f>
        <v>0</v>
      </c>
      <c r="C37" s="955">
        <f>_xlfn.XLOOKUP($A37,'TB FORMATTED'!$A:$A,'TB FORMATTED'!C:C,0,0,1)</f>
        <v>0</v>
      </c>
      <c r="D37" s="280">
        <f t="shared" si="0"/>
        <v>0</v>
      </c>
      <c r="F37" s="1340">
        <f>_xlfn.XLOOKUP($A37,'TB FORMATTED'!$A:$A,'TB FORMATTED'!D:D,0,0,1)</f>
        <v>0</v>
      </c>
      <c r="G37" s="1340">
        <f>_xlfn.XLOOKUP($A37,'TB FORMATTED'!$A:$A,'TB FORMATTED'!E:E,0,0,1)</f>
        <v>373.45</v>
      </c>
      <c r="H37" s="280">
        <f t="shared" si="1"/>
        <v>-373.45</v>
      </c>
      <c r="I37" s="280"/>
      <c r="J37" s="280"/>
    </row>
    <row r="38" spans="1:10" hidden="1" x14ac:dyDescent="0.3">
      <c r="A38" s="1036" t="str">
        <f>COA!B37</f>
        <v>2010 Accrued Liabilities</v>
      </c>
      <c r="B38" s="955">
        <f>_xlfn.XLOOKUP($A38,'TB FORMATTED'!$A:$A,'TB FORMATTED'!B:B,0,0,1)</f>
        <v>0</v>
      </c>
      <c r="C38" s="955">
        <f>_xlfn.XLOOKUP($A38,'TB FORMATTED'!$A:$A,'TB FORMATTED'!C:C,0,0,1)</f>
        <v>0</v>
      </c>
      <c r="D38" s="280">
        <f t="shared" si="0"/>
        <v>0</v>
      </c>
      <c r="F38" s="1340">
        <f>_xlfn.XLOOKUP($A38,'TB FORMATTED'!$A:$A,'TB FORMATTED'!D:D,0,0,1)</f>
        <v>0</v>
      </c>
      <c r="G38" s="1340">
        <f>_xlfn.XLOOKUP($A38,'TB FORMATTED'!$A:$A,'TB FORMATTED'!E:E,0,0,1)</f>
        <v>60000</v>
      </c>
      <c r="H38" s="280">
        <f t="shared" si="1"/>
        <v>-60000</v>
      </c>
      <c r="I38" s="280"/>
      <c r="J38" s="280"/>
    </row>
    <row r="39" spans="1:10" hidden="1" x14ac:dyDescent="0.3">
      <c r="A39" s="1036" t="str">
        <f>COA!B38</f>
        <v>2030 Cutomer prepayments</v>
      </c>
      <c r="B39" s="955">
        <f>_xlfn.XLOOKUP($A39,'TB FORMATTED'!$A:$A,'TB FORMATTED'!B:B,0,0,1)</f>
        <v>0</v>
      </c>
      <c r="C39" s="955">
        <f>_xlfn.XLOOKUP($A39,'TB FORMATTED'!$A:$A,'TB FORMATTED'!C:C,0,0,1)</f>
        <v>0</v>
      </c>
      <c r="D39" s="280">
        <f t="shared" si="0"/>
        <v>0</v>
      </c>
      <c r="F39" s="1340">
        <f>_xlfn.XLOOKUP($A39,'TB FORMATTED'!$A:$A,'TB FORMATTED'!D:D,0,0,1)</f>
        <v>0</v>
      </c>
      <c r="G39" s="1340">
        <f>_xlfn.XLOOKUP($A39,'TB FORMATTED'!$A:$A,'TB FORMATTED'!E:E,0,0,1)</f>
        <v>0</v>
      </c>
      <c r="H39" s="280">
        <f t="shared" si="1"/>
        <v>0</v>
      </c>
      <c r="I39" s="280"/>
      <c r="J39" s="280"/>
    </row>
    <row r="40" spans="1:10" x14ac:dyDescent="0.3">
      <c r="A40" s="1036" t="str">
        <f>COA!B41</f>
        <v>2100 Accrued Liabilities</v>
      </c>
      <c r="B40" s="955">
        <f>_xlfn.XLOOKUP($A40,'TB FORMATTED'!$A:$A,'TB FORMATTED'!B:B,0,0,1)</f>
        <v>0</v>
      </c>
      <c r="C40" s="955">
        <f>_xlfn.XLOOKUP($A40,'TB FORMATTED'!$A:$A,'TB FORMATTED'!C:C,0,0,1)</f>
        <v>53625</v>
      </c>
      <c r="D40" s="280">
        <f t="shared" si="0"/>
        <v>-53625</v>
      </c>
      <c r="F40" s="1340">
        <f>_xlfn.XLOOKUP($A40,'TB FORMATTED'!$A:$A,'TB FORMATTED'!D:D,0,0,1)</f>
        <v>0</v>
      </c>
      <c r="G40" s="1340">
        <f>_xlfn.XLOOKUP($A40,'TB FORMATTED'!$A:$A,'TB FORMATTED'!E:E,0,0,1)</f>
        <v>0</v>
      </c>
      <c r="H40" s="280">
        <f t="shared" si="1"/>
        <v>0</v>
      </c>
      <c r="I40" s="280"/>
      <c r="J40" s="280"/>
    </row>
    <row r="41" spans="1:10" hidden="1" x14ac:dyDescent="0.3">
      <c r="A41" s="1036" t="str">
        <f>COA!B42</f>
        <v>2100 Payroll Liabilities</v>
      </c>
      <c r="B41" s="955">
        <f>_xlfn.XLOOKUP($A41,'TB FORMATTED'!$A:$A,'TB FORMATTED'!B:B,0,0,1)</f>
        <v>0</v>
      </c>
      <c r="C41" s="955">
        <f>_xlfn.XLOOKUP($A41,'TB FORMATTED'!$A:$A,'TB FORMATTED'!C:C,0,0,1)</f>
        <v>0</v>
      </c>
      <c r="D41" s="280">
        <f t="shared" si="0"/>
        <v>0</v>
      </c>
      <c r="F41" s="1340">
        <f>_xlfn.XLOOKUP($A41,'TB FORMATTED'!$A:$A,'TB FORMATTED'!D:D,0,0,1)</f>
        <v>0</v>
      </c>
      <c r="G41" s="1340">
        <f>_xlfn.XLOOKUP($A41,'TB FORMATTED'!$A:$A,'TB FORMATTED'!E:E,0,0,1)</f>
        <v>0</v>
      </c>
      <c r="H41" s="280">
        <f t="shared" si="1"/>
        <v>0</v>
      </c>
      <c r="I41" s="280"/>
      <c r="J41" s="280"/>
    </row>
    <row r="42" spans="1:10" hidden="1" x14ac:dyDescent="0.3">
      <c r="A42" s="1036" t="str">
        <f>COA!B43</f>
        <v>2110 Payroll Liabilities:Payroll Taxes</v>
      </c>
      <c r="B42" s="955">
        <f>_xlfn.XLOOKUP($A42,'TB FORMATTED'!$A:$A,'TB FORMATTED'!B:B,0,0,1)</f>
        <v>0</v>
      </c>
      <c r="C42" s="955">
        <f>_xlfn.XLOOKUP($A42,'TB FORMATTED'!$A:$A,'TB FORMATTED'!C:C,0,0,1)</f>
        <v>0</v>
      </c>
      <c r="D42" s="280">
        <f t="shared" si="0"/>
        <v>0</v>
      </c>
      <c r="F42" s="1340">
        <f>_xlfn.XLOOKUP($A42,'TB FORMATTED'!$A:$A,'TB FORMATTED'!D:D,0,0,1)</f>
        <v>0</v>
      </c>
      <c r="G42" s="1340">
        <f>_xlfn.XLOOKUP($A42,'TB FORMATTED'!$A:$A,'TB FORMATTED'!E:E,0,0,1)</f>
        <v>0</v>
      </c>
      <c r="H42" s="280">
        <f t="shared" si="1"/>
        <v>0</v>
      </c>
      <c r="I42" s="280"/>
      <c r="J42" s="280"/>
    </row>
    <row r="43" spans="1:10" hidden="1" x14ac:dyDescent="0.3">
      <c r="A43" s="1036" t="str">
        <f>COA!B44</f>
        <v>2120 Payroll Liabilities:Vacation Pay Due</v>
      </c>
      <c r="B43" s="955">
        <f>_xlfn.XLOOKUP($A43,'TB FORMATTED'!$A:$A,'TB FORMATTED'!B:B,0,0,1)</f>
        <v>0</v>
      </c>
      <c r="C43" s="955">
        <f>_xlfn.XLOOKUP($A43,'TB FORMATTED'!$A:$A,'TB FORMATTED'!C:C,0,0,1)</f>
        <v>0</v>
      </c>
      <c r="D43" s="280">
        <f t="shared" si="0"/>
        <v>0</v>
      </c>
      <c r="F43" s="1340">
        <f>_xlfn.XLOOKUP($A43,'TB FORMATTED'!$A:$A,'TB FORMATTED'!D:D,0,0,1)</f>
        <v>0</v>
      </c>
      <c r="G43" s="1340">
        <f>_xlfn.XLOOKUP($A43,'TB FORMATTED'!$A:$A,'TB FORMATTED'!E:E,0,0,1)</f>
        <v>0</v>
      </c>
      <c r="H43" s="280">
        <f t="shared" si="1"/>
        <v>0</v>
      </c>
      <c r="I43" s="922"/>
      <c r="J43" s="922"/>
    </row>
    <row r="44" spans="1:10" hidden="1" x14ac:dyDescent="0.3">
      <c r="A44" s="1036" t="str">
        <f>COA!B45</f>
        <v>2130 Payroll Liabilities:WCB to be paid/(refunded)</v>
      </c>
      <c r="B44" s="955">
        <f>_xlfn.XLOOKUP($A44,'TB FORMATTED'!$A:$A,'TB FORMATTED'!B:B,0,0,1)</f>
        <v>0</v>
      </c>
      <c r="C44" s="955">
        <f>_xlfn.XLOOKUP($A44,'TB FORMATTED'!$A:$A,'TB FORMATTED'!C:C,0,0,1)</f>
        <v>0</v>
      </c>
      <c r="D44" s="280">
        <f t="shared" si="0"/>
        <v>0</v>
      </c>
      <c r="F44" s="1340">
        <f>_xlfn.XLOOKUP($A44,'TB FORMATTED'!$A:$A,'TB FORMATTED'!D:D,0,0,1)</f>
        <v>0</v>
      </c>
      <c r="G44" s="1340">
        <f>_xlfn.XLOOKUP($A44,'TB FORMATTED'!$A:$A,'TB FORMATTED'!E:E,0,0,1)</f>
        <v>0</v>
      </c>
      <c r="H44" s="280">
        <f t="shared" si="1"/>
        <v>0</v>
      </c>
      <c r="I44" s="280"/>
      <c r="J44" s="280"/>
    </row>
    <row r="45" spans="1:10" hidden="1" x14ac:dyDescent="0.3">
      <c r="A45" s="1036" t="str">
        <f>COA!B46</f>
        <v>2140 Payroll Liabilities:Vacation Pay Payable</v>
      </c>
      <c r="B45" s="955">
        <f>_xlfn.XLOOKUP($A45,'TB FORMATTED'!$A:$A,'TB FORMATTED'!B:B,0,0,1)</f>
        <v>0</v>
      </c>
      <c r="C45" s="955">
        <f>_xlfn.XLOOKUP($A45,'TB FORMATTED'!$A:$A,'TB FORMATTED'!C:C,0,0,1)</f>
        <v>0</v>
      </c>
      <c r="D45" s="280">
        <f t="shared" si="0"/>
        <v>0</v>
      </c>
      <c r="F45" s="1340">
        <f>_xlfn.XLOOKUP($A45,'TB FORMATTED'!$A:$A,'TB FORMATTED'!D:D,0,0,1)</f>
        <v>0</v>
      </c>
      <c r="G45" s="1340">
        <f>_xlfn.XLOOKUP($A45,'TB FORMATTED'!$A:$A,'TB FORMATTED'!E:E,0,0,1)</f>
        <v>0</v>
      </c>
      <c r="H45" s="280">
        <f t="shared" si="1"/>
        <v>0</v>
      </c>
      <c r="I45" s="280"/>
      <c r="J45" s="280"/>
    </row>
    <row r="46" spans="1:10" x14ac:dyDescent="0.3">
      <c r="A46" s="1036" t="str">
        <f>COA!B47</f>
        <v>2200 PST Payable (BC)</v>
      </c>
      <c r="B46" s="955">
        <f>_xlfn.XLOOKUP($A46,'TB FORMATTED'!$A:$A,'TB FORMATTED'!B:B,0,0,1)</f>
        <v>3.78</v>
      </c>
      <c r="C46" s="955">
        <f>_xlfn.XLOOKUP($A46,'TB FORMATTED'!$A:$A,'TB FORMATTED'!C:C,0,0,1)</f>
        <v>0</v>
      </c>
      <c r="D46" s="280">
        <f t="shared" si="0"/>
        <v>3.78</v>
      </c>
      <c r="F46" s="1340">
        <f>_xlfn.XLOOKUP($A46,'TB FORMATTED'!$A:$A,'TB FORMATTED'!D:D,0,0,1)</f>
        <v>0</v>
      </c>
      <c r="G46" s="1340">
        <f>_xlfn.XLOOKUP($A46,'TB FORMATTED'!$A:$A,'TB FORMATTED'!E:E,0,0,1)</f>
        <v>0</v>
      </c>
      <c r="H46" s="280">
        <f t="shared" si="1"/>
        <v>0</v>
      </c>
      <c r="I46" s="280"/>
      <c r="J46" s="280"/>
    </row>
    <row r="47" spans="1:10" hidden="1" x14ac:dyDescent="0.3">
      <c r="A47" s="1036" t="str">
        <f>COA!B48</f>
        <v>2200 GST Payable/(Refund)</v>
      </c>
      <c r="B47" s="955">
        <f>_xlfn.XLOOKUP($A47,'TB FORMATTED'!$A:$A,'TB FORMATTED'!B:B,0,0,1)</f>
        <v>0</v>
      </c>
      <c r="C47" s="955">
        <f>_xlfn.XLOOKUP($A47,'TB FORMATTED'!$A:$A,'TB FORMATTED'!C:C,0,0,1)</f>
        <v>0</v>
      </c>
      <c r="D47" s="280">
        <f t="shared" si="0"/>
        <v>0</v>
      </c>
      <c r="F47" s="1340">
        <f>_xlfn.XLOOKUP($A47,'TB FORMATTED'!$A:$A,'TB FORMATTED'!D:D,0,0,1)</f>
        <v>0</v>
      </c>
      <c r="G47" s="1340">
        <f>_xlfn.XLOOKUP($A47,'TB FORMATTED'!$A:$A,'TB FORMATTED'!E:E,0,0,1)</f>
        <v>0</v>
      </c>
      <c r="H47" s="280">
        <f t="shared" si="1"/>
        <v>0</v>
      </c>
      <c r="I47" s="280"/>
      <c r="J47" s="280"/>
    </row>
    <row r="48" spans="1:10" hidden="1" x14ac:dyDescent="0.3">
      <c r="A48" s="1036" t="str">
        <f>COA!B49</f>
        <v>2201 PST Suspense (BC)</v>
      </c>
      <c r="B48" s="955">
        <f>_xlfn.XLOOKUP($A48,'TB FORMATTED'!$A:$A,'TB FORMATTED'!B:B,0,0,1)</f>
        <v>0</v>
      </c>
      <c r="C48" s="955">
        <f>_xlfn.XLOOKUP($A48,'TB FORMATTED'!$A:$A,'TB FORMATTED'!C:C,0,0,1)</f>
        <v>0</v>
      </c>
      <c r="D48" s="280">
        <f t="shared" si="0"/>
        <v>0</v>
      </c>
      <c r="F48" s="1340">
        <f>_xlfn.XLOOKUP($A48,'TB FORMATTED'!$A:$A,'TB FORMATTED'!D:D,0,0,1)</f>
        <v>0</v>
      </c>
      <c r="G48" s="1340">
        <f>_xlfn.XLOOKUP($A48,'TB FORMATTED'!$A:$A,'TB FORMATTED'!E:E,0,0,1)</f>
        <v>0</v>
      </c>
      <c r="H48" s="280">
        <f t="shared" si="1"/>
        <v>0</v>
      </c>
      <c r="I48" s="280"/>
      <c r="J48" s="280"/>
    </row>
    <row r="49" spans="1:10" hidden="1" x14ac:dyDescent="0.3">
      <c r="A49" s="1036" t="str">
        <f>COA!B50</f>
        <v>2210 GST Payable/(Refund):GST Paid on Purchases</v>
      </c>
      <c r="B49" s="955">
        <f>_xlfn.XLOOKUP($A49,'TB FORMATTED'!$A:$A,'TB FORMATTED'!B:B,0,0,1)</f>
        <v>0</v>
      </c>
      <c r="C49" s="955">
        <f>_xlfn.XLOOKUP($A49,'TB FORMATTED'!$A:$A,'TB FORMATTED'!C:C,0,0,1)</f>
        <v>0</v>
      </c>
      <c r="D49" s="280">
        <f t="shared" si="0"/>
        <v>0</v>
      </c>
      <c r="F49" s="1340">
        <f>_xlfn.XLOOKUP($A49,'TB FORMATTED'!$A:$A,'TB FORMATTED'!D:D,0,0,1)</f>
        <v>1288.7</v>
      </c>
      <c r="G49" s="1340">
        <f>_xlfn.XLOOKUP($A49,'TB FORMATTED'!$A:$A,'TB FORMATTED'!E:E,0,0,1)</f>
        <v>0</v>
      </c>
      <c r="H49" s="280">
        <f t="shared" si="1"/>
        <v>1288.7</v>
      </c>
      <c r="I49" s="280"/>
      <c r="J49" s="280"/>
    </row>
    <row r="50" spans="1:10" hidden="1" x14ac:dyDescent="0.3">
      <c r="A50" s="1036" t="str">
        <f>COA!B51</f>
        <v>2220 GST Payable/(Refund):GST Collected on Sales</v>
      </c>
      <c r="B50" s="955">
        <f>_xlfn.XLOOKUP($A50,'TB FORMATTED'!$A:$A,'TB FORMATTED'!B:B,0,0,1)</f>
        <v>0</v>
      </c>
      <c r="C50" s="955">
        <f>_xlfn.XLOOKUP($A50,'TB FORMATTED'!$A:$A,'TB FORMATTED'!C:C,0,0,1)</f>
        <v>0</v>
      </c>
      <c r="D50" s="280">
        <f t="shared" si="0"/>
        <v>0</v>
      </c>
      <c r="F50" s="1340">
        <f>_xlfn.XLOOKUP($A50,'TB FORMATTED'!$A:$A,'TB FORMATTED'!D:D,0,0,1)</f>
        <v>4540.67</v>
      </c>
      <c r="G50" s="1340">
        <f>_xlfn.XLOOKUP($A50,'TB FORMATTED'!$A:$A,'TB FORMATTED'!E:E,0,0,1)</f>
        <v>0</v>
      </c>
      <c r="H50" s="280">
        <f t="shared" si="1"/>
        <v>4540.67</v>
      </c>
      <c r="I50" s="280"/>
      <c r="J50" s="280"/>
    </row>
    <row r="51" spans="1:10" x14ac:dyDescent="0.3">
      <c r="A51" s="1036" t="str">
        <f>COA!B52</f>
        <v>2210 GST/HST Payable</v>
      </c>
      <c r="B51" s="955">
        <f>_xlfn.XLOOKUP($A51,'TB FORMATTED'!$A:$A,'TB FORMATTED'!B:B,0,0,1)</f>
        <v>31778.63</v>
      </c>
      <c r="C51" s="955">
        <f>_xlfn.XLOOKUP($A51,'TB FORMATTED'!$A:$A,'TB FORMATTED'!C:C,0,0,1)</f>
        <v>0</v>
      </c>
      <c r="D51" s="280">
        <f t="shared" si="0"/>
        <v>31778.63</v>
      </c>
      <c r="F51" s="1340">
        <f>_xlfn.XLOOKUP($A51,'TB FORMATTED'!$A:$A,'TB FORMATTED'!D:D,0,0,1)</f>
        <v>0</v>
      </c>
      <c r="G51" s="1340">
        <f>_xlfn.XLOOKUP($A51,'TB FORMATTED'!$A:$A,'TB FORMATTED'!E:E,0,0,1)</f>
        <v>0</v>
      </c>
      <c r="H51" s="280">
        <f t="shared" si="1"/>
        <v>0</v>
      </c>
      <c r="I51" s="280"/>
      <c r="J51" s="280"/>
    </row>
    <row r="52" spans="1:10" hidden="1" x14ac:dyDescent="0.3">
      <c r="A52" s="1036" t="str">
        <f>COA!B53</f>
        <v>2230 GST Payable/(Refund):GST to Paid/(refunded)</v>
      </c>
      <c r="B52" s="955">
        <f>_xlfn.XLOOKUP($A52,'TB FORMATTED'!$A:$A,'TB FORMATTED'!B:B,0,0,1)</f>
        <v>0</v>
      </c>
      <c r="C52" s="955">
        <f>_xlfn.XLOOKUP($A52,'TB FORMATTED'!$A:$A,'TB FORMATTED'!C:C,0,0,1)</f>
        <v>0</v>
      </c>
      <c r="D52" s="280">
        <f t="shared" si="0"/>
        <v>0</v>
      </c>
      <c r="F52" s="1340">
        <f>_xlfn.XLOOKUP($A52,'TB FORMATTED'!$A:$A,'TB FORMATTED'!D:D,0,0,1)</f>
        <v>389.61</v>
      </c>
      <c r="G52" s="1340">
        <f>_xlfn.XLOOKUP($A52,'TB FORMATTED'!$A:$A,'TB FORMATTED'!E:E,0,0,1)</f>
        <v>0</v>
      </c>
      <c r="H52" s="280">
        <f t="shared" si="1"/>
        <v>389.61</v>
      </c>
      <c r="I52" s="280"/>
      <c r="J52" s="280"/>
    </row>
    <row r="53" spans="1:10" hidden="1" x14ac:dyDescent="0.3">
      <c r="A53" s="1036" t="str">
        <f>COA!B54</f>
        <v>2211 GST/HST Suspense</v>
      </c>
      <c r="B53" s="955">
        <f>_xlfn.XLOOKUP($A53,'TB FORMATTED'!$A:$A,'TB FORMATTED'!B:B,0,0,1)</f>
        <v>0</v>
      </c>
      <c r="C53" s="955">
        <f>_xlfn.XLOOKUP($A53,'TB FORMATTED'!$A:$A,'TB FORMATTED'!C:C,0,0,1)</f>
        <v>0</v>
      </c>
      <c r="D53" s="280">
        <f t="shared" si="0"/>
        <v>0</v>
      </c>
      <c r="F53" s="1340">
        <f>_xlfn.XLOOKUP($A53,'TB FORMATTED'!$A:$A,'TB FORMATTED'!D:D,0,0,1)</f>
        <v>0</v>
      </c>
      <c r="G53" s="1340">
        <f>_xlfn.XLOOKUP($A53,'TB FORMATTED'!$A:$A,'TB FORMATTED'!E:E,0,0,1)</f>
        <v>0</v>
      </c>
      <c r="H53" s="280">
        <f t="shared" si="1"/>
        <v>0</v>
      </c>
      <c r="I53" s="280"/>
      <c r="J53" s="280"/>
    </row>
    <row r="54" spans="1:10" hidden="1" x14ac:dyDescent="0.3">
      <c r="A54" s="1036" t="str">
        <f>COA!B55</f>
        <v>2201 GST and HST Suspense</v>
      </c>
      <c r="B54" s="955">
        <f>_xlfn.XLOOKUP($A54,'TB FORMATTED'!$A:$A,'TB FORMATTED'!B:B,0,0,1)</f>
        <v>0</v>
      </c>
      <c r="C54" s="955">
        <f>_xlfn.XLOOKUP($A54,'TB FORMATTED'!$A:$A,'TB FORMATTED'!C:C,0,0,1)</f>
        <v>0</v>
      </c>
      <c r="D54" s="280">
        <f t="shared" si="0"/>
        <v>0</v>
      </c>
      <c r="F54" s="1340">
        <f>_xlfn.XLOOKUP($A54,'TB FORMATTED'!$A:$A,'TB FORMATTED'!D:D,0,0,1)</f>
        <v>0</v>
      </c>
      <c r="G54" s="1340">
        <f>_xlfn.XLOOKUP($A54,'TB FORMATTED'!$A:$A,'TB FORMATTED'!E:E,0,0,1)</f>
        <v>0</v>
      </c>
      <c r="H54" s="280">
        <f t="shared" si="1"/>
        <v>0</v>
      </c>
      <c r="I54" s="280"/>
      <c r="J54" s="280"/>
    </row>
    <row r="55" spans="1:10" hidden="1" x14ac:dyDescent="0.3">
      <c r="A55" s="1036" t="str">
        <f>COA!B56</f>
        <v>2202 Receiver General Suspense</v>
      </c>
      <c r="B55" s="955">
        <f>_xlfn.XLOOKUP($A55,'TB FORMATTED'!$A:$A,'TB FORMATTED'!B:B,0,0,1)</f>
        <v>0</v>
      </c>
      <c r="C55" s="955">
        <f>_xlfn.XLOOKUP($A55,'TB FORMATTED'!$A:$A,'TB FORMATTED'!C:C,0,0,1)</f>
        <v>0</v>
      </c>
      <c r="D55" s="280">
        <f t="shared" si="0"/>
        <v>0</v>
      </c>
      <c r="F55" s="1340">
        <f>_xlfn.XLOOKUP($A55,'TB FORMATTED'!$A:$A,'TB FORMATTED'!D:D,0,0,1)</f>
        <v>395.6</v>
      </c>
      <c r="G55" s="1340">
        <f>_xlfn.XLOOKUP($A55,'TB FORMATTED'!$A:$A,'TB FORMATTED'!E:E,0,0,1)</f>
        <v>0</v>
      </c>
      <c r="H55" s="280">
        <f t="shared" si="1"/>
        <v>395.6</v>
      </c>
      <c r="I55" s="280"/>
      <c r="J55" s="280"/>
    </row>
    <row r="56" spans="1:10" hidden="1" x14ac:dyDescent="0.3">
      <c r="A56" s="1036" t="str">
        <f>COA!B57</f>
        <v>2280 PST Payable</v>
      </c>
      <c r="B56" s="955">
        <f>_xlfn.XLOOKUP($A56,'TB FORMATTED'!$A:$A,'TB FORMATTED'!B:B,0,0,1)</f>
        <v>0</v>
      </c>
      <c r="C56" s="955">
        <f>_xlfn.XLOOKUP($A56,'TB FORMATTED'!$A:$A,'TB FORMATTED'!C:C,0,0,1)</f>
        <v>0</v>
      </c>
      <c r="D56" s="280">
        <f t="shared" si="0"/>
        <v>0</v>
      </c>
      <c r="F56" s="1340">
        <f>_xlfn.XLOOKUP($A56,'TB FORMATTED'!$A:$A,'TB FORMATTED'!D:D,0,0,1)</f>
        <v>0</v>
      </c>
      <c r="G56" s="1340">
        <f>_xlfn.XLOOKUP($A56,'TB FORMATTED'!$A:$A,'TB FORMATTED'!E:E,0,0,1)</f>
        <v>0</v>
      </c>
      <c r="H56" s="280">
        <f t="shared" si="1"/>
        <v>0</v>
      </c>
      <c r="I56" s="280"/>
      <c r="J56" s="280"/>
    </row>
    <row r="57" spans="1:10" hidden="1" x14ac:dyDescent="0.3">
      <c r="A57" s="1036" t="str">
        <f>COA!B58</f>
        <v>2240 PST Payable:PST Collected on Sales</v>
      </c>
      <c r="B57" s="955">
        <f>_xlfn.XLOOKUP($A57,'TB FORMATTED'!$A:$A,'TB FORMATTED'!B:B,0,0,1)</f>
        <v>0</v>
      </c>
      <c r="C57" s="955">
        <f>_xlfn.XLOOKUP($A57,'TB FORMATTED'!$A:$A,'TB FORMATTED'!C:C,0,0,1)</f>
        <v>0</v>
      </c>
      <c r="D57" s="280">
        <f t="shared" si="0"/>
        <v>0</v>
      </c>
      <c r="F57" s="1340">
        <f>_xlfn.XLOOKUP($A57,'TB FORMATTED'!$A:$A,'TB FORMATTED'!D:D,0,0,1)</f>
        <v>0</v>
      </c>
      <c r="G57" s="1340">
        <f>_xlfn.XLOOKUP($A57,'TB FORMATTED'!$A:$A,'TB FORMATTED'!E:E,0,0,1)</f>
        <v>396</v>
      </c>
      <c r="H57" s="280">
        <f t="shared" si="1"/>
        <v>-396</v>
      </c>
      <c r="I57" s="280"/>
      <c r="J57" s="280"/>
    </row>
    <row r="58" spans="1:10" hidden="1" x14ac:dyDescent="0.3">
      <c r="A58" s="1036" t="str">
        <f>COA!B59</f>
        <v>2245 PST Payable:PST Payable</v>
      </c>
      <c r="B58" s="955">
        <f>_xlfn.XLOOKUP($A58,'TB FORMATTED'!$A:$A,'TB FORMATTED'!B:B,0,0,1)</f>
        <v>0</v>
      </c>
      <c r="C58" s="955">
        <f>_xlfn.XLOOKUP($A58,'TB FORMATTED'!$A:$A,'TB FORMATTED'!C:C,0,0,1)</f>
        <v>0</v>
      </c>
      <c r="D58" s="280">
        <f t="shared" si="0"/>
        <v>0</v>
      </c>
      <c r="F58" s="1340">
        <f>_xlfn.XLOOKUP($A58,'TB FORMATTED'!$A:$A,'TB FORMATTED'!D:D,0,0,1)</f>
        <v>0</v>
      </c>
      <c r="G58" s="1340">
        <f>_xlfn.XLOOKUP($A58,'TB FORMATTED'!$A:$A,'TB FORMATTED'!E:E,0,0,1)</f>
        <v>0</v>
      </c>
      <c r="H58" s="280">
        <f t="shared" si="1"/>
        <v>0</v>
      </c>
      <c r="I58" s="280"/>
      <c r="J58" s="280"/>
    </row>
    <row r="59" spans="1:10" hidden="1" x14ac:dyDescent="0.3">
      <c r="A59" s="1036" t="str">
        <f>COA!B60</f>
        <v>2300 Corporate Tax Payable</v>
      </c>
      <c r="B59" s="955">
        <f>_xlfn.XLOOKUP($A59,'TB FORMATTED'!$A:$A,'TB FORMATTED'!B:B,0,0,1)</f>
        <v>0</v>
      </c>
      <c r="C59" s="955">
        <f>_xlfn.XLOOKUP($A59,'TB FORMATTED'!$A:$A,'TB FORMATTED'!C:C,0,0,1)</f>
        <v>0</v>
      </c>
      <c r="D59" s="280">
        <f t="shared" si="0"/>
        <v>0</v>
      </c>
      <c r="F59" s="1340">
        <f>_xlfn.XLOOKUP($A59,'TB FORMATTED'!$A:$A,'TB FORMATTED'!D:D,0,0,1)</f>
        <v>0</v>
      </c>
      <c r="G59" s="1340">
        <f>_xlfn.XLOOKUP($A59,'TB FORMATTED'!$A:$A,'TB FORMATTED'!E:E,0,0,1)</f>
        <v>98.09</v>
      </c>
      <c r="H59" s="280">
        <f t="shared" si="1"/>
        <v>-98.09</v>
      </c>
      <c r="I59" s="280"/>
      <c r="J59" s="280"/>
    </row>
    <row r="60" spans="1:10" x14ac:dyDescent="0.3">
      <c r="A60" s="1036" t="str">
        <f>COA!B61</f>
        <v>2500 Due to/(from) related parties</v>
      </c>
      <c r="B60" s="955">
        <f>_xlfn.XLOOKUP($A60,'TB FORMATTED'!$A:$A,'TB FORMATTED'!B:B,0,0,1)</f>
        <v>0</v>
      </c>
      <c r="C60" s="955">
        <f>_xlfn.XLOOKUP($A60,'TB FORMATTED'!$A:$A,'TB FORMATTED'!C:C,0,0,1)</f>
        <v>937.65</v>
      </c>
      <c r="D60" s="280">
        <f t="shared" si="0"/>
        <v>-937.65</v>
      </c>
      <c r="F60" s="1340">
        <f>_xlfn.XLOOKUP($A60,'TB FORMATTED'!$A:$A,'TB FORMATTED'!D:D,0,0,1)</f>
        <v>0</v>
      </c>
      <c r="G60" s="1340">
        <f>_xlfn.XLOOKUP($A60,'TB FORMATTED'!$A:$A,'TB FORMATTED'!E:E,0,0,1)</f>
        <v>0</v>
      </c>
      <c r="H60" s="280">
        <f t="shared" si="1"/>
        <v>0</v>
      </c>
      <c r="I60" s="280"/>
      <c r="J60" s="280"/>
    </row>
    <row r="61" spans="1:10" hidden="1" x14ac:dyDescent="0.3">
      <c r="A61" s="1036" t="str">
        <f>COA!B62</f>
        <v>2501 Due to/(from) related parties:Due To/From SAK2</v>
      </c>
      <c r="B61" s="955">
        <f>_xlfn.XLOOKUP($A61,'TB FORMATTED'!$A:$A,'TB FORMATTED'!B:B,0,0,1)</f>
        <v>0</v>
      </c>
      <c r="C61" s="955">
        <f>_xlfn.XLOOKUP($A61,'TB FORMATTED'!$A:$A,'TB FORMATTED'!C:C,0,0,1)</f>
        <v>0</v>
      </c>
      <c r="D61" s="280">
        <f t="shared" si="0"/>
        <v>0</v>
      </c>
      <c r="F61" s="1340">
        <f>_xlfn.XLOOKUP($A61,'TB FORMATTED'!$A:$A,'TB FORMATTED'!D:D,0,0,1)</f>
        <v>0</v>
      </c>
      <c r="G61" s="1340">
        <f>_xlfn.XLOOKUP($A61,'TB FORMATTED'!$A:$A,'TB FORMATTED'!E:E,0,0,1)</f>
        <v>0</v>
      </c>
      <c r="H61" s="280">
        <f t="shared" si="1"/>
        <v>0</v>
      </c>
      <c r="I61" s="280"/>
      <c r="J61" s="280"/>
    </row>
    <row r="62" spans="1:10" x14ac:dyDescent="0.3">
      <c r="A62" s="1036" t="str">
        <f>COA!B63</f>
        <v>2502 Due to/(from) related parties:Due To/From SAK6</v>
      </c>
      <c r="B62" s="955">
        <f>_xlfn.XLOOKUP($A62,'TB FORMATTED'!$A:$A,'TB FORMATTED'!B:B,0,0,1)</f>
        <v>0</v>
      </c>
      <c r="C62" s="955">
        <f>_xlfn.XLOOKUP($A62,'TB FORMATTED'!$A:$A,'TB FORMATTED'!C:C,0,0,1)</f>
        <v>900</v>
      </c>
      <c r="D62" s="280">
        <f t="shared" si="0"/>
        <v>-900</v>
      </c>
      <c r="F62" s="1340">
        <f>_xlfn.XLOOKUP($A62,'TB FORMATTED'!$A:$A,'TB FORMATTED'!D:D,0,0,1)</f>
        <v>0</v>
      </c>
      <c r="G62" s="1340">
        <f>_xlfn.XLOOKUP($A62,'TB FORMATTED'!$A:$A,'TB FORMATTED'!E:E,0,0,1)</f>
        <v>0</v>
      </c>
      <c r="H62" s="280">
        <f t="shared" si="1"/>
        <v>0</v>
      </c>
      <c r="I62" s="280"/>
      <c r="J62" s="280"/>
    </row>
    <row r="63" spans="1:10" hidden="1" x14ac:dyDescent="0.3">
      <c r="A63" s="1036" t="str">
        <f>COA!B64</f>
        <v>2503 Due to/(from) related parties:Due To/From UpCapital</v>
      </c>
      <c r="B63" s="955">
        <f>_xlfn.XLOOKUP($A63,'TB FORMATTED'!$A:$A,'TB FORMATTED'!B:B,0,0,1)</f>
        <v>0</v>
      </c>
      <c r="C63" s="955">
        <f>_xlfn.XLOOKUP($A63,'TB FORMATTED'!$A:$A,'TB FORMATTED'!C:C,0,0,1)</f>
        <v>0</v>
      </c>
      <c r="D63" s="280">
        <f t="shared" si="0"/>
        <v>0</v>
      </c>
      <c r="F63" s="1340">
        <f>_xlfn.XLOOKUP($A63,'TB FORMATTED'!$A:$A,'TB FORMATTED'!D:D,0,0,1)</f>
        <v>0</v>
      </c>
      <c r="G63" s="1340">
        <f>_xlfn.XLOOKUP($A63,'TB FORMATTED'!$A:$A,'TB FORMATTED'!E:E,0,0,1)</f>
        <v>0</v>
      </c>
      <c r="H63" s="280">
        <f t="shared" si="1"/>
        <v>0</v>
      </c>
      <c r="I63" s="280"/>
      <c r="J63" s="280"/>
    </row>
    <row r="64" spans="1:10" x14ac:dyDescent="0.3">
      <c r="A64" s="1036" t="str">
        <f>COA!B65</f>
        <v>2504 Due to/(from) related parties:Shareholder's Loan</v>
      </c>
      <c r="B64" s="955">
        <f>_xlfn.XLOOKUP($A64,'TB FORMATTED'!$A:$A,'TB FORMATTED'!B:B,0,0,1)</f>
        <v>0</v>
      </c>
      <c r="C64" s="955">
        <f>_xlfn.XLOOKUP($A64,'TB FORMATTED'!$A:$A,'TB FORMATTED'!C:C,0,0,1)</f>
        <v>3500</v>
      </c>
      <c r="D64" s="280">
        <f t="shared" si="0"/>
        <v>-3500</v>
      </c>
      <c r="F64" s="1340">
        <f>_xlfn.XLOOKUP($A64,'TB FORMATTED'!$A:$A,'TB FORMATTED'!D:D,0,0,1)</f>
        <v>0</v>
      </c>
      <c r="G64" s="1340">
        <f>_xlfn.XLOOKUP($A64,'TB FORMATTED'!$A:$A,'TB FORMATTED'!E:E,0,0,1)</f>
        <v>0</v>
      </c>
      <c r="H64" s="280">
        <f t="shared" si="1"/>
        <v>0</v>
      </c>
      <c r="I64" s="280"/>
      <c r="J64" s="280"/>
    </row>
    <row r="65" spans="1:10" hidden="1" x14ac:dyDescent="0.3">
      <c r="A65" s="1036" t="str">
        <f>COA!B66</f>
        <v>2600 Current portion of loans and borrowings</v>
      </c>
      <c r="B65" s="955">
        <f>_xlfn.XLOOKUP($A65,'TB FORMATTED'!$A:$A,'TB FORMATTED'!B:B,0,0,1)</f>
        <v>0</v>
      </c>
      <c r="C65" s="955">
        <f>_xlfn.XLOOKUP($A65,'TB FORMATTED'!$A:$A,'TB FORMATTED'!C:C,0,0,1)</f>
        <v>0</v>
      </c>
      <c r="D65" s="280">
        <f t="shared" si="0"/>
        <v>0</v>
      </c>
      <c r="F65" s="1340">
        <f>_xlfn.XLOOKUP($A65,'TB FORMATTED'!$A:$A,'TB FORMATTED'!D:D,0,0,1)</f>
        <v>0</v>
      </c>
      <c r="G65" s="1340">
        <f>_xlfn.XLOOKUP($A65,'TB FORMATTED'!$A:$A,'TB FORMATTED'!E:E,0,0,1)</f>
        <v>0</v>
      </c>
      <c r="H65" s="280">
        <f t="shared" si="1"/>
        <v>0</v>
      </c>
      <c r="I65" s="280"/>
      <c r="J65" s="280"/>
    </row>
    <row r="66" spans="1:10" hidden="1" x14ac:dyDescent="0.3">
      <c r="A66" s="1036" t="str">
        <f>COA!B67</f>
        <v>2600 Due to RPT - Diane Halston</v>
      </c>
      <c r="B66" s="955">
        <f>_xlfn.XLOOKUP($A66,'TB FORMATTED'!$A:$A,'TB FORMATTED'!B:B,0,0,1)</f>
        <v>0</v>
      </c>
      <c r="C66" s="955">
        <f>_xlfn.XLOOKUP($A66,'TB FORMATTED'!$A:$A,'TB FORMATTED'!C:C,0,0,1)</f>
        <v>0</v>
      </c>
      <c r="D66" s="280">
        <f t="shared" si="0"/>
        <v>0</v>
      </c>
      <c r="F66" s="1340">
        <f>_xlfn.XLOOKUP($A66,'TB FORMATTED'!$A:$A,'TB FORMATTED'!D:D,0,0,1)</f>
        <v>0</v>
      </c>
      <c r="G66" s="1340">
        <f>_xlfn.XLOOKUP($A66,'TB FORMATTED'!$A:$A,'TB FORMATTED'!E:E,0,0,1)</f>
        <v>0</v>
      </c>
      <c r="H66" s="280">
        <f t="shared" si="1"/>
        <v>0</v>
      </c>
      <c r="I66" s="280"/>
      <c r="J66" s="280"/>
    </row>
    <row r="67" spans="1:10" hidden="1" x14ac:dyDescent="0.3">
      <c r="A67" s="1036" t="str">
        <f>COA!B68</f>
        <v>2601 Due to RPT - Brett Halston</v>
      </c>
      <c r="B67" s="955">
        <f>_xlfn.XLOOKUP($A67,'TB FORMATTED'!$A:$A,'TB FORMATTED'!B:B,0,0,1)</f>
        <v>0</v>
      </c>
      <c r="C67" s="955">
        <f>_xlfn.XLOOKUP($A67,'TB FORMATTED'!$A:$A,'TB FORMATTED'!C:C,0,0,1)</f>
        <v>0</v>
      </c>
      <c r="D67" s="280">
        <f t="shared" si="0"/>
        <v>0</v>
      </c>
      <c r="F67" s="1340">
        <f>_xlfn.XLOOKUP($A67,'TB FORMATTED'!$A:$A,'TB FORMATTED'!D:D,0,0,1)</f>
        <v>0</v>
      </c>
      <c r="G67" s="1340">
        <f>_xlfn.XLOOKUP($A67,'TB FORMATTED'!$A:$A,'TB FORMATTED'!E:E,0,0,1)</f>
        <v>0</v>
      </c>
      <c r="H67" s="280">
        <f t="shared" si="1"/>
        <v>0</v>
      </c>
      <c r="I67" s="280"/>
      <c r="J67" s="280"/>
    </row>
    <row r="68" spans="1:10" hidden="1" x14ac:dyDescent="0.3">
      <c r="A68" s="1036" t="str">
        <f>COA!B69</f>
        <v>2602 Due to RPT - Keith Halston</v>
      </c>
      <c r="B68" s="955">
        <f>_xlfn.XLOOKUP($A68,'TB FORMATTED'!$A:$A,'TB FORMATTED'!B:B,0,0,1)</f>
        <v>0</v>
      </c>
      <c r="C68" s="955">
        <f>_xlfn.XLOOKUP($A68,'TB FORMATTED'!$A:$A,'TB FORMATTED'!C:C,0,0,1)</f>
        <v>0</v>
      </c>
      <c r="D68" s="280">
        <f t="shared" si="0"/>
        <v>0</v>
      </c>
      <c r="F68" s="1340">
        <f>_xlfn.XLOOKUP($A68,'TB FORMATTED'!$A:$A,'TB FORMATTED'!D:D,0,0,1)</f>
        <v>0</v>
      </c>
      <c r="G68" s="1340">
        <f>_xlfn.XLOOKUP($A68,'TB FORMATTED'!$A:$A,'TB FORMATTED'!E:E,0,0,1)</f>
        <v>0</v>
      </c>
      <c r="H68" s="280">
        <f t="shared" si="1"/>
        <v>0</v>
      </c>
      <c r="I68" s="280"/>
      <c r="J68" s="280"/>
    </row>
    <row r="69" spans="1:10" hidden="1" x14ac:dyDescent="0.3">
      <c r="A69" s="1036" t="str">
        <f>COA!B70</f>
        <v>2650 Loans and borrowings</v>
      </c>
      <c r="B69" s="955">
        <f>_xlfn.XLOOKUP($A69,'TB FORMATTED'!$A:$A,'TB FORMATTED'!B:B,0,0,1)</f>
        <v>0</v>
      </c>
      <c r="C69" s="955">
        <f>_xlfn.XLOOKUP($A69,'TB FORMATTED'!$A:$A,'TB FORMATTED'!C:C,0,0,1)</f>
        <v>0</v>
      </c>
      <c r="D69" s="280">
        <f t="shared" si="0"/>
        <v>0</v>
      </c>
      <c r="F69" s="1340">
        <f>_xlfn.XLOOKUP($A69,'TB FORMATTED'!$A:$A,'TB FORMATTED'!D:D,0,0,1)</f>
        <v>0</v>
      </c>
      <c r="G69" s="1340">
        <f>_xlfn.XLOOKUP($A69,'TB FORMATTED'!$A:$A,'TB FORMATTED'!E:E,0,0,1)</f>
        <v>0</v>
      </c>
      <c r="H69" s="280">
        <f t="shared" si="1"/>
        <v>0</v>
      </c>
    </row>
    <row r="70" spans="1:10" hidden="1" x14ac:dyDescent="0.3">
      <c r="A70" s="1036" t="str">
        <f>COA!B71</f>
        <v>2650 Loan Payable - current</v>
      </c>
      <c r="B70" s="955">
        <f>_xlfn.XLOOKUP($A70,'TB FORMATTED'!$A:$A,'TB FORMATTED'!B:B,0,0,1)</f>
        <v>0</v>
      </c>
      <c r="C70" s="955">
        <f>_xlfn.XLOOKUP($A70,'TB FORMATTED'!$A:$A,'TB FORMATTED'!C:C,0,0,1)</f>
        <v>0</v>
      </c>
      <c r="D70" s="280">
        <f t="shared" ref="D70:D133" si="2">B70-C70</f>
        <v>0</v>
      </c>
      <c r="F70" s="1340">
        <f>_xlfn.XLOOKUP($A70,'TB FORMATTED'!$A:$A,'TB FORMATTED'!D:D,0,0,1)</f>
        <v>0</v>
      </c>
      <c r="G70" s="1340">
        <f>_xlfn.XLOOKUP($A70,'TB FORMATTED'!$A:$A,'TB FORMATTED'!E:E,0,0,1)</f>
        <v>556400</v>
      </c>
      <c r="H70" s="280">
        <f t="shared" si="1"/>
        <v>-556400</v>
      </c>
      <c r="I70" s="924"/>
      <c r="J70" s="924"/>
    </row>
    <row r="71" spans="1:10" hidden="1" x14ac:dyDescent="0.3">
      <c r="A71" s="1036" t="str">
        <f>COA!B72</f>
        <v>2651 Loan Payable - non-current</v>
      </c>
      <c r="B71" s="955">
        <f>_xlfn.XLOOKUP($A71,'TB FORMATTED'!$A:$A,'TB FORMATTED'!B:B,0,0,1)</f>
        <v>0</v>
      </c>
      <c r="C71" s="955">
        <f>_xlfn.XLOOKUP($A71,'TB FORMATTED'!$A:$A,'TB FORMATTED'!C:C,0,0,1)</f>
        <v>0</v>
      </c>
      <c r="D71" s="280">
        <f t="shared" si="2"/>
        <v>0</v>
      </c>
      <c r="F71" s="1340">
        <f>_xlfn.XLOOKUP($A71,'TB FORMATTED'!$A:$A,'TB FORMATTED'!D:D,0,0,1)</f>
        <v>0</v>
      </c>
      <c r="G71" s="1340">
        <f>_xlfn.XLOOKUP($A71,'TB FORMATTED'!$A:$A,'TB FORMATTED'!E:E,0,0,1)</f>
        <v>0</v>
      </c>
      <c r="H71" s="280">
        <f t="shared" ref="H71:H134" si="3">F71-G71</f>
        <v>0</v>
      </c>
    </row>
    <row r="72" spans="1:10" hidden="1" x14ac:dyDescent="0.3">
      <c r="A72" s="1036" t="str">
        <f>COA!B73</f>
        <v>2700 Share subscription payable</v>
      </c>
      <c r="B72" s="955">
        <f>_xlfn.XLOOKUP($A72,'TB FORMATTED'!$A:$A,'TB FORMATTED'!B:B,0,0,1)</f>
        <v>0</v>
      </c>
      <c r="C72" s="955">
        <f>_xlfn.XLOOKUP($A72,'TB FORMATTED'!$A:$A,'TB FORMATTED'!C:C,0,0,1)</f>
        <v>0</v>
      </c>
      <c r="D72" s="280">
        <f t="shared" si="2"/>
        <v>0</v>
      </c>
      <c r="F72" s="1340">
        <f>_xlfn.XLOOKUP($A72,'TB FORMATTED'!$A:$A,'TB FORMATTED'!D:D,0,0,1)</f>
        <v>0</v>
      </c>
      <c r="G72" s="1340">
        <f>_xlfn.XLOOKUP($A72,'TB FORMATTED'!$A:$A,'TB FORMATTED'!E:E,0,0,1)</f>
        <v>0</v>
      </c>
      <c r="H72" s="280">
        <f t="shared" si="3"/>
        <v>0</v>
      </c>
    </row>
    <row r="73" spans="1:10" hidden="1" x14ac:dyDescent="0.3">
      <c r="A73" s="1036" t="str">
        <f>COA!B74</f>
        <v>2700 Due to Shareholders</v>
      </c>
      <c r="B73" s="955">
        <f>_xlfn.XLOOKUP($A73,'TB FORMATTED'!$A:$A,'TB FORMATTED'!B:B,0,0,1)</f>
        <v>0</v>
      </c>
      <c r="C73" s="955">
        <f>_xlfn.XLOOKUP($A73,'TB FORMATTED'!$A:$A,'TB FORMATTED'!C:C,0,0,1)</f>
        <v>0</v>
      </c>
      <c r="D73" s="280">
        <f t="shared" si="2"/>
        <v>0</v>
      </c>
      <c r="F73" s="1340">
        <f>_xlfn.XLOOKUP($A73,'TB FORMATTED'!$A:$A,'TB FORMATTED'!D:D,0,0,1)</f>
        <v>0</v>
      </c>
      <c r="G73" s="1340">
        <f>_xlfn.XLOOKUP($A73,'TB FORMATTED'!$A:$A,'TB FORMATTED'!E:E,0,0,1)</f>
        <v>0</v>
      </c>
      <c r="H73" s="280">
        <f t="shared" si="3"/>
        <v>0</v>
      </c>
    </row>
    <row r="74" spans="1:10" hidden="1" x14ac:dyDescent="0.3">
      <c r="A74" s="1036" t="str">
        <f>COA!B75</f>
        <v>2705 Due to Shareholders:Due to SH - James Taylor</v>
      </c>
      <c r="B74" s="955">
        <f>_xlfn.XLOOKUP($A74,'TB FORMATTED'!$A:$A,'TB FORMATTED'!B:B,0,0,1)</f>
        <v>0</v>
      </c>
      <c r="C74" s="955">
        <f>_xlfn.XLOOKUP($A74,'TB FORMATTED'!$A:$A,'TB FORMATTED'!C:C,0,0,1)</f>
        <v>0</v>
      </c>
      <c r="D74" s="280">
        <f t="shared" si="2"/>
        <v>0</v>
      </c>
      <c r="F74" s="1340">
        <f>_xlfn.XLOOKUP($A74,'TB FORMATTED'!$A:$A,'TB FORMATTED'!D:D,0,0,1)</f>
        <v>0</v>
      </c>
      <c r="G74" s="1340">
        <f>_xlfn.XLOOKUP($A74,'TB FORMATTED'!$A:$A,'TB FORMATTED'!E:E,0,0,1)</f>
        <v>0</v>
      </c>
      <c r="H74" s="280">
        <f t="shared" si="3"/>
        <v>0</v>
      </c>
    </row>
    <row r="75" spans="1:10" hidden="1" x14ac:dyDescent="0.3">
      <c r="A75" s="1036" t="str">
        <f>COA!B76</f>
        <v>2706 Due to Shareholders:Due to SH - Keith Halston</v>
      </c>
      <c r="B75" s="955">
        <f>_xlfn.XLOOKUP($A75,'TB FORMATTED'!$A:$A,'TB FORMATTED'!B:B,0,0,1)</f>
        <v>0</v>
      </c>
      <c r="C75" s="955">
        <f>_xlfn.XLOOKUP($A75,'TB FORMATTED'!$A:$A,'TB FORMATTED'!C:C,0,0,1)</f>
        <v>0</v>
      </c>
      <c r="D75" s="280">
        <f t="shared" si="2"/>
        <v>0</v>
      </c>
      <c r="F75" s="1340">
        <f>_xlfn.XLOOKUP($A75,'TB FORMATTED'!$A:$A,'TB FORMATTED'!D:D,0,0,1)</f>
        <v>0</v>
      </c>
      <c r="G75" s="1340">
        <f>_xlfn.XLOOKUP($A75,'TB FORMATTED'!$A:$A,'TB FORMATTED'!E:E,0,0,1)</f>
        <v>0</v>
      </c>
      <c r="H75" s="280">
        <f t="shared" si="3"/>
        <v>0</v>
      </c>
    </row>
    <row r="76" spans="1:10" x14ac:dyDescent="0.3">
      <c r="A76" s="1036" t="str">
        <f>COA!B77</f>
        <v>2800 Current portion - convertible debt</v>
      </c>
      <c r="B76" s="955">
        <f>_xlfn.XLOOKUP($A76,'TB FORMATTED'!$A:$A,'TB FORMATTED'!B:B,0,0,1)</f>
        <v>0</v>
      </c>
      <c r="C76" s="955">
        <f>_xlfn.XLOOKUP($A76,'TB FORMATTED'!$A:$A,'TB FORMATTED'!C:C,0,0,1)</f>
        <v>206894.93</v>
      </c>
      <c r="D76" s="280">
        <f t="shared" si="2"/>
        <v>-206894.93</v>
      </c>
      <c r="F76" s="1340">
        <f>_xlfn.XLOOKUP($A76,'TB FORMATTED'!$A:$A,'TB FORMATTED'!D:D,0,0,1)</f>
        <v>0</v>
      </c>
      <c r="G76" s="1340">
        <f>_xlfn.XLOOKUP($A76,'TB FORMATTED'!$A:$A,'TB FORMATTED'!E:E,0,0,1)</f>
        <v>0</v>
      </c>
      <c r="H76" s="280">
        <f t="shared" si="3"/>
        <v>0</v>
      </c>
    </row>
    <row r="77" spans="1:10" hidden="1" x14ac:dyDescent="0.3">
      <c r="A77" s="1036" t="str">
        <f>COA!B78</f>
        <v>2801 long-term portion - convertible debt</v>
      </c>
      <c r="B77" s="955">
        <f>_xlfn.XLOOKUP($A77,'TB FORMATTED'!$A:$A,'TB FORMATTED'!B:B,0,0,1)</f>
        <v>0</v>
      </c>
      <c r="C77" s="955">
        <f>_xlfn.XLOOKUP($A77,'TB FORMATTED'!$A:$A,'TB FORMATTED'!C:C,0,0,1)</f>
        <v>0</v>
      </c>
      <c r="D77" s="280">
        <f t="shared" si="2"/>
        <v>0</v>
      </c>
      <c r="F77" s="1340">
        <f>_xlfn.XLOOKUP($A77,'TB FORMATTED'!$A:$A,'TB FORMATTED'!D:D,0,0,1)</f>
        <v>0</v>
      </c>
      <c r="G77" s="1340">
        <f>_xlfn.XLOOKUP($A77,'TB FORMATTED'!$A:$A,'TB FORMATTED'!E:E,0,0,1)</f>
        <v>0</v>
      </c>
      <c r="H77" s="280">
        <f t="shared" si="3"/>
        <v>0</v>
      </c>
    </row>
    <row r="78" spans="1:10" hidden="1" x14ac:dyDescent="0.3">
      <c r="A78" s="1036" t="str">
        <f>COA!B79</f>
        <v>2802 Derivative liability</v>
      </c>
      <c r="B78" s="955">
        <f>_xlfn.XLOOKUP($A78,'TB FORMATTED'!$A:$A,'TB FORMATTED'!B:B,0,0,1)</f>
        <v>0</v>
      </c>
      <c r="C78" s="955">
        <f>_xlfn.XLOOKUP($A78,'TB FORMATTED'!$A:$A,'TB FORMATTED'!C:C,0,0,1)</f>
        <v>0</v>
      </c>
      <c r="D78" s="280">
        <f t="shared" si="2"/>
        <v>0</v>
      </c>
      <c r="F78" s="1340">
        <f>_xlfn.XLOOKUP($A78,'TB FORMATTED'!$A:$A,'TB FORMATTED'!D:D,0,0,1)</f>
        <v>0</v>
      </c>
      <c r="G78" s="1340">
        <f>_xlfn.XLOOKUP($A78,'TB FORMATTED'!$A:$A,'TB FORMATTED'!E:E,0,0,1)</f>
        <v>0</v>
      </c>
      <c r="H78" s="280">
        <f t="shared" si="3"/>
        <v>0</v>
      </c>
    </row>
    <row r="79" spans="1:10" x14ac:dyDescent="0.3">
      <c r="A79" s="1036" t="str">
        <f>COA!B80</f>
        <v>2803 Accrued loan interest</v>
      </c>
      <c r="B79" s="955">
        <f>_xlfn.XLOOKUP($A79,'TB FORMATTED'!$A:$A,'TB FORMATTED'!B:B,0,0,1)</f>
        <v>0</v>
      </c>
      <c r="C79" s="955">
        <f>_xlfn.XLOOKUP($A79,'TB FORMATTED'!$A:$A,'TB FORMATTED'!C:C,0,0,1)</f>
        <v>67204</v>
      </c>
      <c r="D79" s="280">
        <f t="shared" si="2"/>
        <v>-67204</v>
      </c>
      <c r="F79" s="1340">
        <f>_xlfn.XLOOKUP($A79,'TB FORMATTED'!$A:$A,'TB FORMATTED'!D:D,0,0,1)</f>
        <v>0</v>
      </c>
      <c r="G79" s="1340">
        <f>_xlfn.XLOOKUP($A79,'TB FORMATTED'!$A:$A,'TB FORMATTED'!E:E,0,0,1)</f>
        <v>0</v>
      </c>
      <c r="H79" s="280">
        <f t="shared" si="3"/>
        <v>0</v>
      </c>
    </row>
    <row r="80" spans="1:10" hidden="1" x14ac:dyDescent="0.3">
      <c r="A80" s="1036" t="str">
        <f>COA!B81</f>
        <v>2900 Intercompany - due to Hallor Group Inc.</v>
      </c>
      <c r="B80" s="955">
        <f>_xlfn.XLOOKUP($A80,'TB FORMATTED'!$A:$A,'TB FORMATTED'!B:B,0,0,1)</f>
        <v>0</v>
      </c>
      <c r="C80" s="955">
        <f>_xlfn.XLOOKUP($A80,'TB FORMATTED'!$A:$A,'TB FORMATTED'!C:C,0,0,1)</f>
        <v>0</v>
      </c>
      <c r="D80" s="280">
        <f t="shared" si="2"/>
        <v>0</v>
      </c>
      <c r="F80" s="1340">
        <f>_xlfn.XLOOKUP($A80,'TB FORMATTED'!$A:$A,'TB FORMATTED'!D:D,0,0,1)</f>
        <v>0</v>
      </c>
      <c r="G80" s="1340">
        <f>_xlfn.XLOOKUP($A80,'TB FORMATTED'!$A:$A,'TB FORMATTED'!E:E,0,0,1)</f>
        <v>109089.96</v>
      </c>
      <c r="H80" s="280">
        <f t="shared" si="3"/>
        <v>-109089.96</v>
      </c>
    </row>
    <row r="81" spans="1:8" x14ac:dyDescent="0.3">
      <c r="A81" s="1036" t="str">
        <f>COA!B82</f>
        <v>3000 Share capital</v>
      </c>
      <c r="B81" s="955">
        <f>_xlfn.XLOOKUP($A81,'TB FORMATTED'!$A:$A,'TB FORMATTED'!B:B,0,0,1)</f>
        <v>0</v>
      </c>
      <c r="C81" s="955">
        <f>_xlfn.XLOOKUP($A81,'TB FORMATTED'!$A:$A,'TB FORMATTED'!C:C,0,0,1)</f>
        <v>6450000</v>
      </c>
      <c r="D81" s="280">
        <f t="shared" si="2"/>
        <v>-6450000</v>
      </c>
      <c r="F81" s="1340">
        <f>_xlfn.XLOOKUP($A81,'TB FORMATTED'!$A:$A,'TB FORMATTED'!D:D,0,0,1)</f>
        <v>0</v>
      </c>
      <c r="G81" s="1340">
        <f>_xlfn.XLOOKUP($A81,'TB FORMATTED'!$A:$A,'TB FORMATTED'!E:E,0,0,1)</f>
        <v>0</v>
      </c>
      <c r="H81" s="280">
        <f t="shared" si="3"/>
        <v>0</v>
      </c>
    </row>
    <row r="82" spans="1:8" hidden="1" x14ac:dyDescent="0.3">
      <c r="A82" s="1036" t="str">
        <f>COA!B83</f>
        <v>3000 Opening Bal Equity</v>
      </c>
      <c r="B82" s="955">
        <f>_xlfn.XLOOKUP($A82,'TB FORMATTED'!$A:$A,'TB FORMATTED'!B:B,0,0,1)</f>
        <v>0</v>
      </c>
      <c r="C82" s="955">
        <f>_xlfn.XLOOKUP($A82,'TB FORMATTED'!$A:$A,'TB FORMATTED'!C:C,0,0,1)</f>
        <v>0</v>
      </c>
      <c r="D82" s="280">
        <f t="shared" si="2"/>
        <v>0</v>
      </c>
      <c r="F82" s="1340">
        <f>_xlfn.XLOOKUP($A82,'TB FORMATTED'!$A:$A,'TB FORMATTED'!D:D,0,0,1)</f>
        <v>1697.62</v>
      </c>
      <c r="G82" s="1340">
        <f>_xlfn.XLOOKUP($A82,'TB FORMATTED'!$A:$A,'TB FORMATTED'!E:E,0,0,1)</f>
        <v>0</v>
      </c>
      <c r="H82" s="280">
        <f t="shared" si="3"/>
        <v>1697.62</v>
      </c>
    </row>
    <row r="83" spans="1:8" x14ac:dyDescent="0.3">
      <c r="A83" s="1036" t="str">
        <f>COA!B84</f>
        <v>3001 Share capital:Common Shares</v>
      </c>
      <c r="B83" s="955">
        <f>_xlfn.XLOOKUP($A83,'TB FORMATTED'!$A:$A,'TB FORMATTED'!B:B,0,0,1)</f>
        <v>0</v>
      </c>
      <c r="C83" s="955">
        <f>_xlfn.XLOOKUP($A83,'TB FORMATTED'!$A:$A,'TB FORMATTED'!C:C,0,0,1)</f>
        <v>1801251</v>
      </c>
      <c r="D83" s="280">
        <f t="shared" si="2"/>
        <v>-1801251</v>
      </c>
      <c r="F83" s="1340">
        <f>_xlfn.XLOOKUP($A83,'TB FORMATTED'!$A:$A,'TB FORMATTED'!D:D,0,0,1)</f>
        <v>0</v>
      </c>
      <c r="G83" s="1340">
        <f>_xlfn.XLOOKUP($A83,'TB FORMATTED'!$A:$A,'TB FORMATTED'!E:E,0,0,1)</f>
        <v>0</v>
      </c>
      <c r="H83" s="280">
        <f t="shared" si="3"/>
        <v>0</v>
      </c>
    </row>
    <row r="84" spans="1:8" x14ac:dyDescent="0.3">
      <c r="A84" s="1036" t="str">
        <f>COA!B85</f>
        <v>3010 Share issuance cost</v>
      </c>
      <c r="B84" s="955">
        <f>_xlfn.XLOOKUP($A84,'TB FORMATTED'!$A:$A,'TB FORMATTED'!B:B,0,0,1)</f>
        <v>27152.1</v>
      </c>
      <c r="C84" s="955">
        <f>_xlfn.XLOOKUP($A84,'TB FORMATTED'!$A:$A,'TB FORMATTED'!C:C,0,0,1)</f>
        <v>0</v>
      </c>
      <c r="D84" s="280">
        <f t="shared" si="2"/>
        <v>27152.1</v>
      </c>
      <c r="F84" s="1340">
        <f>_xlfn.XLOOKUP($A84,'TB FORMATTED'!$A:$A,'TB FORMATTED'!D:D,0,0,1)</f>
        <v>0</v>
      </c>
      <c r="G84" s="1340">
        <f>_xlfn.XLOOKUP($A84,'TB FORMATTED'!$A:$A,'TB FORMATTED'!E:E,0,0,1)</f>
        <v>0</v>
      </c>
      <c r="H84" s="280">
        <f t="shared" si="3"/>
        <v>0</v>
      </c>
    </row>
    <row r="85" spans="1:8" x14ac:dyDescent="0.3">
      <c r="A85" s="1036" t="str">
        <f>COA!B86</f>
        <v>3100 Warrant reserve</v>
      </c>
      <c r="B85" s="955">
        <f>_xlfn.XLOOKUP($A85,'TB FORMATTED'!$A:$A,'TB FORMATTED'!B:B,0,0,1)</f>
        <v>0</v>
      </c>
      <c r="C85" s="955">
        <f>_xlfn.XLOOKUP($A85,'TB FORMATTED'!$A:$A,'TB FORMATTED'!C:C,0,0,1)</f>
        <v>308750</v>
      </c>
      <c r="D85" s="280">
        <f t="shared" si="2"/>
        <v>-308750</v>
      </c>
      <c r="F85" s="1340">
        <f>_xlfn.XLOOKUP($A85,'TB FORMATTED'!$A:$A,'TB FORMATTED'!D:D,0,0,1)</f>
        <v>0</v>
      </c>
      <c r="G85" s="1340">
        <f>_xlfn.XLOOKUP($A85,'TB FORMATTED'!$A:$A,'TB FORMATTED'!E:E,0,0,1)</f>
        <v>0</v>
      </c>
      <c r="H85" s="280">
        <f t="shared" si="3"/>
        <v>0</v>
      </c>
    </row>
    <row r="86" spans="1:8" hidden="1" x14ac:dyDescent="0.3">
      <c r="A86" s="1036" t="str">
        <f>COA!B87</f>
        <v>3100 Common Shares</v>
      </c>
      <c r="B86" s="955">
        <f>_xlfn.XLOOKUP($A86,'TB FORMATTED'!$A:$A,'TB FORMATTED'!B:B,0,0,1)</f>
        <v>0</v>
      </c>
      <c r="C86" s="955">
        <f>_xlfn.XLOOKUP($A86,'TB FORMATTED'!$A:$A,'TB FORMATTED'!C:C,0,0,1)</f>
        <v>0</v>
      </c>
      <c r="D86" s="280">
        <f t="shared" si="2"/>
        <v>0</v>
      </c>
      <c r="F86" s="1340">
        <f>_xlfn.XLOOKUP($A86,'TB FORMATTED'!$A:$A,'TB FORMATTED'!D:D,0,0,1)</f>
        <v>0</v>
      </c>
      <c r="G86" s="1340">
        <f>_xlfn.XLOOKUP($A86,'TB FORMATTED'!$A:$A,'TB FORMATTED'!E:E,0,0,1)</f>
        <v>0</v>
      </c>
      <c r="H86" s="280">
        <f t="shared" si="3"/>
        <v>0</v>
      </c>
    </row>
    <row r="87" spans="1:8" hidden="1" x14ac:dyDescent="0.3">
      <c r="A87" s="1036" t="str">
        <f>COA!B88</f>
        <v>3105 Common Shares:Class A Shares</v>
      </c>
      <c r="B87" s="955">
        <f>_xlfn.XLOOKUP($A87,'TB FORMATTED'!$A:$A,'TB FORMATTED'!B:B,0,0,1)</f>
        <v>0</v>
      </c>
      <c r="C87" s="955">
        <f>_xlfn.XLOOKUP($A87,'TB FORMATTED'!$A:$A,'TB FORMATTED'!C:C,0,0,1)</f>
        <v>0</v>
      </c>
      <c r="D87" s="280">
        <f t="shared" si="2"/>
        <v>0</v>
      </c>
      <c r="F87" s="1340">
        <f>_xlfn.XLOOKUP($A87,'TB FORMATTED'!$A:$A,'TB FORMATTED'!D:D,0,0,1)</f>
        <v>0</v>
      </c>
      <c r="G87" s="1340">
        <f>_xlfn.XLOOKUP($A87,'TB FORMATTED'!$A:$A,'TB FORMATTED'!E:E,0,0,1)</f>
        <v>24</v>
      </c>
      <c r="H87" s="280">
        <f t="shared" si="3"/>
        <v>-24</v>
      </c>
    </row>
    <row r="88" spans="1:8" hidden="1" x14ac:dyDescent="0.3">
      <c r="A88" s="1036" t="str">
        <f>COA!B89</f>
        <v>3110 Common Shares:Class B Shares</v>
      </c>
      <c r="B88" s="955">
        <f>_xlfn.XLOOKUP($A88,'TB FORMATTED'!$A:$A,'TB FORMATTED'!B:B,0,0,1)</f>
        <v>0</v>
      </c>
      <c r="C88" s="955">
        <f>_xlfn.XLOOKUP($A88,'TB FORMATTED'!$A:$A,'TB FORMATTED'!C:C,0,0,1)</f>
        <v>0</v>
      </c>
      <c r="D88" s="280">
        <f t="shared" si="2"/>
        <v>0</v>
      </c>
      <c r="F88" s="1340">
        <f>_xlfn.XLOOKUP($A88,'TB FORMATTED'!$A:$A,'TB FORMATTED'!D:D,0,0,1)</f>
        <v>0</v>
      </c>
      <c r="G88" s="1340">
        <f>_xlfn.XLOOKUP($A88,'TB FORMATTED'!$A:$A,'TB FORMATTED'!E:E,0,0,1)</f>
        <v>12</v>
      </c>
      <c r="H88" s="280">
        <f t="shared" si="3"/>
        <v>-12</v>
      </c>
    </row>
    <row r="89" spans="1:8" hidden="1" x14ac:dyDescent="0.3">
      <c r="A89" s="1036" t="str">
        <f>COA!B90</f>
        <v>3115 Common Shares:Class C Shares</v>
      </c>
      <c r="B89" s="955">
        <f>_xlfn.XLOOKUP($A89,'TB FORMATTED'!$A:$A,'TB FORMATTED'!B:B,0,0,1)</f>
        <v>0</v>
      </c>
      <c r="C89" s="955">
        <f>_xlfn.XLOOKUP($A89,'TB FORMATTED'!$A:$A,'TB FORMATTED'!C:C,0,0,1)</f>
        <v>0</v>
      </c>
      <c r="D89" s="280">
        <f t="shared" si="2"/>
        <v>0</v>
      </c>
      <c r="F89" s="1340">
        <f>_xlfn.XLOOKUP($A89,'TB FORMATTED'!$A:$A,'TB FORMATTED'!D:D,0,0,1)</f>
        <v>0</v>
      </c>
      <c r="G89" s="1340">
        <f>_xlfn.XLOOKUP($A89,'TB FORMATTED'!$A:$A,'TB FORMATTED'!E:E,0,0,1)</f>
        <v>12</v>
      </c>
      <c r="H89" s="280">
        <f t="shared" si="3"/>
        <v>-12</v>
      </c>
    </row>
    <row r="90" spans="1:8" hidden="1" x14ac:dyDescent="0.3">
      <c r="A90" s="1036" t="str">
        <f>COA!B91</f>
        <v>3200 Capital contribution</v>
      </c>
      <c r="B90" s="955">
        <f>_xlfn.XLOOKUP($A90,'TB FORMATTED'!$A:$A,'TB FORMATTED'!B:B,0,0,1)</f>
        <v>0</v>
      </c>
      <c r="C90" s="955">
        <f>_xlfn.XLOOKUP($A90,'TB FORMATTED'!$A:$A,'TB FORMATTED'!C:C,0,0,1)</f>
        <v>0</v>
      </c>
      <c r="D90" s="280">
        <f t="shared" si="2"/>
        <v>0</v>
      </c>
      <c r="F90" s="1340">
        <f>_xlfn.XLOOKUP($A90,'TB FORMATTED'!$A:$A,'TB FORMATTED'!D:D,0,0,1)</f>
        <v>0</v>
      </c>
      <c r="G90" s="1340">
        <f>_xlfn.XLOOKUP($A90,'TB FORMATTED'!$A:$A,'TB FORMATTED'!E:E,0,0,1)</f>
        <v>59349.72</v>
      </c>
      <c r="H90" s="280">
        <f t="shared" si="3"/>
        <v>-59349.72</v>
      </c>
    </row>
    <row r="91" spans="1:8" hidden="1" x14ac:dyDescent="0.3">
      <c r="A91" s="1036" t="str">
        <f>COA!B92</f>
        <v>3500 Opening Balance Equity</v>
      </c>
      <c r="B91" s="955">
        <f>_xlfn.XLOOKUP($A91,'TB FORMATTED'!$A:$A,'TB FORMATTED'!B:B,0,0,1)</f>
        <v>0</v>
      </c>
      <c r="C91" s="955">
        <f>_xlfn.XLOOKUP($A91,'TB FORMATTED'!$A:$A,'TB FORMATTED'!C:C,0,0,1)</f>
        <v>0</v>
      </c>
      <c r="D91" s="280">
        <f t="shared" si="2"/>
        <v>0</v>
      </c>
      <c r="F91" s="1340">
        <f>_xlfn.XLOOKUP($A91,'TB FORMATTED'!$A:$A,'TB FORMATTED'!D:D,0,0,1)</f>
        <v>0</v>
      </c>
      <c r="G91" s="1340">
        <f>_xlfn.XLOOKUP($A91,'TB FORMATTED'!$A:$A,'TB FORMATTED'!E:E,0,0,1)</f>
        <v>0</v>
      </c>
      <c r="H91" s="280">
        <f t="shared" si="3"/>
        <v>0</v>
      </c>
    </row>
    <row r="92" spans="1:8" x14ac:dyDescent="0.3">
      <c r="A92" s="1036" t="str">
        <f>COA!B94</f>
        <v>3501 Retained Earnings</v>
      </c>
      <c r="B92" s="955">
        <f>_xlfn.XLOOKUP($A92,'TB FORMATTED'!$A:$A,'TB FORMATTED'!B:B,0,0,1)</f>
        <v>1700383.98</v>
      </c>
      <c r="C92" s="955">
        <f>_xlfn.XLOOKUP($A92,'TB FORMATTED'!$A:$A,'TB FORMATTED'!C:C,0,0,1)</f>
        <v>0</v>
      </c>
      <c r="D92" s="280">
        <f t="shared" si="2"/>
        <v>1700383.98</v>
      </c>
      <c r="F92" s="1340">
        <f>_xlfn.XLOOKUP($A92,'TB FORMATTED'!$A:$A,'TB FORMATTED'!D:D,0,0,1)</f>
        <v>0</v>
      </c>
      <c r="G92" s="1340">
        <f>_xlfn.XLOOKUP($A92,'TB FORMATTED'!$A:$A,'TB FORMATTED'!E:E,0,0,1)</f>
        <v>0</v>
      </c>
      <c r="H92" s="280">
        <f t="shared" si="3"/>
        <v>0</v>
      </c>
    </row>
    <row r="93" spans="1:8" hidden="1" x14ac:dyDescent="0.3">
      <c r="A93" s="1036" t="str">
        <f>COA!B95</f>
        <v>3900 Retained Earnings</v>
      </c>
      <c r="B93" s="955">
        <f>_xlfn.XLOOKUP($A93,'TB FORMATTED'!$A:$A,'TB FORMATTED'!B:B,0,0,1)</f>
        <v>0</v>
      </c>
      <c r="C93" s="955">
        <f>_xlfn.XLOOKUP($A93,'TB FORMATTED'!$A:$A,'TB FORMATTED'!C:C,0,0,1)</f>
        <v>0</v>
      </c>
      <c r="D93" s="280">
        <f t="shared" si="2"/>
        <v>0</v>
      </c>
      <c r="F93" s="1340">
        <f>_xlfn.XLOOKUP($A93,'TB FORMATTED'!$A:$A,'TB FORMATTED'!D:D,0,0,1)</f>
        <v>502637.82</v>
      </c>
      <c r="G93" s="1340">
        <f>_xlfn.XLOOKUP($A93,'TB FORMATTED'!$A:$A,'TB FORMATTED'!E:E,0,0,1)</f>
        <v>0</v>
      </c>
      <c r="H93" s="280">
        <f t="shared" si="3"/>
        <v>502637.82</v>
      </c>
    </row>
    <row r="94" spans="1:8" hidden="1" x14ac:dyDescent="0.3">
      <c r="A94" s="1036" t="str">
        <f>COA!B96</f>
        <v>5000 Revenue</v>
      </c>
      <c r="B94" s="955">
        <f>_xlfn.XLOOKUP($A94,'TB FORMATTED'!$A:$A,'TB FORMATTED'!B:B,0,0,1)</f>
        <v>0</v>
      </c>
      <c r="C94" s="955">
        <f>_xlfn.XLOOKUP($A94,'TB FORMATTED'!$A:$A,'TB FORMATTED'!C:C,0,0,1)</f>
        <v>0</v>
      </c>
      <c r="D94" s="280">
        <f t="shared" si="2"/>
        <v>0</v>
      </c>
      <c r="F94" s="1340">
        <f>_xlfn.XLOOKUP($A94,'TB FORMATTED'!$A:$A,'TB FORMATTED'!D:D,0,0,1)</f>
        <v>0</v>
      </c>
      <c r="G94" s="1340">
        <f>_xlfn.XLOOKUP($A94,'TB FORMATTED'!$A:$A,'TB FORMATTED'!E:E,0,0,1)</f>
        <v>0</v>
      </c>
      <c r="H94" s="280">
        <f t="shared" si="3"/>
        <v>0</v>
      </c>
    </row>
    <row r="95" spans="1:8" hidden="1" x14ac:dyDescent="0.3">
      <c r="A95" s="1036" t="str">
        <f>COA!B97</f>
        <v>5000 Utility Vehicle Sales</v>
      </c>
      <c r="B95" s="955">
        <f>_xlfn.XLOOKUP($A95,'TB FORMATTED'!$A:$A,'TB FORMATTED'!B:B,0,0,1)</f>
        <v>0</v>
      </c>
      <c r="C95" s="955">
        <f>_xlfn.XLOOKUP($A95,'TB FORMATTED'!$A:$A,'TB FORMATTED'!C:C,0,0,1)</f>
        <v>0</v>
      </c>
      <c r="D95" s="280">
        <f t="shared" si="2"/>
        <v>0</v>
      </c>
      <c r="F95" s="1340">
        <f>_xlfn.XLOOKUP($A95,'TB FORMATTED'!$A:$A,'TB FORMATTED'!D:D,0,0,1)</f>
        <v>0</v>
      </c>
      <c r="G95" s="1340">
        <f>_xlfn.XLOOKUP($A95,'TB FORMATTED'!$A:$A,'TB FORMATTED'!E:E,0,0,1)</f>
        <v>360000</v>
      </c>
      <c r="H95" s="280">
        <f t="shared" si="3"/>
        <v>-360000</v>
      </c>
    </row>
    <row r="96" spans="1:8" hidden="1" x14ac:dyDescent="0.3">
      <c r="A96" s="1036" t="str">
        <f>COA!B98</f>
        <v>5001 Other General Sales</v>
      </c>
      <c r="B96" s="955">
        <f>_xlfn.XLOOKUP($A96,'TB FORMATTED'!$A:$A,'TB FORMATTED'!B:B,0,0,1)</f>
        <v>0</v>
      </c>
      <c r="C96" s="955">
        <f>_xlfn.XLOOKUP($A96,'TB FORMATTED'!$A:$A,'TB FORMATTED'!C:C,0,0,1)</f>
        <v>0</v>
      </c>
      <c r="D96" s="280">
        <f t="shared" si="2"/>
        <v>0</v>
      </c>
      <c r="F96" s="1340">
        <f>_xlfn.XLOOKUP($A96,'TB FORMATTED'!$A:$A,'TB FORMATTED'!D:D,0,0,1)</f>
        <v>0</v>
      </c>
      <c r="G96" s="1340">
        <f>_xlfn.XLOOKUP($A96,'TB FORMATTED'!$A:$A,'TB FORMATTED'!E:E,0,0,1)</f>
        <v>0</v>
      </c>
      <c r="H96" s="280">
        <f t="shared" si="3"/>
        <v>0</v>
      </c>
    </row>
    <row r="97" spans="1:8" hidden="1" x14ac:dyDescent="0.3">
      <c r="A97" s="1036" t="str">
        <f>COA!B99</f>
        <v>5002 Equipment parts sale</v>
      </c>
      <c r="B97" s="955">
        <f>_xlfn.XLOOKUP($A97,'TB FORMATTED'!$A:$A,'TB FORMATTED'!B:B,0,0,1)</f>
        <v>0</v>
      </c>
      <c r="C97" s="955">
        <f>_xlfn.XLOOKUP($A97,'TB FORMATTED'!$A:$A,'TB FORMATTED'!C:C,0,0,1)</f>
        <v>0</v>
      </c>
      <c r="D97" s="280">
        <f t="shared" si="2"/>
        <v>0</v>
      </c>
      <c r="F97" s="1340">
        <f>_xlfn.XLOOKUP($A97,'TB FORMATTED'!$A:$A,'TB FORMATTED'!D:D,0,0,1)</f>
        <v>0</v>
      </c>
      <c r="G97" s="1340">
        <f>_xlfn.XLOOKUP($A97,'TB FORMATTED'!$A:$A,'TB FORMATTED'!E:E,0,0,1)</f>
        <v>0</v>
      </c>
      <c r="H97" s="280">
        <f t="shared" si="3"/>
        <v>0</v>
      </c>
    </row>
    <row r="98" spans="1:8" hidden="1" x14ac:dyDescent="0.3">
      <c r="A98" s="1036" t="str">
        <f>COA!B100</f>
        <v>5003 Labour service</v>
      </c>
      <c r="B98" s="955">
        <f>_xlfn.XLOOKUP($A98,'TB FORMATTED'!$A:$A,'TB FORMATTED'!B:B,0,0,1)</f>
        <v>0</v>
      </c>
      <c r="C98" s="955">
        <f>_xlfn.XLOOKUP($A98,'TB FORMATTED'!$A:$A,'TB FORMATTED'!C:C,0,0,1)</f>
        <v>0</v>
      </c>
      <c r="D98" s="280">
        <f t="shared" si="2"/>
        <v>0</v>
      </c>
      <c r="F98" s="1340">
        <f>_xlfn.XLOOKUP($A98,'TB FORMATTED'!$A:$A,'TB FORMATTED'!D:D,0,0,1)</f>
        <v>0</v>
      </c>
      <c r="G98" s="1340">
        <f>_xlfn.XLOOKUP($A98,'TB FORMATTED'!$A:$A,'TB FORMATTED'!E:E,0,0,1)</f>
        <v>0</v>
      </c>
      <c r="H98" s="280">
        <f t="shared" si="3"/>
        <v>0</v>
      </c>
    </row>
    <row r="99" spans="1:8" hidden="1" x14ac:dyDescent="0.3">
      <c r="A99" s="1036" t="str">
        <f>COA!B101</f>
        <v>5004 Shop Supplies Sales</v>
      </c>
      <c r="B99" s="955">
        <f>_xlfn.XLOOKUP($A99,'TB FORMATTED'!$A:$A,'TB FORMATTED'!B:B,0,0,1)</f>
        <v>0</v>
      </c>
      <c r="C99" s="955">
        <f>_xlfn.XLOOKUP($A99,'TB FORMATTED'!$A:$A,'TB FORMATTED'!C:C,0,0,1)</f>
        <v>0</v>
      </c>
      <c r="D99" s="280">
        <f t="shared" si="2"/>
        <v>0</v>
      </c>
      <c r="F99" s="1340">
        <f>_xlfn.XLOOKUP($A99,'TB FORMATTED'!$A:$A,'TB FORMATTED'!D:D,0,0,1)</f>
        <v>0</v>
      </c>
      <c r="G99" s="1340">
        <f>_xlfn.XLOOKUP($A99,'TB FORMATTED'!$A:$A,'TB FORMATTED'!E:E,0,0,1)</f>
        <v>0</v>
      </c>
      <c r="H99" s="280">
        <f t="shared" si="3"/>
        <v>0</v>
      </c>
    </row>
    <row r="100" spans="1:8" hidden="1" x14ac:dyDescent="0.3">
      <c r="A100" s="1036" t="str">
        <f>COA!B102</f>
        <v>5006 Markup</v>
      </c>
      <c r="B100" s="955">
        <f>_xlfn.XLOOKUP($A100,'TB FORMATTED'!$A:$A,'TB FORMATTED'!B:B,0,0,1)</f>
        <v>0</v>
      </c>
      <c r="C100" s="955">
        <f>_xlfn.XLOOKUP($A100,'TB FORMATTED'!$A:$A,'TB FORMATTED'!C:C,0,0,1)</f>
        <v>0</v>
      </c>
      <c r="D100" s="280">
        <f t="shared" si="2"/>
        <v>0</v>
      </c>
      <c r="F100" s="1340">
        <f>_xlfn.XLOOKUP($A100,'TB FORMATTED'!$A:$A,'TB FORMATTED'!D:D,0,0,1)</f>
        <v>0</v>
      </c>
      <c r="G100" s="1340">
        <f>_xlfn.XLOOKUP($A100,'TB FORMATTED'!$A:$A,'TB FORMATTED'!E:E,0,0,1)</f>
        <v>0</v>
      </c>
      <c r="H100" s="280">
        <f t="shared" si="3"/>
        <v>0</v>
      </c>
    </row>
    <row r="101" spans="1:8" hidden="1" x14ac:dyDescent="0.3">
      <c r="A101" s="1036" t="str">
        <f>COA!B104</f>
        <v>5498 Interest income</v>
      </c>
      <c r="B101" s="955">
        <f>_xlfn.XLOOKUP($A101,'TB FORMATTED'!$A:$A,'TB FORMATTED'!B:B,0,0,1)</f>
        <v>0</v>
      </c>
      <c r="C101" s="955">
        <f>_xlfn.XLOOKUP($A101,'TB FORMATTED'!$A:$A,'TB FORMATTED'!C:C,0,0,1)</f>
        <v>0</v>
      </c>
      <c r="D101" s="280">
        <f t="shared" si="2"/>
        <v>0</v>
      </c>
      <c r="F101" s="1340">
        <f>_xlfn.XLOOKUP($A101,'TB FORMATTED'!$A:$A,'TB FORMATTED'!D:D,0,0,1)</f>
        <v>0</v>
      </c>
      <c r="G101" s="1340">
        <f>_xlfn.XLOOKUP($A101,'TB FORMATTED'!$A:$A,'TB FORMATTED'!E:E,0,0,1)</f>
        <v>13.5</v>
      </c>
      <c r="H101" s="280">
        <f t="shared" si="3"/>
        <v>-13.5</v>
      </c>
    </row>
    <row r="102" spans="1:8" hidden="1" x14ac:dyDescent="0.3">
      <c r="A102" s="1036" t="str">
        <f>COA!B105</f>
        <v>5499 Other Income</v>
      </c>
      <c r="B102" s="955">
        <f>_xlfn.XLOOKUP($A102,'TB FORMATTED'!$A:$A,'TB FORMATTED'!B:B,0,0,1)</f>
        <v>0</v>
      </c>
      <c r="C102" s="955">
        <f>_xlfn.XLOOKUP($A102,'TB FORMATTED'!$A:$A,'TB FORMATTED'!C:C,0,0,1)</f>
        <v>0</v>
      </c>
      <c r="D102" s="280">
        <f t="shared" si="2"/>
        <v>0</v>
      </c>
      <c r="F102" s="1340">
        <f>_xlfn.XLOOKUP($A102,'TB FORMATTED'!$A:$A,'TB FORMATTED'!D:D,0,0,1)</f>
        <v>0</v>
      </c>
      <c r="G102" s="1340">
        <f>_xlfn.XLOOKUP($A102,'TB FORMATTED'!$A:$A,'TB FORMATTED'!E:E,0,0,1)</f>
        <v>0</v>
      </c>
      <c r="H102" s="280">
        <f t="shared" si="3"/>
        <v>0</v>
      </c>
    </row>
    <row r="103" spans="1:8" hidden="1" x14ac:dyDescent="0.3">
      <c r="A103" s="1036" t="str">
        <f>COA!B106</f>
        <v>5500 Cost of Goods Sold</v>
      </c>
      <c r="B103" s="955">
        <f>_xlfn.XLOOKUP($A103,'TB FORMATTED'!$A:$A,'TB FORMATTED'!B:B,0,0,1)</f>
        <v>0</v>
      </c>
      <c r="C103" s="955">
        <f>_xlfn.XLOOKUP($A103,'TB FORMATTED'!$A:$A,'TB FORMATTED'!C:C,0,0,1)</f>
        <v>0</v>
      </c>
      <c r="D103" s="280">
        <f t="shared" si="2"/>
        <v>0</v>
      </c>
      <c r="F103" s="1340">
        <f>_xlfn.XLOOKUP($A103,'TB FORMATTED'!$A:$A,'TB FORMATTED'!D:D,0,0,1)</f>
        <v>322512.24</v>
      </c>
      <c r="G103" s="1340">
        <f>_xlfn.XLOOKUP($A103,'TB FORMATTED'!$A:$A,'TB FORMATTED'!E:E,0,0,1)</f>
        <v>0</v>
      </c>
      <c r="H103" s="280">
        <f t="shared" si="3"/>
        <v>322512.24</v>
      </c>
    </row>
    <row r="104" spans="1:8" hidden="1" x14ac:dyDescent="0.3">
      <c r="A104" s="1036" t="str">
        <f>COA!B107</f>
        <v>5510 Cost of Goods Sold:Parts and components  - COS</v>
      </c>
      <c r="B104" s="955">
        <f>_xlfn.XLOOKUP($A104,'TB FORMATTED'!$A:$A,'TB FORMATTED'!B:B,0,0,1)</f>
        <v>0</v>
      </c>
      <c r="C104" s="955">
        <f>_xlfn.XLOOKUP($A104,'TB FORMATTED'!$A:$A,'TB FORMATTED'!C:C,0,0,1)</f>
        <v>0</v>
      </c>
      <c r="D104" s="280">
        <f t="shared" si="2"/>
        <v>0</v>
      </c>
      <c r="F104" s="1340">
        <f>_xlfn.XLOOKUP($A104,'TB FORMATTED'!$A:$A,'TB FORMATTED'!D:D,0,0,1)</f>
        <v>4655.68</v>
      </c>
      <c r="G104" s="1340">
        <f>_xlfn.XLOOKUP($A104,'TB FORMATTED'!$A:$A,'TB FORMATTED'!E:E,0,0,1)</f>
        <v>0</v>
      </c>
      <c r="H104" s="280">
        <f t="shared" si="3"/>
        <v>4655.68</v>
      </c>
    </row>
    <row r="105" spans="1:8" hidden="1" x14ac:dyDescent="0.3">
      <c r="A105" s="1036" t="str">
        <f>COA!B108</f>
        <v>5515 Cost of Goods Sold:Engineering  - COS</v>
      </c>
      <c r="B105" s="955">
        <f>_xlfn.XLOOKUP($A105,'TB FORMATTED'!$A:$A,'TB FORMATTED'!B:B,0,0,1)</f>
        <v>0</v>
      </c>
      <c r="C105" s="955">
        <f>_xlfn.XLOOKUP($A105,'TB FORMATTED'!$A:$A,'TB FORMATTED'!C:C,0,0,1)</f>
        <v>0</v>
      </c>
      <c r="D105" s="280">
        <f t="shared" si="2"/>
        <v>0</v>
      </c>
      <c r="F105" s="1340">
        <f>_xlfn.XLOOKUP($A105,'TB FORMATTED'!$A:$A,'TB FORMATTED'!D:D,0,0,1)</f>
        <v>0</v>
      </c>
      <c r="G105" s="1340">
        <f>_xlfn.XLOOKUP($A105,'TB FORMATTED'!$A:$A,'TB FORMATTED'!E:E,0,0,1)</f>
        <v>0</v>
      </c>
      <c r="H105" s="280">
        <f t="shared" si="3"/>
        <v>0</v>
      </c>
    </row>
    <row r="106" spans="1:8" hidden="1" x14ac:dyDescent="0.3">
      <c r="A106" s="1036" t="str">
        <f>COA!B109</f>
        <v>5520 Cost of Goods Sold:Subcontracting  - COS</v>
      </c>
      <c r="B106" s="955">
        <f>_xlfn.XLOOKUP($A106,'TB FORMATTED'!$A:$A,'TB FORMATTED'!B:B,0,0,1)</f>
        <v>0</v>
      </c>
      <c r="C106" s="955">
        <f>_xlfn.XLOOKUP($A106,'TB FORMATTED'!$A:$A,'TB FORMATTED'!C:C,0,0,1)</f>
        <v>0</v>
      </c>
      <c r="D106" s="280">
        <f t="shared" si="2"/>
        <v>0</v>
      </c>
      <c r="F106" s="1340">
        <f>_xlfn.XLOOKUP($A106,'TB FORMATTED'!$A:$A,'TB FORMATTED'!D:D,0,0,1)</f>
        <v>887.29</v>
      </c>
      <c r="G106" s="1340">
        <f>_xlfn.XLOOKUP($A106,'TB FORMATTED'!$A:$A,'TB FORMATTED'!E:E,0,0,1)</f>
        <v>0</v>
      </c>
      <c r="H106" s="280">
        <f t="shared" si="3"/>
        <v>887.29</v>
      </c>
    </row>
    <row r="107" spans="1:8" hidden="1" x14ac:dyDescent="0.3">
      <c r="A107" s="1036" t="str">
        <f>COA!B110</f>
        <v>5525 Cost of Goods Sold:Shipping  - COS</v>
      </c>
      <c r="B107" s="955">
        <f>_xlfn.XLOOKUP($A107,'TB FORMATTED'!$A:$A,'TB FORMATTED'!B:B,0,0,1)</f>
        <v>0</v>
      </c>
      <c r="C107" s="955">
        <f>_xlfn.XLOOKUP($A107,'TB FORMATTED'!$A:$A,'TB FORMATTED'!C:C,0,0,1)</f>
        <v>0</v>
      </c>
      <c r="D107" s="280">
        <f t="shared" si="2"/>
        <v>0</v>
      </c>
      <c r="F107" s="1340">
        <f>_xlfn.XLOOKUP($A107,'TB FORMATTED'!$A:$A,'TB FORMATTED'!D:D,0,0,1)</f>
        <v>0</v>
      </c>
      <c r="G107" s="1340">
        <f>_xlfn.XLOOKUP($A107,'TB FORMATTED'!$A:$A,'TB FORMATTED'!E:E,0,0,1)</f>
        <v>0</v>
      </c>
      <c r="H107" s="280">
        <f t="shared" si="3"/>
        <v>0</v>
      </c>
    </row>
    <row r="108" spans="1:8" hidden="1" x14ac:dyDescent="0.3">
      <c r="A108" s="1036" t="str">
        <f>COA!B111</f>
        <v>5530 Cost of Goods Sold:Disposal/Landfill  - COS</v>
      </c>
      <c r="B108" s="955">
        <f>_xlfn.XLOOKUP($A108,'TB FORMATTED'!$A:$A,'TB FORMATTED'!B:B,0,0,1)</f>
        <v>0</v>
      </c>
      <c r="C108" s="955">
        <f>_xlfn.XLOOKUP($A108,'TB FORMATTED'!$A:$A,'TB FORMATTED'!C:C,0,0,1)</f>
        <v>0</v>
      </c>
      <c r="D108" s="280">
        <f t="shared" si="2"/>
        <v>0</v>
      </c>
      <c r="F108" s="1340">
        <f>_xlfn.XLOOKUP($A108,'TB FORMATTED'!$A:$A,'TB FORMATTED'!D:D,0,0,1)</f>
        <v>0</v>
      </c>
      <c r="G108" s="1340">
        <f>_xlfn.XLOOKUP($A108,'TB FORMATTED'!$A:$A,'TB FORMATTED'!E:E,0,0,1)</f>
        <v>0</v>
      </c>
      <c r="H108" s="280">
        <f t="shared" si="3"/>
        <v>0</v>
      </c>
    </row>
    <row r="109" spans="1:8" hidden="1" x14ac:dyDescent="0.3">
      <c r="A109" s="1036" t="str">
        <f>COA!B112</f>
        <v>5535 Cost of Goods Sold:Inventory Write Off  - COS</v>
      </c>
      <c r="B109" s="955">
        <f>_xlfn.XLOOKUP($A109,'TB FORMATTED'!$A:$A,'TB FORMATTED'!B:B,0,0,1)</f>
        <v>0</v>
      </c>
      <c r="C109" s="955">
        <f>_xlfn.XLOOKUP($A109,'TB FORMATTED'!$A:$A,'TB FORMATTED'!C:C,0,0,1)</f>
        <v>0</v>
      </c>
      <c r="D109" s="280">
        <f t="shared" si="2"/>
        <v>0</v>
      </c>
      <c r="F109" s="1340">
        <f>_xlfn.XLOOKUP($A109,'TB FORMATTED'!$A:$A,'TB FORMATTED'!D:D,0,0,1)</f>
        <v>0</v>
      </c>
      <c r="G109" s="1340">
        <f>_xlfn.XLOOKUP($A109,'TB FORMATTED'!$A:$A,'TB FORMATTED'!E:E,0,0,1)</f>
        <v>0</v>
      </c>
      <c r="H109" s="280">
        <f t="shared" si="3"/>
        <v>0</v>
      </c>
    </row>
    <row r="110" spans="1:8" hidden="1" x14ac:dyDescent="0.3">
      <c r="A110" s="1036" t="str">
        <f>COA!B113</f>
        <v>5540 Cost of Goods Sold:Equipment Fuel  - COS</v>
      </c>
      <c r="B110" s="955">
        <f>_xlfn.XLOOKUP($A110,'TB FORMATTED'!$A:$A,'TB FORMATTED'!B:B,0,0,1)</f>
        <v>0</v>
      </c>
      <c r="C110" s="955">
        <f>_xlfn.XLOOKUP($A110,'TB FORMATTED'!$A:$A,'TB FORMATTED'!C:C,0,0,1)</f>
        <v>0</v>
      </c>
      <c r="D110" s="280">
        <f t="shared" si="2"/>
        <v>0</v>
      </c>
      <c r="F110" s="1340">
        <f>_xlfn.XLOOKUP($A110,'TB FORMATTED'!$A:$A,'TB FORMATTED'!D:D,0,0,1)</f>
        <v>0</v>
      </c>
      <c r="G110" s="1340">
        <f>_xlfn.XLOOKUP($A110,'TB FORMATTED'!$A:$A,'TB FORMATTED'!E:E,0,0,1)</f>
        <v>0</v>
      </c>
      <c r="H110" s="280">
        <f t="shared" si="3"/>
        <v>0</v>
      </c>
    </row>
    <row r="111" spans="1:8" hidden="1" x14ac:dyDescent="0.3">
      <c r="A111" s="1036" t="str">
        <f>COA!B114</f>
        <v>5545 Cost of Goods Sold:Equipment Leasing  - COS</v>
      </c>
      <c r="B111" s="955">
        <f>_xlfn.XLOOKUP($A111,'TB FORMATTED'!$A:$A,'TB FORMATTED'!B:B,0,0,1)</f>
        <v>0</v>
      </c>
      <c r="C111" s="955">
        <f>_xlfn.XLOOKUP($A111,'TB FORMATTED'!$A:$A,'TB FORMATTED'!C:C,0,0,1)</f>
        <v>0</v>
      </c>
      <c r="D111" s="280">
        <f t="shared" si="2"/>
        <v>0</v>
      </c>
      <c r="F111" s="1340">
        <f>_xlfn.XLOOKUP($A111,'TB FORMATTED'!$A:$A,'TB FORMATTED'!D:D,0,0,1)</f>
        <v>0</v>
      </c>
      <c r="G111" s="1340">
        <f>_xlfn.XLOOKUP($A111,'TB FORMATTED'!$A:$A,'TB FORMATTED'!E:E,0,0,1)</f>
        <v>0</v>
      </c>
      <c r="H111" s="280">
        <f t="shared" si="3"/>
        <v>0</v>
      </c>
    </row>
    <row r="112" spans="1:8" hidden="1" x14ac:dyDescent="0.3">
      <c r="A112" s="1036" t="str">
        <f>COA!B115</f>
        <v>5511 Supplies and materials - COS</v>
      </c>
      <c r="B112" s="955">
        <f>_xlfn.XLOOKUP($A112,'TB FORMATTED'!$A:$A,'TB FORMATTED'!B:B,0,0,1)</f>
        <v>0</v>
      </c>
      <c r="C112" s="955">
        <f>_xlfn.XLOOKUP($A112,'TB FORMATTED'!$A:$A,'TB FORMATTED'!C:C,0,0,1)</f>
        <v>0</v>
      </c>
      <c r="D112" s="280">
        <f t="shared" si="2"/>
        <v>0</v>
      </c>
      <c r="F112" s="1340">
        <f>_xlfn.XLOOKUP($A112,'TB FORMATTED'!$A:$A,'TB FORMATTED'!D:D,0,0,1)</f>
        <v>103.12</v>
      </c>
      <c r="G112" s="1340">
        <f>_xlfn.XLOOKUP($A112,'TB FORMATTED'!$A:$A,'TB FORMATTED'!E:E,0,0,1)</f>
        <v>0</v>
      </c>
      <c r="H112" s="280">
        <f t="shared" si="3"/>
        <v>103.12</v>
      </c>
    </row>
    <row r="113" spans="1:8" hidden="1" x14ac:dyDescent="0.3">
      <c r="A113" s="1036" t="str">
        <f>COA!B116</f>
        <v>5998 Uncategorized Income</v>
      </c>
      <c r="B113" s="955">
        <f>_xlfn.XLOOKUP($A113,'TB FORMATTED'!$A:$A,'TB FORMATTED'!B:B,0,0,1)</f>
        <v>0</v>
      </c>
      <c r="C113" s="955">
        <f>_xlfn.XLOOKUP($A113,'TB FORMATTED'!$A:$A,'TB FORMATTED'!C:C,0,0,1)</f>
        <v>0</v>
      </c>
      <c r="D113" s="280">
        <f t="shared" si="2"/>
        <v>0</v>
      </c>
      <c r="F113" s="1340">
        <f>_xlfn.XLOOKUP($A113,'TB FORMATTED'!$A:$A,'TB FORMATTED'!D:D,0,0,1)</f>
        <v>0</v>
      </c>
      <c r="G113" s="1340">
        <f>_xlfn.XLOOKUP($A113,'TB FORMATTED'!$A:$A,'TB FORMATTED'!E:E,0,0,1)</f>
        <v>0</v>
      </c>
      <c r="H113" s="280">
        <f t="shared" si="3"/>
        <v>0</v>
      </c>
    </row>
    <row r="114" spans="1:8" hidden="1" x14ac:dyDescent="0.3">
      <c r="A114" s="1036" t="str">
        <f>COA!B117</f>
        <v>5999 Uncategorized Income</v>
      </c>
      <c r="B114" s="955">
        <f>_xlfn.XLOOKUP($A114,'TB FORMATTED'!$A:$A,'TB FORMATTED'!B:B,0,0,1)</f>
        <v>0</v>
      </c>
      <c r="C114" s="955">
        <f>_xlfn.XLOOKUP($A114,'TB FORMATTED'!$A:$A,'TB FORMATTED'!C:C,0,0,1)</f>
        <v>0</v>
      </c>
      <c r="D114" s="280">
        <f t="shared" si="2"/>
        <v>0</v>
      </c>
      <c r="F114" s="1340">
        <f>_xlfn.XLOOKUP($A114,'TB FORMATTED'!$A:$A,'TB FORMATTED'!D:D,0,0,1)</f>
        <v>0</v>
      </c>
      <c r="G114" s="1340">
        <f>_xlfn.XLOOKUP($A114,'TB FORMATTED'!$A:$A,'TB FORMATTED'!E:E,0,0,1)</f>
        <v>0</v>
      </c>
      <c r="H114" s="280">
        <f t="shared" si="3"/>
        <v>0</v>
      </c>
    </row>
    <row r="115" spans="1:8" hidden="1" x14ac:dyDescent="0.3">
      <c r="A115" s="1036" t="str">
        <f>COA!B118</f>
        <v>5999 Unapplied Cash Payment Income</v>
      </c>
      <c r="B115" s="955">
        <f>_xlfn.XLOOKUP($A115,'TB FORMATTED'!$A:$A,'TB FORMATTED'!B:B,0,0,1)</f>
        <v>0</v>
      </c>
      <c r="C115" s="955">
        <f>_xlfn.XLOOKUP($A115,'TB FORMATTED'!$A:$A,'TB FORMATTED'!C:C,0,0,1)</f>
        <v>0</v>
      </c>
      <c r="D115" s="280">
        <f t="shared" si="2"/>
        <v>0</v>
      </c>
      <c r="F115" s="1340">
        <f>_xlfn.XLOOKUP($A115,'TB FORMATTED'!$A:$A,'TB FORMATTED'!D:D,0,0,1)</f>
        <v>0</v>
      </c>
      <c r="G115" s="1340">
        <f>_xlfn.XLOOKUP($A115,'TB FORMATTED'!$A:$A,'TB FORMATTED'!E:E,0,0,1)</f>
        <v>0</v>
      </c>
      <c r="H115" s="280">
        <f t="shared" si="3"/>
        <v>0</v>
      </c>
    </row>
    <row r="116" spans="1:8" hidden="1" x14ac:dyDescent="0.3">
      <c r="A116" s="1036" t="str">
        <f>COA!B119</f>
        <v>6000 Payroll Expenses</v>
      </c>
      <c r="B116" s="955">
        <f>_xlfn.XLOOKUP($A116,'TB FORMATTED'!$A:$A,'TB FORMATTED'!B:B,0,0,1)</f>
        <v>0</v>
      </c>
      <c r="C116" s="955">
        <f>_xlfn.XLOOKUP($A116,'TB FORMATTED'!$A:$A,'TB FORMATTED'!C:C,0,0,1)</f>
        <v>0</v>
      </c>
      <c r="D116" s="280">
        <f t="shared" si="2"/>
        <v>0</v>
      </c>
      <c r="F116" s="1340">
        <f>_xlfn.XLOOKUP($A116,'TB FORMATTED'!$A:$A,'TB FORMATTED'!D:D,0,0,1)</f>
        <v>0</v>
      </c>
      <c r="G116" s="1340">
        <f>_xlfn.XLOOKUP($A116,'TB FORMATTED'!$A:$A,'TB FORMATTED'!E:E,0,0,1)</f>
        <v>0</v>
      </c>
      <c r="H116" s="280">
        <f t="shared" si="3"/>
        <v>0</v>
      </c>
    </row>
    <row r="117" spans="1:8" hidden="1" x14ac:dyDescent="0.3">
      <c r="A117" s="1036" t="str">
        <f>COA!B120</f>
        <v>6001 Payroll Expenses:Management Salaries</v>
      </c>
      <c r="B117" s="955">
        <f>_xlfn.XLOOKUP($A117,'TB FORMATTED'!$A:$A,'TB FORMATTED'!B:B,0,0,1)</f>
        <v>0</v>
      </c>
      <c r="C117" s="955">
        <f>_xlfn.XLOOKUP($A117,'TB FORMATTED'!$A:$A,'TB FORMATTED'!C:C,0,0,1)</f>
        <v>0</v>
      </c>
      <c r="D117" s="280">
        <f t="shared" si="2"/>
        <v>0</v>
      </c>
      <c r="F117" s="1340">
        <f>_xlfn.XLOOKUP($A117,'TB FORMATTED'!$A:$A,'TB FORMATTED'!D:D,0,0,1)</f>
        <v>0</v>
      </c>
      <c r="G117" s="1340">
        <f>_xlfn.XLOOKUP($A117,'TB FORMATTED'!$A:$A,'TB FORMATTED'!E:E,0,0,1)</f>
        <v>0</v>
      </c>
      <c r="H117" s="280">
        <f t="shared" si="3"/>
        <v>0</v>
      </c>
    </row>
    <row r="118" spans="1:8" hidden="1" x14ac:dyDescent="0.3">
      <c r="A118" s="1036" t="str">
        <f>COA!B121</f>
        <v>6002 Payroll Expenses:Wages</v>
      </c>
      <c r="B118" s="955">
        <f>_xlfn.XLOOKUP($A118,'TB FORMATTED'!$A:$A,'TB FORMATTED'!B:B,0,0,1)</f>
        <v>0</v>
      </c>
      <c r="C118" s="955">
        <f>_xlfn.XLOOKUP($A118,'TB FORMATTED'!$A:$A,'TB FORMATTED'!C:C,0,0,1)</f>
        <v>0</v>
      </c>
      <c r="D118" s="280">
        <f t="shared" si="2"/>
        <v>0</v>
      </c>
      <c r="F118" s="1340">
        <f>_xlfn.XLOOKUP($A118,'TB FORMATTED'!$A:$A,'TB FORMATTED'!D:D,0,0,1)</f>
        <v>0</v>
      </c>
      <c r="G118" s="1340">
        <f>_xlfn.XLOOKUP($A118,'TB FORMATTED'!$A:$A,'TB FORMATTED'!E:E,0,0,1)</f>
        <v>0</v>
      </c>
      <c r="H118" s="280">
        <f t="shared" si="3"/>
        <v>0</v>
      </c>
    </row>
    <row r="119" spans="1:8" hidden="1" x14ac:dyDescent="0.3">
      <c r="A119" s="1036" t="str">
        <f>COA!B122</f>
        <v>6003 Payroll Expenses:Vacation Pay</v>
      </c>
      <c r="B119" s="955">
        <f>_xlfn.XLOOKUP($A119,'TB FORMATTED'!$A:$A,'TB FORMATTED'!B:B,0,0,1)</f>
        <v>0</v>
      </c>
      <c r="C119" s="955">
        <f>_xlfn.XLOOKUP($A119,'TB FORMATTED'!$A:$A,'TB FORMATTED'!C:C,0,0,1)</f>
        <v>0</v>
      </c>
      <c r="D119" s="280">
        <f t="shared" si="2"/>
        <v>0</v>
      </c>
      <c r="F119" s="1340">
        <f>_xlfn.XLOOKUP($A119,'TB FORMATTED'!$A:$A,'TB FORMATTED'!D:D,0,0,1)</f>
        <v>0</v>
      </c>
      <c r="G119" s="1340">
        <f>_xlfn.XLOOKUP($A119,'TB FORMATTED'!$A:$A,'TB FORMATTED'!E:E,0,0,1)</f>
        <v>0</v>
      </c>
      <c r="H119" s="280">
        <f t="shared" si="3"/>
        <v>0</v>
      </c>
    </row>
    <row r="120" spans="1:8" hidden="1" x14ac:dyDescent="0.3">
      <c r="A120" s="1036" t="str">
        <f>COA!B123</f>
        <v>6004 Payroll Expenses:Employer Taxes</v>
      </c>
      <c r="B120" s="955">
        <f>_xlfn.XLOOKUP($A120,'TB FORMATTED'!$A:$A,'TB FORMATTED'!B:B,0,0,1)</f>
        <v>0</v>
      </c>
      <c r="C120" s="955">
        <f>_xlfn.XLOOKUP($A120,'TB FORMATTED'!$A:$A,'TB FORMATTED'!C:C,0,0,1)</f>
        <v>0</v>
      </c>
      <c r="D120" s="280">
        <f t="shared" si="2"/>
        <v>0</v>
      </c>
      <c r="F120" s="1340">
        <f>_xlfn.XLOOKUP($A120,'TB FORMATTED'!$A:$A,'TB FORMATTED'!D:D,0,0,1)</f>
        <v>0</v>
      </c>
      <c r="G120" s="1340">
        <f>_xlfn.XLOOKUP($A120,'TB FORMATTED'!$A:$A,'TB FORMATTED'!E:E,0,0,1)</f>
        <v>0</v>
      </c>
      <c r="H120" s="280">
        <f t="shared" si="3"/>
        <v>0</v>
      </c>
    </row>
    <row r="121" spans="1:8" hidden="1" x14ac:dyDescent="0.3">
      <c r="A121" s="1036" t="str">
        <f>COA!B124</f>
        <v>6005 Payroll Expenses:WCB Expense</v>
      </c>
      <c r="B121" s="955">
        <f>_xlfn.XLOOKUP($A121,'TB FORMATTED'!$A:$A,'TB FORMATTED'!B:B,0,0,1)</f>
        <v>0</v>
      </c>
      <c r="C121" s="955">
        <f>_xlfn.XLOOKUP($A121,'TB FORMATTED'!$A:$A,'TB FORMATTED'!C:C,0,0,1)</f>
        <v>0</v>
      </c>
      <c r="D121" s="280">
        <f t="shared" si="2"/>
        <v>0</v>
      </c>
      <c r="F121" s="1340">
        <f>_xlfn.XLOOKUP($A121,'TB FORMATTED'!$A:$A,'TB FORMATTED'!D:D,0,0,1)</f>
        <v>0</v>
      </c>
      <c r="G121" s="1340">
        <f>_xlfn.XLOOKUP($A121,'TB FORMATTED'!$A:$A,'TB FORMATTED'!E:E,0,0,1)</f>
        <v>0</v>
      </c>
      <c r="H121" s="280">
        <f t="shared" si="3"/>
        <v>0</v>
      </c>
    </row>
    <row r="122" spans="1:8" hidden="1" x14ac:dyDescent="0.3">
      <c r="A122" s="1036" t="str">
        <f>COA!B125</f>
        <v>6010 Other G&amp;A</v>
      </c>
      <c r="B122" s="955">
        <f>_xlfn.XLOOKUP($A122,'TB FORMATTED'!$A:$A,'TB FORMATTED'!B:B,0,0,1)</f>
        <v>0</v>
      </c>
      <c r="C122" s="955">
        <f>_xlfn.XLOOKUP($A122,'TB FORMATTED'!$A:$A,'TB FORMATTED'!C:C,0,0,1)</f>
        <v>0</v>
      </c>
      <c r="D122" s="280">
        <f t="shared" si="2"/>
        <v>0</v>
      </c>
      <c r="F122" s="1340">
        <f>_xlfn.XLOOKUP($A122,'TB FORMATTED'!$A:$A,'TB FORMATTED'!D:D,0,0,1)</f>
        <v>0</v>
      </c>
      <c r="G122" s="1340">
        <f>_xlfn.XLOOKUP($A122,'TB FORMATTED'!$A:$A,'TB FORMATTED'!E:E,0,0,1)</f>
        <v>0</v>
      </c>
      <c r="H122" s="280">
        <f t="shared" si="3"/>
        <v>0</v>
      </c>
    </row>
    <row r="123" spans="1:8" x14ac:dyDescent="0.3">
      <c r="A123" s="1036" t="str">
        <f>COA!B126</f>
        <v>6011 Bank charges</v>
      </c>
      <c r="B123" s="955">
        <f>_xlfn.XLOOKUP($A123,'TB FORMATTED'!$A:$A,'TB FORMATTED'!B:B,0,0,1)</f>
        <v>1602.05</v>
      </c>
      <c r="C123" s="955">
        <f>_xlfn.XLOOKUP($A123,'TB FORMATTED'!$A:$A,'TB FORMATTED'!C:C,0,0,1)</f>
        <v>0</v>
      </c>
      <c r="D123" s="280">
        <f t="shared" si="2"/>
        <v>1602.05</v>
      </c>
      <c r="F123" s="1340">
        <f>_xlfn.XLOOKUP($A123,'TB FORMATTED'!$A:$A,'TB FORMATTED'!D:D,0,0,1)</f>
        <v>678.5</v>
      </c>
      <c r="G123" s="1340">
        <f>_xlfn.XLOOKUP($A123,'TB FORMATTED'!$A:$A,'TB FORMATTED'!E:E,0,0,1)</f>
        <v>0</v>
      </c>
      <c r="H123" s="280">
        <f t="shared" si="3"/>
        <v>678.5</v>
      </c>
    </row>
    <row r="124" spans="1:8" hidden="1" x14ac:dyDescent="0.3">
      <c r="A124" s="1036" t="str">
        <f>COA!B127</f>
        <v>6012 Bad debts</v>
      </c>
      <c r="B124" s="955">
        <f>_xlfn.XLOOKUP($A124,'TB FORMATTED'!$A:$A,'TB FORMATTED'!B:B,0,0,1)</f>
        <v>0</v>
      </c>
      <c r="C124" s="955">
        <f>_xlfn.XLOOKUP($A124,'TB FORMATTED'!$A:$A,'TB FORMATTED'!C:C,0,0,1)</f>
        <v>0</v>
      </c>
      <c r="D124" s="280">
        <f t="shared" si="2"/>
        <v>0</v>
      </c>
      <c r="F124" s="1340">
        <f>_xlfn.XLOOKUP($A124,'TB FORMATTED'!$A:$A,'TB FORMATTED'!D:D,0,0,1)</f>
        <v>0</v>
      </c>
      <c r="G124" s="1340">
        <f>_xlfn.XLOOKUP($A124,'TB FORMATTED'!$A:$A,'TB FORMATTED'!E:E,0,0,1)</f>
        <v>0</v>
      </c>
      <c r="H124" s="280">
        <f t="shared" si="3"/>
        <v>0</v>
      </c>
    </row>
    <row r="125" spans="1:8" hidden="1" x14ac:dyDescent="0.3">
      <c r="A125" s="1036" t="str">
        <f>COA!B128</f>
        <v>6012 Bad Debt</v>
      </c>
      <c r="B125" s="955">
        <f>_xlfn.XLOOKUP($A125,'TB FORMATTED'!$A:$A,'TB FORMATTED'!B:B,0,0,1)</f>
        <v>0</v>
      </c>
      <c r="C125" s="955">
        <f>_xlfn.XLOOKUP($A125,'TB FORMATTED'!$A:$A,'TB FORMATTED'!C:C,0,0,1)</f>
        <v>0</v>
      </c>
      <c r="D125" s="280">
        <f t="shared" si="2"/>
        <v>0</v>
      </c>
      <c r="F125" s="1340">
        <f>_xlfn.XLOOKUP($A125,'TB FORMATTED'!$A:$A,'TB FORMATTED'!D:D,0,0,1)</f>
        <v>0</v>
      </c>
      <c r="G125" s="1340">
        <f>_xlfn.XLOOKUP($A125,'TB FORMATTED'!$A:$A,'TB FORMATTED'!E:E,0,0,1)</f>
        <v>0</v>
      </c>
      <c r="H125" s="280">
        <f t="shared" si="3"/>
        <v>0</v>
      </c>
    </row>
    <row r="126" spans="1:8" x14ac:dyDescent="0.3">
      <c r="A126" s="1036" t="str">
        <f>COA!B129</f>
        <v>6013 Interest expense</v>
      </c>
      <c r="B126" s="955">
        <f>_xlfn.XLOOKUP($A126,'TB FORMATTED'!$A:$A,'TB FORMATTED'!B:B,0,0,1)</f>
        <v>37565</v>
      </c>
      <c r="C126" s="955">
        <f>_xlfn.XLOOKUP($A126,'TB FORMATTED'!$A:$A,'TB FORMATTED'!C:C,0,0,1)</f>
        <v>0</v>
      </c>
      <c r="D126" s="280">
        <f t="shared" si="2"/>
        <v>37565</v>
      </c>
      <c r="F126" s="1340">
        <f>_xlfn.XLOOKUP($A126,'TB FORMATTED'!$A:$A,'TB FORMATTED'!D:D,0,0,1)</f>
        <v>7666.57</v>
      </c>
      <c r="G126" s="1340">
        <f>_xlfn.XLOOKUP($A126,'TB FORMATTED'!$A:$A,'TB FORMATTED'!E:E,0,0,1)</f>
        <v>0</v>
      </c>
      <c r="H126" s="280">
        <f t="shared" si="3"/>
        <v>7666.57</v>
      </c>
    </row>
    <row r="127" spans="1:8" hidden="1" x14ac:dyDescent="0.3">
      <c r="A127" s="1036" t="str">
        <f>COA!B130</f>
        <v>6015 Accounting Fees</v>
      </c>
      <c r="B127" s="955">
        <f>_xlfn.XLOOKUP($A127,'TB FORMATTED'!$A:$A,'TB FORMATTED'!B:B,0,0,1)</f>
        <v>0</v>
      </c>
      <c r="C127" s="955">
        <f>_xlfn.XLOOKUP($A127,'TB FORMATTED'!$A:$A,'TB FORMATTED'!C:C,0,0,1)</f>
        <v>0</v>
      </c>
      <c r="D127" s="280">
        <f t="shared" si="2"/>
        <v>0</v>
      </c>
      <c r="F127" s="1340">
        <f>_xlfn.XLOOKUP($A127,'TB FORMATTED'!$A:$A,'TB FORMATTED'!D:D,0,0,1)</f>
        <v>0</v>
      </c>
      <c r="G127" s="1340">
        <f>_xlfn.XLOOKUP($A127,'TB FORMATTED'!$A:$A,'TB FORMATTED'!E:E,0,0,1)</f>
        <v>0</v>
      </c>
      <c r="H127" s="280">
        <f t="shared" si="3"/>
        <v>0</v>
      </c>
    </row>
    <row r="128" spans="1:8" hidden="1" x14ac:dyDescent="0.3">
      <c r="A128" s="1036" t="str">
        <f>COA!B131</f>
        <v>6015 Accounting &amp; Legal</v>
      </c>
      <c r="B128" s="955">
        <f>_xlfn.XLOOKUP($A128,'TB FORMATTED'!$A:$A,'TB FORMATTED'!B:B,0,0,1)</f>
        <v>0</v>
      </c>
      <c r="C128" s="955">
        <f>_xlfn.XLOOKUP($A128,'TB FORMATTED'!$A:$A,'TB FORMATTED'!C:C,0,0,1)</f>
        <v>0</v>
      </c>
      <c r="D128" s="280">
        <f t="shared" si="2"/>
        <v>0</v>
      </c>
      <c r="F128" s="1340">
        <f>_xlfn.XLOOKUP($A128,'TB FORMATTED'!$A:$A,'TB FORMATTED'!D:D,0,0,1)</f>
        <v>449.4</v>
      </c>
      <c r="G128" s="1340">
        <f>_xlfn.XLOOKUP($A128,'TB FORMATTED'!$A:$A,'TB FORMATTED'!E:E,0,0,1)</f>
        <v>0</v>
      </c>
      <c r="H128" s="280">
        <f t="shared" si="3"/>
        <v>449.4</v>
      </c>
    </row>
    <row r="129" spans="1:8" x14ac:dyDescent="0.3">
      <c r="A129" s="1036" t="str">
        <f>COA!B132</f>
        <v>6016 Legal and professional fees</v>
      </c>
      <c r="B129" s="955">
        <f>_xlfn.XLOOKUP($A129,'TB FORMATTED'!$A:$A,'TB FORMATTED'!B:B,0,0,1)</f>
        <v>133276.85</v>
      </c>
      <c r="C129" s="955">
        <f>_xlfn.XLOOKUP($A129,'TB FORMATTED'!$A:$A,'TB FORMATTED'!C:C,0,0,1)</f>
        <v>0</v>
      </c>
      <c r="D129" s="280">
        <f t="shared" si="2"/>
        <v>133276.85</v>
      </c>
      <c r="F129" s="1340">
        <f>_xlfn.XLOOKUP($A129,'TB FORMATTED'!$A:$A,'TB FORMATTED'!D:D,0,0,1)</f>
        <v>0</v>
      </c>
      <c r="G129" s="1340">
        <f>_xlfn.XLOOKUP($A129,'TB FORMATTED'!$A:$A,'TB FORMATTED'!E:E,0,0,1)</f>
        <v>0</v>
      </c>
      <c r="H129" s="280">
        <f t="shared" si="3"/>
        <v>0</v>
      </c>
    </row>
    <row r="130" spans="1:8" hidden="1" x14ac:dyDescent="0.3">
      <c r="A130" s="1036" t="str">
        <f>COA!B133</f>
        <v>6016 Consulting Expense</v>
      </c>
      <c r="B130" s="955">
        <f>_xlfn.XLOOKUP($A130,'TB FORMATTED'!$A:$A,'TB FORMATTED'!B:B,0,0,1)</f>
        <v>0</v>
      </c>
      <c r="C130" s="955">
        <f>_xlfn.XLOOKUP($A130,'TB FORMATTED'!$A:$A,'TB FORMATTED'!C:C,0,0,1)</f>
        <v>0</v>
      </c>
      <c r="D130" s="280">
        <f t="shared" si="2"/>
        <v>0</v>
      </c>
      <c r="F130" s="1340">
        <f>_xlfn.XLOOKUP($A130,'TB FORMATTED'!$A:$A,'TB FORMATTED'!D:D,0,0,1)</f>
        <v>225291.05</v>
      </c>
      <c r="G130" s="1340">
        <f>_xlfn.XLOOKUP($A130,'TB FORMATTED'!$A:$A,'TB FORMATTED'!E:E,0,0,1)</f>
        <v>0</v>
      </c>
      <c r="H130" s="280">
        <f t="shared" si="3"/>
        <v>225291.05</v>
      </c>
    </row>
    <row r="131" spans="1:8" x14ac:dyDescent="0.3">
      <c r="A131" s="1036" t="str">
        <f>COA!B134</f>
        <v>6017 Consulting Fees</v>
      </c>
      <c r="B131" s="955">
        <f>_xlfn.XLOOKUP($A131,'TB FORMATTED'!$A:$A,'TB FORMATTED'!B:B,0,0,1)</f>
        <v>93000</v>
      </c>
      <c r="C131" s="955">
        <f>_xlfn.XLOOKUP($A131,'TB FORMATTED'!$A:$A,'TB FORMATTED'!C:C,0,0,1)</f>
        <v>0</v>
      </c>
      <c r="D131" s="280">
        <f t="shared" si="2"/>
        <v>93000</v>
      </c>
      <c r="F131" s="1340">
        <f>_xlfn.XLOOKUP($A131,'TB FORMATTED'!$A:$A,'TB FORMATTED'!D:D,0,0,1)</f>
        <v>0</v>
      </c>
      <c r="G131" s="1340">
        <f>_xlfn.XLOOKUP($A131,'TB FORMATTED'!$A:$A,'TB FORMATTED'!E:E,0,0,1)</f>
        <v>0</v>
      </c>
      <c r="H131" s="280">
        <f t="shared" si="3"/>
        <v>0</v>
      </c>
    </row>
    <row r="132" spans="1:8" hidden="1" x14ac:dyDescent="0.3">
      <c r="A132" s="1036" t="str">
        <f>COA!B135</f>
        <v>6018 Dues and Subscription</v>
      </c>
      <c r="B132" s="955">
        <f>_xlfn.XLOOKUP($A132,'TB FORMATTED'!$A:$A,'TB FORMATTED'!B:B,0,0,1)</f>
        <v>0</v>
      </c>
      <c r="C132" s="955">
        <f>_xlfn.XLOOKUP($A132,'TB FORMATTED'!$A:$A,'TB FORMATTED'!C:C,0,0,1)</f>
        <v>0</v>
      </c>
      <c r="D132" s="280">
        <f t="shared" si="2"/>
        <v>0</v>
      </c>
      <c r="F132" s="1340">
        <f>_xlfn.XLOOKUP($A132,'TB FORMATTED'!$A:$A,'TB FORMATTED'!D:D,0,0,1)</f>
        <v>0</v>
      </c>
      <c r="G132" s="1340">
        <f>_xlfn.XLOOKUP($A132,'TB FORMATTED'!$A:$A,'TB FORMATTED'!E:E,0,0,1)</f>
        <v>29.16</v>
      </c>
      <c r="H132" s="280">
        <f t="shared" si="3"/>
        <v>-29.16</v>
      </c>
    </row>
    <row r="133" spans="1:8" hidden="1" x14ac:dyDescent="0.3">
      <c r="A133" s="1036" t="str">
        <f>COA!B136</f>
        <v>6020 Advertising &amp; Promotion</v>
      </c>
      <c r="B133" s="955">
        <f>_xlfn.XLOOKUP($A133,'TB FORMATTED'!$A:$A,'TB FORMATTED'!B:B,0,0,1)</f>
        <v>0</v>
      </c>
      <c r="C133" s="955">
        <f>_xlfn.XLOOKUP($A133,'TB FORMATTED'!$A:$A,'TB FORMATTED'!C:C,0,0,1)</f>
        <v>0</v>
      </c>
      <c r="D133" s="280">
        <f t="shared" si="2"/>
        <v>0</v>
      </c>
      <c r="F133" s="1340">
        <f>_xlfn.XLOOKUP($A133,'TB FORMATTED'!$A:$A,'TB FORMATTED'!D:D,0,0,1)</f>
        <v>65281.8</v>
      </c>
      <c r="G133" s="1340">
        <f>_xlfn.XLOOKUP($A133,'TB FORMATTED'!$A:$A,'TB FORMATTED'!E:E,0,0,1)</f>
        <v>0</v>
      </c>
      <c r="H133" s="280">
        <f t="shared" si="3"/>
        <v>65281.8</v>
      </c>
    </row>
    <row r="134" spans="1:8" hidden="1" x14ac:dyDescent="0.3">
      <c r="A134" s="1036" t="str">
        <f>COA!B137</f>
        <v>6021 Tradeshows and conventions</v>
      </c>
      <c r="B134" s="955">
        <f>_xlfn.XLOOKUP($A134,'TB FORMATTED'!$A:$A,'TB FORMATTED'!B:B,0,0,1)</f>
        <v>0</v>
      </c>
      <c r="C134" s="955">
        <f>_xlfn.XLOOKUP($A134,'TB FORMATTED'!$A:$A,'TB FORMATTED'!C:C,0,0,1)</f>
        <v>0</v>
      </c>
      <c r="D134" s="280">
        <f t="shared" ref="D134:D177" si="4">B134-C134</f>
        <v>0</v>
      </c>
      <c r="F134" s="1340">
        <f>_xlfn.XLOOKUP($A134,'TB FORMATTED'!$A:$A,'TB FORMATTED'!D:D,0,0,1)</f>
        <v>5675.68</v>
      </c>
      <c r="G134" s="1340">
        <f>_xlfn.XLOOKUP($A134,'TB FORMATTED'!$A:$A,'TB FORMATTED'!E:E,0,0,1)</f>
        <v>0</v>
      </c>
      <c r="H134" s="280">
        <f t="shared" si="3"/>
        <v>5675.68</v>
      </c>
    </row>
    <row r="135" spans="1:8" x14ac:dyDescent="0.3">
      <c r="A135" s="1036" t="str">
        <f>COA!B138</f>
        <v>6025 Dues and Subscriptions</v>
      </c>
      <c r="B135" s="955">
        <f>_xlfn.XLOOKUP($A135,'TB FORMATTED'!$A:$A,'TB FORMATTED'!B:B,0,0,1)</f>
        <v>1771.23</v>
      </c>
      <c r="C135" s="955">
        <f>_xlfn.XLOOKUP($A135,'TB FORMATTED'!$A:$A,'TB FORMATTED'!C:C,0,0,1)</f>
        <v>0</v>
      </c>
      <c r="D135" s="280">
        <f t="shared" si="4"/>
        <v>1771.23</v>
      </c>
      <c r="F135" s="1340">
        <f>_xlfn.XLOOKUP($A135,'TB FORMATTED'!$A:$A,'TB FORMATTED'!D:D,0,0,1)</f>
        <v>0</v>
      </c>
      <c r="G135" s="1340">
        <f>_xlfn.XLOOKUP($A135,'TB FORMATTED'!$A:$A,'TB FORMATTED'!E:E,0,0,1)</f>
        <v>0</v>
      </c>
      <c r="H135" s="280">
        <f t="shared" ref="H135:H177" si="5">F135-G135</f>
        <v>0</v>
      </c>
    </row>
    <row r="136" spans="1:8" hidden="1" x14ac:dyDescent="0.3">
      <c r="A136" s="1036" t="str">
        <f>COA!B139</f>
        <v>6025 Automobile</v>
      </c>
      <c r="B136" s="955">
        <f>_xlfn.XLOOKUP($A136,'TB FORMATTED'!$A:$A,'TB FORMATTED'!B:B,0,0,1)</f>
        <v>0</v>
      </c>
      <c r="C136" s="955">
        <f>_xlfn.XLOOKUP($A136,'TB FORMATTED'!$A:$A,'TB FORMATTED'!C:C,0,0,1)</f>
        <v>0</v>
      </c>
      <c r="D136" s="280">
        <f t="shared" si="4"/>
        <v>0</v>
      </c>
      <c r="F136" s="1340">
        <f>_xlfn.XLOOKUP($A136,'TB FORMATTED'!$A:$A,'TB FORMATTED'!D:D,0,0,1)</f>
        <v>0</v>
      </c>
      <c r="G136" s="1340">
        <f>_xlfn.XLOOKUP($A136,'TB FORMATTED'!$A:$A,'TB FORMATTED'!E:E,0,0,1)</f>
        <v>0</v>
      </c>
      <c r="H136" s="280">
        <f t="shared" si="5"/>
        <v>0</v>
      </c>
    </row>
    <row r="137" spans="1:8" hidden="1" x14ac:dyDescent="0.3">
      <c r="A137" s="1036" t="str">
        <f>COA!B140</f>
        <v>6026 Fuel / Industrial Gas</v>
      </c>
      <c r="B137" s="955">
        <f>_xlfn.XLOOKUP($A137,'TB FORMATTED'!$A:$A,'TB FORMATTED'!B:B,0,0,1)</f>
        <v>0</v>
      </c>
      <c r="C137" s="955">
        <f>_xlfn.XLOOKUP($A137,'TB FORMATTED'!$A:$A,'TB FORMATTED'!C:C,0,0,1)</f>
        <v>0</v>
      </c>
      <c r="D137" s="280">
        <f t="shared" si="4"/>
        <v>0</v>
      </c>
      <c r="F137" s="1340">
        <f>_xlfn.XLOOKUP($A137,'TB FORMATTED'!$A:$A,'TB FORMATTED'!D:D,0,0,1)</f>
        <v>1350.8</v>
      </c>
      <c r="G137" s="1340">
        <f>_xlfn.XLOOKUP($A137,'TB FORMATTED'!$A:$A,'TB FORMATTED'!E:E,0,0,1)</f>
        <v>0</v>
      </c>
      <c r="H137" s="280">
        <f t="shared" si="5"/>
        <v>1350.8</v>
      </c>
    </row>
    <row r="138" spans="1:8" hidden="1" x14ac:dyDescent="0.3">
      <c r="A138" s="1036" t="str">
        <f>COA!B141</f>
        <v>6030 Communications</v>
      </c>
      <c r="B138" s="955">
        <f>_xlfn.XLOOKUP($A138,'TB FORMATTED'!$A:$A,'TB FORMATTED'!B:B,0,0,1)</f>
        <v>0</v>
      </c>
      <c r="C138" s="955">
        <f>_xlfn.XLOOKUP($A138,'TB FORMATTED'!$A:$A,'TB FORMATTED'!C:C,0,0,1)</f>
        <v>0</v>
      </c>
      <c r="D138" s="280">
        <f t="shared" si="4"/>
        <v>0</v>
      </c>
      <c r="F138" s="1340">
        <f>_xlfn.XLOOKUP($A138,'TB FORMATTED'!$A:$A,'TB FORMATTED'!D:D,0,0,1)</f>
        <v>0</v>
      </c>
      <c r="G138" s="1340">
        <f>_xlfn.XLOOKUP($A138,'TB FORMATTED'!$A:$A,'TB FORMATTED'!E:E,0,0,1)</f>
        <v>0</v>
      </c>
      <c r="H138" s="280">
        <f t="shared" si="5"/>
        <v>0</v>
      </c>
    </row>
    <row r="139" spans="1:8" hidden="1" x14ac:dyDescent="0.3">
      <c r="A139" s="1036" t="str">
        <f>COA!B142</f>
        <v>6031 IT Expense</v>
      </c>
      <c r="B139" s="955">
        <f>_xlfn.XLOOKUP($A139,'TB FORMATTED'!$A:$A,'TB FORMATTED'!B:B,0,0,1)</f>
        <v>0</v>
      </c>
      <c r="C139" s="955">
        <f>_xlfn.XLOOKUP($A139,'TB FORMATTED'!$A:$A,'TB FORMATTED'!C:C,0,0,1)</f>
        <v>0</v>
      </c>
      <c r="D139" s="280">
        <f t="shared" si="4"/>
        <v>0</v>
      </c>
      <c r="F139" s="1340">
        <f>_xlfn.XLOOKUP($A139,'TB FORMATTED'!$A:$A,'TB FORMATTED'!D:D,0,0,1)</f>
        <v>2566.8200000000002</v>
      </c>
      <c r="G139" s="1340">
        <f>_xlfn.XLOOKUP($A139,'TB FORMATTED'!$A:$A,'TB FORMATTED'!E:E,0,0,1)</f>
        <v>0</v>
      </c>
      <c r="H139" s="280">
        <f t="shared" si="5"/>
        <v>2566.8200000000002</v>
      </c>
    </row>
    <row r="140" spans="1:8" hidden="1" x14ac:dyDescent="0.3">
      <c r="A140" s="1036" t="str">
        <f>COA!B143</f>
        <v>6040 Meals and entertainment</v>
      </c>
      <c r="B140" s="955">
        <f>_xlfn.XLOOKUP($A140,'TB FORMATTED'!$A:$A,'TB FORMATTED'!B:B,0,0,1)</f>
        <v>0</v>
      </c>
      <c r="C140" s="955">
        <f>_xlfn.XLOOKUP($A140,'TB FORMATTED'!$A:$A,'TB FORMATTED'!C:C,0,0,1)</f>
        <v>0</v>
      </c>
      <c r="D140" s="280">
        <f t="shared" si="4"/>
        <v>0</v>
      </c>
      <c r="F140" s="1340">
        <f>_xlfn.XLOOKUP($A140,'TB FORMATTED'!$A:$A,'TB FORMATTED'!D:D,0,0,1)</f>
        <v>934.17</v>
      </c>
      <c r="G140" s="1340">
        <f>_xlfn.XLOOKUP($A140,'TB FORMATTED'!$A:$A,'TB FORMATTED'!E:E,0,0,1)</f>
        <v>0</v>
      </c>
      <c r="H140" s="280">
        <f t="shared" si="5"/>
        <v>934.17</v>
      </c>
    </row>
    <row r="141" spans="1:8" hidden="1" x14ac:dyDescent="0.3">
      <c r="A141" s="1036" t="str">
        <f>COA!B144</f>
        <v>6041 Travel Meals</v>
      </c>
      <c r="B141" s="955">
        <f>_xlfn.XLOOKUP($A141,'TB FORMATTED'!$A:$A,'TB FORMATTED'!B:B,0,0,1)</f>
        <v>0</v>
      </c>
      <c r="C141" s="955">
        <f>_xlfn.XLOOKUP($A141,'TB FORMATTED'!$A:$A,'TB FORMATTED'!C:C,0,0,1)</f>
        <v>0</v>
      </c>
      <c r="D141" s="280">
        <f t="shared" si="4"/>
        <v>0</v>
      </c>
      <c r="F141" s="1340">
        <f>_xlfn.XLOOKUP($A141,'TB FORMATTED'!$A:$A,'TB FORMATTED'!D:D,0,0,1)</f>
        <v>198.61</v>
      </c>
      <c r="G141" s="1340">
        <f>_xlfn.XLOOKUP($A141,'TB FORMATTED'!$A:$A,'TB FORMATTED'!E:E,0,0,1)</f>
        <v>0</v>
      </c>
      <c r="H141" s="280">
        <f t="shared" si="5"/>
        <v>198.61</v>
      </c>
    </row>
    <row r="142" spans="1:8" hidden="1" x14ac:dyDescent="0.3">
      <c r="A142" s="1036" t="str">
        <f>COA!B145</f>
        <v>6042 Travel</v>
      </c>
      <c r="B142" s="955">
        <f>_xlfn.XLOOKUP($A142,'TB FORMATTED'!$A:$A,'TB FORMATTED'!B:B,0,0,1)</f>
        <v>0</v>
      </c>
      <c r="C142" s="955">
        <f>_xlfn.XLOOKUP($A142,'TB FORMATTED'!$A:$A,'TB FORMATTED'!C:C,0,0,1)</f>
        <v>0</v>
      </c>
      <c r="D142" s="280">
        <f t="shared" si="4"/>
        <v>0</v>
      </c>
      <c r="F142" s="1340">
        <f>_xlfn.XLOOKUP($A142,'TB FORMATTED'!$A:$A,'TB FORMATTED'!D:D,0,0,1)</f>
        <v>4325.18</v>
      </c>
      <c r="G142" s="1340">
        <f>_xlfn.XLOOKUP($A142,'TB FORMATTED'!$A:$A,'TB FORMATTED'!E:E,0,0,1)</f>
        <v>0</v>
      </c>
      <c r="H142" s="280">
        <f t="shared" si="5"/>
        <v>4325.18</v>
      </c>
    </row>
    <row r="143" spans="1:8" hidden="1" x14ac:dyDescent="0.3">
      <c r="A143" s="1036" t="str">
        <f>COA!B146</f>
        <v>6043 Transfer agent and regulatory expenses</v>
      </c>
      <c r="B143" s="955">
        <f>_xlfn.XLOOKUP($A143,'TB FORMATTED'!$A:$A,'TB FORMATTED'!B:B,0,0,1)</f>
        <v>0</v>
      </c>
      <c r="C143" s="955">
        <f>_xlfn.XLOOKUP($A143,'TB FORMATTED'!$A:$A,'TB FORMATTED'!C:C,0,0,1)</f>
        <v>0</v>
      </c>
      <c r="D143" s="280">
        <f t="shared" si="4"/>
        <v>0</v>
      </c>
      <c r="F143" s="1340">
        <f>_xlfn.XLOOKUP($A143,'TB FORMATTED'!$A:$A,'TB FORMATTED'!D:D,0,0,1)</f>
        <v>0</v>
      </c>
      <c r="G143" s="1340">
        <f>_xlfn.XLOOKUP($A143,'TB FORMATTED'!$A:$A,'TB FORMATTED'!E:E,0,0,1)</f>
        <v>0</v>
      </c>
      <c r="H143" s="280">
        <f t="shared" si="5"/>
        <v>0</v>
      </c>
    </row>
    <row r="144" spans="1:8" x14ac:dyDescent="0.3">
      <c r="A144" s="1036" t="str">
        <f>COA!B147</f>
        <v>6050 Insurance</v>
      </c>
      <c r="B144" s="955">
        <f>_xlfn.XLOOKUP($A144,'TB FORMATTED'!$A:$A,'TB FORMATTED'!B:B,0,0,1)</f>
        <v>26182.36</v>
      </c>
      <c r="C144" s="955">
        <f>_xlfn.XLOOKUP($A144,'TB FORMATTED'!$A:$A,'TB FORMATTED'!C:C,0,0,1)</f>
        <v>0</v>
      </c>
      <c r="D144" s="280">
        <f t="shared" si="4"/>
        <v>26182.36</v>
      </c>
      <c r="F144" s="1340">
        <f>_xlfn.XLOOKUP($A144,'TB FORMATTED'!$A:$A,'TB FORMATTED'!D:D,0,0,1)</f>
        <v>0</v>
      </c>
      <c r="G144" s="1340">
        <f>_xlfn.XLOOKUP($A144,'TB FORMATTED'!$A:$A,'TB FORMATTED'!E:E,0,0,1)</f>
        <v>0</v>
      </c>
      <c r="H144" s="280">
        <f t="shared" si="5"/>
        <v>0</v>
      </c>
    </row>
    <row r="145" spans="1:8" x14ac:dyDescent="0.3">
      <c r="A145" s="1036" t="str">
        <f>COA!B148</f>
        <v>6060 Office expenses</v>
      </c>
      <c r="B145" s="955">
        <f>_xlfn.XLOOKUP($A145,'TB FORMATTED'!$A:$A,'TB FORMATTED'!B:B,0,0,1)</f>
        <v>64.319999999999993</v>
      </c>
      <c r="C145" s="955">
        <f>_xlfn.XLOOKUP($A145,'TB FORMATTED'!$A:$A,'TB FORMATTED'!C:C,0,0,1)</f>
        <v>0</v>
      </c>
      <c r="D145" s="280">
        <f t="shared" si="4"/>
        <v>64.319999999999993</v>
      </c>
      <c r="F145" s="1340">
        <f>_xlfn.XLOOKUP($A145,'TB FORMATTED'!$A:$A,'TB FORMATTED'!D:D,0,0,1)</f>
        <v>0</v>
      </c>
      <c r="G145" s="1340">
        <f>_xlfn.XLOOKUP($A145,'TB FORMATTED'!$A:$A,'TB FORMATTED'!E:E,0,0,1)</f>
        <v>0</v>
      </c>
      <c r="H145" s="280">
        <f t="shared" si="5"/>
        <v>0</v>
      </c>
    </row>
    <row r="146" spans="1:8" hidden="1" x14ac:dyDescent="0.3">
      <c r="A146" s="1036" t="str">
        <f>COA!B149</f>
        <v>6060 Repairs and Maintenance</v>
      </c>
      <c r="B146" s="955">
        <f>_xlfn.XLOOKUP($A146,'TB FORMATTED'!$A:$A,'TB FORMATTED'!B:B,0,0,1)</f>
        <v>0</v>
      </c>
      <c r="C146" s="955">
        <f>_xlfn.XLOOKUP($A146,'TB FORMATTED'!$A:$A,'TB FORMATTED'!C:C,0,0,1)</f>
        <v>0</v>
      </c>
      <c r="D146" s="280">
        <f t="shared" si="4"/>
        <v>0</v>
      </c>
      <c r="F146" s="1340">
        <f>_xlfn.XLOOKUP($A146,'TB FORMATTED'!$A:$A,'TB FORMATTED'!D:D,0,0,1)</f>
        <v>0</v>
      </c>
      <c r="G146" s="1340">
        <f>_xlfn.XLOOKUP($A146,'TB FORMATTED'!$A:$A,'TB FORMATTED'!E:E,0,0,1)</f>
        <v>0</v>
      </c>
      <c r="H146" s="280">
        <f t="shared" si="5"/>
        <v>0</v>
      </c>
    </row>
    <row r="147" spans="1:8" hidden="1" x14ac:dyDescent="0.3">
      <c r="A147" s="1036" t="str">
        <f>COA!B150</f>
        <v>6061 Other general and administrative expenses</v>
      </c>
      <c r="B147" s="955">
        <f>_xlfn.XLOOKUP($A147,'TB FORMATTED'!$A:$A,'TB FORMATTED'!B:B,0,0,1)</f>
        <v>0</v>
      </c>
      <c r="C147" s="955">
        <f>_xlfn.XLOOKUP($A147,'TB FORMATTED'!$A:$A,'TB FORMATTED'!C:C,0,0,1)</f>
        <v>0</v>
      </c>
      <c r="D147" s="280">
        <f t="shared" si="4"/>
        <v>0</v>
      </c>
      <c r="F147" s="1340">
        <f>_xlfn.XLOOKUP($A147,'TB FORMATTED'!$A:$A,'TB FORMATTED'!D:D,0,0,1)</f>
        <v>0</v>
      </c>
      <c r="G147" s="1340">
        <f>_xlfn.XLOOKUP($A147,'TB FORMATTED'!$A:$A,'TB FORMATTED'!E:E,0,0,1)</f>
        <v>0</v>
      </c>
      <c r="H147" s="280">
        <f t="shared" si="5"/>
        <v>0</v>
      </c>
    </row>
    <row r="148" spans="1:8" hidden="1" x14ac:dyDescent="0.3">
      <c r="A148" s="1036" t="str">
        <f>COA!B151</f>
        <v>6065 Rent</v>
      </c>
      <c r="B148" s="955">
        <f>_xlfn.XLOOKUP($A148,'TB FORMATTED'!$A:$A,'TB FORMATTED'!B:B,0,0,1)</f>
        <v>0</v>
      </c>
      <c r="C148" s="955">
        <f>_xlfn.XLOOKUP($A148,'TB FORMATTED'!$A:$A,'TB FORMATTED'!C:C,0,0,1)</f>
        <v>0</v>
      </c>
      <c r="D148" s="280">
        <f t="shared" si="4"/>
        <v>0</v>
      </c>
      <c r="F148" s="1340">
        <f>_xlfn.XLOOKUP($A148,'TB FORMATTED'!$A:$A,'TB FORMATTED'!D:D,0,0,1)</f>
        <v>0</v>
      </c>
      <c r="G148" s="1340">
        <f>_xlfn.XLOOKUP($A148,'TB FORMATTED'!$A:$A,'TB FORMATTED'!E:E,0,0,1)</f>
        <v>0</v>
      </c>
      <c r="H148" s="280">
        <f t="shared" si="5"/>
        <v>0</v>
      </c>
    </row>
    <row r="149" spans="1:8" hidden="1" x14ac:dyDescent="0.3">
      <c r="A149" s="1036" t="str">
        <f>COA!B152</f>
        <v>6066 Utilities</v>
      </c>
      <c r="B149" s="955">
        <f>_xlfn.XLOOKUP($A149,'TB FORMATTED'!$A:$A,'TB FORMATTED'!B:B,0,0,1)</f>
        <v>0</v>
      </c>
      <c r="C149" s="955">
        <f>_xlfn.XLOOKUP($A149,'TB FORMATTED'!$A:$A,'TB FORMATTED'!C:C,0,0,1)</f>
        <v>0</v>
      </c>
      <c r="D149" s="280">
        <f t="shared" si="4"/>
        <v>0</v>
      </c>
      <c r="F149" s="1340">
        <f>_xlfn.XLOOKUP($A149,'TB FORMATTED'!$A:$A,'TB FORMATTED'!D:D,0,0,1)</f>
        <v>0</v>
      </c>
      <c r="G149" s="1340">
        <f>_xlfn.XLOOKUP($A149,'TB FORMATTED'!$A:$A,'TB FORMATTED'!E:E,0,0,1)</f>
        <v>0</v>
      </c>
      <c r="H149" s="280">
        <f t="shared" si="5"/>
        <v>0</v>
      </c>
    </row>
    <row r="150" spans="1:8" hidden="1" x14ac:dyDescent="0.3">
      <c r="A150" s="1036" t="str">
        <f>COA!B153</f>
        <v>6068 Shipping, Freight, and Delivery</v>
      </c>
      <c r="B150" s="955">
        <f>_xlfn.XLOOKUP($A150,'TB FORMATTED'!$A:$A,'TB FORMATTED'!B:B,0,0,1)</f>
        <v>0</v>
      </c>
      <c r="C150" s="955">
        <f>_xlfn.XLOOKUP($A150,'TB FORMATTED'!$A:$A,'TB FORMATTED'!C:C,0,0,1)</f>
        <v>0</v>
      </c>
      <c r="D150" s="280">
        <f t="shared" si="4"/>
        <v>0</v>
      </c>
      <c r="F150" s="1340">
        <f>_xlfn.XLOOKUP($A150,'TB FORMATTED'!$A:$A,'TB FORMATTED'!D:D,0,0,1)</f>
        <v>0</v>
      </c>
      <c r="G150" s="1340">
        <f>_xlfn.XLOOKUP($A150,'TB FORMATTED'!$A:$A,'TB FORMATTED'!E:E,0,0,1)</f>
        <v>0</v>
      </c>
      <c r="H150" s="280">
        <f t="shared" si="5"/>
        <v>0</v>
      </c>
    </row>
    <row r="151" spans="1:8" hidden="1" x14ac:dyDescent="0.3">
      <c r="A151" s="1036" t="str">
        <f>COA!B154</f>
        <v>6070 Office Supplies</v>
      </c>
      <c r="B151" s="955">
        <f>_xlfn.XLOOKUP($A151,'TB FORMATTED'!$A:$A,'TB FORMATTED'!B:B,0,0,1)</f>
        <v>0</v>
      </c>
      <c r="C151" s="955">
        <f>_xlfn.XLOOKUP($A151,'TB FORMATTED'!$A:$A,'TB FORMATTED'!C:C,0,0,1)</f>
        <v>0</v>
      </c>
      <c r="D151" s="280">
        <f t="shared" si="4"/>
        <v>0</v>
      </c>
      <c r="F151" s="1340">
        <f>_xlfn.XLOOKUP($A151,'TB FORMATTED'!$A:$A,'TB FORMATTED'!D:D,0,0,1)</f>
        <v>116.46</v>
      </c>
      <c r="G151" s="1340">
        <f>_xlfn.XLOOKUP($A151,'TB FORMATTED'!$A:$A,'TB FORMATTED'!E:E,0,0,1)</f>
        <v>0</v>
      </c>
      <c r="H151" s="280">
        <f t="shared" si="5"/>
        <v>116.46</v>
      </c>
    </row>
    <row r="152" spans="1:8" hidden="1" x14ac:dyDescent="0.3">
      <c r="A152" s="1036" t="str">
        <f>COA!B155</f>
        <v>6075 Minor shop tools</v>
      </c>
      <c r="B152" s="955">
        <f>_xlfn.XLOOKUP($A152,'TB FORMATTED'!$A:$A,'TB FORMATTED'!B:B,0,0,1)</f>
        <v>0</v>
      </c>
      <c r="C152" s="955">
        <f>_xlfn.XLOOKUP($A152,'TB FORMATTED'!$A:$A,'TB FORMATTED'!C:C,0,0,1)</f>
        <v>0</v>
      </c>
      <c r="D152" s="280">
        <f t="shared" si="4"/>
        <v>0</v>
      </c>
      <c r="F152" s="1340">
        <f>_xlfn.XLOOKUP($A152,'TB FORMATTED'!$A:$A,'TB FORMATTED'!D:D,0,0,1)</f>
        <v>0</v>
      </c>
      <c r="G152" s="1340">
        <f>_xlfn.XLOOKUP($A152,'TB FORMATTED'!$A:$A,'TB FORMATTED'!E:E,0,0,1)</f>
        <v>0</v>
      </c>
      <c r="H152" s="280">
        <f t="shared" si="5"/>
        <v>0</v>
      </c>
    </row>
    <row r="153" spans="1:8" hidden="1" x14ac:dyDescent="0.3">
      <c r="A153" s="1036" t="str">
        <f>COA!B156</f>
        <v>6076 Disposal/Landfill</v>
      </c>
      <c r="B153" s="955">
        <f>_xlfn.XLOOKUP($A153,'TB FORMATTED'!$A:$A,'TB FORMATTED'!B:B,0,0,1)</f>
        <v>0</v>
      </c>
      <c r="C153" s="955">
        <f>_xlfn.XLOOKUP($A153,'TB FORMATTED'!$A:$A,'TB FORMATTED'!C:C,0,0,1)</f>
        <v>0</v>
      </c>
      <c r="D153" s="280">
        <f t="shared" si="4"/>
        <v>0</v>
      </c>
      <c r="F153" s="1340">
        <f>_xlfn.XLOOKUP($A153,'TB FORMATTED'!$A:$A,'TB FORMATTED'!D:D,0,0,1)</f>
        <v>0</v>
      </c>
      <c r="G153" s="1340">
        <f>_xlfn.XLOOKUP($A153,'TB FORMATTED'!$A:$A,'TB FORMATTED'!E:E,0,0,1)</f>
        <v>0</v>
      </c>
      <c r="H153" s="280">
        <f t="shared" si="5"/>
        <v>0</v>
      </c>
    </row>
    <row r="154" spans="1:8" hidden="1" x14ac:dyDescent="0.3">
      <c r="A154" s="1036" t="str">
        <f>COA!B157</f>
        <v>6080 PST Expense (BC)</v>
      </c>
      <c r="B154" s="955">
        <f>_xlfn.XLOOKUP($A154,'TB FORMATTED'!$A:$A,'TB FORMATTED'!B:B,0,0,1)</f>
        <v>0</v>
      </c>
      <c r="C154" s="955">
        <f>_xlfn.XLOOKUP($A154,'TB FORMATTED'!$A:$A,'TB FORMATTED'!C:C,0,0,1)</f>
        <v>0</v>
      </c>
      <c r="D154" s="280">
        <f t="shared" si="4"/>
        <v>0</v>
      </c>
      <c r="F154" s="1340">
        <f>_xlfn.XLOOKUP($A154,'TB FORMATTED'!$A:$A,'TB FORMATTED'!D:D,0,0,1)</f>
        <v>0</v>
      </c>
      <c r="G154" s="1340">
        <f>_xlfn.XLOOKUP($A154,'TB FORMATTED'!$A:$A,'TB FORMATTED'!E:E,0,0,1)</f>
        <v>0</v>
      </c>
      <c r="H154" s="280">
        <f t="shared" si="5"/>
        <v>0</v>
      </c>
    </row>
    <row r="155" spans="1:8" hidden="1" x14ac:dyDescent="0.3">
      <c r="A155" s="1036" t="str">
        <f>COA!B158</f>
        <v>6080 Shop and other supplies</v>
      </c>
      <c r="B155" s="955">
        <f>_xlfn.XLOOKUP($A155,'TB FORMATTED'!$A:$A,'TB FORMATTED'!B:B,0,0,1)</f>
        <v>0</v>
      </c>
      <c r="C155" s="955">
        <f>_xlfn.XLOOKUP($A155,'TB FORMATTED'!$A:$A,'TB FORMATTED'!C:C,0,0,1)</f>
        <v>0</v>
      </c>
      <c r="D155" s="280">
        <f t="shared" si="4"/>
        <v>0</v>
      </c>
      <c r="F155" s="1340">
        <f>_xlfn.XLOOKUP($A155,'TB FORMATTED'!$A:$A,'TB FORMATTED'!D:D,0,0,1)</f>
        <v>241.4</v>
      </c>
      <c r="G155" s="1340">
        <f>_xlfn.XLOOKUP($A155,'TB FORMATTED'!$A:$A,'TB FORMATTED'!E:E,0,0,1)</f>
        <v>0</v>
      </c>
      <c r="H155" s="280">
        <f t="shared" si="5"/>
        <v>241.4</v>
      </c>
    </row>
    <row r="156" spans="1:8" hidden="1" x14ac:dyDescent="0.3">
      <c r="A156" s="1036" t="str">
        <f>COA!B159</f>
        <v>6085 Depreciation</v>
      </c>
      <c r="B156" s="955">
        <f>_xlfn.XLOOKUP($A156,'TB FORMATTED'!$A:$A,'TB FORMATTED'!B:B,0,0,1)</f>
        <v>0</v>
      </c>
      <c r="C156" s="955">
        <f>_xlfn.XLOOKUP($A156,'TB FORMATTED'!$A:$A,'TB FORMATTED'!C:C,0,0,1)</f>
        <v>0</v>
      </c>
      <c r="D156" s="280">
        <f t="shared" si="4"/>
        <v>0</v>
      </c>
      <c r="F156" s="1340">
        <f>_xlfn.XLOOKUP($A156,'TB FORMATTED'!$A:$A,'TB FORMATTED'!D:D,0,0,1)</f>
        <v>0</v>
      </c>
      <c r="G156" s="1340">
        <f>_xlfn.XLOOKUP($A156,'TB FORMATTED'!$A:$A,'TB FORMATTED'!E:E,0,0,1)</f>
        <v>0</v>
      </c>
      <c r="H156" s="280">
        <f t="shared" si="5"/>
        <v>0</v>
      </c>
    </row>
    <row r="157" spans="1:8" hidden="1" x14ac:dyDescent="0.3">
      <c r="A157" s="1036" t="str">
        <f>COA!B160</f>
        <v>6090 Corporate Tax Expense</v>
      </c>
      <c r="B157" s="955">
        <f>_xlfn.XLOOKUP($A157,'TB FORMATTED'!$A:$A,'TB FORMATTED'!B:B,0,0,1)</f>
        <v>0</v>
      </c>
      <c r="C157" s="955">
        <f>_xlfn.XLOOKUP($A157,'TB FORMATTED'!$A:$A,'TB FORMATTED'!C:C,0,0,1)</f>
        <v>0</v>
      </c>
      <c r="D157" s="280">
        <f t="shared" si="4"/>
        <v>0</v>
      </c>
      <c r="F157" s="1340">
        <f>_xlfn.XLOOKUP($A157,'TB FORMATTED'!$A:$A,'TB FORMATTED'!D:D,0,0,1)</f>
        <v>0</v>
      </c>
      <c r="G157" s="1340">
        <f>_xlfn.XLOOKUP($A157,'TB FORMATTED'!$A:$A,'TB FORMATTED'!E:E,0,0,1)</f>
        <v>0</v>
      </c>
      <c r="H157" s="280">
        <f t="shared" si="5"/>
        <v>0</v>
      </c>
    </row>
    <row r="158" spans="1:8" hidden="1" x14ac:dyDescent="0.3">
      <c r="A158" s="1036" t="str">
        <f>COA!B161</f>
        <v>6092 Penalties</v>
      </c>
      <c r="B158" s="955">
        <f>_xlfn.XLOOKUP($A158,'TB FORMATTED'!$A:$A,'TB FORMATTED'!B:B,0,0,1)</f>
        <v>0</v>
      </c>
      <c r="C158" s="955">
        <f>_xlfn.XLOOKUP($A158,'TB FORMATTED'!$A:$A,'TB FORMATTED'!C:C,0,0,1)</f>
        <v>0</v>
      </c>
      <c r="D158" s="280">
        <f t="shared" si="4"/>
        <v>0</v>
      </c>
      <c r="F158" s="1340">
        <f>_xlfn.XLOOKUP($A158,'TB FORMATTED'!$A:$A,'TB FORMATTED'!D:D,0,0,1)</f>
        <v>0</v>
      </c>
      <c r="G158" s="1340">
        <f>_xlfn.XLOOKUP($A158,'TB FORMATTED'!$A:$A,'TB FORMATTED'!E:E,0,0,1)</f>
        <v>0</v>
      </c>
      <c r="H158" s="280">
        <f t="shared" si="5"/>
        <v>0</v>
      </c>
    </row>
    <row r="159" spans="1:8" hidden="1" x14ac:dyDescent="0.3">
      <c r="A159" s="1036" t="str">
        <f>COA!B162</f>
        <v>6092 Penalities</v>
      </c>
      <c r="B159" s="955">
        <f>_xlfn.XLOOKUP($A159,'TB FORMATTED'!$A:$A,'TB FORMATTED'!B:B,0,0,1)</f>
        <v>0</v>
      </c>
      <c r="C159" s="955">
        <f>_xlfn.XLOOKUP($A159,'TB FORMATTED'!$A:$A,'TB FORMATTED'!C:C,0,0,1)</f>
        <v>0</v>
      </c>
      <c r="D159" s="280">
        <f t="shared" si="4"/>
        <v>0</v>
      </c>
      <c r="F159" s="1340">
        <f>_xlfn.XLOOKUP($A159,'TB FORMATTED'!$A:$A,'TB FORMATTED'!D:D,0,0,1)</f>
        <v>0</v>
      </c>
      <c r="G159" s="1340">
        <f>_xlfn.XLOOKUP($A159,'TB FORMATTED'!$A:$A,'TB FORMATTED'!E:E,0,0,1)</f>
        <v>0</v>
      </c>
      <c r="H159" s="280">
        <f t="shared" si="5"/>
        <v>0</v>
      </c>
    </row>
    <row r="160" spans="1:8" hidden="1" x14ac:dyDescent="0.3">
      <c r="A160" s="1036" t="str">
        <f>COA!B163</f>
        <v>6100 Listing expense</v>
      </c>
      <c r="B160" s="955">
        <f>_xlfn.XLOOKUP($A160,'TB FORMATTED'!$A:$A,'TB FORMATTED'!B:B,0,0,1)</f>
        <v>0</v>
      </c>
      <c r="C160" s="955">
        <f>_xlfn.XLOOKUP($A160,'TB FORMATTED'!$A:$A,'TB FORMATTED'!C:C,0,0,1)</f>
        <v>0</v>
      </c>
      <c r="D160" s="280">
        <f t="shared" si="4"/>
        <v>0</v>
      </c>
      <c r="F160" s="1340">
        <f>_xlfn.XLOOKUP($A160,'TB FORMATTED'!$A:$A,'TB FORMATTED'!D:D,0,0,1)</f>
        <v>0</v>
      </c>
      <c r="G160" s="1340">
        <f>_xlfn.XLOOKUP($A160,'TB FORMATTED'!$A:$A,'TB FORMATTED'!E:E,0,0,1)</f>
        <v>0</v>
      </c>
      <c r="H160" s="280">
        <f t="shared" si="5"/>
        <v>0</v>
      </c>
    </row>
    <row r="161" spans="1:8" hidden="1" x14ac:dyDescent="0.3">
      <c r="A161" s="1036" t="str">
        <f>COA!B164</f>
        <v>6300 Unapplied Cash Bill Payment Expense</v>
      </c>
      <c r="B161" s="955">
        <f>_xlfn.XLOOKUP($A161,'TB FORMATTED'!$A:$A,'TB FORMATTED'!B:B,0,0,1)</f>
        <v>0</v>
      </c>
      <c r="C161" s="955">
        <f>_xlfn.XLOOKUP($A161,'TB FORMATTED'!$A:$A,'TB FORMATTED'!C:C,0,0,1)</f>
        <v>0</v>
      </c>
      <c r="D161" s="280">
        <f t="shared" si="4"/>
        <v>0</v>
      </c>
      <c r="F161" s="1340">
        <f>_xlfn.XLOOKUP($A161,'TB FORMATTED'!$A:$A,'TB FORMATTED'!D:D,0,0,1)</f>
        <v>0</v>
      </c>
      <c r="G161" s="1340">
        <f>_xlfn.XLOOKUP($A161,'TB FORMATTED'!$A:$A,'TB FORMATTED'!E:E,0,0,1)</f>
        <v>0</v>
      </c>
      <c r="H161" s="280">
        <f t="shared" si="5"/>
        <v>0</v>
      </c>
    </row>
    <row r="162" spans="1:8" hidden="1" x14ac:dyDescent="0.3">
      <c r="A162" s="1036" t="str">
        <f>COA!B165</f>
        <v>6300 Design and modeling</v>
      </c>
      <c r="B162" s="955">
        <f>_xlfn.XLOOKUP($A162,'TB FORMATTED'!$A:$A,'TB FORMATTED'!B:B,0,0,1)</f>
        <v>0</v>
      </c>
      <c r="C162" s="955">
        <f>_xlfn.XLOOKUP($A162,'TB FORMATTED'!$A:$A,'TB FORMATTED'!C:C,0,0,1)</f>
        <v>0</v>
      </c>
      <c r="D162" s="280">
        <f t="shared" si="4"/>
        <v>0</v>
      </c>
      <c r="F162" s="1340">
        <f>_xlfn.XLOOKUP($A162,'TB FORMATTED'!$A:$A,'TB FORMATTED'!D:D,0,0,1)</f>
        <v>5306.24</v>
      </c>
      <c r="G162" s="1340">
        <f>_xlfn.XLOOKUP($A162,'TB FORMATTED'!$A:$A,'TB FORMATTED'!E:E,0,0,1)</f>
        <v>0</v>
      </c>
      <c r="H162" s="280">
        <f t="shared" si="5"/>
        <v>5306.24</v>
      </c>
    </row>
    <row r="163" spans="1:8" hidden="1" x14ac:dyDescent="0.3">
      <c r="A163" s="1036" t="str">
        <f>COA!B166</f>
        <v>6350 Other labor costs</v>
      </c>
      <c r="B163" s="955">
        <f>_xlfn.XLOOKUP($A163,'TB FORMATTED'!$A:$A,'TB FORMATTED'!B:B,0,0,1)</f>
        <v>0</v>
      </c>
      <c r="C163" s="955">
        <f>_xlfn.XLOOKUP($A163,'TB FORMATTED'!$A:$A,'TB FORMATTED'!C:C,0,0,1)</f>
        <v>0</v>
      </c>
      <c r="D163" s="280">
        <f t="shared" si="4"/>
        <v>0</v>
      </c>
      <c r="F163" s="1340">
        <f>_xlfn.XLOOKUP($A163,'TB FORMATTED'!$A:$A,'TB FORMATTED'!D:D,0,0,1)</f>
        <v>1713.44</v>
      </c>
      <c r="G163" s="1340">
        <f>_xlfn.XLOOKUP($A163,'TB FORMATTED'!$A:$A,'TB FORMATTED'!E:E,0,0,1)</f>
        <v>0</v>
      </c>
      <c r="H163" s="280">
        <f t="shared" si="5"/>
        <v>1713.44</v>
      </c>
    </row>
    <row r="164" spans="1:8" hidden="1" x14ac:dyDescent="0.3">
      <c r="A164" s="1036" t="str">
        <f>COA!B167</f>
        <v>6997 Unapplied Cash Bill Payment Expense</v>
      </c>
      <c r="B164" s="955">
        <f>_xlfn.XLOOKUP($A164,'TB FORMATTED'!$A:$A,'TB FORMATTED'!B:B,0,0,1)</f>
        <v>0</v>
      </c>
      <c r="C164" s="955">
        <f>_xlfn.XLOOKUP($A164,'TB FORMATTED'!$A:$A,'TB FORMATTED'!C:C,0,0,1)</f>
        <v>0</v>
      </c>
      <c r="D164" s="280">
        <f t="shared" si="4"/>
        <v>0</v>
      </c>
      <c r="F164" s="1340">
        <f>_xlfn.XLOOKUP($A164,'TB FORMATTED'!$A:$A,'TB FORMATTED'!D:D,0,0,1)</f>
        <v>0</v>
      </c>
      <c r="G164" s="1340">
        <f>_xlfn.XLOOKUP($A164,'TB FORMATTED'!$A:$A,'TB FORMATTED'!E:E,0,0,1)</f>
        <v>0</v>
      </c>
      <c r="H164" s="280">
        <f t="shared" si="5"/>
        <v>0</v>
      </c>
    </row>
    <row r="165" spans="1:8" hidden="1" x14ac:dyDescent="0.3">
      <c r="A165" s="1036" t="str">
        <f>COA!B168</f>
        <v>6998 Uncategorized Expense</v>
      </c>
      <c r="B165" s="955">
        <f>_xlfn.XLOOKUP($A165,'TB FORMATTED'!$A:$A,'TB FORMATTED'!B:B,0,0,1)</f>
        <v>0</v>
      </c>
      <c r="C165" s="955">
        <f>_xlfn.XLOOKUP($A165,'TB FORMATTED'!$A:$A,'TB FORMATTED'!C:C,0,0,1)</f>
        <v>0</v>
      </c>
      <c r="D165" s="280">
        <f t="shared" si="4"/>
        <v>0</v>
      </c>
      <c r="F165" s="1340">
        <f>_xlfn.XLOOKUP($A165,'TB FORMATTED'!$A:$A,'TB FORMATTED'!D:D,0,0,1)</f>
        <v>0</v>
      </c>
      <c r="G165" s="1340">
        <f>_xlfn.XLOOKUP($A165,'TB FORMATTED'!$A:$A,'TB FORMATTED'!E:E,0,0,1)</f>
        <v>0</v>
      </c>
      <c r="H165" s="280">
        <f t="shared" si="5"/>
        <v>0</v>
      </c>
    </row>
    <row r="166" spans="1:8" hidden="1" x14ac:dyDescent="0.3">
      <c r="A166" s="1036" t="str">
        <f>COA!B169</f>
        <v>6999 Miscellaneous</v>
      </c>
      <c r="B166" s="955">
        <f>_xlfn.XLOOKUP($A166,'TB FORMATTED'!$A:$A,'TB FORMATTED'!B:B,0,0,1)</f>
        <v>0</v>
      </c>
      <c r="C166" s="955">
        <f>_xlfn.XLOOKUP($A166,'TB FORMATTED'!$A:$A,'TB FORMATTED'!C:C,0,0,1)</f>
        <v>0</v>
      </c>
      <c r="D166" s="280">
        <f t="shared" si="4"/>
        <v>0</v>
      </c>
      <c r="F166" s="1340">
        <f>_xlfn.XLOOKUP($A166,'TB FORMATTED'!$A:$A,'TB FORMATTED'!D:D,0,0,1)</f>
        <v>0</v>
      </c>
      <c r="G166" s="1340">
        <f>_xlfn.XLOOKUP($A166,'TB FORMATTED'!$A:$A,'TB FORMATTED'!E:E,0,0,1)</f>
        <v>0</v>
      </c>
      <c r="H166" s="280">
        <f t="shared" si="5"/>
        <v>0</v>
      </c>
    </row>
    <row r="167" spans="1:8" hidden="1" x14ac:dyDescent="0.3">
      <c r="A167" s="1036" t="str">
        <f>COA!B170</f>
        <v>7000 Reconciliation Discrepancies</v>
      </c>
      <c r="B167" s="955">
        <f>_xlfn.XLOOKUP($A167,'TB FORMATTED'!$A:$A,'TB FORMATTED'!B:B,0,0,1)</f>
        <v>0</v>
      </c>
      <c r="C167" s="955">
        <f>_xlfn.XLOOKUP($A167,'TB FORMATTED'!$A:$A,'TB FORMATTED'!C:C,0,0,1)</f>
        <v>0</v>
      </c>
      <c r="D167" s="280">
        <f t="shared" si="4"/>
        <v>0</v>
      </c>
      <c r="F167" s="1340">
        <f>_xlfn.XLOOKUP($A167,'TB FORMATTED'!$A:$A,'TB FORMATTED'!D:D,0,0,1)</f>
        <v>0</v>
      </c>
      <c r="G167" s="1340">
        <f>_xlfn.XLOOKUP($A167,'TB FORMATTED'!$A:$A,'TB FORMATTED'!E:E,0,0,1)</f>
        <v>0</v>
      </c>
      <c r="H167" s="280">
        <f t="shared" si="5"/>
        <v>0</v>
      </c>
    </row>
    <row r="168" spans="1:8" hidden="1" x14ac:dyDescent="0.3">
      <c r="A168" s="1036" t="str">
        <f>COA!B171</f>
        <v>8000 Exchange Gain or Loss</v>
      </c>
      <c r="B168" s="955">
        <f>_xlfn.XLOOKUP($A168,'TB FORMATTED'!$A:$A,'TB FORMATTED'!B:B,0,0,1)</f>
        <v>0</v>
      </c>
      <c r="C168" s="955">
        <f>_xlfn.XLOOKUP($A168,'TB FORMATTED'!$A:$A,'TB FORMATTED'!C:C,0,0,1)</f>
        <v>0</v>
      </c>
      <c r="D168" s="280">
        <f t="shared" si="4"/>
        <v>0</v>
      </c>
      <c r="F168" s="1340">
        <f>_xlfn.XLOOKUP($A168,'TB FORMATTED'!$A:$A,'TB FORMATTED'!D:D,0,0,1)</f>
        <v>42.78</v>
      </c>
      <c r="G168" s="1340">
        <f>_xlfn.XLOOKUP($A168,'TB FORMATTED'!$A:$A,'TB FORMATTED'!E:E,0,0,1)</f>
        <v>0</v>
      </c>
      <c r="H168" s="280">
        <f t="shared" si="5"/>
        <v>42.78</v>
      </c>
    </row>
    <row r="169" spans="1:8" hidden="1" x14ac:dyDescent="0.3">
      <c r="A169" s="1036" t="str">
        <f>COA!B172</f>
        <v>IMP1 - Warranty expense</v>
      </c>
      <c r="B169" s="955">
        <f>_xlfn.XLOOKUP($A169,'TB FORMATTED'!$A:$A,'TB FORMATTED'!B:B,0,0,1)</f>
        <v>0</v>
      </c>
      <c r="C169" s="955">
        <f>_xlfn.XLOOKUP($A169,'TB FORMATTED'!$A:$A,'TB FORMATTED'!C:C,0,0,1)</f>
        <v>0</v>
      </c>
      <c r="D169" s="280">
        <f t="shared" si="4"/>
        <v>0</v>
      </c>
      <c r="F169" s="1340">
        <f>_xlfn.XLOOKUP($A169,'TB FORMATTED'!$A:$A,'TB FORMATTED'!D:D,0,0,1)</f>
        <v>0</v>
      </c>
      <c r="G169" s="1340">
        <f>_xlfn.XLOOKUP($A169,'TB FORMATTED'!$A:$A,'TB FORMATTED'!E:E,0,0,1)</f>
        <v>0</v>
      </c>
      <c r="H169" s="280">
        <f t="shared" si="5"/>
        <v>0</v>
      </c>
    </row>
    <row r="170" spans="1:8" hidden="1" x14ac:dyDescent="0.3">
      <c r="A170" s="1036" t="str">
        <f>COA!B173</f>
        <v>IMP2 - Engineering expense</v>
      </c>
      <c r="B170" s="955">
        <f>_xlfn.XLOOKUP($A170,'TB FORMATTED'!$A:$A,'TB FORMATTED'!B:B,0,0,1)</f>
        <v>0</v>
      </c>
      <c r="C170" s="955">
        <f>_xlfn.XLOOKUP($A170,'TB FORMATTED'!$A:$A,'TB FORMATTED'!C:C,0,0,1)</f>
        <v>0</v>
      </c>
      <c r="D170" s="280">
        <f t="shared" si="4"/>
        <v>0</v>
      </c>
      <c r="F170" s="1340">
        <f>_xlfn.XLOOKUP($A170,'TB FORMATTED'!$A:$A,'TB FORMATTED'!D:D,0,0,1)</f>
        <v>0</v>
      </c>
      <c r="G170" s="1340">
        <f>_xlfn.XLOOKUP($A170,'TB FORMATTED'!$A:$A,'TB FORMATTED'!E:E,0,0,1)</f>
        <v>0</v>
      </c>
      <c r="H170" s="280">
        <f t="shared" si="5"/>
        <v>0</v>
      </c>
    </row>
    <row r="171" spans="1:8" hidden="1" x14ac:dyDescent="0.3">
      <c r="A171" s="1036" t="str">
        <f>COA!B174</f>
        <v>IMP3 - Commission expense</v>
      </c>
      <c r="B171" s="955">
        <f>_xlfn.XLOOKUP($A171,'TB FORMATTED'!$A:$A,'TB FORMATTED'!B:B,0,0,1)</f>
        <v>0</v>
      </c>
      <c r="C171" s="955">
        <f>_xlfn.XLOOKUP($A171,'TB FORMATTED'!$A:$A,'TB FORMATTED'!C:C,0,0,1)</f>
        <v>0</v>
      </c>
      <c r="D171" s="280">
        <f t="shared" si="4"/>
        <v>0</v>
      </c>
      <c r="F171" s="1340">
        <f>_xlfn.XLOOKUP($A171,'TB FORMATTED'!$A:$A,'TB FORMATTED'!D:D,0,0,1)</f>
        <v>0</v>
      </c>
      <c r="G171" s="1340">
        <f>_xlfn.XLOOKUP($A171,'TB FORMATTED'!$A:$A,'TB FORMATTED'!E:E,0,0,1)</f>
        <v>0</v>
      </c>
      <c r="H171" s="280">
        <f t="shared" si="5"/>
        <v>0</v>
      </c>
    </row>
    <row r="172" spans="1:8" hidden="1" x14ac:dyDescent="0.3">
      <c r="A172" s="1036" t="str">
        <f>COA!B175</f>
        <v>IMP4 - Warranty Liability</v>
      </c>
      <c r="B172" s="955">
        <f>_xlfn.XLOOKUP($A172,'TB FORMATTED'!$A:$A,'TB FORMATTED'!B:B,0,0,1)</f>
        <v>0</v>
      </c>
      <c r="C172" s="955">
        <f>_xlfn.XLOOKUP($A172,'TB FORMATTED'!$A:$A,'TB FORMATTED'!C:C,0,0,1)</f>
        <v>0</v>
      </c>
      <c r="D172" s="280">
        <f t="shared" si="4"/>
        <v>0</v>
      </c>
      <c r="F172" s="1340">
        <f>_xlfn.XLOOKUP($A172,'TB FORMATTED'!$A:$A,'TB FORMATTED'!D:D,0,0,1)</f>
        <v>0</v>
      </c>
      <c r="G172" s="1340">
        <f>_xlfn.XLOOKUP($A172,'TB FORMATTED'!$A:$A,'TB FORMATTED'!E:E,0,0,1)</f>
        <v>0</v>
      </c>
      <c r="H172" s="280">
        <f t="shared" si="5"/>
        <v>0</v>
      </c>
    </row>
    <row r="173" spans="1:8" hidden="1" x14ac:dyDescent="0.3">
      <c r="A173" s="1036" t="str">
        <f>COA!B176</f>
        <v>IMP5 - R&amp;D</v>
      </c>
      <c r="B173" s="955">
        <f>_xlfn.XLOOKUP($A173,'TB FORMATTED'!$A:$A,'TB FORMATTED'!B:B,0,0,1)</f>
        <v>0</v>
      </c>
      <c r="C173" s="955">
        <f>_xlfn.XLOOKUP($A173,'TB FORMATTED'!$A:$A,'TB FORMATTED'!C:C,0,0,1)</f>
        <v>0</v>
      </c>
      <c r="D173" s="280">
        <f t="shared" si="4"/>
        <v>0</v>
      </c>
      <c r="F173" s="1340">
        <f>_xlfn.XLOOKUP($A173,'TB FORMATTED'!$A:$A,'TB FORMATTED'!D:D,0,0,1)</f>
        <v>0</v>
      </c>
      <c r="G173" s="1340">
        <f>_xlfn.XLOOKUP($A173,'TB FORMATTED'!$A:$A,'TB FORMATTED'!E:E,0,0,1)</f>
        <v>0</v>
      </c>
      <c r="H173" s="280">
        <f t="shared" si="5"/>
        <v>0</v>
      </c>
    </row>
    <row r="174" spans="1:8" hidden="1" x14ac:dyDescent="0.3">
      <c r="A174" s="1036" t="str">
        <f>COA!B177</f>
        <v>IMP6 - Acquisition costs</v>
      </c>
      <c r="B174" s="955">
        <f>_xlfn.XLOOKUP($A174,'TB FORMATTED'!$A:$A,'TB FORMATTED'!B:B,0,0,1)</f>
        <v>0</v>
      </c>
      <c r="C174" s="955">
        <f>_xlfn.XLOOKUP($A174,'TB FORMATTED'!$A:$A,'TB FORMATTED'!C:C,0,0,1)</f>
        <v>0</v>
      </c>
      <c r="D174" s="280">
        <f t="shared" si="4"/>
        <v>0</v>
      </c>
      <c r="F174" s="1340">
        <f>_xlfn.XLOOKUP($A174,'TB FORMATTED'!$A:$A,'TB FORMATTED'!D:D,0,0,1)</f>
        <v>0</v>
      </c>
      <c r="G174" s="1340">
        <f>_xlfn.XLOOKUP($A174,'TB FORMATTED'!$A:$A,'TB FORMATTED'!E:E,0,0,1)</f>
        <v>0</v>
      </c>
      <c r="H174" s="280">
        <f t="shared" si="5"/>
        <v>0</v>
      </c>
    </row>
    <row r="175" spans="1:8" hidden="1" x14ac:dyDescent="0.3">
      <c r="A175" s="1036" t="str">
        <f>COA!B178</f>
        <v>IMP9 - Share-based compensation</v>
      </c>
      <c r="B175" s="955">
        <f>_xlfn.XLOOKUP($A175,'TB FORMATTED'!$A:$A,'TB FORMATTED'!B:B,0,0,1)</f>
        <v>0</v>
      </c>
      <c r="C175" s="955">
        <f>_xlfn.XLOOKUP($A175,'TB FORMATTED'!$A:$A,'TB FORMATTED'!C:C,0,0,1)</f>
        <v>0</v>
      </c>
      <c r="D175" s="280">
        <f t="shared" si="4"/>
        <v>0</v>
      </c>
      <c r="F175" s="1340">
        <f>_xlfn.XLOOKUP($A175,'TB FORMATTED'!$A:$A,'TB FORMATTED'!D:D,0,0,1)</f>
        <v>0</v>
      </c>
      <c r="G175" s="1340">
        <f>_xlfn.XLOOKUP($A175,'TB FORMATTED'!$A:$A,'TB FORMATTED'!E:E,0,0,1)</f>
        <v>0</v>
      </c>
      <c r="H175" s="280">
        <f t="shared" si="5"/>
        <v>0</v>
      </c>
    </row>
    <row r="176" spans="1:8" x14ac:dyDescent="0.3">
      <c r="A176" s="1036" t="str">
        <f>COA!B179</f>
        <v>6200 Accretion expense</v>
      </c>
      <c r="B176" s="955">
        <f>_xlfn.XLOOKUP($A176,'TB FORMATTED'!$A:$A,'TB FORMATTED'!B:B,0,0,1)</f>
        <v>31956.79</v>
      </c>
      <c r="C176" s="955">
        <f>_xlfn.XLOOKUP($A176,'TB FORMATTED'!$A:$A,'TB FORMATTED'!C:C,0,0,1)</f>
        <v>0</v>
      </c>
      <c r="D176" s="280">
        <f t="shared" si="4"/>
        <v>31956.79</v>
      </c>
      <c r="F176" s="1340">
        <f>_xlfn.XLOOKUP($A176,'TB FORMATTED'!$A:$A,'TB FORMATTED'!D:D,0,0,1)</f>
        <v>0</v>
      </c>
      <c r="G176" s="1340">
        <f>_xlfn.XLOOKUP($A176,'TB FORMATTED'!$A:$A,'TB FORMATTED'!E:E,0,0,1)</f>
        <v>0</v>
      </c>
      <c r="H176" s="280">
        <f t="shared" si="5"/>
        <v>0</v>
      </c>
    </row>
    <row r="177" spans="1:8" hidden="1" x14ac:dyDescent="0.3">
      <c r="A177" s="1036" t="str">
        <f>COA!B180</f>
        <v>6250 Finance expense</v>
      </c>
      <c r="B177" s="955">
        <f>_xlfn.XLOOKUP($A177,'TB FORMATTED'!$A:$A,'TB FORMATTED'!B:B,0,0,1)</f>
        <v>0</v>
      </c>
      <c r="C177" s="955">
        <f>_xlfn.XLOOKUP($A177,'TB FORMATTED'!$A:$A,'TB FORMATTED'!C:C,0,0,1)</f>
        <v>0</v>
      </c>
      <c r="D177" s="280">
        <f t="shared" si="4"/>
        <v>0</v>
      </c>
      <c r="F177" s="1340">
        <f>_xlfn.XLOOKUP($A177,'TB FORMATTED'!$A:$A,'TB FORMATTED'!D:D,0,0,1)</f>
        <v>0</v>
      </c>
      <c r="G177" s="1340">
        <f>_xlfn.XLOOKUP($A177,'TB FORMATTED'!$A:$A,'TB FORMATTED'!E:E,0,0,1)</f>
        <v>0</v>
      </c>
      <c r="H177" s="280">
        <f t="shared" si="5"/>
        <v>0</v>
      </c>
    </row>
  </sheetData>
  <autoFilter ref="A5:H177" xr:uid="{38EFCFE4-51CF-4FCD-9EC5-6FD85254DD81}">
    <filterColumn colId="3">
      <filters>
        <filter val="(1,801,251.00)"/>
        <filter val="(101.64)"/>
        <filter val="(206,894.93)"/>
        <filter val="(3,500.00)"/>
        <filter val="(307,036.95)"/>
        <filter val="(308,750.00)"/>
        <filter val="(53,625.00)"/>
        <filter val="(6,450,000.00)"/>
        <filter val="(67,204.00)"/>
        <filter val="(900.00)"/>
        <filter val="(937.65)"/>
        <filter val="1,602.05"/>
        <filter val="1,700,383.98"/>
        <filter val="1,771.23"/>
        <filter val="109,064.08"/>
        <filter val="133,276.85"/>
        <filter val="26,182.36"/>
        <filter val="27,152.10"/>
        <filter val="3.78"/>
        <filter val="31,778.63"/>
        <filter val="31,956.79"/>
        <filter val="37,565.00"/>
        <filter val="450,000.00"/>
        <filter val="556,400.00"/>
        <filter val="6,000,000.00"/>
        <filter val="64.32"/>
        <filter val="93,000.00"/>
      </filters>
    </filterColumn>
  </autoFilter>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8433-1548-4D80-8531-2339622B3A62}">
  <sheetPr>
    <tabColor theme="7" tint="0.59999389629810485"/>
  </sheetPr>
  <dimension ref="A1:L177"/>
  <sheetViews>
    <sheetView workbookViewId="0"/>
  </sheetViews>
  <sheetFormatPr defaultRowHeight="14.4" outlineLevelCol="1" x14ac:dyDescent="0.3"/>
  <cols>
    <col min="1" max="1" width="46.6640625" bestFit="1" customWidth="1"/>
    <col min="2" max="2" width="12.88671875" hidden="1" customWidth="1" outlineLevel="1"/>
    <col min="3" max="3" width="11.6640625" hidden="1" customWidth="1" outlineLevel="1"/>
    <col min="4" max="4" width="13.33203125" bestFit="1" customWidth="1" collapsed="1"/>
    <col min="5" max="5" width="4.33203125" customWidth="1"/>
    <col min="6" max="6" width="14.5546875" customWidth="1"/>
    <col min="7" max="7" width="10.88671875" bestFit="1" customWidth="1"/>
    <col min="8" max="9" width="10.88671875" customWidth="1"/>
    <col min="10" max="10" width="11.88671875" customWidth="1"/>
    <col min="12" max="12" width="12.88671875" bestFit="1" customWidth="1"/>
    <col min="13" max="13" width="13.109375" customWidth="1"/>
  </cols>
  <sheetData>
    <row r="1" spans="1:12" ht="17.399999999999999" x14ac:dyDescent="0.3">
      <c r="A1" s="412" t="s">
        <v>496</v>
      </c>
      <c r="F1" s="412" t="s">
        <v>642</v>
      </c>
    </row>
    <row r="2" spans="1:12" ht="17.399999999999999" x14ac:dyDescent="0.3">
      <c r="A2" s="412" t="s">
        <v>374</v>
      </c>
      <c r="D2" s="209" t="s">
        <v>507</v>
      </c>
      <c r="F2" s="412" t="s">
        <v>374</v>
      </c>
      <c r="J2" s="209" t="s">
        <v>507</v>
      </c>
    </row>
    <row r="3" spans="1:12" x14ac:dyDescent="0.3">
      <c r="A3" s="1455">
        <f>priorperiod_end_date</f>
        <v>45473</v>
      </c>
      <c r="C3" s="209"/>
      <c r="D3" s="1343">
        <f>SUM(D6:D198)</f>
        <v>1.1641532182693481E-10</v>
      </c>
      <c r="F3" s="1455">
        <f>priorperiod_end_date</f>
        <v>45473</v>
      </c>
      <c r="G3" s="209"/>
      <c r="H3" s="209"/>
      <c r="I3" s="209"/>
      <c r="J3" s="1343" t="e">
        <f>SUM(J6:J198)</f>
        <v>#REF!</v>
      </c>
    </row>
    <row r="5" spans="1:12" x14ac:dyDescent="0.3">
      <c r="A5" s="163"/>
      <c r="B5" s="646" t="s">
        <v>251</v>
      </c>
      <c r="C5" s="646" t="s">
        <v>252</v>
      </c>
      <c r="D5" s="414" t="s">
        <v>253</v>
      </c>
      <c r="F5" s="414" t="s">
        <v>251</v>
      </c>
      <c r="G5" s="414" t="s">
        <v>252</v>
      </c>
      <c r="H5" s="414" t="s">
        <v>2206</v>
      </c>
      <c r="I5" s="414" t="s">
        <v>2206</v>
      </c>
      <c r="J5" s="414" t="s">
        <v>253</v>
      </c>
    </row>
    <row r="6" spans="1:12" x14ac:dyDescent="0.3">
      <c r="A6" s="1036" t="str">
        <f>COA!B5</f>
        <v>1000 Chequing - 5002829</v>
      </c>
      <c r="B6" s="955">
        <f>_xlfn.XLOOKUP($A6,'TB FORMATTED'!$G:$G,'TB FORMATTED'!H:H,0,0,1)</f>
        <v>1444.77</v>
      </c>
      <c r="C6" s="955">
        <f>_xlfn.XLOOKUP($A6,'TB FORMATTED'!$G:$G,'TB FORMATTED'!I:I,0,0,1)</f>
        <v>0</v>
      </c>
      <c r="D6" s="280">
        <f t="shared" ref="D6:D69" si="0">B6-C6</f>
        <v>1444.77</v>
      </c>
      <c r="F6" s="955">
        <f>_xlfn.XLOOKUP($A6,'TB FORMATTED'!$G:$G,'TB FORMATTED'!J:J,0,0,1)</f>
        <v>0</v>
      </c>
      <c r="G6" s="955">
        <f>_xlfn.XLOOKUP($A6,'TB FORMATTED'!$G:$G,'TB FORMATTED'!K:K,0,0,1)</f>
        <v>0</v>
      </c>
      <c r="H6" s="955"/>
      <c r="I6" s="955"/>
      <c r="J6" s="280">
        <f>F6-G6+H6+I6</f>
        <v>0</v>
      </c>
      <c r="K6" s="280"/>
      <c r="L6" s="280"/>
    </row>
    <row r="7" spans="1:12" x14ac:dyDescent="0.3">
      <c r="A7" s="1036" t="str">
        <f>COA!B6</f>
        <v>1000 Undeposited Funds</v>
      </c>
      <c r="B7" s="955">
        <f>_xlfn.XLOOKUP($A7,'TB FORMATTED'!$G:$G,'TB FORMATTED'!H:H,0,0,1)</f>
        <v>0</v>
      </c>
      <c r="C7" s="955">
        <f>_xlfn.XLOOKUP($A7,'TB FORMATTED'!$G:$G,'TB FORMATTED'!I:I,0,0,1)</f>
        <v>0</v>
      </c>
      <c r="D7" s="280">
        <f t="shared" si="0"/>
        <v>0</v>
      </c>
      <c r="F7" s="955">
        <f>_xlfn.XLOOKUP($A7,'TB FORMATTED'!$G:$G,'TB FORMATTED'!J:J,0,0,1)</f>
        <v>0</v>
      </c>
      <c r="G7" s="955">
        <f>_xlfn.XLOOKUP($A7,'TB FORMATTED'!$G:$G,'TB FORMATTED'!K:K,0,0,1)</f>
        <v>0</v>
      </c>
      <c r="H7" s="955"/>
      <c r="I7" s="955"/>
      <c r="J7" s="280">
        <f t="shared" ref="J7:J70" si="1">F7-G7+H7+I7</f>
        <v>0</v>
      </c>
      <c r="K7" s="280"/>
      <c r="L7" s="280"/>
    </row>
    <row r="8" spans="1:12" x14ac:dyDescent="0.3">
      <c r="A8" s="1036" t="str">
        <f>COA!B7</f>
        <v>1001 Petty Cash</v>
      </c>
      <c r="B8" s="955">
        <f>_xlfn.XLOOKUP($A8,'TB FORMATTED'!$G:$G,'TB FORMATTED'!H:H,0,0,1)</f>
        <v>0</v>
      </c>
      <c r="C8" s="955">
        <f>_xlfn.XLOOKUP($A8,'TB FORMATTED'!$G:$G,'TB FORMATTED'!I:I,0,0,1)</f>
        <v>0</v>
      </c>
      <c r="D8" s="280">
        <f t="shared" si="0"/>
        <v>0</v>
      </c>
      <c r="F8" s="955">
        <f>_xlfn.XLOOKUP($A8,'TB FORMATTED'!$G:$G,'TB FORMATTED'!J:J,0,0,1)</f>
        <v>0</v>
      </c>
      <c r="G8" s="955">
        <f>_xlfn.XLOOKUP($A8,'TB FORMATTED'!$G:$G,'TB FORMATTED'!K:K,0,0,1)</f>
        <v>0</v>
      </c>
      <c r="H8" s="955"/>
      <c r="I8" s="955"/>
      <c r="J8" s="280">
        <f t="shared" si="1"/>
        <v>0</v>
      </c>
      <c r="K8" s="280"/>
      <c r="L8" s="280"/>
    </row>
    <row r="9" spans="1:12" x14ac:dyDescent="0.3">
      <c r="A9" s="1036" t="str">
        <f>COA!B8</f>
        <v>1002 TD - Chequing 1869</v>
      </c>
      <c r="B9" s="955">
        <f>_xlfn.XLOOKUP($A9,'TB FORMATTED'!$G:$G,'TB FORMATTED'!H:H,0,0,1)</f>
        <v>0</v>
      </c>
      <c r="C9" s="955">
        <f>_xlfn.XLOOKUP($A9,'TB FORMATTED'!$G:$G,'TB FORMATTED'!I:I,0,0,1)</f>
        <v>0</v>
      </c>
      <c r="D9" s="280">
        <f t="shared" si="0"/>
        <v>0</v>
      </c>
      <c r="F9" s="955">
        <f>_xlfn.XLOOKUP($A9,'TB FORMATTED'!$G:$G,'TB FORMATTED'!J:J,0,0,1)</f>
        <v>6106.19</v>
      </c>
      <c r="G9" s="955">
        <f>_xlfn.XLOOKUP($A9,'TB FORMATTED'!$G:$G,'TB FORMATTED'!K:K,0,0,1)</f>
        <v>0</v>
      </c>
      <c r="H9" s="955"/>
      <c r="I9" s="955"/>
      <c r="J9" s="280">
        <f t="shared" si="1"/>
        <v>6106.19</v>
      </c>
      <c r="K9" s="280"/>
      <c r="L9" s="280"/>
    </row>
    <row r="10" spans="1:12" x14ac:dyDescent="0.3">
      <c r="A10" s="1036" t="str">
        <f>COA!B9</f>
        <v>1003 TD - Savings 2407</v>
      </c>
      <c r="B10" s="955">
        <f>_xlfn.XLOOKUP($A10,'TB FORMATTED'!$G:$G,'TB FORMATTED'!H:H,0,0,1)</f>
        <v>0</v>
      </c>
      <c r="C10" s="955">
        <f>_xlfn.XLOOKUP($A10,'TB FORMATTED'!$G:$G,'TB FORMATTED'!I:I,0,0,1)</f>
        <v>0</v>
      </c>
      <c r="D10" s="280">
        <f t="shared" si="0"/>
        <v>0</v>
      </c>
      <c r="F10" s="955">
        <f>_xlfn.XLOOKUP($A10,'TB FORMATTED'!$G:$G,'TB FORMATTED'!J:J,0,0,1)</f>
        <v>1015.28</v>
      </c>
      <c r="G10" s="955">
        <f>_xlfn.XLOOKUP($A10,'TB FORMATTED'!$G:$G,'TB FORMATTED'!K:K,0,0,1)</f>
        <v>0</v>
      </c>
      <c r="H10" s="955"/>
      <c r="I10" s="955"/>
      <c r="J10" s="280">
        <f t="shared" si="1"/>
        <v>1015.28</v>
      </c>
      <c r="K10" s="280"/>
      <c r="L10" s="280"/>
    </row>
    <row r="11" spans="1:12" x14ac:dyDescent="0.3">
      <c r="A11" s="1036" t="str">
        <f>COA!B10</f>
        <v>1004 TD - Visa 7692</v>
      </c>
      <c r="B11" s="955">
        <f>_xlfn.XLOOKUP($A11,'TB FORMATTED'!$G:$G,'TB FORMATTED'!H:H,0,0,1)</f>
        <v>0</v>
      </c>
      <c r="C11" s="955">
        <f>_xlfn.XLOOKUP($A11,'TB FORMATTED'!$G:$G,'TB FORMATTED'!I:I,0,0,1)</f>
        <v>0</v>
      </c>
      <c r="D11" s="280">
        <f t="shared" si="0"/>
        <v>0</v>
      </c>
      <c r="F11" s="955">
        <f>_xlfn.XLOOKUP($A11,'TB FORMATTED'!$G:$G,'TB FORMATTED'!J:J,0,0,1)</f>
        <v>0</v>
      </c>
      <c r="G11" s="955">
        <f>_xlfn.XLOOKUP($A11,'TB FORMATTED'!$G:$G,'TB FORMATTED'!K:K,0,0,1)</f>
        <v>3204.85</v>
      </c>
      <c r="H11" s="955"/>
      <c r="I11" s="955"/>
      <c r="J11" s="280">
        <f t="shared" si="1"/>
        <v>-3204.85</v>
      </c>
      <c r="K11" s="280"/>
      <c r="L11" s="280"/>
    </row>
    <row r="12" spans="1:12" x14ac:dyDescent="0.3">
      <c r="A12" s="1036" t="str">
        <f>COA!B11</f>
        <v>1005 Undeposited Funds</v>
      </c>
      <c r="B12" s="955">
        <f>_xlfn.XLOOKUP($A12,'TB FORMATTED'!$G:$G,'TB FORMATTED'!H:H,0,0,1)</f>
        <v>0</v>
      </c>
      <c r="C12" s="955">
        <f>_xlfn.XLOOKUP($A12,'TB FORMATTED'!$G:$G,'TB FORMATTED'!I:I,0,0,1)</f>
        <v>0</v>
      </c>
      <c r="D12" s="280">
        <f t="shared" si="0"/>
        <v>0</v>
      </c>
      <c r="F12" s="955">
        <f>_xlfn.XLOOKUP($A12,'TB FORMATTED'!$G:$G,'TB FORMATTED'!J:J,0,0,1)</f>
        <v>0</v>
      </c>
      <c r="G12" s="955">
        <f>_xlfn.XLOOKUP($A12,'TB FORMATTED'!$G:$G,'TB FORMATTED'!K:K,0,0,1)</f>
        <v>0</v>
      </c>
      <c r="H12" s="955"/>
      <c r="I12" s="955"/>
      <c r="J12" s="280">
        <f t="shared" si="1"/>
        <v>0</v>
      </c>
      <c r="K12" s="280"/>
      <c r="L12" s="280"/>
    </row>
    <row r="13" spans="1:12" x14ac:dyDescent="0.3">
      <c r="A13" s="1036" t="str">
        <f>COA!B12</f>
        <v>1005 Interior Savings - 5224</v>
      </c>
      <c r="B13" s="955">
        <f>_xlfn.XLOOKUP($A13,'TB FORMATTED'!$G:$G,'TB FORMATTED'!H:H,0,0,1)</f>
        <v>0</v>
      </c>
      <c r="C13" s="955">
        <f>_xlfn.XLOOKUP($A13,'TB FORMATTED'!$G:$G,'TB FORMATTED'!I:I,0,0,1)</f>
        <v>0</v>
      </c>
      <c r="D13" s="280">
        <f t="shared" si="0"/>
        <v>0</v>
      </c>
      <c r="F13" s="955">
        <f>_xlfn.XLOOKUP($A13,'TB FORMATTED'!$G:$G,'TB FORMATTED'!J:J,0,0,1)</f>
        <v>242.6</v>
      </c>
      <c r="G13" s="955">
        <f>_xlfn.XLOOKUP($A13,'TB FORMATTED'!$G:$G,'TB FORMATTED'!K:K,0,0,1)</f>
        <v>0</v>
      </c>
      <c r="H13" s="955"/>
      <c r="I13" s="955"/>
      <c r="J13" s="280">
        <f t="shared" si="1"/>
        <v>242.6</v>
      </c>
      <c r="K13" s="280"/>
      <c r="L13" s="280"/>
    </row>
    <row r="14" spans="1:12" x14ac:dyDescent="0.3">
      <c r="A14" s="1036" t="str">
        <f>COA!B13</f>
        <v>1006 Interior Savings - Member Shares 5182</v>
      </c>
      <c r="B14" s="955">
        <f>_xlfn.XLOOKUP($A14,'TB FORMATTED'!$G:$G,'TB FORMATTED'!H:H,0,0,1)</f>
        <v>0</v>
      </c>
      <c r="C14" s="955">
        <f>_xlfn.XLOOKUP($A14,'TB FORMATTED'!$G:$G,'TB FORMATTED'!I:I,0,0,1)</f>
        <v>0</v>
      </c>
      <c r="D14" s="280">
        <f t="shared" si="0"/>
        <v>0</v>
      </c>
      <c r="F14" s="955">
        <f>_xlfn.XLOOKUP($A14,'TB FORMATTED'!$G:$G,'TB FORMATTED'!J:J,0,0,1)</f>
        <v>6.04</v>
      </c>
      <c r="G14" s="955">
        <f>_xlfn.XLOOKUP($A14,'TB FORMATTED'!$G:$G,'TB FORMATTED'!K:K,0,0,1)</f>
        <v>0</v>
      </c>
      <c r="H14" s="955"/>
      <c r="I14" s="955"/>
      <c r="J14" s="280">
        <f t="shared" si="1"/>
        <v>6.04</v>
      </c>
      <c r="K14" s="280"/>
      <c r="L14" s="280"/>
    </row>
    <row r="15" spans="1:12" x14ac:dyDescent="0.3">
      <c r="A15" s="1036" t="str">
        <f>COA!B14</f>
        <v>1010 Bank - suspense</v>
      </c>
      <c r="B15" s="955">
        <f>_xlfn.XLOOKUP($A15,'TB FORMATTED'!$G:$G,'TB FORMATTED'!H:H,0,0,1)</f>
        <v>0</v>
      </c>
      <c r="C15" s="955">
        <f>_xlfn.XLOOKUP($A15,'TB FORMATTED'!$G:$G,'TB FORMATTED'!I:I,0,0,1)</f>
        <v>0</v>
      </c>
      <c r="D15" s="280">
        <f t="shared" si="0"/>
        <v>0</v>
      </c>
      <c r="F15" s="955">
        <f>_xlfn.XLOOKUP($A15,'TB FORMATTED'!$G:$G,'TB FORMATTED'!J:J,0,0,1)</f>
        <v>0</v>
      </c>
      <c r="G15" s="955">
        <f>_xlfn.XLOOKUP($A15,'TB FORMATTED'!$G:$G,'TB FORMATTED'!K:K,0,0,1)</f>
        <v>5.5</v>
      </c>
      <c r="H15" s="955"/>
      <c r="I15" s="955"/>
      <c r="J15" s="280">
        <f t="shared" si="1"/>
        <v>-5.5</v>
      </c>
      <c r="K15" s="280"/>
      <c r="L15" s="280"/>
    </row>
    <row r="16" spans="1:12" x14ac:dyDescent="0.3">
      <c r="A16" s="1036" t="str">
        <f>COA!B15</f>
        <v>1100 Accounts Receivable (A/R)</v>
      </c>
      <c r="B16" s="955">
        <f>_xlfn.XLOOKUP($A16,'TB FORMATTED'!$G:$G,'TB FORMATTED'!H:H,0,0,1)</f>
        <v>0</v>
      </c>
      <c r="C16" s="955">
        <f>_xlfn.XLOOKUP($A16,'TB FORMATTED'!$G:$G,'TB FORMATTED'!I:I,0,0,1)</f>
        <v>0</v>
      </c>
      <c r="D16" s="280">
        <f t="shared" si="0"/>
        <v>0</v>
      </c>
      <c r="F16" s="955">
        <f>_xlfn.XLOOKUP($A16,'TB FORMATTED'!$G:$G,'TB FORMATTED'!J:J,0,0,1)</f>
        <v>0</v>
      </c>
      <c r="G16" s="955">
        <f>_xlfn.XLOOKUP($A16,'TB FORMATTED'!$G:$G,'TB FORMATTED'!K:K,0,0,1)</f>
        <v>0</v>
      </c>
      <c r="H16" s="955"/>
      <c r="I16" s="955"/>
      <c r="J16" s="280">
        <f t="shared" si="1"/>
        <v>0</v>
      </c>
      <c r="K16" s="280"/>
      <c r="L16" s="280"/>
    </row>
    <row r="17" spans="1:12" x14ac:dyDescent="0.3">
      <c r="A17" s="1036" t="str">
        <f>COA!B16</f>
        <v>1100 Accounts Receivable</v>
      </c>
      <c r="B17" s="955">
        <f>_xlfn.XLOOKUP($A17,'TB FORMATTED'!$G:$G,'TB FORMATTED'!H:H,0,0,1)</f>
        <v>0</v>
      </c>
      <c r="C17" s="955">
        <f>_xlfn.XLOOKUP($A17,'TB FORMATTED'!$G:$G,'TB FORMATTED'!I:I,0,0,1)</f>
        <v>0</v>
      </c>
      <c r="D17" s="280">
        <f t="shared" si="0"/>
        <v>0</v>
      </c>
      <c r="F17" s="955">
        <f>_xlfn.XLOOKUP($A17,'TB FORMATTED'!$G:$G,'TB FORMATTED'!J:J,0,0,1)</f>
        <v>0</v>
      </c>
      <c r="G17" s="955">
        <f>_xlfn.XLOOKUP($A17,'TB FORMATTED'!$G:$G,'TB FORMATTED'!K:K,0,0,1)</f>
        <v>0</v>
      </c>
      <c r="H17" s="955"/>
      <c r="I17" s="955"/>
      <c r="J17" s="280">
        <f t="shared" si="1"/>
        <v>0</v>
      </c>
      <c r="K17" s="280"/>
      <c r="L17" s="280"/>
    </row>
    <row r="18" spans="1:12" x14ac:dyDescent="0.3">
      <c r="A18" s="1036" t="str">
        <f>COA!B17</f>
        <v>1120 Work in progress inventory</v>
      </c>
      <c r="B18" s="955">
        <f>_xlfn.XLOOKUP($A18,'TB FORMATTED'!$G:$G,'TB FORMATTED'!H:H,0,0,1)</f>
        <v>0</v>
      </c>
      <c r="C18" s="955">
        <f>_xlfn.XLOOKUP($A18,'TB FORMATTED'!$G:$G,'TB FORMATTED'!I:I,0,0,1)</f>
        <v>0</v>
      </c>
      <c r="D18" s="280">
        <f t="shared" si="0"/>
        <v>0</v>
      </c>
      <c r="F18" s="955">
        <f>_xlfn.XLOOKUP($A18,'TB FORMATTED'!$G:$G,'TB FORMATTED'!J:J,0,0,1)</f>
        <v>452364.03</v>
      </c>
      <c r="G18" s="955">
        <f>_xlfn.XLOOKUP($A18,'TB FORMATTED'!$G:$G,'TB FORMATTED'!K:K,0,0,1)</f>
        <v>0</v>
      </c>
      <c r="H18" s="955"/>
      <c r="I18" s="955"/>
      <c r="J18" s="280">
        <f t="shared" si="1"/>
        <v>452364.03</v>
      </c>
      <c r="K18" s="280"/>
      <c r="L18" s="280"/>
    </row>
    <row r="19" spans="1:12" x14ac:dyDescent="0.3">
      <c r="A19" s="1036" t="str">
        <f>COA!B18</f>
        <v>1020 Prepaid expenses</v>
      </c>
      <c r="B19" s="955">
        <f>_xlfn.XLOOKUP($A19,'TB FORMATTED'!$G:$G,'TB FORMATTED'!H:H,0,0,1)</f>
        <v>0</v>
      </c>
      <c r="C19" s="955">
        <f>_xlfn.XLOOKUP($A19,'TB FORMATTED'!$G:$G,'TB FORMATTED'!I:I,0,0,1)</f>
        <v>0</v>
      </c>
      <c r="D19" s="280">
        <f t="shared" si="0"/>
        <v>0</v>
      </c>
      <c r="F19" s="955">
        <f>_xlfn.XLOOKUP($A19,'TB FORMATTED'!$G:$G,'TB FORMATTED'!J:J,0,0,1)</f>
        <v>0</v>
      </c>
      <c r="G19" s="955">
        <f>_xlfn.XLOOKUP($A19,'TB FORMATTED'!$G:$G,'TB FORMATTED'!K:K,0,0,1)</f>
        <v>0</v>
      </c>
      <c r="H19" s="955"/>
      <c r="I19" s="955"/>
      <c r="J19" s="280">
        <f t="shared" si="1"/>
        <v>0</v>
      </c>
      <c r="K19" s="280"/>
      <c r="L19" s="280"/>
    </row>
    <row r="20" spans="1:12" x14ac:dyDescent="0.3">
      <c r="A20" s="1036" t="str">
        <f>COA!B19</f>
        <v>1200 Prepaid expenses</v>
      </c>
      <c r="B20" s="955">
        <f>_xlfn.XLOOKUP($A20,'TB FORMATTED'!$G:$G,'TB FORMATTED'!H:H,0,0,1)</f>
        <v>0</v>
      </c>
      <c r="C20" s="955">
        <f>_xlfn.XLOOKUP($A20,'TB FORMATTED'!$G:$G,'TB FORMATTED'!I:I,0,0,1)</f>
        <v>0</v>
      </c>
      <c r="D20" s="280">
        <f t="shared" si="0"/>
        <v>0</v>
      </c>
      <c r="F20" s="955">
        <f>_xlfn.XLOOKUP($A20,'TB FORMATTED'!$G:$G,'TB FORMATTED'!J:J,0,0,1)</f>
        <v>0</v>
      </c>
      <c r="G20" s="955">
        <f>_xlfn.XLOOKUP($A20,'TB FORMATTED'!$G:$G,'TB FORMATTED'!K:K,0,0,1)</f>
        <v>0</v>
      </c>
      <c r="H20" s="955"/>
      <c r="I20" s="955"/>
      <c r="J20" s="280">
        <f t="shared" si="1"/>
        <v>0</v>
      </c>
      <c r="K20" s="280"/>
      <c r="L20" s="280"/>
    </row>
    <row r="21" spans="1:12" x14ac:dyDescent="0.3">
      <c r="A21" s="1036" t="str">
        <f>COA!B20</f>
        <v>1300 Current portion of loan receivable</v>
      </c>
      <c r="B21" s="955">
        <f>_xlfn.XLOOKUP($A21,'TB FORMATTED'!$G:$G,'TB FORMATTED'!H:H,0,0,1)</f>
        <v>556400</v>
      </c>
      <c r="C21" s="955">
        <f>_xlfn.XLOOKUP($A21,'TB FORMATTED'!$G:$G,'TB FORMATTED'!I:I,0,0,1)</f>
        <v>0</v>
      </c>
      <c r="D21" s="280">
        <f t="shared" si="0"/>
        <v>556400</v>
      </c>
      <c r="F21" s="955">
        <f>_xlfn.XLOOKUP($A21,'TB FORMATTED'!$G:$G,'TB FORMATTED'!J:J,0,0,1)</f>
        <v>0</v>
      </c>
      <c r="G21" s="955">
        <f>_xlfn.XLOOKUP($A21,'TB FORMATTED'!$G:$G,'TB FORMATTED'!K:K,0,0,1)</f>
        <v>0</v>
      </c>
      <c r="H21" s="955"/>
      <c r="I21" s="955"/>
      <c r="J21" s="280">
        <f t="shared" si="1"/>
        <v>0</v>
      </c>
      <c r="K21" s="280"/>
      <c r="L21" s="280"/>
    </row>
    <row r="22" spans="1:12" x14ac:dyDescent="0.3">
      <c r="A22" s="1036" t="str">
        <f>COA!B21</f>
        <v>1400 Other current assets</v>
      </c>
      <c r="B22" s="955">
        <f>_xlfn.XLOOKUP($A22,'TB FORMATTED'!$G:$G,'TB FORMATTED'!H:H,0,0,1)</f>
        <v>0</v>
      </c>
      <c r="C22" s="955">
        <f>_xlfn.XLOOKUP($A22,'TB FORMATTED'!$G:$G,'TB FORMATTED'!I:I,0,0,1)</f>
        <v>0</v>
      </c>
      <c r="D22" s="280">
        <f t="shared" si="0"/>
        <v>0</v>
      </c>
      <c r="F22" s="955">
        <f>_xlfn.XLOOKUP($A22,'TB FORMATTED'!$G:$G,'TB FORMATTED'!J:J,0,0,1)</f>
        <v>0</v>
      </c>
      <c r="G22" s="955">
        <f>_xlfn.XLOOKUP($A22,'TB FORMATTED'!$G:$G,'TB FORMATTED'!K:K,0,0,1)</f>
        <v>0</v>
      </c>
      <c r="H22" s="955"/>
      <c r="I22" s="955"/>
      <c r="J22" s="280">
        <f t="shared" si="1"/>
        <v>0</v>
      </c>
      <c r="K22" s="280"/>
      <c r="L22" s="280"/>
    </row>
    <row r="23" spans="1:12" x14ac:dyDescent="0.3">
      <c r="A23" s="1036" t="str">
        <f>COA!B22</f>
        <v>1420 Intangible assets</v>
      </c>
      <c r="B23" s="955">
        <f>_xlfn.XLOOKUP($A23,'TB FORMATTED'!$G:$G,'TB FORMATTED'!H:H,0,0,1)</f>
        <v>450000</v>
      </c>
      <c r="C23" s="955">
        <f>_xlfn.XLOOKUP($A23,'TB FORMATTED'!$G:$G,'TB FORMATTED'!I:I,0,0,1)</f>
        <v>0</v>
      </c>
      <c r="D23" s="280">
        <f t="shared" si="0"/>
        <v>450000</v>
      </c>
      <c r="F23" s="955">
        <f>_xlfn.XLOOKUP($A23,'TB FORMATTED'!$G:$G,'TB FORMATTED'!J:J,0,0,1)</f>
        <v>0</v>
      </c>
      <c r="G23" s="955">
        <f>_xlfn.XLOOKUP($A23,'TB FORMATTED'!$G:$G,'TB FORMATTED'!K:K,0,0,1)</f>
        <v>0</v>
      </c>
      <c r="H23" s="955"/>
      <c r="I23" s="955"/>
      <c r="J23" s="280">
        <f t="shared" si="1"/>
        <v>0</v>
      </c>
      <c r="K23" s="280"/>
      <c r="L23" s="280"/>
    </row>
    <row r="24" spans="1:12" x14ac:dyDescent="0.3">
      <c r="A24" s="1036" t="str">
        <f>COA!B23</f>
        <v>1421 Accumulated amortization</v>
      </c>
      <c r="B24" s="955">
        <f>_xlfn.XLOOKUP($A24,'TB FORMATTED'!$G:$G,'TB FORMATTED'!H:H,0,0,1)</f>
        <v>0</v>
      </c>
      <c r="C24" s="955">
        <f>_xlfn.XLOOKUP($A24,'TB FORMATTED'!$G:$G,'TB FORMATTED'!I:I,0,0,1)</f>
        <v>0</v>
      </c>
      <c r="D24" s="280">
        <f t="shared" si="0"/>
        <v>0</v>
      </c>
      <c r="F24" s="955">
        <f>_xlfn.XLOOKUP($A24,'TB FORMATTED'!$G:$G,'TB FORMATTED'!J:J,0,0,1)</f>
        <v>0</v>
      </c>
      <c r="G24" s="955">
        <f>_xlfn.XLOOKUP($A24,'TB FORMATTED'!$G:$G,'TB FORMATTED'!K:K,0,0,1)</f>
        <v>0</v>
      </c>
      <c r="H24" s="955"/>
      <c r="I24" s="955"/>
      <c r="J24" s="280">
        <f t="shared" si="1"/>
        <v>0</v>
      </c>
      <c r="K24" s="280"/>
      <c r="L24" s="280"/>
    </row>
    <row r="25" spans="1:12" x14ac:dyDescent="0.3">
      <c r="A25" s="1036" t="str">
        <f>COA!B24</f>
        <v>1500 Payroll Advances Receivable</v>
      </c>
      <c r="B25" s="955">
        <f>_xlfn.XLOOKUP($A25,'TB FORMATTED'!$G:$G,'TB FORMATTED'!H:H,0,0,1)</f>
        <v>0</v>
      </c>
      <c r="C25" s="955">
        <f>_xlfn.XLOOKUP($A25,'TB FORMATTED'!$G:$G,'TB FORMATTED'!I:I,0,0,1)</f>
        <v>0</v>
      </c>
      <c r="D25" s="280">
        <f t="shared" si="0"/>
        <v>0</v>
      </c>
      <c r="F25" s="955">
        <f>_xlfn.XLOOKUP($A25,'TB FORMATTED'!$G:$G,'TB FORMATTED'!J:J,0,0,1)</f>
        <v>0</v>
      </c>
      <c r="G25" s="955">
        <f>_xlfn.XLOOKUP($A25,'TB FORMATTED'!$G:$G,'TB FORMATTED'!K:K,0,0,1)</f>
        <v>0</v>
      </c>
      <c r="H25" s="955"/>
      <c r="I25" s="955"/>
      <c r="J25" s="280">
        <f t="shared" si="1"/>
        <v>0</v>
      </c>
      <c r="K25" s="280"/>
      <c r="L25" s="280"/>
    </row>
    <row r="26" spans="1:12" x14ac:dyDescent="0.3">
      <c r="A26" s="1036" t="str">
        <f>COA!B25</f>
        <v>1500 Intercompany - Due from Hallor Industries Inc.</v>
      </c>
      <c r="B26" s="955">
        <f>_xlfn.XLOOKUP($A26,'TB FORMATTED'!$G:$G,'TB FORMATTED'!H:H,0,0,1)</f>
        <v>192352.91</v>
      </c>
      <c r="C26" s="955">
        <f>_xlfn.XLOOKUP($A26,'TB FORMATTED'!$G:$G,'TB FORMATTED'!I:I,0,0,1)</f>
        <v>0</v>
      </c>
      <c r="D26" s="280">
        <f t="shared" si="0"/>
        <v>192352.91</v>
      </c>
      <c r="F26" s="955">
        <f>_xlfn.XLOOKUP($A26,'TB FORMATTED'!$G:$G,'TB FORMATTED'!J:J,0,0,1)</f>
        <v>0</v>
      </c>
      <c r="G26" s="955">
        <f>_xlfn.XLOOKUP($A26,'TB FORMATTED'!$G:$G,'TB FORMATTED'!K:K,0,0,1)</f>
        <v>0</v>
      </c>
      <c r="H26" s="955"/>
      <c r="I26" s="955"/>
      <c r="J26" s="280">
        <f t="shared" si="1"/>
        <v>0</v>
      </c>
      <c r="K26" s="280"/>
      <c r="L26" s="280"/>
    </row>
    <row r="27" spans="1:12" x14ac:dyDescent="0.3">
      <c r="A27" s="1036" t="str">
        <f>COA!B26</f>
        <v>1600 Investment in Hallor Industries</v>
      </c>
      <c r="B27" s="955">
        <f>_xlfn.XLOOKUP($A27,'TB FORMATTED'!$G:$G,'TB FORMATTED'!H:H,0,0,1)</f>
        <v>6000000</v>
      </c>
      <c r="C27" s="955">
        <f>_xlfn.XLOOKUP($A27,'TB FORMATTED'!$G:$G,'TB FORMATTED'!I:I,0,0,1)</f>
        <v>0</v>
      </c>
      <c r="D27" s="280">
        <f t="shared" si="0"/>
        <v>6000000</v>
      </c>
      <c r="F27" s="955">
        <f>_xlfn.XLOOKUP($A27,'TB FORMATTED'!$G:$G,'TB FORMATTED'!J:J,0,0,1)</f>
        <v>0</v>
      </c>
      <c r="G27" s="955">
        <f>_xlfn.XLOOKUP($A27,'TB FORMATTED'!$G:$G,'TB FORMATTED'!K:K,0,0,1)</f>
        <v>0</v>
      </c>
      <c r="H27" s="955"/>
      <c r="I27" s="955"/>
      <c r="J27" s="280">
        <f t="shared" si="1"/>
        <v>0</v>
      </c>
      <c r="K27" s="280"/>
      <c r="L27" s="280"/>
    </row>
    <row r="28" spans="1:12" x14ac:dyDescent="0.3">
      <c r="A28" s="1036" t="str">
        <f>COA!B27</f>
        <v>1800 Computer Equipment</v>
      </c>
      <c r="B28" s="955">
        <f>_xlfn.XLOOKUP($A28,'TB FORMATTED'!$G:$G,'TB FORMATTED'!H:H,0,0,1)</f>
        <v>0</v>
      </c>
      <c r="C28" s="955">
        <f>_xlfn.XLOOKUP($A28,'TB FORMATTED'!$G:$G,'TB FORMATTED'!I:I,0,0,1)</f>
        <v>0</v>
      </c>
      <c r="D28" s="280">
        <f t="shared" si="0"/>
        <v>0</v>
      </c>
      <c r="F28" s="955">
        <f>_xlfn.XLOOKUP($A28,'TB FORMATTED'!$G:$G,'TB FORMATTED'!J:J,0,0,1)</f>
        <v>0</v>
      </c>
      <c r="G28" s="955">
        <f>_xlfn.XLOOKUP($A28,'TB FORMATTED'!$G:$G,'TB FORMATTED'!K:K,0,0,1)</f>
        <v>0</v>
      </c>
      <c r="H28" s="955"/>
      <c r="I28" s="955"/>
      <c r="J28" s="280">
        <f t="shared" si="1"/>
        <v>0</v>
      </c>
      <c r="K28" s="280"/>
      <c r="L28" s="280"/>
    </row>
    <row r="29" spans="1:12" x14ac:dyDescent="0.3">
      <c r="A29" s="1036" t="str">
        <f>COA!B28</f>
        <v>1801 Computer Equipment:Accumulated Depreciation</v>
      </c>
      <c r="B29" s="955">
        <f>_xlfn.XLOOKUP($A29,'TB FORMATTED'!$G:$G,'TB FORMATTED'!H:H,0,0,1)</f>
        <v>0</v>
      </c>
      <c r="C29" s="955">
        <f>_xlfn.XLOOKUP($A29,'TB FORMATTED'!$G:$G,'TB FORMATTED'!I:I,0,0,1)</f>
        <v>0</v>
      </c>
      <c r="D29" s="280">
        <f t="shared" si="0"/>
        <v>0</v>
      </c>
      <c r="F29" s="955">
        <f>_xlfn.XLOOKUP($A29,'TB FORMATTED'!$G:$G,'TB FORMATTED'!J:J,0,0,1)</f>
        <v>0</v>
      </c>
      <c r="G29" s="955">
        <f>_xlfn.XLOOKUP($A29,'TB FORMATTED'!$G:$G,'TB FORMATTED'!K:K,0,0,1)</f>
        <v>0</v>
      </c>
      <c r="H29" s="955"/>
      <c r="I29" s="955"/>
      <c r="J29" s="280">
        <f t="shared" si="1"/>
        <v>0</v>
      </c>
      <c r="K29" s="280"/>
      <c r="L29" s="280"/>
    </row>
    <row r="30" spans="1:12" x14ac:dyDescent="0.3">
      <c r="A30" s="1036" t="str">
        <f>COA!B29</f>
        <v>1810 Office Furniture</v>
      </c>
      <c r="B30" s="955">
        <f>_xlfn.XLOOKUP($A30,'TB FORMATTED'!$G:$G,'TB FORMATTED'!H:H,0,0,1)</f>
        <v>0</v>
      </c>
      <c r="C30" s="955">
        <f>_xlfn.XLOOKUP($A30,'TB FORMATTED'!$G:$G,'TB FORMATTED'!I:I,0,0,1)</f>
        <v>0</v>
      </c>
      <c r="D30" s="280">
        <f t="shared" si="0"/>
        <v>0</v>
      </c>
      <c r="F30" s="955">
        <f>_xlfn.XLOOKUP($A30,'TB FORMATTED'!$G:$G,'TB FORMATTED'!J:J,0,0,1)</f>
        <v>0</v>
      </c>
      <c r="G30" s="955">
        <f>_xlfn.XLOOKUP($A30,'TB FORMATTED'!$G:$G,'TB FORMATTED'!K:K,0,0,1)</f>
        <v>0</v>
      </c>
      <c r="H30" s="955"/>
      <c r="I30" s="955"/>
      <c r="J30" s="280">
        <f t="shared" si="1"/>
        <v>0</v>
      </c>
      <c r="K30" s="280"/>
      <c r="L30" s="280"/>
    </row>
    <row r="31" spans="1:12" x14ac:dyDescent="0.3">
      <c r="A31" s="1036" t="str">
        <f>COA!B30</f>
        <v>1811 Office Furniture:Accumulated Depreciation</v>
      </c>
      <c r="B31" s="955">
        <f>_xlfn.XLOOKUP($A31,'TB FORMATTED'!$G:$G,'TB FORMATTED'!H:H,0,0,1)</f>
        <v>0</v>
      </c>
      <c r="C31" s="955">
        <f>_xlfn.XLOOKUP($A31,'TB FORMATTED'!$G:$G,'TB FORMATTED'!I:I,0,0,1)</f>
        <v>0</v>
      </c>
      <c r="D31" s="280">
        <f t="shared" si="0"/>
        <v>0</v>
      </c>
      <c r="F31" s="955">
        <f>_xlfn.XLOOKUP($A31,'TB FORMATTED'!$G:$G,'TB FORMATTED'!J:J,0,0,1)</f>
        <v>0</v>
      </c>
      <c r="G31" s="955">
        <f>_xlfn.XLOOKUP($A31,'TB FORMATTED'!$G:$G,'TB FORMATTED'!K:K,0,0,1)</f>
        <v>0</v>
      </c>
      <c r="H31" s="955"/>
      <c r="I31" s="955"/>
      <c r="J31" s="280">
        <f t="shared" si="1"/>
        <v>0</v>
      </c>
      <c r="K31" s="280"/>
      <c r="L31" s="280"/>
    </row>
    <row r="32" spans="1:12" x14ac:dyDescent="0.3">
      <c r="A32" s="1036" t="str">
        <f>COA!B31</f>
        <v>1900 Shop Equipment</v>
      </c>
      <c r="B32" s="955">
        <f>_xlfn.XLOOKUP($A32,'TB FORMATTED'!$G:$G,'TB FORMATTED'!H:H,0,0,1)</f>
        <v>0</v>
      </c>
      <c r="C32" s="955">
        <f>_xlfn.XLOOKUP($A32,'TB FORMATTED'!$G:$G,'TB FORMATTED'!I:I,0,0,1)</f>
        <v>0</v>
      </c>
      <c r="D32" s="280">
        <f t="shared" si="0"/>
        <v>0</v>
      </c>
      <c r="F32" s="955">
        <f>_xlfn.XLOOKUP($A32,'TB FORMATTED'!$G:$G,'TB FORMATTED'!J:J,0,0,1)</f>
        <v>6288.98</v>
      </c>
      <c r="G32" s="955">
        <f>_xlfn.XLOOKUP($A32,'TB FORMATTED'!$G:$G,'TB FORMATTED'!K:K,0,0,1)</f>
        <v>0</v>
      </c>
      <c r="H32" s="955"/>
      <c r="I32" s="955"/>
      <c r="J32" s="280">
        <f t="shared" si="1"/>
        <v>6288.98</v>
      </c>
      <c r="K32" s="280"/>
      <c r="L32" s="280"/>
    </row>
    <row r="33" spans="1:12" x14ac:dyDescent="0.3">
      <c r="A33" s="1036" t="str">
        <f>COA!B32</f>
        <v>1901 Shop Equipment:Accum deprec - shop equipment</v>
      </c>
      <c r="B33" s="955">
        <f>_xlfn.XLOOKUP($A33,'TB FORMATTED'!$G:$G,'TB FORMATTED'!H:H,0,0,1)</f>
        <v>0</v>
      </c>
      <c r="C33" s="955">
        <f>_xlfn.XLOOKUP($A33,'TB FORMATTED'!$G:$G,'TB FORMATTED'!I:I,0,0,1)</f>
        <v>0</v>
      </c>
      <c r="D33" s="280">
        <f t="shared" si="0"/>
        <v>0</v>
      </c>
      <c r="F33" s="955">
        <f>_xlfn.XLOOKUP($A33,'TB FORMATTED'!$G:$G,'TB FORMATTED'!J:J,0,0,1)</f>
        <v>0</v>
      </c>
      <c r="G33" s="955">
        <f>_xlfn.XLOOKUP($A33,'TB FORMATTED'!$G:$G,'TB FORMATTED'!K:K,0,0,1)</f>
        <v>948.31</v>
      </c>
      <c r="H33" s="955"/>
      <c r="I33" s="955"/>
      <c r="J33" s="280">
        <f t="shared" si="1"/>
        <v>-948.31</v>
      </c>
      <c r="K33" s="280"/>
      <c r="L33" s="280"/>
    </row>
    <row r="34" spans="1:12" x14ac:dyDescent="0.3">
      <c r="A34" s="1036" t="str">
        <f>COA!B33</f>
        <v>1999 Uncategorized Asset</v>
      </c>
      <c r="B34" s="955">
        <f>_xlfn.XLOOKUP($A34,'TB FORMATTED'!$G:$G,'TB FORMATTED'!H:H,0,0,1)</f>
        <v>0</v>
      </c>
      <c r="C34" s="955">
        <f>_xlfn.XLOOKUP($A34,'TB FORMATTED'!$G:$G,'TB FORMATTED'!I:I,0,0,1)</f>
        <v>0</v>
      </c>
      <c r="D34" s="280">
        <f t="shared" si="0"/>
        <v>0</v>
      </c>
      <c r="F34" s="955">
        <f>_xlfn.XLOOKUP($A34,'TB FORMATTED'!$G:$G,'TB FORMATTED'!J:J,0,0,1)</f>
        <v>0</v>
      </c>
      <c r="G34" s="955">
        <f>_xlfn.XLOOKUP($A34,'TB FORMATTED'!$G:$G,'TB FORMATTED'!K:K,0,0,1)</f>
        <v>0</v>
      </c>
      <c r="H34" s="955"/>
      <c r="I34" s="955"/>
      <c r="J34" s="280">
        <f t="shared" si="1"/>
        <v>0</v>
      </c>
      <c r="K34" s="280"/>
      <c r="L34" s="280"/>
    </row>
    <row r="35" spans="1:12" x14ac:dyDescent="0.3">
      <c r="A35" s="1036" t="str">
        <f>COA!B34</f>
        <v>2000 Accounts Payable (A/P)</v>
      </c>
      <c r="B35" s="955">
        <f>_xlfn.XLOOKUP($A35,'TB FORMATTED'!$G:$G,'TB FORMATTED'!H:H,0,0,1)</f>
        <v>0</v>
      </c>
      <c r="C35" s="955">
        <f>_xlfn.XLOOKUP($A35,'TB FORMATTED'!$G:$G,'TB FORMATTED'!I:I,0,0,1)</f>
        <v>128133.35</v>
      </c>
      <c r="D35" s="280">
        <f t="shared" si="0"/>
        <v>-128133.35</v>
      </c>
      <c r="F35" s="955">
        <f>_xlfn.XLOOKUP($A35,'TB FORMATTED'!$G:$G,'TB FORMATTED'!J:J,0,0,1)</f>
        <v>0</v>
      </c>
      <c r="G35" s="955">
        <f>_xlfn.XLOOKUP($A35,'TB FORMATTED'!$G:$G,'TB FORMATTED'!K:K,0,0,1)</f>
        <v>0</v>
      </c>
      <c r="H35" s="955"/>
      <c r="I35" s="955"/>
      <c r="J35" s="280">
        <f t="shared" si="1"/>
        <v>0</v>
      </c>
      <c r="K35" s="280"/>
      <c r="L35" s="280"/>
    </row>
    <row r="36" spans="1:12" x14ac:dyDescent="0.3">
      <c r="A36" s="1036" t="str">
        <f>COA!B35</f>
        <v>2000 Accounts Payable</v>
      </c>
      <c r="B36" s="955">
        <f>_xlfn.XLOOKUP($A36,'TB FORMATTED'!$G:$G,'TB FORMATTED'!H:H,0,0,1)</f>
        <v>0</v>
      </c>
      <c r="C36" s="955">
        <f>_xlfn.XLOOKUP($A36,'TB FORMATTED'!$G:$G,'TB FORMATTED'!I:I,0,0,1)</f>
        <v>0</v>
      </c>
      <c r="D36" s="280">
        <f t="shared" si="0"/>
        <v>0</v>
      </c>
      <c r="F36" s="955">
        <f>_xlfn.XLOOKUP($A36,'TB FORMATTED'!$G:$G,'TB FORMATTED'!J:J,0,0,1)</f>
        <v>0</v>
      </c>
      <c r="G36" s="955">
        <f>_xlfn.XLOOKUP($A36,'TB FORMATTED'!$G:$G,'TB FORMATTED'!K:K,0,0,1)</f>
        <v>108032.58</v>
      </c>
      <c r="H36" s="955"/>
      <c r="I36" s="955"/>
      <c r="J36" s="280">
        <f t="shared" si="1"/>
        <v>-108032.58</v>
      </c>
      <c r="K36" s="280"/>
      <c r="L36" s="280"/>
    </row>
    <row r="37" spans="1:12" x14ac:dyDescent="0.3">
      <c r="A37" s="1036" t="str">
        <f>COA!B36</f>
        <v>2001 Accounts Payable (A/P) - USD</v>
      </c>
      <c r="B37" s="955">
        <f>_xlfn.XLOOKUP($A37,'TB FORMATTED'!$G:$G,'TB FORMATTED'!H:H,0,0,1)</f>
        <v>0</v>
      </c>
      <c r="C37" s="955">
        <f>_xlfn.XLOOKUP($A37,'TB FORMATTED'!$G:$G,'TB FORMATTED'!I:I,0,0,1)</f>
        <v>0</v>
      </c>
      <c r="D37" s="280">
        <f t="shared" si="0"/>
        <v>0</v>
      </c>
      <c r="F37" s="955">
        <f>_xlfn.XLOOKUP($A37,'TB FORMATTED'!$G:$G,'TB FORMATTED'!J:J,0,0,1)</f>
        <v>0</v>
      </c>
      <c r="G37" s="955">
        <f>_xlfn.XLOOKUP($A37,'TB FORMATTED'!$G:$G,'TB FORMATTED'!K:K,0,0,1)</f>
        <v>0.01</v>
      </c>
      <c r="H37" s="955"/>
      <c r="I37" s="955"/>
      <c r="J37" s="280">
        <f t="shared" si="1"/>
        <v>-0.01</v>
      </c>
      <c r="K37" s="280"/>
      <c r="L37" s="280"/>
    </row>
    <row r="38" spans="1:12" x14ac:dyDescent="0.3">
      <c r="A38" s="1036" t="str">
        <f>COA!B37</f>
        <v>2010 Accrued Liabilities</v>
      </c>
      <c r="B38" s="955">
        <f>_xlfn.XLOOKUP($A38,'TB FORMATTED'!$G:$G,'TB FORMATTED'!H:H,0,0,1)</f>
        <v>0</v>
      </c>
      <c r="C38" s="955">
        <f>_xlfn.XLOOKUP($A38,'TB FORMATTED'!$G:$G,'TB FORMATTED'!I:I,0,0,1)</f>
        <v>0</v>
      </c>
      <c r="D38" s="280">
        <f t="shared" si="0"/>
        <v>0</v>
      </c>
      <c r="F38" s="955">
        <f>_xlfn.XLOOKUP($A38,'TB FORMATTED'!$G:$G,'TB FORMATTED'!J:J,0,0,1)</f>
        <v>0</v>
      </c>
      <c r="G38" s="955">
        <f>_xlfn.XLOOKUP($A38,'TB FORMATTED'!$G:$G,'TB FORMATTED'!K:K,0,0,1)</f>
        <v>60000</v>
      </c>
      <c r="H38" s="955"/>
      <c r="I38" s="955"/>
      <c r="J38" s="280">
        <f t="shared" si="1"/>
        <v>-60000</v>
      </c>
      <c r="K38" s="280"/>
      <c r="L38" s="280"/>
    </row>
    <row r="39" spans="1:12" x14ac:dyDescent="0.3">
      <c r="A39" s="1036" t="str">
        <f>COA!B38</f>
        <v>2030 Cutomer prepayments</v>
      </c>
      <c r="B39" s="955">
        <f>_xlfn.XLOOKUP($A39,'TB FORMATTED'!$G:$G,'TB FORMATTED'!H:H,0,0,1)</f>
        <v>0</v>
      </c>
      <c r="C39" s="955">
        <f>_xlfn.XLOOKUP($A39,'TB FORMATTED'!$G:$G,'TB FORMATTED'!I:I,0,0,1)</f>
        <v>0</v>
      </c>
      <c r="D39" s="280">
        <f t="shared" si="0"/>
        <v>0</v>
      </c>
      <c r="F39" s="955">
        <f>_xlfn.XLOOKUP($A39,'TB FORMATTED'!$G:$G,'TB FORMATTED'!J:J,0,0,1)</f>
        <v>0</v>
      </c>
      <c r="G39" s="955">
        <f>_xlfn.XLOOKUP($A39,'TB FORMATTED'!$G:$G,'TB FORMATTED'!K:K,0,0,1)</f>
        <v>0</v>
      </c>
      <c r="H39" s="955"/>
      <c r="I39" s="955"/>
      <c r="J39" s="280">
        <f t="shared" si="1"/>
        <v>0</v>
      </c>
      <c r="K39" s="280"/>
      <c r="L39" s="280"/>
    </row>
    <row r="40" spans="1:12" x14ac:dyDescent="0.3">
      <c r="A40" s="1036" t="str">
        <f>COA!B41</f>
        <v>2100 Accrued Liabilities</v>
      </c>
      <c r="B40" s="955">
        <f>_xlfn.XLOOKUP($A40,'TB FORMATTED'!$G:$G,'TB FORMATTED'!H:H,0,0,1)</f>
        <v>0</v>
      </c>
      <c r="C40" s="955">
        <f>_xlfn.XLOOKUP($A40,'TB FORMATTED'!$G:$G,'TB FORMATTED'!I:I,0,0,1)</f>
        <v>53625</v>
      </c>
      <c r="D40" s="280">
        <f t="shared" si="0"/>
        <v>-53625</v>
      </c>
      <c r="F40" s="955">
        <f>_xlfn.XLOOKUP($A40,'TB FORMATTED'!$G:$G,'TB FORMATTED'!J:J,0,0,1)</f>
        <v>0</v>
      </c>
      <c r="G40" s="955">
        <f>_xlfn.XLOOKUP($A40,'TB FORMATTED'!$G:$G,'TB FORMATTED'!K:K,0,0,1)</f>
        <v>0</v>
      </c>
      <c r="H40" s="955"/>
      <c r="I40" s="955"/>
      <c r="J40" s="280">
        <f t="shared" si="1"/>
        <v>0</v>
      </c>
      <c r="K40" s="280"/>
      <c r="L40" s="280"/>
    </row>
    <row r="41" spans="1:12" x14ac:dyDescent="0.3">
      <c r="A41" s="1036" t="str">
        <f>COA!B42</f>
        <v>2100 Payroll Liabilities</v>
      </c>
      <c r="B41" s="955">
        <f>_xlfn.XLOOKUP($A41,'TB FORMATTED'!$G:$G,'TB FORMATTED'!H:H,0,0,1)</f>
        <v>0</v>
      </c>
      <c r="C41" s="955">
        <f>_xlfn.XLOOKUP($A41,'TB FORMATTED'!$G:$G,'TB FORMATTED'!I:I,0,0,1)</f>
        <v>0</v>
      </c>
      <c r="D41" s="280">
        <f t="shared" si="0"/>
        <v>0</v>
      </c>
      <c r="F41" s="955">
        <f>_xlfn.XLOOKUP($A41,'TB FORMATTED'!$G:$G,'TB FORMATTED'!J:J,0,0,1)</f>
        <v>0</v>
      </c>
      <c r="G41" s="955">
        <f>_xlfn.XLOOKUP($A41,'TB FORMATTED'!$G:$G,'TB FORMATTED'!K:K,0,0,1)</f>
        <v>0</v>
      </c>
      <c r="H41" s="955"/>
      <c r="I41" s="955"/>
      <c r="J41" s="280">
        <f t="shared" si="1"/>
        <v>0</v>
      </c>
      <c r="K41" s="280"/>
      <c r="L41" s="280"/>
    </row>
    <row r="42" spans="1:12" x14ac:dyDescent="0.3">
      <c r="A42" s="1036" t="str">
        <f>COA!B43</f>
        <v>2110 Payroll Liabilities:Payroll Taxes</v>
      </c>
      <c r="B42" s="955">
        <f>_xlfn.XLOOKUP($A42,'TB FORMATTED'!$G:$G,'TB FORMATTED'!H:H,0,0,1)</f>
        <v>0</v>
      </c>
      <c r="C42" s="955">
        <f>_xlfn.XLOOKUP($A42,'TB FORMATTED'!$G:$G,'TB FORMATTED'!I:I,0,0,1)</f>
        <v>0</v>
      </c>
      <c r="D42" s="280">
        <f t="shared" si="0"/>
        <v>0</v>
      </c>
      <c r="F42" s="955">
        <f>_xlfn.XLOOKUP($A42,'TB FORMATTED'!$G:$G,'TB FORMATTED'!J:J,0,0,1)</f>
        <v>0</v>
      </c>
      <c r="G42" s="955">
        <f>_xlfn.XLOOKUP($A42,'TB FORMATTED'!$G:$G,'TB FORMATTED'!K:K,0,0,1)</f>
        <v>0</v>
      </c>
      <c r="H42" s="955"/>
      <c r="I42" s="955"/>
      <c r="J42" s="280">
        <f t="shared" si="1"/>
        <v>0</v>
      </c>
      <c r="K42" s="280"/>
      <c r="L42" s="280"/>
    </row>
    <row r="43" spans="1:12" x14ac:dyDescent="0.3">
      <c r="A43" s="1036" t="str">
        <f>COA!B44</f>
        <v>2120 Payroll Liabilities:Vacation Pay Due</v>
      </c>
      <c r="B43" s="955">
        <f>_xlfn.XLOOKUP($A43,'TB FORMATTED'!$G:$G,'TB FORMATTED'!H:H,0,0,1)</f>
        <v>0</v>
      </c>
      <c r="C43" s="955">
        <f>_xlfn.XLOOKUP($A43,'TB FORMATTED'!$G:$G,'TB FORMATTED'!I:I,0,0,1)</f>
        <v>0</v>
      </c>
      <c r="D43" s="280">
        <f t="shared" si="0"/>
        <v>0</v>
      </c>
      <c r="F43" s="955">
        <f>_xlfn.XLOOKUP($A43,'TB FORMATTED'!$G:$G,'TB FORMATTED'!J:J,0,0,1)</f>
        <v>0</v>
      </c>
      <c r="G43" s="955">
        <f>_xlfn.XLOOKUP($A43,'TB FORMATTED'!$G:$G,'TB FORMATTED'!K:K,0,0,1)</f>
        <v>0</v>
      </c>
      <c r="H43" s="955"/>
      <c r="I43" s="955"/>
      <c r="J43" s="280">
        <f t="shared" si="1"/>
        <v>0</v>
      </c>
      <c r="K43" s="922"/>
      <c r="L43" s="922"/>
    </row>
    <row r="44" spans="1:12" x14ac:dyDescent="0.3">
      <c r="A44" s="1036" t="str">
        <f>COA!B45</f>
        <v>2130 Payroll Liabilities:WCB to be paid/(refunded)</v>
      </c>
      <c r="B44" s="955">
        <f>_xlfn.XLOOKUP($A44,'TB FORMATTED'!$G:$G,'TB FORMATTED'!H:H,0,0,1)</f>
        <v>0</v>
      </c>
      <c r="C44" s="955">
        <f>_xlfn.XLOOKUP($A44,'TB FORMATTED'!$G:$G,'TB FORMATTED'!I:I,0,0,1)</f>
        <v>0</v>
      </c>
      <c r="D44" s="280">
        <f t="shared" si="0"/>
        <v>0</v>
      </c>
      <c r="F44" s="955">
        <f>_xlfn.XLOOKUP($A44,'TB FORMATTED'!$G:$G,'TB FORMATTED'!J:J,0,0,1)</f>
        <v>0</v>
      </c>
      <c r="G44" s="955">
        <f>_xlfn.XLOOKUP($A44,'TB FORMATTED'!$G:$G,'TB FORMATTED'!K:K,0,0,1)</f>
        <v>0</v>
      </c>
      <c r="H44" s="955"/>
      <c r="I44" s="955"/>
      <c r="J44" s="280">
        <f t="shared" si="1"/>
        <v>0</v>
      </c>
      <c r="K44" s="280"/>
      <c r="L44" s="280"/>
    </row>
    <row r="45" spans="1:12" x14ac:dyDescent="0.3">
      <c r="A45" s="1036" t="str">
        <f>COA!B46</f>
        <v>2140 Payroll Liabilities:Vacation Pay Payable</v>
      </c>
      <c r="B45" s="955">
        <f>_xlfn.XLOOKUP($A45,'TB FORMATTED'!$G:$G,'TB FORMATTED'!H:H,0,0,1)</f>
        <v>0</v>
      </c>
      <c r="C45" s="955">
        <f>_xlfn.XLOOKUP($A45,'TB FORMATTED'!$G:$G,'TB FORMATTED'!I:I,0,0,1)</f>
        <v>0</v>
      </c>
      <c r="D45" s="280">
        <f t="shared" si="0"/>
        <v>0</v>
      </c>
      <c r="F45" s="955">
        <f>_xlfn.XLOOKUP($A45,'TB FORMATTED'!$G:$G,'TB FORMATTED'!J:J,0,0,1)</f>
        <v>0</v>
      </c>
      <c r="G45" s="955">
        <f>_xlfn.XLOOKUP($A45,'TB FORMATTED'!$G:$G,'TB FORMATTED'!K:K,0,0,1)</f>
        <v>0</v>
      </c>
      <c r="H45" s="955"/>
      <c r="I45" s="955"/>
      <c r="J45" s="280">
        <f t="shared" si="1"/>
        <v>0</v>
      </c>
      <c r="K45" s="280"/>
      <c r="L45" s="280"/>
    </row>
    <row r="46" spans="1:12" x14ac:dyDescent="0.3">
      <c r="A46" s="1036" t="str">
        <f>COA!B47</f>
        <v>2200 PST Payable (BC)</v>
      </c>
      <c r="B46" s="955">
        <f>_xlfn.XLOOKUP($A46,'TB FORMATTED'!$G:$G,'TB FORMATTED'!H:H,0,0,1)</f>
        <v>0</v>
      </c>
      <c r="C46" s="955">
        <f>_xlfn.XLOOKUP($A46,'TB FORMATTED'!$G:$G,'TB FORMATTED'!I:I,0,0,1)</f>
        <v>0</v>
      </c>
      <c r="D46" s="280">
        <f t="shared" si="0"/>
        <v>0</v>
      </c>
      <c r="F46" s="955">
        <f>_xlfn.XLOOKUP($A46,'TB FORMATTED'!$G:$G,'TB FORMATTED'!J:J,0,0,1)</f>
        <v>0</v>
      </c>
      <c r="G46" s="955">
        <f>_xlfn.XLOOKUP($A46,'TB FORMATTED'!$G:$G,'TB FORMATTED'!K:K,0,0,1)</f>
        <v>0</v>
      </c>
      <c r="H46" s="955"/>
      <c r="I46" s="955"/>
      <c r="J46" s="280">
        <f t="shared" si="1"/>
        <v>0</v>
      </c>
      <c r="K46" s="280"/>
      <c r="L46" s="280"/>
    </row>
    <row r="47" spans="1:12" x14ac:dyDescent="0.3">
      <c r="A47" s="1036" t="str">
        <f>COA!B48</f>
        <v>2200 GST Payable/(Refund)</v>
      </c>
      <c r="B47" s="955">
        <f>_xlfn.XLOOKUP($A47,'TB FORMATTED'!$G:$G,'TB FORMATTED'!H:H,0,0,1)</f>
        <v>0</v>
      </c>
      <c r="C47" s="955">
        <f>_xlfn.XLOOKUP($A47,'TB FORMATTED'!$G:$G,'TB FORMATTED'!I:I,0,0,1)</f>
        <v>0</v>
      </c>
      <c r="D47" s="280">
        <f t="shared" si="0"/>
        <v>0</v>
      </c>
      <c r="F47" s="955">
        <f>_xlfn.XLOOKUP($A47,'TB FORMATTED'!$G:$G,'TB FORMATTED'!J:J,0,0,1)</f>
        <v>0</v>
      </c>
      <c r="G47" s="955">
        <f>_xlfn.XLOOKUP($A47,'TB FORMATTED'!$G:$G,'TB FORMATTED'!K:K,0,0,1)</f>
        <v>0</v>
      </c>
      <c r="H47" s="955"/>
      <c r="I47" s="955"/>
      <c r="J47" s="280">
        <f t="shared" si="1"/>
        <v>0</v>
      </c>
      <c r="K47" s="280"/>
      <c r="L47" s="280"/>
    </row>
    <row r="48" spans="1:12" x14ac:dyDescent="0.3">
      <c r="A48" s="1036" t="str">
        <f>COA!B49</f>
        <v>2201 PST Suspense (BC)</v>
      </c>
      <c r="B48" s="955">
        <f>_xlfn.XLOOKUP($A48,'TB FORMATTED'!$G:$G,'TB FORMATTED'!H:H,0,0,1)</f>
        <v>0</v>
      </c>
      <c r="C48" s="955">
        <f>_xlfn.XLOOKUP($A48,'TB FORMATTED'!$G:$G,'TB FORMATTED'!I:I,0,0,1)</f>
        <v>0</v>
      </c>
      <c r="D48" s="280">
        <f t="shared" si="0"/>
        <v>0</v>
      </c>
      <c r="F48" s="955">
        <f>_xlfn.XLOOKUP($A48,'TB FORMATTED'!$G:$G,'TB FORMATTED'!J:J,0,0,1)</f>
        <v>0</v>
      </c>
      <c r="G48" s="955">
        <f>_xlfn.XLOOKUP($A48,'TB FORMATTED'!$G:$G,'TB FORMATTED'!K:K,0,0,1)</f>
        <v>0</v>
      </c>
      <c r="H48" s="955"/>
      <c r="I48" s="955"/>
      <c r="J48" s="280">
        <f t="shared" si="1"/>
        <v>0</v>
      </c>
      <c r="K48" s="280"/>
      <c r="L48" s="280"/>
    </row>
    <row r="49" spans="1:12" x14ac:dyDescent="0.3">
      <c r="A49" s="1036" t="str">
        <f>COA!B50</f>
        <v>2210 GST Payable/(Refund):GST Paid on Purchases</v>
      </c>
      <c r="B49" s="955">
        <f>_xlfn.XLOOKUP($A49,'TB FORMATTED'!$G:$G,'TB FORMATTED'!H:H,0,0,1)</f>
        <v>0</v>
      </c>
      <c r="C49" s="955">
        <f>_xlfn.XLOOKUP($A49,'TB FORMATTED'!$G:$G,'TB FORMATTED'!I:I,0,0,1)</f>
        <v>0</v>
      </c>
      <c r="D49" s="280">
        <f t="shared" si="0"/>
        <v>0</v>
      </c>
      <c r="F49" s="955">
        <f>_xlfn.XLOOKUP($A49,'TB FORMATTED'!$G:$G,'TB FORMATTED'!J:J,0,0,1)</f>
        <v>0</v>
      </c>
      <c r="G49" s="955">
        <f>_xlfn.XLOOKUP($A49,'TB FORMATTED'!$G:$G,'TB FORMATTED'!K:K,0,0,1)</f>
        <v>0</v>
      </c>
      <c r="H49" s="955"/>
      <c r="I49" s="955"/>
      <c r="J49" s="280">
        <f t="shared" si="1"/>
        <v>0</v>
      </c>
      <c r="K49" s="280"/>
      <c r="L49" s="280"/>
    </row>
    <row r="50" spans="1:12" x14ac:dyDescent="0.3">
      <c r="A50" s="1036" t="str">
        <f>COA!B51</f>
        <v>2220 GST Payable/(Refund):GST Collected on Sales</v>
      </c>
      <c r="B50" s="955">
        <f>_xlfn.XLOOKUP($A50,'TB FORMATTED'!$G:$G,'TB FORMATTED'!H:H,0,0,1)</f>
        <v>0</v>
      </c>
      <c r="C50" s="955">
        <f>_xlfn.XLOOKUP($A50,'TB FORMATTED'!$G:$G,'TB FORMATTED'!I:I,0,0,1)</f>
        <v>0</v>
      </c>
      <c r="D50" s="280">
        <f t="shared" si="0"/>
        <v>0</v>
      </c>
      <c r="F50" s="955">
        <f>_xlfn.XLOOKUP($A50,'TB FORMATTED'!$G:$G,'TB FORMATTED'!J:J,0,0,1)</f>
        <v>9322.07</v>
      </c>
      <c r="G50" s="955">
        <f>_xlfn.XLOOKUP($A50,'TB FORMATTED'!$G:$G,'TB FORMATTED'!K:K,0,0,1)</f>
        <v>0</v>
      </c>
      <c r="H50" s="955"/>
      <c r="I50" s="955"/>
      <c r="J50" s="280">
        <f t="shared" si="1"/>
        <v>9322.07</v>
      </c>
      <c r="K50" s="280"/>
      <c r="L50" s="280"/>
    </row>
    <row r="51" spans="1:12" x14ac:dyDescent="0.3">
      <c r="A51" s="1036" t="str">
        <f>COA!B52</f>
        <v>2210 GST/HST Payable</v>
      </c>
      <c r="B51" s="955">
        <f>_xlfn.XLOOKUP($A51,'TB FORMATTED'!$G:$G,'TB FORMATTED'!H:H,0,0,1)</f>
        <v>20440.38</v>
      </c>
      <c r="C51" s="955">
        <f>_xlfn.XLOOKUP($A51,'TB FORMATTED'!$G:$G,'TB FORMATTED'!I:I,0,0,1)</f>
        <v>0</v>
      </c>
      <c r="D51" s="280">
        <f t="shared" si="0"/>
        <v>20440.38</v>
      </c>
      <c r="F51" s="955">
        <f>_xlfn.XLOOKUP($A51,'TB FORMATTED'!$G:$G,'TB FORMATTED'!J:J,0,0,1)</f>
        <v>0</v>
      </c>
      <c r="G51" s="955">
        <f>_xlfn.XLOOKUP($A51,'TB FORMATTED'!$G:$G,'TB FORMATTED'!K:K,0,0,1)</f>
        <v>0</v>
      </c>
      <c r="H51" s="955"/>
      <c r="I51" s="955"/>
      <c r="J51" s="280">
        <f t="shared" si="1"/>
        <v>0</v>
      </c>
      <c r="K51" s="280"/>
      <c r="L51" s="280"/>
    </row>
    <row r="52" spans="1:12" x14ac:dyDescent="0.3">
      <c r="A52" s="1036" t="str">
        <f>COA!B53</f>
        <v>2230 GST Payable/(Refund):GST to Paid/(refunded)</v>
      </c>
      <c r="B52" s="955">
        <f>_xlfn.XLOOKUP($A52,'TB FORMATTED'!$G:$G,'TB FORMATTED'!H:H,0,0,1)</f>
        <v>0</v>
      </c>
      <c r="C52" s="955">
        <f>_xlfn.XLOOKUP($A52,'TB FORMATTED'!$G:$G,'TB FORMATTED'!I:I,0,0,1)</f>
        <v>0</v>
      </c>
      <c r="D52" s="280">
        <f t="shared" si="0"/>
        <v>0</v>
      </c>
      <c r="F52" s="955">
        <f>_xlfn.XLOOKUP($A52,'TB FORMATTED'!$G:$G,'TB FORMATTED'!J:J,0,0,1)</f>
        <v>389.61</v>
      </c>
      <c r="G52" s="955">
        <f>_xlfn.XLOOKUP($A52,'TB FORMATTED'!$G:$G,'TB FORMATTED'!K:K,0,0,1)</f>
        <v>0</v>
      </c>
      <c r="H52" s="955"/>
      <c r="I52" s="955"/>
      <c r="J52" s="280">
        <f t="shared" si="1"/>
        <v>389.61</v>
      </c>
      <c r="K52" s="280"/>
      <c r="L52" s="280"/>
    </row>
    <row r="53" spans="1:12" x14ac:dyDescent="0.3">
      <c r="A53" s="1036" t="str">
        <f>COA!B54</f>
        <v>2211 GST/HST Suspense</v>
      </c>
      <c r="B53" s="955">
        <f>_xlfn.XLOOKUP($A53,'TB FORMATTED'!$G:$G,'TB FORMATTED'!H:H,0,0,1)</f>
        <v>0</v>
      </c>
      <c r="C53" s="955">
        <f>_xlfn.XLOOKUP($A53,'TB FORMATTED'!$G:$G,'TB FORMATTED'!I:I,0,0,1)</f>
        <v>0</v>
      </c>
      <c r="D53" s="280">
        <f t="shared" si="0"/>
        <v>0</v>
      </c>
      <c r="F53" s="955">
        <f>_xlfn.XLOOKUP($A53,'TB FORMATTED'!$G:$G,'TB FORMATTED'!J:J,0,0,1)</f>
        <v>0</v>
      </c>
      <c r="G53" s="955">
        <f>_xlfn.XLOOKUP($A53,'TB FORMATTED'!$G:$G,'TB FORMATTED'!K:K,0,0,1)</f>
        <v>0</v>
      </c>
      <c r="H53" s="955"/>
      <c r="I53" s="955"/>
      <c r="J53" s="280">
        <f t="shared" si="1"/>
        <v>0</v>
      </c>
      <c r="K53" s="280"/>
      <c r="L53" s="280"/>
    </row>
    <row r="54" spans="1:12" x14ac:dyDescent="0.3">
      <c r="A54" s="1036" t="str">
        <f>COA!B55</f>
        <v>2201 GST and HST Suspense</v>
      </c>
      <c r="B54" s="955">
        <f>_xlfn.XLOOKUP($A54,'TB FORMATTED'!$G:$G,'TB FORMATTED'!H:H,0,0,1)</f>
        <v>0</v>
      </c>
      <c r="C54" s="955">
        <f>_xlfn.XLOOKUP($A54,'TB FORMATTED'!$G:$G,'TB FORMATTED'!I:I,0,0,1)</f>
        <v>0</v>
      </c>
      <c r="D54" s="280">
        <f t="shared" si="0"/>
        <v>0</v>
      </c>
      <c r="F54" s="955">
        <f>_xlfn.XLOOKUP($A54,'TB FORMATTED'!$G:$G,'TB FORMATTED'!J:J,0,0,1)</f>
        <v>0</v>
      </c>
      <c r="G54" s="955">
        <f>_xlfn.XLOOKUP($A54,'TB FORMATTED'!$G:$G,'TB FORMATTED'!K:K,0,0,1)</f>
        <v>0</v>
      </c>
      <c r="H54" s="955"/>
      <c r="I54" s="955"/>
      <c r="J54" s="280">
        <f t="shared" si="1"/>
        <v>0</v>
      </c>
      <c r="K54" s="280"/>
      <c r="L54" s="280"/>
    </row>
    <row r="55" spans="1:12" x14ac:dyDescent="0.3">
      <c r="A55" s="1036" t="str">
        <f>COA!B56</f>
        <v>2202 Receiver General Suspense</v>
      </c>
      <c r="B55" s="955">
        <f>_xlfn.XLOOKUP($A55,'TB FORMATTED'!$G:$G,'TB FORMATTED'!H:H,0,0,1)</f>
        <v>0</v>
      </c>
      <c r="C55" s="955">
        <f>_xlfn.XLOOKUP($A55,'TB FORMATTED'!$G:$G,'TB FORMATTED'!I:I,0,0,1)</f>
        <v>0</v>
      </c>
      <c r="D55" s="280">
        <f t="shared" si="0"/>
        <v>0</v>
      </c>
      <c r="F55" s="955">
        <f>_xlfn.XLOOKUP($A55,'TB FORMATTED'!$G:$G,'TB FORMATTED'!J:J,0,0,1)</f>
        <v>395.6</v>
      </c>
      <c r="G55" s="955">
        <f>_xlfn.XLOOKUP($A55,'TB FORMATTED'!$G:$G,'TB FORMATTED'!K:K,0,0,1)</f>
        <v>0</v>
      </c>
      <c r="H55" s="955"/>
      <c r="I55" s="955"/>
      <c r="J55" s="280">
        <f t="shared" si="1"/>
        <v>395.6</v>
      </c>
      <c r="K55" s="280"/>
      <c r="L55" s="280"/>
    </row>
    <row r="56" spans="1:12" x14ac:dyDescent="0.3">
      <c r="A56" s="1036" t="str">
        <f>COA!B57</f>
        <v>2280 PST Payable</v>
      </c>
      <c r="B56" s="955">
        <f>_xlfn.XLOOKUP($A56,'TB FORMATTED'!$G:$G,'TB FORMATTED'!H:H,0,0,1)</f>
        <v>0</v>
      </c>
      <c r="C56" s="955">
        <f>_xlfn.XLOOKUP($A56,'TB FORMATTED'!$G:$G,'TB FORMATTED'!I:I,0,0,1)</f>
        <v>0</v>
      </c>
      <c r="D56" s="280">
        <f t="shared" si="0"/>
        <v>0</v>
      </c>
      <c r="F56" s="955">
        <f>_xlfn.XLOOKUP($A56,'TB FORMATTED'!$G:$G,'TB FORMATTED'!J:J,0,0,1)</f>
        <v>0</v>
      </c>
      <c r="G56" s="955">
        <f>_xlfn.XLOOKUP($A56,'TB FORMATTED'!$G:$G,'TB FORMATTED'!K:K,0,0,1)</f>
        <v>0</v>
      </c>
      <c r="H56" s="955"/>
      <c r="I56" s="955"/>
      <c r="J56" s="280">
        <f t="shared" si="1"/>
        <v>0</v>
      </c>
      <c r="K56" s="280"/>
      <c r="L56" s="280"/>
    </row>
    <row r="57" spans="1:12" x14ac:dyDescent="0.3">
      <c r="A57" s="1036" t="str">
        <f>COA!B58</f>
        <v>2240 PST Payable:PST Collected on Sales</v>
      </c>
      <c r="B57" s="955">
        <f>_xlfn.XLOOKUP($A57,'TB FORMATTED'!$G:$G,'TB FORMATTED'!H:H,0,0,1)</f>
        <v>0</v>
      </c>
      <c r="C57" s="955">
        <f>_xlfn.XLOOKUP($A57,'TB FORMATTED'!$G:$G,'TB FORMATTED'!I:I,0,0,1)</f>
        <v>0</v>
      </c>
      <c r="D57" s="280">
        <f t="shared" si="0"/>
        <v>0</v>
      </c>
      <c r="F57" s="955">
        <f>_xlfn.XLOOKUP($A57,'TB FORMATTED'!$G:$G,'TB FORMATTED'!J:J,0,0,1)</f>
        <v>0</v>
      </c>
      <c r="G57" s="955">
        <f>_xlfn.XLOOKUP($A57,'TB FORMATTED'!$G:$G,'TB FORMATTED'!K:K,0,0,1)</f>
        <v>0</v>
      </c>
      <c r="H57" s="955"/>
      <c r="I57" s="955"/>
      <c r="J57" s="280">
        <f t="shared" si="1"/>
        <v>0</v>
      </c>
      <c r="K57" s="280"/>
      <c r="L57" s="280"/>
    </row>
    <row r="58" spans="1:12" x14ac:dyDescent="0.3">
      <c r="A58" s="1036" t="str">
        <f>COA!B59</f>
        <v>2245 PST Payable:PST Payable</v>
      </c>
      <c r="B58" s="955">
        <f>_xlfn.XLOOKUP($A58,'TB FORMATTED'!$G:$G,'TB FORMATTED'!H:H,0,0,1)</f>
        <v>0</v>
      </c>
      <c r="C58" s="955">
        <f>_xlfn.XLOOKUP($A58,'TB FORMATTED'!$G:$G,'TB FORMATTED'!I:I,0,0,1)</f>
        <v>0</v>
      </c>
      <c r="D58" s="280">
        <f t="shared" si="0"/>
        <v>0</v>
      </c>
      <c r="F58" s="955">
        <f>_xlfn.XLOOKUP($A58,'TB FORMATTED'!$G:$G,'TB FORMATTED'!J:J,0,0,1)</f>
        <v>0</v>
      </c>
      <c r="G58" s="955">
        <f>_xlfn.XLOOKUP($A58,'TB FORMATTED'!$G:$G,'TB FORMATTED'!K:K,0,0,1)</f>
        <v>0</v>
      </c>
      <c r="H58" s="955"/>
      <c r="I58" s="955"/>
      <c r="J58" s="280">
        <f t="shared" si="1"/>
        <v>0</v>
      </c>
      <c r="K58" s="280"/>
      <c r="L58" s="280"/>
    </row>
    <row r="59" spans="1:12" x14ac:dyDescent="0.3">
      <c r="A59" s="1036" t="str">
        <f>COA!B60</f>
        <v>2300 Corporate Tax Payable</v>
      </c>
      <c r="B59" s="955">
        <f>_xlfn.XLOOKUP($A59,'TB FORMATTED'!$G:$G,'TB FORMATTED'!H:H,0,0,1)</f>
        <v>0</v>
      </c>
      <c r="C59" s="955">
        <f>_xlfn.XLOOKUP($A59,'TB FORMATTED'!$G:$G,'TB FORMATTED'!I:I,0,0,1)</f>
        <v>0</v>
      </c>
      <c r="D59" s="280">
        <f t="shared" si="0"/>
        <v>0</v>
      </c>
      <c r="F59" s="955">
        <f>_xlfn.XLOOKUP($A59,'TB FORMATTED'!$G:$G,'TB FORMATTED'!J:J,0,0,1)</f>
        <v>0</v>
      </c>
      <c r="G59" s="955">
        <f>_xlfn.XLOOKUP($A59,'TB FORMATTED'!$G:$G,'TB FORMATTED'!K:K,0,0,1)</f>
        <v>98.09</v>
      </c>
      <c r="H59" s="955"/>
      <c r="I59" s="955"/>
      <c r="J59" s="280">
        <f t="shared" si="1"/>
        <v>-98.09</v>
      </c>
      <c r="K59" s="280"/>
      <c r="L59" s="280"/>
    </row>
    <row r="60" spans="1:12" x14ac:dyDescent="0.3">
      <c r="A60" s="1036" t="str">
        <f>COA!B61</f>
        <v>2500 Due to/(from) related parties</v>
      </c>
      <c r="B60" s="955">
        <f>_xlfn.XLOOKUP($A60,'TB FORMATTED'!$G:$G,'TB FORMATTED'!H:H,0,0,1)</f>
        <v>0</v>
      </c>
      <c r="C60" s="955">
        <f>_xlfn.XLOOKUP($A60,'TB FORMATTED'!$G:$G,'TB FORMATTED'!I:I,0,0,1)</f>
        <v>937.65</v>
      </c>
      <c r="D60" s="280">
        <f t="shared" si="0"/>
        <v>-937.65</v>
      </c>
      <c r="F60" s="955">
        <f>_xlfn.XLOOKUP($A60,'TB FORMATTED'!$G:$G,'TB FORMATTED'!J:J,0,0,1)</f>
        <v>0</v>
      </c>
      <c r="G60" s="955">
        <f>_xlfn.XLOOKUP($A60,'TB FORMATTED'!$G:$G,'TB FORMATTED'!K:K,0,0,1)</f>
        <v>0</v>
      </c>
      <c r="H60" s="955"/>
      <c r="I60" s="955"/>
      <c r="J60" s="280">
        <f t="shared" si="1"/>
        <v>0</v>
      </c>
      <c r="K60" s="280"/>
      <c r="L60" s="280"/>
    </row>
    <row r="61" spans="1:12" x14ac:dyDescent="0.3">
      <c r="A61" s="1036" t="str">
        <f>COA!B62</f>
        <v>2501 Due to/(from) related parties:Due To/From SAK2</v>
      </c>
      <c r="B61" s="955">
        <f>_xlfn.XLOOKUP($A61,'TB FORMATTED'!$G:$G,'TB FORMATTED'!H:H,0,0,1)</f>
        <v>0</v>
      </c>
      <c r="C61" s="955">
        <f>_xlfn.XLOOKUP($A61,'TB FORMATTED'!$G:$G,'TB FORMATTED'!I:I,0,0,1)</f>
        <v>0</v>
      </c>
      <c r="D61" s="280">
        <f t="shared" si="0"/>
        <v>0</v>
      </c>
      <c r="F61" s="955">
        <f>_xlfn.XLOOKUP($A61,'TB FORMATTED'!$G:$G,'TB FORMATTED'!J:J,0,0,1)</f>
        <v>0</v>
      </c>
      <c r="G61" s="955">
        <f>_xlfn.XLOOKUP($A61,'TB FORMATTED'!$G:$G,'TB FORMATTED'!K:K,0,0,1)</f>
        <v>0</v>
      </c>
      <c r="H61" s="955"/>
      <c r="I61" s="955"/>
      <c r="J61" s="280">
        <f t="shared" si="1"/>
        <v>0</v>
      </c>
      <c r="K61" s="280"/>
      <c r="L61" s="280"/>
    </row>
    <row r="62" spans="1:12" x14ac:dyDescent="0.3">
      <c r="A62" s="1036" t="str">
        <f>COA!B63</f>
        <v>2502 Due to/(from) related parties:Due To/From SAK6</v>
      </c>
      <c r="B62" s="955">
        <f>_xlfn.XLOOKUP($A62,'TB FORMATTED'!$G:$G,'TB FORMATTED'!H:H,0,0,1)</f>
        <v>0</v>
      </c>
      <c r="C62" s="955">
        <f>_xlfn.XLOOKUP($A62,'TB FORMATTED'!$G:$G,'TB FORMATTED'!I:I,0,0,1)</f>
        <v>900</v>
      </c>
      <c r="D62" s="280">
        <f t="shared" si="0"/>
        <v>-900</v>
      </c>
      <c r="F62" s="955">
        <f>_xlfn.XLOOKUP($A62,'TB FORMATTED'!$G:$G,'TB FORMATTED'!J:J,0,0,1)</f>
        <v>0</v>
      </c>
      <c r="G62" s="955">
        <f>_xlfn.XLOOKUP($A62,'TB FORMATTED'!$G:$G,'TB FORMATTED'!K:K,0,0,1)</f>
        <v>0</v>
      </c>
      <c r="H62" s="955"/>
      <c r="I62" s="955"/>
      <c r="J62" s="280">
        <f t="shared" si="1"/>
        <v>0</v>
      </c>
      <c r="K62" s="280"/>
      <c r="L62" s="280"/>
    </row>
    <row r="63" spans="1:12" x14ac:dyDescent="0.3">
      <c r="A63" s="1036" t="str">
        <f>COA!B64</f>
        <v>2503 Due to/(from) related parties:Due To/From UpCapital</v>
      </c>
      <c r="B63" s="955">
        <f>_xlfn.XLOOKUP($A63,'TB FORMATTED'!$G:$G,'TB FORMATTED'!H:H,0,0,1)</f>
        <v>0</v>
      </c>
      <c r="C63" s="955">
        <f>_xlfn.XLOOKUP($A63,'TB FORMATTED'!$G:$G,'TB FORMATTED'!I:I,0,0,1)</f>
        <v>0</v>
      </c>
      <c r="D63" s="280">
        <f t="shared" si="0"/>
        <v>0</v>
      </c>
      <c r="F63" s="955">
        <f>_xlfn.XLOOKUP($A63,'TB FORMATTED'!$G:$G,'TB FORMATTED'!J:J,0,0,1)</f>
        <v>0</v>
      </c>
      <c r="G63" s="955">
        <f>_xlfn.XLOOKUP($A63,'TB FORMATTED'!$G:$G,'TB FORMATTED'!K:K,0,0,1)</f>
        <v>0</v>
      </c>
      <c r="H63" s="955"/>
      <c r="I63" s="955"/>
      <c r="J63" s="280">
        <f t="shared" si="1"/>
        <v>0</v>
      </c>
      <c r="K63" s="280"/>
      <c r="L63" s="280"/>
    </row>
    <row r="64" spans="1:12" x14ac:dyDescent="0.3">
      <c r="A64" s="1036" t="str">
        <f>COA!B65</f>
        <v>2504 Due to/(from) related parties:Shareholder's Loan</v>
      </c>
      <c r="B64" s="955">
        <f>_xlfn.XLOOKUP($A64,'TB FORMATTED'!$G:$G,'TB FORMATTED'!H:H,0,0,1)</f>
        <v>0</v>
      </c>
      <c r="C64" s="955">
        <f>_xlfn.XLOOKUP($A64,'TB FORMATTED'!$G:$G,'TB FORMATTED'!I:I,0,0,1)</f>
        <v>0</v>
      </c>
      <c r="D64" s="280">
        <f t="shared" si="0"/>
        <v>0</v>
      </c>
      <c r="F64" s="955">
        <f>_xlfn.XLOOKUP($A64,'TB FORMATTED'!$G:$G,'TB FORMATTED'!J:J,0,0,1)</f>
        <v>0</v>
      </c>
      <c r="G64" s="955">
        <f>_xlfn.XLOOKUP($A64,'TB FORMATTED'!$G:$G,'TB FORMATTED'!K:K,0,0,1)</f>
        <v>0</v>
      </c>
      <c r="H64" s="955"/>
      <c r="I64" s="955"/>
      <c r="J64" s="280">
        <f t="shared" si="1"/>
        <v>0</v>
      </c>
      <c r="K64" s="280"/>
      <c r="L64" s="280"/>
    </row>
    <row r="65" spans="1:12" x14ac:dyDescent="0.3">
      <c r="A65" s="1036" t="str">
        <f>COA!B66</f>
        <v>2600 Current portion of loans and borrowings</v>
      </c>
      <c r="B65" s="955">
        <f>_xlfn.XLOOKUP($A65,'TB FORMATTED'!$G:$G,'TB FORMATTED'!H:H,0,0,1)</f>
        <v>0</v>
      </c>
      <c r="C65" s="955">
        <f>_xlfn.XLOOKUP($A65,'TB FORMATTED'!$G:$G,'TB FORMATTED'!I:I,0,0,1)</f>
        <v>0</v>
      </c>
      <c r="D65" s="280">
        <f t="shared" si="0"/>
        <v>0</v>
      </c>
      <c r="F65" s="955">
        <f>_xlfn.XLOOKUP($A65,'TB FORMATTED'!$G:$G,'TB FORMATTED'!J:J,0,0,1)</f>
        <v>0</v>
      </c>
      <c r="G65" s="955">
        <f>_xlfn.XLOOKUP($A65,'TB FORMATTED'!$G:$G,'TB FORMATTED'!K:K,0,0,1)</f>
        <v>0</v>
      </c>
      <c r="H65" s="955"/>
      <c r="I65" s="955"/>
      <c r="J65" s="280">
        <f t="shared" si="1"/>
        <v>0</v>
      </c>
      <c r="K65" s="280"/>
      <c r="L65" s="280"/>
    </row>
    <row r="66" spans="1:12" x14ac:dyDescent="0.3">
      <c r="A66" s="1036" t="str">
        <f>COA!B67</f>
        <v>2600 Due to RPT - Diane Halston</v>
      </c>
      <c r="B66" s="955">
        <f>_xlfn.XLOOKUP($A66,'TB FORMATTED'!$G:$G,'TB FORMATTED'!H:H,0,0,1)</f>
        <v>0</v>
      </c>
      <c r="C66" s="955">
        <f>_xlfn.XLOOKUP($A66,'TB FORMATTED'!$G:$G,'TB FORMATTED'!I:I,0,0,1)</f>
        <v>0</v>
      </c>
      <c r="D66" s="280">
        <f t="shared" si="0"/>
        <v>0</v>
      </c>
      <c r="F66" s="955">
        <f>_xlfn.XLOOKUP($A66,'TB FORMATTED'!$G:$G,'TB FORMATTED'!J:J,0,0,1)</f>
        <v>0</v>
      </c>
      <c r="G66" s="955">
        <f>_xlfn.XLOOKUP($A66,'TB FORMATTED'!$G:$G,'TB FORMATTED'!K:K,0,0,1)</f>
        <v>0</v>
      </c>
      <c r="H66" s="955"/>
      <c r="I66" s="955"/>
      <c r="J66" s="280">
        <f t="shared" si="1"/>
        <v>0</v>
      </c>
      <c r="K66" s="280"/>
      <c r="L66" s="280"/>
    </row>
    <row r="67" spans="1:12" x14ac:dyDescent="0.3">
      <c r="A67" s="1036" t="str">
        <f>COA!B68</f>
        <v>2601 Due to RPT - Brett Halston</v>
      </c>
      <c r="B67" s="955">
        <f>_xlfn.XLOOKUP($A67,'TB FORMATTED'!$G:$G,'TB FORMATTED'!H:H,0,0,1)</f>
        <v>0</v>
      </c>
      <c r="C67" s="955">
        <f>_xlfn.XLOOKUP($A67,'TB FORMATTED'!$G:$G,'TB FORMATTED'!I:I,0,0,1)</f>
        <v>0</v>
      </c>
      <c r="D67" s="280">
        <f t="shared" si="0"/>
        <v>0</v>
      </c>
      <c r="F67" s="955">
        <f>_xlfn.XLOOKUP($A67,'TB FORMATTED'!$G:$G,'TB FORMATTED'!J:J,0,0,1)</f>
        <v>0</v>
      </c>
      <c r="G67" s="955">
        <f>_xlfn.XLOOKUP($A67,'TB FORMATTED'!$G:$G,'TB FORMATTED'!K:K,0,0,1)</f>
        <v>0</v>
      </c>
      <c r="H67" s="955"/>
      <c r="I67" s="955"/>
      <c r="J67" s="280">
        <f t="shared" si="1"/>
        <v>0</v>
      </c>
      <c r="K67" s="280"/>
      <c r="L67" s="280"/>
    </row>
    <row r="68" spans="1:12" x14ac:dyDescent="0.3">
      <c r="A68" s="1036" t="str">
        <f>COA!B69</f>
        <v>2602 Due to RPT - Keith Halston</v>
      </c>
      <c r="B68" s="955">
        <f>_xlfn.XLOOKUP($A68,'TB FORMATTED'!$G:$G,'TB FORMATTED'!H:H,0,0,1)</f>
        <v>0</v>
      </c>
      <c r="C68" s="955">
        <f>_xlfn.XLOOKUP($A68,'TB FORMATTED'!$G:$G,'TB FORMATTED'!I:I,0,0,1)</f>
        <v>0</v>
      </c>
      <c r="D68" s="280">
        <f t="shared" si="0"/>
        <v>0</v>
      </c>
      <c r="F68" s="955">
        <f>_xlfn.XLOOKUP($A68,'TB FORMATTED'!$G:$G,'TB FORMATTED'!J:J,0,0,1)</f>
        <v>0</v>
      </c>
      <c r="G68" s="955">
        <f>_xlfn.XLOOKUP($A68,'TB FORMATTED'!$G:$G,'TB FORMATTED'!K:K,0,0,1)</f>
        <v>0</v>
      </c>
      <c r="H68" s="955"/>
      <c r="I68" s="955"/>
      <c r="J68" s="280">
        <f t="shared" si="1"/>
        <v>0</v>
      </c>
      <c r="K68" s="280"/>
      <c r="L68" s="280"/>
    </row>
    <row r="69" spans="1:12" x14ac:dyDescent="0.3">
      <c r="A69" s="1036" t="str">
        <f>COA!B70</f>
        <v>2650 Loans and borrowings</v>
      </c>
      <c r="B69" s="955">
        <f>_xlfn.XLOOKUP($A69,'TB FORMATTED'!$G:$G,'TB FORMATTED'!H:H,0,0,1)</f>
        <v>0</v>
      </c>
      <c r="C69" s="955">
        <f>_xlfn.XLOOKUP($A69,'TB FORMATTED'!$G:$G,'TB FORMATTED'!I:I,0,0,1)</f>
        <v>0</v>
      </c>
      <c r="D69" s="280">
        <f t="shared" si="0"/>
        <v>0</v>
      </c>
      <c r="F69" s="955">
        <f>_xlfn.XLOOKUP($A69,'TB FORMATTED'!$G:$G,'TB FORMATTED'!J:J,0,0,1)</f>
        <v>0</v>
      </c>
      <c r="G69" s="955">
        <f>_xlfn.XLOOKUP($A69,'TB FORMATTED'!$G:$G,'TB FORMATTED'!K:K,0,0,1)</f>
        <v>0</v>
      </c>
      <c r="H69" s="955"/>
      <c r="I69" s="955"/>
      <c r="J69" s="280">
        <f t="shared" si="1"/>
        <v>0</v>
      </c>
    </row>
    <row r="70" spans="1:12" x14ac:dyDescent="0.3">
      <c r="A70" s="1036" t="str">
        <f>COA!B71</f>
        <v>2650 Loan Payable - current</v>
      </c>
      <c r="B70" s="955">
        <f>_xlfn.XLOOKUP($A70,'TB FORMATTED'!$G:$G,'TB FORMATTED'!H:H,0,0,1)</f>
        <v>0</v>
      </c>
      <c r="C70" s="955">
        <f>_xlfn.XLOOKUP($A70,'TB FORMATTED'!$G:$G,'TB FORMATTED'!I:I,0,0,1)</f>
        <v>0</v>
      </c>
      <c r="D70" s="280">
        <f t="shared" ref="D70:D133" si="2">B70-C70</f>
        <v>0</v>
      </c>
      <c r="F70" s="955">
        <f>_xlfn.XLOOKUP($A70,'TB FORMATTED'!$G:$G,'TB FORMATTED'!J:J,0,0,1)</f>
        <v>0</v>
      </c>
      <c r="G70" s="955">
        <f>_xlfn.XLOOKUP($A70,'TB FORMATTED'!$G:$G,'TB FORMATTED'!K:K,0,0,1)</f>
        <v>556400</v>
      </c>
      <c r="H70" s="955"/>
      <c r="I70" s="955"/>
      <c r="J70" s="280">
        <f t="shared" si="1"/>
        <v>-556400</v>
      </c>
      <c r="K70" s="924"/>
      <c r="L70" s="924"/>
    </row>
    <row r="71" spans="1:12" x14ac:dyDescent="0.3">
      <c r="A71" s="1036" t="str">
        <f>COA!B72</f>
        <v>2651 Loan Payable - non-current</v>
      </c>
      <c r="B71" s="955">
        <f>_xlfn.XLOOKUP($A71,'TB FORMATTED'!$G:$G,'TB FORMATTED'!H:H,0,0,1)</f>
        <v>0</v>
      </c>
      <c r="C71" s="955">
        <f>_xlfn.XLOOKUP($A71,'TB FORMATTED'!$G:$G,'TB FORMATTED'!I:I,0,0,1)</f>
        <v>0</v>
      </c>
      <c r="D71" s="280">
        <f t="shared" si="2"/>
        <v>0</v>
      </c>
      <c r="F71" s="955">
        <f>_xlfn.XLOOKUP($A71,'TB FORMATTED'!$G:$G,'TB FORMATTED'!J:J,0,0,1)</f>
        <v>0</v>
      </c>
      <c r="G71" s="955">
        <f>_xlfn.XLOOKUP($A71,'TB FORMATTED'!$G:$G,'TB FORMATTED'!K:K,0,0,1)</f>
        <v>0</v>
      </c>
      <c r="H71" s="955"/>
      <c r="I71" s="955"/>
      <c r="J71" s="280">
        <f t="shared" ref="J71:J134" si="3">F71-G71+H71+I71</f>
        <v>0</v>
      </c>
    </row>
    <row r="72" spans="1:12" x14ac:dyDescent="0.3">
      <c r="A72" s="1036" t="str">
        <f>COA!B73</f>
        <v>2700 Share subscription payable</v>
      </c>
      <c r="B72" s="955">
        <f>_xlfn.XLOOKUP($A72,'TB FORMATTED'!$G:$G,'TB FORMATTED'!H:H,0,0,1)</f>
        <v>0</v>
      </c>
      <c r="C72" s="955">
        <f>_xlfn.XLOOKUP($A72,'TB FORMATTED'!$G:$G,'TB FORMATTED'!I:I,0,0,1)</f>
        <v>0</v>
      </c>
      <c r="D72" s="280">
        <f t="shared" si="2"/>
        <v>0</v>
      </c>
      <c r="F72" s="955">
        <f>_xlfn.XLOOKUP($A72,'TB FORMATTED'!$G:$G,'TB FORMATTED'!J:J,0,0,1)</f>
        <v>0</v>
      </c>
      <c r="G72" s="955">
        <f>_xlfn.XLOOKUP($A72,'TB FORMATTED'!$G:$G,'TB FORMATTED'!K:K,0,0,1)</f>
        <v>0</v>
      </c>
      <c r="H72" s="955"/>
      <c r="I72" s="955"/>
      <c r="J72" s="280">
        <f t="shared" si="3"/>
        <v>0</v>
      </c>
    </row>
    <row r="73" spans="1:12" x14ac:dyDescent="0.3">
      <c r="A73" s="1036" t="str">
        <f>COA!B74</f>
        <v>2700 Due to Shareholders</v>
      </c>
      <c r="B73" s="955">
        <f>_xlfn.XLOOKUP($A73,'TB FORMATTED'!$G:$G,'TB FORMATTED'!H:H,0,0,1)</f>
        <v>0</v>
      </c>
      <c r="C73" s="955">
        <f>_xlfn.XLOOKUP($A73,'TB FORMATTED'!$G:$G,'TB FORMATTED'!I:I,0,0,1)</f>
        <v>0</v>
      </c>
      <c r="D73" s="280">
        <f t="shared" si="2"/>
        <v>0</v>
      </c>
      <c r="F73" s="955">
        <f>_xlfn.XLOOKUP($A73,'TB FORMATTED'!$G:$G,'TB FORMATTED'!J:J,0,0,1)</f>
        <v>0</v>
      </c>
      <c r="G73" s="955">
        <f>_xlfn.XLOOKUP($A73,'TB FORMATTED'!$G:$G,'TB FORMATTED'!K:K,0,0,1)</f>
        <v>0</v>
      </c>
      <c r="H73" s="955"/>
      <c r="I73" s="955"/>
      <c r="J73" s="280">
        <f t="shared" si="3"/>
        <v>0</v>
      </c>
    </row>
    <row r="74" spans="1:12" x14ac:dyDescent="0.3">
      <c r="A74" s="1036" t="str">
        <f>COA!B75</f>
        <v>2705 Due to Shareholders:Due to SH - James Taylor</v>
      </c>
      <c r="B74" s="955">
        <f>_xlfn.XLOOKUP($A74,'TB FORMATTED'!$G:$G,'TB FORMATTED'!H:H,0,0,1)</f>
        <v>0</v>
      </c>
      <c r="C74" s="955">
        <f>_xlfn.XLOOKUP($A74,'TB FORMATTED'!$G:$G,'TB FORMATTED'!I:I,0,0,1)</f>
        <v>0</v>
      </c>
      <c r="D74" s="280">
        <f t="shared" si="2"/>
        <v>0</v>
      </c>
      <c r="F74" s="955">
        <f>_xlfn.XLOOKUP($A74,'TB FORMATTED'!$G:$G,'TB FORMATTED'!J:J,0,0,1)</f>
        <v>0</v>
      </c>
      <c r="G74" s="955">
        <f>_xlfn.XLOOKUP($A74,'TB FORMATTED'!$G:$G,'TB FORMATTED'!K:K,0,0,1)</f>
        <v>0</v>
      </c>
      <c r="H74" s="955"/>
      <c r="I74" s="955"/>
      <c r="J74" s="280">
        <f t="shared" si="3"/>
        <v>0</v>
      </c>
    </row>
    <row r="75" spans="1:12" x14ac:dyDescent="0.3">
      <c r="A75" s="1036" t="str">
        <f>COA!B76</f>
        <v>2706 Due to Shareholders:Due to SH - Keith Halston</v>
      </c>
      <c r="B75" s="955">
        <f>_xlfn.XLOOKUP($A75,'TB FORMATTED'!$G:$G,'TB FORMATTED'!H:H,0,0,1)</f>
        <v>0</v>
      </c>
      <c r="C75" s="955">
        <f>_xlfn.XLOOKUP($A75,'TB FORMATTED'!$G:$G,'TB FORMATTED'!I:I,0,0,1)</f>
        <v>0</v>
      </c>
      <c r="D75" s="280">
        <f t="shared" si="2"/>
        <v>0</v>
      </c>
      <c r="F75" s="955">
        <f>_xlfn.XLOOKUP($A75,'TB FORMATTED'!$G:$G,'TB FORMATTED'!J:J,0,0,1)</f>
        <v>0</v>
      </c>
      <c r="G75" s="955">
        <f>_xlfn.XLOOKUP($A75,'TB FORMATTED'!$G:$G,'TB FORMATTED'!K:K,0,0,1)</f>
        <v>0</v>
      </c>
      <c r="H75" s="955"/>
      <c r="I75" s="955"/>
      <c r="J75" s="280">
        <f t="shared" si="3"/>
        <v>0</v>
      </c>
    </row>
    <row r="76" spans="1:12" x14ac:dyDescent="0.3">
      <c r="A76" s="1036" t="str">
        <f>COA!B77</f>
        <v>2800 Current portion - convertible debt</v>
      </c>
      <c r="B76" s="955">
        <f>_xlfn.XLOOKUP($A76,'TB FORMATTED'!$G:$G,'TB FORMATTED'!H:H,0,0,1)</f>
        <v>0</v>
      </c>
      <c r="C76" s="955">
        <f>_xlfn.XLOOKUP($A76,'TB FORMATTED'!$G:$G,'TB FORMATTED'!I:I,0,0,1)</f>
        <v>174938.14</v>
      </c>
      <c r="D76" s="280">
        <f t="shared" si="2"/>
        <v>-174938.14</v>
      </c>
      <c r="F76" s="955">
        <f>_xlfn.XLOOKUP($A76,'TB FORMATTED'!$G:$G,'TB FORMATTED'!J:J,0,0,1)</f>
        <v>0</v>
      </c>
      <c r="G76" s="955">
        <f>_xlfn.XLOOKUP($A76,'TB FORMATTED'!$G:$G,'TB FORMATTED'!K:K,0,0,1)</f>
        <v>0</v>
      </c>
      <c r="H76" s="955"/>
      <c r="I76" s="955"/>
      <c r="J76" s="280">
        <f t="shared" si="3"/>
        <v>0</v>
      </c>
    </row>
    <row r="77" spans="1:12" x14ac:dyDescent="0.3">
      <c r="A77" s="1036" t="str">
        <f>COA!B78</f>
        <v>2801 long-term portion - convertible debt</v>
      </c>
      <c r="B77" s="955">
        <f>_xlfn.XLOOKUP($A77,'TB FORMATTED'!$G:$G,'TB FORMATTED'!H:H,0,0,1)</f>
        <v>0</v>
      </c>
      <c r="C77" s="955">
        <f>_xlfn.XLOOKUP($A77,'TB FORMATTED'!$G:$G,'TB FORMATTED'!I:I,0,0,1)</f>
        <v>0</v>
      </c>
      <c r="D77" s="280">
        <f t="shared" si="2"/>
        <v>0</v>
      </c>
      <c r="F77" s="955">
        <f>_xlfn.XLOOKUP($A77,'TB FORMATTED'!$G:$G,'TB FORMATTED'!J:J,0,0,1)</f>
        <v>0</v>
      </c>
      <c r="G77" s="955">
        <f>_xlfn.XLOOKUP($A77,'TB FORMATTED'!$G:$G,'TB FORMATTED'!K:K,0,0,1)</f>
        <v>0</v>
      </c>
      <c r="H77" s="955"/>
      <c r="I77" s="955"/>
      <c r="J77" s="280">
        <f t="shared" si="3"/>
        <v>0</v>
      </c>
    </row>
    <row r="78" spans="1:12" x14ac:dyDescent="0.3">
      <c r="A78" s="1036" t="str">
        <f>COA!B79</f>
        <v>2802 Derivative liability</v>
      </c>
      <c r="B78" s="955">
        <f>_xlfn.XLOOKUP($A78,'TB FORMATTED'!$G:$G,'TB FORMATTED'!H:H,0,0,1)</f>
        <v>0</v>
      </c>
      <c r="C78" s="955">
        <f>_xlfn.XLOOKUP($A78,'TB FORMATTED'!$G:$G,'TB FORMATTED'!I:I,0,0,1)</f>
        <v>0</v>
      </c>
      <c r="D78" s="280">
        <f t="shared" si="2"/>
        <v>0</v>
      </c>
      <c r="F78" s="955">
        <f>_xlfn.XLOOKUP($A78,'TB FORMATTED'!$G:$G,'TB FORMATTED'!J:J,0,0,1)</f>
        <v>0</v>
      </c>
      <c r="G78" s="955">
        <f>_xlfn.XLOOKUP($A78,'TB FORMATTED'!$G:$G,'TB FORMATTED'!K:K,0,0,1)</f>
        <v>0</v>
      </c>
      <c r="H78" s="955"/>
      <c r="I78" s="955"/>
      <c r="J78" s="280">
        <f t="shared" si="3"/>
        <v>0</v>
      </c>
    </row>
    <row r="79" spans="1:12" x14ac:dyDescent="0.3">
      <c r="A79" s="1036" t="str">
        <f>COA!B80</f>
        <v>2803 Accrued loan interest</v>
      </c>
      <c r="B79" s="955">
        <f>_xlfn.XLOOKUP($A79,'TB FORMATTED'!$G:$G,'TB FORMATTED'!H:H,0,0,1)</f>
        <v>0</v>
      </c>
      <c r="C79" s="955">
        <f>_xlfn.XLOOKUP($A79,'TB FORMATTED'!$G:$G,'TB FORMATTED'!I:I,0,0,1)</f>
        <v>29639</v>
      </c>
      <c r="D79" s="280">
        <f t="shared" si="2"/>
        <v>-29639</v>
      </c>
      <c r="F79" s="955">
        <f>_xlfn.XLOOKUP($A79,'TB FORMATTED'!$G:$G,'TB FORMATTED'!J:J,0,0,1)</f>
        <v>0</v>
      </c>
      <c r="G79" s="955">
        <f>_xlfn.XLOOKUP($A79,'TB FORMATTED'!$G:$G,'TB FORMATTED'!K:K,0,0,1)</f>
        <v>0</v>
      </c>
      <c r="H79" s="955"/>
      <c r="I79" s="955"/>
      <c r="J79" s="280">
        <f t="shared" si="3"/>
        <v>0</v>
      </c>
    </row>
    <row r="80" spans="1:12" x14ac:dyDescent="0.3">
      <c r="A80" s="1036" t="str">
        <f>COA!B81</f>
        <v>2900 Intercompany - due to Hallor Group Inc.</v>
      </c>
      <c r="B80" s="955">
        <f>_xlfn.XLOOKUP($A80,'TB FORMATTED'!$G:$G,'TB FORMATTED'!H:H,0,0,1)</f>
        <v>0</v>
      </c>
      <c r="C80" s="955">
        <f>_xlfn.XLOOKUP($A80,'TB FORMATTED'!$G:$G,'TB FORMATTED'!I:I,0,0,1)</f>
        <v>0</v>
      </c>
      <c r="D80" s="280">
        <f t="shared" si="2"/>
        <v>0</v>
      </c>
      <c r="F80" s="955">
        <f>_xlfn.XLOOKUP($A80,'TB FORMATTED'!$G:$G,'TB FORMATTED'!J:J,0,0,1)</f>
        <v>0</v>
      </c>
      <c r="G80" s="955">
        <f>_xlfn.XLOOKUP($A80,'TB FORMATTED'!$G:$G,'TB FORMATTED'!K:K,0,0,1)</f>
        <v>192378.78</v>
      </c>
      <c r="H80" s="955"/>
      <c r="I80" s="955"/>
      <c r="J80" s="280">
        <f t="shared" si="3"/>
        <v>-192378.78</v>
      </c>
    </row>
    <row r="81" spans="1:10" x14ac:dyDescent="0.3">
      <c r="A81" s="1036" t="str">
        <f>COA!B82</f>
        <v>3000 Share capital</v>
      </c>
      <c r="B81" s="955">
        <f>_xlfn.XLOOKUP($A81,'TB FORMATTED'!$G:$G,'TB FORMATTED'!H:H,0,0,1)</f>
        <v>0</v>
      </c>
      <c r="C81" s="955">
        <f>_xlfn.XLOOKUP($A81,'TB FORMATTED'!$G:$G,'TB FORMATTED'!I:I,0,0,1)</f>
        <v>6450000</v>
      </c>
      <c r="D81" s="280">
        <f t="shared" si="2"/>
        <v>-6450000</v>
      </c>
      <c r="F81" s="955">
        <f>_xlfn.XLOOKUP($A81,'TB FORMATTED'!$G:$G,'TB FORMATTED'!J:J,0,0,1)</f>
        <v>0</v>
      </c>
      <c r="G81" s="955">
        <f>_xlfn.XLOOKUP($A81,'TB FORMATTED'!$G:$G,'TB FORMATTED'!K:K,0,0,1)</f>
        <v>0</v>
      </c>
      <c r="H81" s="955"/>
      <c r="I81" s="955"/>
      <c r="J81" s="280">
        <f t="shared" si="3"/>
        <v>0</v>
      </c>
    </row>
    <row r="82" spans="1:10" x14ac:dyDescent="0.3">
      <c r="A82" s="1036" t="str">
        <f>COA!B83</f>
        <v>3000 Opening Bal Equity</v>
      </c>
      <c r="B82" s="955">
        <f>_xlfn.XLOOKUP($A82,'TB FORMATTED'!$G:$G,'TB FORMATTED'!H:H,0,0,1)</f>
        <v>0</v>
      </c>
      <c r="C82" s="955">
        <f>_xlfn.XLOOKUP($A82,'TB FORMATTED'!$G:$G,'TB FORMATTED'!I:I,0,0,1)</f>
        <v>0</v>
      </c>
      <c r="D82" s="280">
        <f t="shared" si="2"/>
        <v>0</v>
      </c>
      <c r="F82" s="955">
        <f>_xlfn.XLOOKUP($A82,'TB FORMATTED'!$G:$G,'TB FORMATTED'!J:J,0,0,1)</f>
        <v>1697.62</v>
      </c>
      <c r="G82" s="955">
        <f>_xlfn.XLOOKUP($A82,'TB FORMATTED'!$G:$G,'TB FORMATTED'!K:K,0,0,1)</f>
        <v>0</v>
      </c>
      <c r="H82" s="955"/>
      <c r="I82" s="955"/>
      <c r="J82" s="280">
        <f t="shared" si="3"/>
        <v>1697.62</v>
      </c>
    </row>
    <row r="83" spans="1:10" x14ac:dyDescent="0.3">
      <c r="A83" s="1036" t="str">
        <f>COA!B84</f>
        <v>3001 Share capital:Common Shares</v>
      </c>
      <c r="B83" s="955">
        <f>_xlfn.XLOOKUP($A83,'TB FORMATTED'!$G:$G,'TB FORMATTED'!H:H,0,0,1)</f>
        <v>0</v>
      </c>
      <c r="C83" s="955">
        <f>_xlfn.XLOOKUP($A83,'TB FORMATTED'!$G:$G,'TB FORMATTED'!I:I,0,0,1)</f>
        <v>1801251</v>
      </c>
      <c r="D83" s="280">
        <f t="shared" si="2"/>
        <v>-1801251</v>
      </c>
      <c r="F83" s="955">
        <f>_xlfn.XLOOKUP($A83,'TB FORMATTED'!$G:$G,'TB FORMATTED'!J:J,0,0,1)</f>
        <v>0</v>
      </c>
      <c r="G83" s="955">
        <f>_xlfn.XLOOKUP($A83,'TB FORMATTED'!$G:$G,'TB FORMATTED'!K:K,0,0,1)</f>
        <v>0</v>
      </c>
      <c r="H83" s="955"/>
      <c r="I83" s="955"/>
      <c r="J83" s="280">
        <f t="shared" si="3"/>
        <v>0</v>
      </c>
    </row>
    <row r="84" spans="1:10" x14ac:dyDescent="0.3">
      <c r="A84" s="1036" t="str">
        <f>COA!B85</f>
        <v>3010 Share issuance cost</v>
      </c>
      <c r="B84" s="955">
        <f>_xlfn.XLOOKUP($A84,'TB FORMATTED'!$G:$G,'TB FORMATTED'!H:H,0,0,1)</f>
        <v>27152.1</v>
      </c>
      <c r="C84" s="955">
        <f>_xlfn.XLOOKUP($A84,'TB FORMATTED'!$G:$G,'TB FORMATTED'!I:I,0,0,1)</f>
        <v>0</v>
      </c>
      <c r="D84" s="280">
        <f t="shared" si="2"/>
        <v>27152.1</v>
      </c>
      <c r="F84" s="955">
        <f>_xlfn.XLOOKUP($A84,'TB FORMATTED'!$G:$G,'TB FORMATTED'!J:J,0,0,1)</f>
        <v>0</v>
      </c>
      <c r="G84" s="955">
        <f>_xlfn.XLOOKUP($A84,'TB FORMATTED'!$G:$G,'TB FORMATTED'!K:K,0,0,1)</f>
        <v>0</v>
      </c>
      <c r="H84" s="955"/>
      <c r="I84" s="955"/>
      <c r="J84" s="280">
        <f t="shared" si="3"/>
        <v>0</v>
      </c>
    </row>
    <row r="85" spans="1:10" x14ac:dyDescent="0.3">
      <c r="A85" s="1036" t="str">
        <f>COA!B86</f>
        <v>3100 Warrant reserve</v>
      </c>
      <c r="B85" s="955">
        <f>_xlfn.XLOOKUP($A85,'TB FORMATTED'!$G:$G,'TB FORMATTED'!H:H,0,0,1)</f>
        <v>0</v>
      </c>
      <c r="C85" s="955">
        <f>_xlfn.XLOOKUP($A85,'TB FORMATTED'!$G:$G,'TB FORMATTED'!I:I,0,0,1)</f>
        <v>308750</v>
      </c>
      <c r="D85" s="280">
        <f t="shared" si="2"/>
        <v>-308750</v>
      </c>
      <c r="F85" s="955">
        <f>_xlfn.XLOOKUP($A85,'TB FORMATTED'!$G:$G,'TB FORMATTED'!J:J,0,0,1)</f>
        <v>0</v>
      </c>
      <c r="G85" s="955">
        <f>_xlfn.XLOOKUP($A85,'TB FORMATTED'!$G:$G,'TB FORMATTED'!K:K,0,0,1)</f>
        <v>0</v>
      </c>
      <c r="H85" s="955"/>
      <c r="I85" s="955"/>
      <c r="J85" s="280">
        <f t="shared" si="3"/>
        <v>0</v>
      </c>
    </row>
    <row r="86" spans="1:10" x14ac:dyDescent="0.3">
      <c r="A86" s="1036" t="str">
        <f>COA!B87</f>
        <v>3100 Common Shares</v>
      </c>
      <c r="B86" s="955">
        <f>_xlfn.XLOOKUP($A86,'TB FORMATTED'!$G:$G,'TB FORMATTED'!H:H,0,0,1)</f>
        <v>0</v>
      </c>
      <c r="C86" s="955">
        <f>_xlfn.XLOOKUP($A86,'TB FORMATTED'!$G:$G,'TB FORMATTED'!I:I,0,0,1)</f>
        <v>0</v>
      </c>
      <c r="D86" s="280">
        <f t="shared" si="2"/>
        <v>0</v>
      </c>
      <c r="F86" s="955">
        <f>_xlfn.XLOOKUP($A86,'TB FORMATTED'!$G:$G,'TB FORMATTED'!J:J,0,0,1)</f>
        <v>0</v>
      </c>
      <c r="G86" s="955">
        <f>_xlfn.XLOOKUP($A86,'TB FORMATTED'!$G:$G,'TB FORMATTED'!K:K,0,0,1)</f>
        <v>0</v>
      </c>
      <c r="H86" s="955"/>
      <c r="I86" s="955"/>
      <c r="J86" s="280">
        <f t="shared" si="3"/>
        <v>0</v>
      </c>
    </row>
    <row r="87" spans="1:10" x14ac:dyDescent="0.3">
      <c r="A87" s="1036" t="str">
        <f>COA!B88</f>
        <v>3105 Common Shares:Class A Shares</v>
      </c>
      <c r="B87" s="955">
        <f>_xlfn.XLOOKUP($A87,'TB FORMATTED'!$G:$G,'TB FORMATTED'!H:H,0,0,1)</f>
        <v>0</v>
      </c>
      <c r="C87" s="955">
        <f>_xlfn.XLOOKUP($A87,'TB FORMATTED'!$G:$G,'TB FORMATTED'!I:I,0,0,1)</f>
        <v>0</v>
      </c>
      <c r="D87" s="280">
        <f t="shared" si="2"/>
        <v>0</v>
      </c>
      <c r="F87" s="955">
        <f>_xlfn.XLOOKUP($A87,'TB FORMATTED'!$G:$G,'TB FORMATTED'!J:J,0,0,1)</f>
        <v>0</v>
      </c>
      <c r="G87" s="955">
        <f>_xlfn.XLOOKUP($A87,'TB FORMATTED'!$G:$G,'TB FORMATTED'!K:K,0,0,1)</f>
        <v>24</v>
      </c>
      <c r="H87" s="955"/>
      <c r="I87" s="955"/>
      <c r="J87" s="280">
        <f t="shared" si="3"/>
        <v>-24</v>
      </c>
    </row>
    <row r="88" spans="1:10" x14ac:dyDescent="0.3">
      <c r="A88" s="1036" t="str">
        <f>COA!B89</f>
        <v>3110 Common Shares:Class B Shares</v>
      </c>
      <c r="B88" s="955">
        <f>_xlfn.XLOOKUP($A88,'TB FORMATTED'!$G:$G,'TB FORMATTED'!H:H,0,0,1)</f>
        <v>0</v>
      </c>
      <c r="C88" s="955">
        <f>_xlfn.XLOOKUP($A88,'TB FORMATTED'!$G:$G,'TB FORMATTED'!I:I,0,0,1)</f>
        <v>0</v>
      </c>
      <c r="D88" s="280">
        <f t="shared" si="2"/>
        <v>0</v>
      </c>
      <c r="F88" s="955">
        <f>_xlfn.XLOOKUP($A88,'TB FORMATTED'!$G:$G,'TB FORMATTED'!J:J,0,0,1)</f>
        <v>0</v>
      </c>
      <c r="G88" s="955">
        <f>_xlfn.XLOOKUP($A88,'TB FORMATTED'!$G:$G,'TB FORMATTED'!K:K,0,0,1)</f>
        <v>12</v>
      </c>
      <c r="H88" s="955"/>
      <c r="I88" s="955"/>
      <c r="J88" s="280">
        <f t="shared" si="3"/>
        <v>-12</v>
      </c>
    </row>
    <row r="89" spans="1:10" x14ac:dyDescent="0.3">
      <c r="A89" s="1036" t="str">
        <f>COA!B90</f>
        <v>3115 Common Shares:Class C Shares</v>
      </c>
      <c r="B89" s="955">
        <f>_xlfn.XLOOKUP($A89,'TB FORMATTED'!$G:$G,'TB FORMATTED'!H:H,0,0,1)</f>
        <v>0</v>
      </c>
      <c r="C89" s="955">
        <f>_xlfn.XLOOKUP($A89,'TB FORMATTED'!$G:$G,'TB FORMATTED'!I:I,0,0,1)</f>
        <v>0</v>
      </c>
      <c r="D89" s="280">
        <f t="shared" si="2"/>
        <v>0</v>
      </c>
      <c r="F89" s="955">
        <f>_xlfn.XLOOKUP($A89,'TB FORMATTED'!$G:$G,'TB FORMATTED'!J:J,0,0,1)</f>
        <v>0</v>
      </c>
      <c r="G89" s="955">
        <f>_xlfn.XLOOKUP($A89,'TB FORMATTED'!$G:$G,'TB FORMATTED'!K:K,0,0,1)</f>
        <v>12</v>
      </c>
      <c r="H89" s="955"/>
      <c r="I89" s="955"/>
      <c r="J89" s="280">
        <f t="shared" si="3"/>
        <v>-12</v>
      </c>
    </row>
    <row r="90" spans="1:10" x14ac:dyDescent="0.3">
      <c r="A90" s="1036" t="str">
        <f>COA!B91</f>
        <v>3200 Capital contribution</v>
      </c>
      <c r="B90" s="955">
        <f>_xlfn.XLOOKUP($A90,'TB FORMATTED'!$G:$G,'TB FORMATTED'!H:H,0,0,1)</f>
        <v>0</v>
      </c>
      <c r="C90" s="955">
        <f>_xlfn.XLOOKUP($A90,'TB FORMATTED'!$G:$G,'TB FORMATTED'!I:I,0,0,1)</f>
        <v>0</v>
      </c>
      <c r="D90" s="280">
        <f t="shared" si="2"/>
        <v>0</v>
      </c>
      <c r="F90" s="955">
        <f>_xlfn.XLOOKUP($A90,'TB FORMATTED'!$G:$G,'TB FORMATTED'!J:J,0,0,1)</f>
        <v>0</v>
      </c>
      <c r="G90" s="955">
        <f>_xlfn.XLOOKUP($A90,'TB FORMATTED'!$G:$G,'TB FORMATTED'!K:K,0,0,1)</f>
        <v>59349.72</v>
      </c>
      <c r="H90" s="955"/>
      <c r="I90" s="955"/>
      <c r="J90" s="280">
        <f t="shared" si="3"/>
        <v>-59349.72</v>
      </c>
    </row>
    <row r="91" spans="1:10" x14ac:dyDescent="0.3">
      <c r="A91" s="1036" t="str">
        <f>COA!B92</f>
        <v>3500 Opening Balance Equity</v>
      </c>
      <c r="B91" s="955">
        <f>_xlfn.XLOOKUP($A91,'TB FORMATTED'!$G:$G,'TB FORMATTED'!H:H,0,0,1)</f>
        <v>0</v>
      </c>
      <c r="C91" s="955">
        <f>_xlfn.XLOOKUP($A91,'TB FORMATTED'!$G:$G,'TB FORMATTED'!I:I,0,0,1)</f>
        <v>0</v>
      </c>
      <c r="D91" s="280">
        <f t="shared" si="2"/>
        <v>0</v>
      </c>
      <c r="F91" s="955">
        <f>_xlfn.XLOOKUP($A91,'TB FORMATTED'!$G:$G,'TB FORMATTED'!J:J,0,0,1)</f>
        <v>0</v>
      </c>
      <c r="G91" s="955">
        <f>_xlfn.XLOOKUP($A91,'TB FORMATTED'!$G:$G,'TB FORMATTED'!K:K,0,0,1)</f>
        <v>0</v>
      </c>
      <c r="H91" s="955"/>
      <c r="I91" s="955"/>
      <c r="J91" s="280">
        <f t="shared" si="3"/>
        <v>0</v>
      </c>
    </row>
    <row r="92" spans="1:10" x14ac:dyDescent="0.3">
      <c r="A92" s="1036" t="str">
        <f>COA!B94</f>
        <v>3501 Retained Earnings</v>
      </c>
      <c r="B92" s="955">
        <f>_xlfn.XLOOKUP($A92,'TB FORMATTED'!$G:$G,'TB FORMATTED'!H:H,0,0,1)</f>
        <v>1474472.33</v>
      </c>
      <c r="C92" s="955">
        <f>_xlfn.XLOOKUP($A92,'TB FORMATTED'!$G:$G,'TB FORMATTED'!I:I,0,0,1)</f>
        <v>0</v>
      </c>
      <c r="D92" s="280">
        <f t="shared" si="2"/>
        <v>1474472.33</v>
      </c>
      <c r="F92" s="955">
        <f>_xlfn.XLOOKUP($A92,'TB FORMATTED'!$G:$G,'TB FORMATTED'!J:J,0,0,1)</f>
        <v>0</v>
      </c>
      <c r="G92" s="955">
        <f>_xlfn.XLOOKUP($A92,'TB FORMATTED'!$G:$G,'TB FORMATTED'!K:K,0,0,1)</f>
        <v>0</v>
      </c>
      <c r="H92" s="955"/>
      <c r="I92" s="955"/>
      <c r="J92" s="280">
        <f t="shared" si="3"/>
        <v>0</v>
      </c>
    </row>
    <row r="93" spans="1:10" x14ac:dyDescent="0.3">
      <c r="A93" s="1478" t="str">
        <f>COA!B95</f>
        <v>3900 Retained Earnings</v>
      </c>
      <c r="B93" s="1479">
        <f>_xlfn.XLOOKUP($A93,'TB FORMATTED'!$G:$G,'TB FORMATTED'!H:H,0,0,1)</f>
        <v>0</v>
      </c>
      <c r="C93" s="1479">
        <f>_xlfn.XLOOKUP($A93,'TB FORMATTED'!$G:$G,'TB FORMATTED'!I:I,0,0,1)</f>
        <v>0</v>
      </c>
      <c r="D93" s="979">
        <f t="shared" si="2"/>
        <v>0</v>
      </c>
      <c r="F93" s="1479">
        <f>_xlfn.XLOOKUP($A93,'TB FORMATTED'!$G:$G,'TB FORMATTED'!J:J,0,0,1)</f>
        <v>707384.31</v>
      </c>
      <c r="G93" s="1479">
        <f>_xlfn.XLOOKUP($A93,'TB FORMATTED'!$G:$G,'TB FORMATTED'!K:K,0,0,1)</f>
        <v>0</v>
      </c>
      <c r="H93" s="1479" t="e">
        <f>-SUM(H94:H177)</f>
        <v>#REF!</v>
      </c>
      <c r="I93" s="1479"/>
      <c r="J93" s="979" t="e">
        <f t="shared" si="3"/>
        <v>#REF!</v>
      </c>
    </row>
    <row r="94" spans="1:10" x14ac:dyDescent="0.3">
      <c r="A94" s="1036" t="str">
        <f>COA!B96</f>
        <v>5000 Revenue</v>
      </c>
      <c r="B94" s="955">
        <f>_xlfn.XLOOKUP($A94,'TB FORMATTED'!$G:$G,'TB FORMATTED'!H:H,0,0,1)</f>
        <v>0</v>
      </c>
      <c r="C94" s="955">
        <f>_xlfn.XLOOKUP($A94,'TB FORMATTED'!$G:$G,'TB FORMATTED'!I:I,0,0,1)</f>
        <v>0</v>
      </c>
      <c r="D94" s="280">
        <f t="shared" si="2"/>
        <v>0</v>
      </c>
      <c r="F94" s="955">
        <f>_xlfn.XLOOKUP($A94,'TB FORMATTED'!$G:$G,'TB FORMATTED'!J:J,0,0,1)</f>
        <v>0</v>
      </c>
      <c r="G94" s="955">
        <f>_xlfn.XLOOKUP($A94,'TB FORMATTED'!$G:$G,'TB FORMATTED'!K:K,0,0,1)</f>
        <v>0</v>
      </c>
      <c r="H94" s="955">
        <v>0</v>
      </c>
      <c r="I94" s="955"/>
      <c r="J94" s="280">
        <f t="shared" si="3"/>
        <v>0</v>
      </c>
    </row>
    <row r="95" spans="1:10" x14ac:dyDescent="0.3">
      <c r="A95" s="1036" t="str">
        <f>COA!B97</f>
        <v>5000 Utility Vehicle Sales</v>
      </c>
      <c r="B95" s="955">
        <f>_xlfn.XLOOKUP($A95,'TB FORMATTED'!$G:$G,'TB FORMATTED'!H:H,0,0,1)</f>
        <v>0</v>
      </c>
      <c r="C95" s="955">
        <f>_xlfn.XLOOKUP($A95,'TB FORMATTED'!$G:$G,'TB FORMATTED'!I:I,0,0,1)</f>
        <v>0</v>
      </c>
      <c r="D95" s="280">
        <f t="shared" si="2"/>
        <v>0</v>
      </c>
      <c r="F95" s="955">
        <f>_xlfn.XLOOKUP($A95,'TB FORMATTED'!$G:$G,'TB FORMATTED'!J:J,0,0,1)</f>
        <v>0</v>
      </c>
      <c r="G95" s="955">
        <f>_xlfn.XLOOKUP($A95,'TB FORMATTED'!$G:$G,'TB FORMATTED'!K:K,0,0,1)</f>
        <v>0</v>
      </c>
      <c r="H95" s="955">
        <v>0</v>
      </c>
      <c r="I95" s="955"/>
      <c r="J95" s="280">
        <f t="shared" si="3"/>
        <v>0</v>
      </c>
    </row>
    <row r="96" spans="1:10" x14ac:dyDescent="0.3">
      <c r="A96" s="1036" t="str">
        <f>COA!B98</f>
        <v>5001 Other General Sales</v>
      </c>
      <c r="B96" s="955">
        <f>_xlfn.XLOOKUP($A96,'TB FORMATTED'!$G:$G,'TB FORMATTED'!H:H,0,0,1)</f>
        <v>0</v>
      </c>
      <c r="C96" s="955">
        <f>_xlfn.XLOOKUP($A96,'TB FORMATTED'!$G:$G,'TB FORMATTED'!I:I,0,0,1)</f>
        <v>0</v>
      </c>
      <c r="D96" s="280">
        <f t="shared" si="2"/>
        <v>0</v>
      </c>
      <c r="F96" s="955">
        <f>_xlfn.XLOOKUP($A96,'TB FORMATTED'!$G:$G,'TB FORMATTED'!J:J,0,0,1)</f>
        <v>0</v>
      </c>
      <c r="G96" s="955">
        <f>_xlfn.XLOOKUP($A96,'TB FORMATTED'!$G:$G,'TB FORMATTED'!K:K,0,0,1)</f>
        <v>0</v>
      </c>
      <c r="H96" s="955">
        <v>0</v>
      </c>
      <c r="I96" s="955"/>
      <c r="J96" s="280">
        <f t="shared" si="3"/>
        <v>0</v>
      </c>
    </row>
    <row r="97" spans="1:10" x14ac:dyDescent="0.3">
      <c r="A97" s="1036" t="str">
        <f>COA!B99</f>
        <v>5002 Equipment parts sale</v>
      </c>
      <c r="B97" s="955">
        <f>_xlfn.XLOOKUP($A97,'TB FORMATTED'!$G:$G,'TB FORMATTED'!H:H,0,0,1)</f>
        <v>0</v>
      </c>
      <c r="C97" s="955">
        <f>_xlfn.XLOOKUP($A97,'TB FORMATTED'!$G:$G,'TB FORMATTED'!I:I,0,0,1)</f>
        <v>0</v>
      </c>
      <c r="D97" s="280">
        <f t="shared" si="2"/>
        <v>0</v>
      </c>
      <c r="F97" s="955">
        <f>_xlfn.XLOOKUP($A97,'TB FORMATTED'!$G:$G,'TB FORMATTED'!J:J,0,0,1)</f>
        <v>0</v>
      </c>
      <c r="G97" s="955">
        <f>_xlfn.XLOOKUP($A97,'TB FORMATTED'!$G:$G,'TB FORMATTED'!K:K,0,0,1)</f>
        <v>0</v>
      </c>
      <c r="H97" s="955">
        <v>0</v>
      </c>
      <c r="I97" s="955"/>
      <c r="J97" s="280">
        <f t="shared" si="3"/>
        <v>0</v>
      </c>
    </row>
    <row r="98" spans="1:10" x14ac:dyDescent="0.3">
      <c r="A98" s="1036" t="str">
        <f>COA!B100</f>
        <v>5003 Labour service</v>
      </c>
      <c r="B98" s="955">
        <f>_xlfn.XLOOKUP($A98,'TB FORMATTED'!$G:$G,'TB FORMATTED'!H:H,0,0,1)</f>
        <v>0</v>
      </c>
      <c r="C98" s="955">
        <f>_xlfn.XLOOKUP($A98,'TB FORMATTED'!$G:$G,'TB FORMATTED'!I:I,0,0,1)</f>
        <v>0</v>
      </c>
      <c r="D98" s="280">
        <f t="shared" si="2"/>
        <v>0</v>
      </c>
      <c r="F98" s="955">
        <f>_xlfn.XLOOKUP($A98,'TB FORMATTED'!$G:$G,'TB FORMATTED'!J:J,0,0,1)</f>
        <v>0</v>
      </c>
      <c r="G98" s="955">
        <f>_xlfn.XLOOKUP($A98,'TB FORMATTED'!$G:$G,'TB FORMATTED'!K:K,0,0,1)</f>
        <v>0</v>
      </c>
      <c r="H98" s="955">
        <v>0</v>
      </c>
      <c r="I98" s="955"/>
      <c r="J98" s="280">
        <f t="shared" si="3"/>
        <v>0</v>
      </c>
    </row>
    <row r="99" spans="1:10" x14ac:dyDescent="0.3">
      <c r="A99" s="1036" t="str">
        <f>COA!B101</f>
        <v>5004 Shop Supplies Sales</v>
      </c>
      <c r="B99" s="955">
        <f>_xlfn.XLOOKUP($A99,'TB FORMATTED'!$G:$G,'TB FORMATTED'!H:H,0,0,1)</f>
        <v>0</v>
      </c>
      <c r="C99" s="955">
        <f>_xlfn.XLOOKUP($A99,'TB FORMATTED'!$G:$G,'TB FORMATTED'!I:I,0,0,1)</f>
        <v>0</v>
      </c>
      <c r="D99" s="280">
        <f t="shared" si="2"/>
        <v>0</v>
      </c>
      <c r="F99" s="955">
        <f>_xlfn.XLOOKUP($A99,'TB FORMATTED'!$G:$G,'TB FORMATTED'!J:J,0,0,1)</f>
        <v>0</v>
      </c>
      <c r="G99" s="955">
        <f>_xlfn.XLOOKUP($A99,'TB FORMATTED'!$G:$G,'TB FORMATTED'!K:K,0,0,1)</f>
        <v>0</v>
      </c>
      <c r="H99" s="955">
        <v>0</v>
      </c>
      <c r="I99" s="955"/>
      <c r="J99" s="280">
        <f t="shared" si="3"/>
        <v>0</v>
      </c>
    </row>
    <row r="100" spans="1:10" x14ac:dyDescent="0.3">
      <c r="A100" s="1036" t="str">
        <f>COA!B102</f>
        <v>5006 Markup</v>
      </c>
      <c r="B100" s="955">
        <f>_xlfn.XLOOKUP($A100,'TB FORMATTED'!$G:$G,'TB FORMATTED'!H:H,0,0,1)</f>
        <v>0</v>
      </c>
      <c r="C100" s="955">
        <f>_xlfn.XLOOKUP($A100,'TB FORMATTED'!$G:$G,'TB FORMATTED'!I:I,0,0,1)</f>
        <v>0</v>
      </c>
      <c r="D100" s="280">
        <f t="shared" si="2"/>
        <v>0</v>
      </c>
      <c r="F100" s="955">
        <f>_xlfn.XLOOKUP($A100,'TB FORMATTED'!$G:$G,'TB FORMATTED'!J:J,0,0,1)</f>
        <v>0</v>
      </c>
      <c r="G100" s="955">
        <f>_xlfn.XLOOKUP($A100,'TB FORMATTED'!$G:$G,'TB FORMATTED'!K:K,0,0,1)</f>
        <v>0</v>
      </c>
      <c r="H100" s="955">
        <v>0</v>
      </c>
      <c r="I100" s="955"/>
      <c r="J100" s="280">
        <f t="shared" si="3"/>
        <v>0</v>
      </c>
    </row>
    <row r="101" spans="1:10" x14ac:dyDescent="0.3">
      <c r="A101" s="1036" t="str">
        <f>COA!B104</f>
        <v>5498 Interest income</v>
      </c>
      <c r="B101" s="955">
        <f>_xlfn.XLOOKUP($A101,'TB FORMATTED'!$G:$G,'TB FORMATTED'!H:H,0,0,1)</f>
        <v>0</v>
      </c>
      <c r="C101" s="955">
        <f>_xlfn.XLOOKUP($A101,'TB FORMATTED'!$G:$G,'TB FORMATTED'!I:I,0,0,1)</f>
        <v>0</v>
      </c>
      <c r="D101" s="280">
        <f t="shared" si="2"/>
        <v>0</v>
      </c>
      <c r="F101" s="955">
        <f>_xlfn.XLOOKUP($A101,'TB FORMATTED'!$G:$G,'TB FORMATTED'!J:J,0,0,1)</f>
        <v>0</v>
      </c>
      <c r="G101" s="955">
        <f>_xlfn.XLOOKUP($A101,'TB FORMATTED'!$G:$G,'TB FORMATTED'!K:K,0,0,1)</f>
        <v>198.12</v>
      </c>
      <c r="H101" s="955" t="e">
        <v>#REF!</v>
      </c>
      <c r="I101" s="955"/>
      <c r="J101" s="280" t="e">
        <f t="shared" si="3"/>
        <v>#REF!</v>
      </c>
    </row>
    <row r="102" spans="1:10" x14ac:dyDescent="0.3">
      <c r="A102" s="1036" t="str">
        <f>COA!B105</f>
        <v>5499 Other Income</v>
      </c>
      <c r="B102" s="955">
        <f>_xlfn.XLOOKUP($A102,'TB FORMATTED'!$G:$G,'TB FORMATTED'!H:H,0,0,1)</f>
        <v>0</v>
      </c>
      <c r="C102" s="955">
        <f>_xlfn.XLOOKUP($A102,'TB FORMATTED'!$G:$G,'TB FORMATTED'!I:I,0,0,1)</f>
        <v>0</v>
      </c>
      <c r="D102" s="280">
        <f t="shared" si="2"/>
        <v>0</v>
      </c>
      <c r="F102" s="955">
        <f>_xlfn.XLOOKUP($A102,'TB FORMATTED'!$G:$G,'TB FORMATTED'!J:J,0,0,1)</f>
        <v>0</v>
      </c>
      <c r="G102" s="955">
        <f>_xlfn.XLOOKUP($A102,'TB FORMATTED'!$G:$G,'TB FORMATTED'!K:K,0,0,1)</f>
        <v>3150</v>
      </c>
      <c r="H102" s="955">
        <v>0</v>
      </c>
      <c r="I102" s="955"/>
      <c r="J102" s="280">
        <f t="shared" si="3"/>
        <v>-3150</v>
      </c>
    </row>
    <row r="103" spans="1:10" x14ac:dyDescent="0.3">
      <c r="A103" s="1036" t="str">
        <f>COA!B106</f>
        <v>5500 Cost of Goods Sold</v>
      </c>
      <c r="B103" s="955">
        <f>_xlfn.XLOOKUP($A103,'TB FORMATTED'!$G:$G,'TB FORMATTED'!H:H,0,0,1)</f>
        <v>0</v>
      </c>
      <c r="C103" s="955">
        <f>_xlfn.XLOOKUP($A103,'TB FORMATTED'!$G:$G,'TB FORMATTED'!I:I,0,0,1)</f>
        <v>0</v>
      </c>
      <c r="D103" s="280">
        <f t="shared" si="2"/>
        <v>0</v>
      </c>
      <c r="F103" s="955">
        <f>_xlfn.XLOOKUP($A103,'TB FORMATTED'!$G:$G,'TB FORMATTED'!J:J,0,0,1)</f>
        <v>90</v>
      </c>
      <c r="G103" s="955">
        <f>_xlfn.XLOOKUP($A103,'TB FORMATTED'!$G:$G,'TB FORMATTED'!K:K,0,0,1)</f>
        <v>0</v>
      </c>
      <c r="H103" s="955">
        <v>-90</v>
      </c>
      <c r="I103" s="955"/>
      <c r="J103" s="280">
        <f t="shared" si="3"/>
        <v>0</v>
      </c>
    </row>
    <row r="104" spans="1:10" x14ac:dyDescent="0.3">
      <c r="A104" s="1036" t="str">
        <f>COA!B107</f>
        <v>5510 Cost of Goods Sold:Parts and components  - COS</v>
      </c>
      <c r="B104" s="955">
        <f>_xlfn.XLOOKUP($A104,'TB FORMATTED'!$G:$G,'TB FORMATTED'!H:H,0,0,1)</f>
        <v>0</v>
      </c>
      <c r="C104" s="955">
        <f>_xlfn.XLOOKUP($A104,'TB FORMATTED'!$G:$G,'TB FORMATTED'!I:I,0,0,1)</f>
        <v>0</v>
      </c>
      <c r="D104" s="280">
        <f t="shared" si="2"/>
        <v>0</v>
      </c>
      <c r="F104" s="955">
        <f>_xlfn.XLOOKUP($A104,'TB FORMATTED'!$G:$G,'TB FORMATTED'!J:J,0,0,1)</f>
        <v>0</v>
      </c>
      <c r="G104" s="955">
        <f>_xlfn.XLOOKUP($A104,'TB FORMATTED'!$G:$G,'TB FORMATTED'!K:K,0,0,1)</f>
        <v>251333.95</v>
      </c>
      <c r="H104" s="955">
        <v>251333.95</v>
      </c>
      <c r="I104" s="955"/>
      <c r="J104" s="280">
        <f t="shared" si="3"/>
        <v>0</v>
      </c>
    </row>
    <row r="105" spans="1:10" x14ac:dyDescent="0.3">
      <c r="A105" s="1036" t="str">
        <f>COA!B108</f>
        <v>5515 Cost of Goods Sold:Engineering  - COS</v>
      </c>
      <c r="B105" s="955">
        <f>_xlfn.XLOOKUP($A105,'TB FORMATTED'!$G:$G,'TB FORMATTED'!H:H,0,0,1)</f>
        <v>0</v>
      </c>
      <c r="C105" s="955">
        <f>_xlfn.XLOOKUP($A105,'TB FORMATTED'!$G:$G,'TB FORMATTED'!I:I,0,0,1)</f>
        <v>0</v>
      </c>
      <c r="D105" s="280">
        <f t="shared" si="2"/>
        <v>0</v>
      </c>
      <c r="F105" s="955">
        <f>_xlfn.XLOOKUP($A105,'TB FORMATTED'!$G:$G,'TB FORMATTED'!J:J,0,0,1)</f>
        <v>0</v>
      </c>
      <c r="G105" s="955">
        <f>_xlfn.XLOOKUP($A105,'TB FORMATTED'!$G:$G,'TB FORMATTED'!K:K,0,0,1)</f>
        <v>15460.46</v>
      </c>
      <c r="H105" s="955">
        <v>15460.46</v>
      </c>
      <c r="I105" s="955"/>
      <c r="J105" s="280">
        <f t="shared" si="3"/>
        <v>0</v>
      </c>
    </row>
    <row r="106" spans="1:10" x14ac:dyDescent="0.3">
      <c r="A106" s="1036" t="str">
        <f>COA!B109</f>
        <v>5520 Cost of Goods Sold:Subcontracting  - COS</v>
      </c>
      <c r="B106" s="955">
        <f>_xlfn.XLOOKUP($A106,'TB FORMATTED'!$G:$G,'TB FORMATTED'!H:H,0,0,1)</f>
        <v>0</v>
      </c>
      <c r="C106" s="955">
        <f>_xlfn.XLOOKUP($A106,'TB FORMATTED'!$G:$G,'TB FORMATTED'!I:I,0,0,1)</f>
        <v>0</v>
      </c>
      <c r="D106" s="280">
        <f t="shared" si="2"/>
        <v>0</v>
      </c>
      <c r="F106" s="955">
        <f>_xlfn.XLOOKUP($A106,'TB FORMATTED'!$G:$G,'TB FORMATTED'!J:J,0,0,1)</f>
        <v>0</v>
      </c>
      <c r="G106" s="955">
        <f>_xlfn.XLOOKUP($A106,'TB FORMATTED'!$G:$G,'TB FORMATTED'!K:K,0,0,1)</f>
        <v>10833.14</v>
      </c>
      <c r="H106" s="955">
        <v>10833.14</v>
      </c>
      <c r="I106" s="955"/>
      <c r="J106" s="280">
        <f t="shared" si="3"/>
        <v>0</v>
      </c>
    </row>
    <row r="107" spans="1:10" x14ac:dyDescent="0.3">
      <c r="A107" s="1036" t="str">
        <f>COA!B110</f>
        <v>5525 Cost of Goods Sold:Shipping  - COS</v>
      </c>
      <c r="B107" s="955">
        <f>_xlfn.XLOOKUP($A107,'TB FORMATTED'!$G:$G,'TB FORMATTED'!H:H,0,0,1)</f>
        <v>0</v>
      </c>
      <c r="C107" s="955">
        <f>_xlfn.XLOOKUP($A107,'TB FORMATTED'!$G:$G,'TB FORMATTED'!I:I,0,0,1)</f>
        <v>0</v>
      </c>
      <c r="D107" s="280">
        <f t="shared" si="2"/>
        <v>0</v>
      </c>
      <c r="F107" s="955">
        <f>_xlfn.XLOOKUP($A107,'TB FORMATTED'!$G:$G,'TB FORMATTED'!J:J,0,0,1)</f>
        <v>0</v>
      </c>
      <c r="G107" s="955">
        <f>_xlfn.XLOOKUP($A107,'TB FORMATTED'!$G:$G,'TB FORMATTED'!K:K,0,0,1)</f>
        <v>0</v>
      </c>
      <c r="H107" s="955">
        <v>0</v>
      </c>
      <c r="I107" s="955"/>
      <c r="J107" s="280">
        <f t="shared" si="3"/>
        <v>0</v>
      </c>
    </row>
    <row r="108" spans="1:10" x14ac:dyDescent="0.3">
      <c r="A108" s="1036" t="str">
        <f>COA!B111</f>
        <v>5530 Cost of Goods Sold:Disposal/Landfill  - COS</v>
      </c>
      <c r="B108" s="955">
        <f>_xlfn.XLOOKUP($A108,'TB FORMATTED'!$G:$G,'TB FORMATTED'!H:H,0,0,1)</f>
        <v>0</v>
      </c>
      <c r="C108" s="955">
        <f>_xlfn.XLOOKUP($A108,'TB FORMATTED'!$G:$G,'TB FORMATTED'!I:I,0,0,1)</f>
        <v>0</v>
      </c>
      <c r="D108" s="280">
        <f t="shared" si="2"/>
        <v>0</v>
      </c>
      <c r="F108" s="955">
        <f>_xlfn.XLOOKUP($A108,'TB FORMATTED'!$G:$G,'TB FORMATTED'!J:J,0,0,1)</f>
        <v>0</v>
      </c>
      <c r="G108" s="955">
        <f>_xlfn.XLOOKUP($A108,'TB FORMATTED'!$G:$G,'TB FORMATTED'!K:K,0,0,1)</f>
        <v>0</v>
      </c>
      <c r="H108" s="955">
        <v>0</v>
      </c>
      <c r="I108" s="955"/>
      <c r="J108" s="280">
        <f t="shared" si="3"/>
        <v>0</v>
      </c>
    </row>
    <row r="109" spans="1:10" x14ac:dyDescent="0.3">
      <c r="A109" s="1036" t="str">
        <f>COA!B112</f>
        <v>5535 Cost of Goods Sold:Inventory Write Off  - COS</v>
      </c>
      <c r="B109" s="955">
        <f>_xlfn.XLOOKUP($A109,'TB FORMATTED'!$G:$G,'TB FORMATTED'!H:H,0,0,1)</f>
        <v>0</v>
      </c>
      <c r="C109" s="955">
        <f>_xlfn.XLOOKUP($A109,'TB FORMATTED'!$G:$G,'TB FORMATTED'!I:I,0,0,1)</f>
        <v>0</v>
      </c>
      <c r="D109" s="280">
        <f t="shared" si="2"/>
        <v>0</v>
      </c>
      <c r="F109" s="955">
        <f>_xlfn.XLOOKUP($A109,'TB FORMATTED'!$G:$G,'TB FORMATTED'!J:J,0,0,1)</f>
        <v>0</v>
      </c>
      <c r="G109" s="955">
        <f>_xlfn.XLOOKUP($A109,'TB FORMATTED'!$G:$G,'TB FORMATTED'!K:K,0,0,1)</f>
        <v>0</v>
      </c>
      <c r="H109" s="955">
        <v>0</v>
      </c>
      <c r="I109" s="955"/>
      <c r="J109" s="280">
        <f t="shared" si="3"/>
        <v>0</v>
      </c>
    </row>
    <row r="110" spans="1:10" x14ac:dyDescent="0.3">
      <c r="A110" s="1036" t="str">
        <f>COA!B113</f>
        <v>5540 Cost of Goods Sold:Equipment Fuel  - COS</v>
      </c>
      <c r="B110" s="955">
        <f>_xlfn.XLOOKUP($A110,'TB FORMATTED'!$G:$G,'TB FORMATTED'!H:H,0,0,1)</f>
        <v>0</v>
      </c>
      <c r="C110" s="955">
        <f>_xlfn.XLOOKUP($A110,'TB FORMATTED'!$G:$G,'TB FORMATTED'!I:I,0,0,1)</f>
        <v>0</v>
      </c>
      <c r="D110" s="280">
        <f t="shared" si="2"/>
        <v>0</v>
      </c>
      <c r="F110" s="955">
        <f>_xlfn.XLOOKUP($A110,'TB FORMATTED'!$G:$G,'TB FORMATTED'!J:J,0,0,1)</f>
        <v>0</v>
      </c>
      <c r="G110" s="955">
        <f>_xlfn.XLOOKUP($A110,'TB FORMATTED'!$G:$G,'TB FORMATTED'!K:K,0,0,1)</f>
        <v>0</v>
      </c>
      <c r="H110" s="955">
        <v>0</v>
      </c>
      <c r="I110" s="955"/>
      <c r="J110" s="280">
        <f t="shared" si="3"/>
        <v>0</v>
      </c>
    </row>
    <row r="111" spans="1:10" x14ac:dyDescent="0.3">
      <c r="A111" s="1036" t="str">
        <f>COA!B114</f>
        <v>5545 Cost of Goods Sold:Equipment Leasing  - COS</v>
      </c>
      <c r="B111" s="955">
        <f>_xlfn.XLOOKUP($A111,'TB FORMATTED'!$G:$G,'TB FORMATTED'!H:H,0,0,1)</f>
        <v>0</v>
      </c>
      <c r="C111" s="955">
        <f>_xlfn.XLOOKUP($A111,'TB FORMATTED'!$G:$G,'TB FORMATTED'!I:I,0,0,1)</f>
        <v>0</v>
      </c>
      <c r="D111" s="280">
        <f t="shared" si="2"/>
        <v>0</v>
      </c>
      <c r="F111" s="955">
        <f>_xlfn.XLOOKUP($A111,'TB FORMATTED'!$G:$G,'TB FORMATTED'!J:J,0,0,1)</f>
        <v>0</v>
      </c>
      <c r="G111" s="955">
        <f>_xlfn.XLOOKUP($A111,'TB FORMATTED'!$G:$G,'TB FORMATTED'!K:K,0,0,1)</f>
        <v>0</v>
      </c>
      <c r="H111" s="955">
        <v>0</v>
      </c>
      <c r="I111" s="955"/>
      <c r="J111" s="280">
        <f t="shared" si="3"/>
        <v>0</v>
      </c>
    </row>
    <row r="112" spans="1:10" x14ac:dyDescent="0.3">
      <c r="A112" s="1036" t="str">
        <f>COA!B115</f>
        <v>5511 Supplies and materials - COS</v>
      </c>
      <c r="B112" s="955">
        <f>_xlfn.XLOOKUP($A112,'TB FORMATTED'!$G:$G,'TB FORMATTED'!H:H,0,0,1)</f>
        <v>0</v>
      </c>
      <c r="C112" s="955">
        <f>_xlfn.XLOOKUP($A112,'TB FORMATTED'!$G:$G,'TB FORMATTED'!I:I,0,0,1)</f>
        <v>0</v>
      </c>
      <c r="D112" s="280">
        <f t="shared" si="2"/>
        <v>0</v>
      </c>
      <c r="F112" s="955">
        <f>_xlfn.XLOOKUP($A112,'TB FORMATTED'!$G:$G,'TB FORMATTED'!J:J,0,0,1)</f>
        <v>0</v>
      </c>
      <c r="G112" s="955">
        <f>_xlfn.XLOOKUP($A112,'TB FORMATTED'!$G:$G,'TB FORMATTED'!K:K,0,0,1)</f>
        <v>162.91</v>
      </c>
      <c r="H112" s="955">
        <v>162.91</v>
      </c>
      <c r="I112" s="955"/>
      <c r="J112" s="280">
        <f t="shared" si="3"/>
        <v>0</v>
      </c>
    </row>
    <row r="113" spans="1:10" x14ac:dyDescent="0.3">
      <c r="A113" s="1036" t="str">
        <f>COA!B116</f>
        <v>5998 Uncategorized Income</v>
      </c>
      <c r="B113" s="955">
        <f>_xlfn.XLOOKUP($A113,'TB FORMATTED'!$G:$G,'TB FORMATTED'!H:H,0,0,1)</f>
        <v>0</v>
      </c>
      <c r="C113" s="955">
        <f>_xlfn.XLOOKUP($A113,'TB FORMATTED'!$G:$G,'TB FORMATTED'!I:I,0,0,1)</f>
        <v>0</v>
      </c>
      <c r="D113" s="280">
        <f t="shared" si="2"/>
        <v>0</v>
      </c>
      <c r="F113" s="955">
        <f>_xlfn.XLOOKUP($A113,'TB FORMATTED'!$G:$G,'TB FORMATTED'!J:J,0,0,1)</f>
        <v>0</v>
      </c>
      <c r="G113" s="955">
        <f>_xlfn.XLOOKUP($A113,'TB FORMATTED'!$G:$G,'TB FORMATTED'!K:K,0,0,1)</f>
        <v>0</v>
      </c>
      <c r="H113" s="955">
        <v>0</v>
      </c>
      <c r="I113" s="955"/>
      <c r="J113" s="280">
        <f t="shared" si="3"/>
        <v>0</v>
      </c>
    </row>
    <row r="114" spans="1:10" x14ac:dyDescent="0.3">
      <c r="A114" s="1036" t="str">
        <f>COA!B117</f>
        <v>5999 Uncategorized Income</v>
      </c>
      <c r="B114" s="955">
        <f>_xlfn.XLOOKUP($A114,'TB FORMATTED'!$G:$G,'TB FORMATTED'!H:H,0,0,1)</f>
        <v>0</v>
      </c>
      <c r="C114" s="955">
        <f>_xlfn.XLOOKUP($A114,'TB FORMATTED'!$G:$G,'TB FORMATTED'!I:I,0,0,1)</f>
        <v>0</v>
      </c>
      <c r="D114" s="280">
        <f t="shared" si="2"/>
        <v>0</v>
      </c>
      <c r="F114" s="955">
        <f>_xlfn.XLOOKUP($A114,'TB FORMATTED'!$G:$G,'TB FORMATTED'!J:J,0,0,1)</f>
        <v>0</v>
      </c>
      <c r="G114" s="955">
        <f>_xlfn.XLOOKUP($A114,'TB FORMATTED'!$G:$G,'TB FORMATTED'!K:K,0,0,1)</f>
        <v>0</v>
      </c>
      <c r="H114" s="955">
        <v>0</v>
      </c>
      <c r="I114" s="955"/>
      <c r="J114" s="280">
        <f t="shared" si="3"/>
        <v>0</v>
      </c>
    </row>
    <row r="115" spans="1:10" x14ac:dyDescent="0.3">
      <c r="A115" s="1036" t="str">
        <f>COA!B118</f>
        <v>5999 Unapplied Cash Payment Income</v>
      </c>
      <c r="B115" s="955">
        <f>_xlfn.XLOOKUP($A115,'TB FORMATTED'!$G:$G,'TB FORMATTED'!H:H,0,0,1)</f>
        <v>0</v>
      </c>
      <c r="C115" s="955">
        <f>_xlfn.XLOOKUP($A115,'TB FORMATTED'!$G:$G,'TB FORMATTED'!I:I,0,0,1)</f>
        <v>0</v>
      </c>
      <c r="D115" s="280">
        <f t="shared" si="2"/>
        <v>0</v>
      </c>
      <c r="F115" s="955">
        <f>_xlfn.XLOOKUP($A115,'TB FORMATTED'!$G:$G,'TB FORMATTED'!J:J,0,0,1)</f>
        <v>0</v>
      </c>
      <c r="G115" s="955">
        <f>_xlfn.XLOOKUP($A115,'TB FORMATTED'!$G:$G,'TB FORMATTED'!K:K,0,0,1)</f>
        <v>0</v>
      </c>
      <c r="H115" s="955">
        <v>0</v>
      </c>
      <c r="I115" s="955"/>
      <c r="J115" s="280">
        <f t="shared" si="3"/>
        <v>0</v>
      </c>
    </row>
    <row r="116" spans="1:10" x14ac:dyDescent="0.3">
      <c r="A116" s="1036" t="str">
        <f>COA!B119</f>
        <v>6000 Payroll Expenses</v>
      </c>
      <c r="B116" s="955">
        <f>_xlfn.XLOOKUP($A116,'TB FORMATTED'!$G:$G,'TB FORMATTED'!H:H,0,0,1)</f>
        <v>0</v>
      </c>
      <c r="C116" s="955">
        <f>_xlfn.XLOOKUP($A116,'TB FORMATTED'!$G:$G,'TB FORMATTED'!I:I,0,0,1)</f>
        <v>0</v>
      </c>
      <c r="D116" s="280">
        <f t="shared" si="2"/>
        <v>0</v>
      </c>
      <c r="F116" s="955">
        <f>_xlfn.XLOOKUP($A116,'TB FORMATTED'!$G:$G,'TB FORMATTED'!J:J,0,0,1)</f>
        <v>0</v>
      </c>
      <c r="G116" s="955">
        <f>_xlfn.XLOOKUP($A116,'TB FORMATTED'!$G:$G,'TB FORMATTED'!K:K,0,0,1)</f>
        <v>0</v>
      </c>
      <c r="H116" s="955">
        <v>0</v>
      </c>
      <c r="I116" s="955"/>
      <c r="J116" s="280">
        <f t="shared" si="3"/>
        <v>0</v>
      </c>
    </row>
    <row r="117" spans="1:10" x14ac:dyDescent="0.3">
      <c r="A117" s="1036" t="str">
        <f>COA!B120</f>
        <v>6001 Payroll Expenses:Management Salaries</v>
      </c>
      <c r="B117" s="955">
        <f>_xlfn.XLOOKUP($A117,'TB FORMATTED'!$G:$G,'TB FORMATTED'!H:H,0,0,1)</f>
        <v>0</v>
      </c>
      <c r="C117" s="955">
        <f>_xlfn.XLOOKUP($A117,'TB FORMATTED'!$G:$G,'TB FORMATTED'!I:I,0,0,1)</f>
        <v>0</v>
      </c>
      <c r="D117" s="280">
        <f t="shared" si="2"/>
        <v>0</v>
      </c>
      <c r="F117" s="955">
        <f>_xlfn.XLOOKUP($A117,'TB FORMATTED'!$G:$G,'TB FORMATTED'!J:J,0,0,1)</f>
        <v>0</v>
      </c>
      <c r="G117" s="955">
        <f>_xlfn.XLOOKUP($A117,'TB FORMATTED'!$G:$G,'TB FORMATTED'!K:K,0,0,1)</f>
        <v>0</v>
      </c>
      <c r="H117" s="955">
        <v>0</v>
      </c>
      <c r="I117" s="955"/>
      <c r="J117" s="280">
        <f t="shared" si="3"/>
        <v>0</v>
      </c>
    </row>
    <row r="118" spans="1:10" x14ac:dyDescent="0.3">
      <c r="A118" s="1036" t="str">
        <f>COA!B121</f>
        <v>6002 Payroll Expenses:Wages</v>
      </c>
      <c r="B118" s="955">
        <f>_xlfn.XLOOKUP($A118,'TB FORMATTED'!$G:$G,'TB FORMATTED'!H:H,0,0,1)</f>
        <v>0</v>
      </c>
      <c r="C118" s="955">
        <f>_xlfn.XLOOKUP($A118,'TB FORMATTED'!$G:$G,'TB FORMATTED'!I:I,0,0,1)</f>
        <v>0</v>
      </c>
      <c r="D118" s="280">
        <f t="shared" si="2"/>
        <v>0</v>
      </c>
      <c r="F118" s="955">
        <f>_xlfn.XLOOKUP($A118,'TB FORMATTED'!$G:$G,'TB FORMATTED'!J:J,0,0,1)</f>
        <v>0</v>
      </c>
      <c r="G118" s="955">
        <f>_xlfn.XLOOKUP($A118,'TB FORMATTED'!$G:$G,'TB FORMATTED'!K:K,0,0,1)</f>
        <v>0</v>
      </c>
      <c r="H118" s="955">
        <v>0</v>
      </c>
      <c r="I118" s="955"/>
      <c r="J118" s="280">
        <f t="shared" si="3"/>
        <v>0</v>
      </c>
    </row>
    <row r="119" spans="1:10" x14ac:dyDescent="0.3">
      <c r="A119" s="1036" t="str">
        <f>COA!B122</f>
        <v>6003 Payroll Expenses:Vacation Pay</v>
      </c>
      <c r="B119" s="955">
        <f>_xlfn.XLOOKUP($A119,'TB FORMATTED'!$G:$G,'TB FORMATTED'!H:H,0,0,1)</f>
        <v>0</v>
      </c>
      <c r="C119" s="955">
        <f>_xlfn.XLOOKUP($A119,'TB FORMATTED'!$G:$G,'TB FORMATTED'!I:I,0,0,1)</f>
        <v>0</v>
      </c>
      <c r="D119" s="280">
        <f t="shared" si="2"/>
        <v>0</v>
      </c>
      <c r="F119" s="955">
        <f>_xlfn.XLOOKUP($A119,'TB FORMATTED'!$G:$G,'TB FORMATTED'!J:J,0,0,1)</f>
        <v>0</v>
      </c>
      <c r="G119" s="955">
        <f>_xlfn.XLOOKUP($A119,'TB FORMATTED'!$G:$G,'TB FORMATTED'!K:K,0,0,1)</f>
        <v>0</v>
      </c>
      <c r="H119" s="955">
        <v>0</v>
      </c>
      <c r="I119" s="955"/>
      <c r="J119" s="280">
        <f t="shared" si="3"/>
        <v>0</v>
      </c>
    </row>
    <row r="120" spans="1:10" x14ac:dyDescent="0.3">
      <c r="A120" s="1036" t="str">
        <f>COA!B123</f>
        <v>6004 Payroll Expenses:Employer Taxes</v>
      </c>
      <c r="B120" s="955">
        <f>_xlfn.XLOOKUP($A120,'TB FORMATTED'!$G:$G,'TB FORMATTED'!H:H,0,0,1)</f>
        <v>0</v>
      </c>
      <c r="C120" s="955">
        <f>_xlfn.XLOOKUP($A120,'TB FORMATTED'!$G:$G,'TB FORMATTED'!I:I,0,0,1)</f>
        <v>0</v>
      </c>
      <c r="D120" s="280">
        <f t="shared" si="2"/>
        <v>0</v>
      </c>
      <c r="F120" s="955">
        <f>_xlfn.XLOOKUP($A120,'TB FORMATTED'!$G:$G,'TB FORMATTED'!J:J,0,0,1)</f>
        <v>0</v>
      </c>
      <c r="G120" s="955">
        <f>_xlfn.XLOOKUP($A120,'TB FORMATTED'!$G:$G,'TB FORMATTED'!K:K,0,0,1)</f>
        <v>0</v>
      </c>
      <c r="H120" s="955">
        <v>0</v>
      </c>
      <c r="I120" s="955"/>
      <c r="J120" s="280">
        <f t="shared" si="3"/>
        <v>0</v>
      </c>
    </row>
    <row r="121" spans="1:10" x14ac:dyDescent="0.3">
      <c r="A121" s="1036" t="str">
        <f>COA!B124</f>
        <v>6005 Payroll Expenses:WCB Expense</v>
      </c>
      <c r="B121" s="955">
        <f>_xlfn.XLOOKUP($A121,'TB FORMATTED'!$G:$G,'TB FORMATTED'!H:H,0,0,1)</f>
        <v>0</v>
      </c>
      <c r="C121" s="955">
        <f>_xlfn.XLOOKUP($A121,'TB FORMATTED'!$G:$G,'TB FORMATTED'!I:I,0,0,1)</f>
        <v>0</v>
      </c>
      <c r="D121" s="280">
        <f t="shared" si="2"/>
        <v>0</v>
      </c>
      <c r="F121" s="955">
        <f>_xlfn.XLOOKUP($A121,'TB FORMATTED'!$G:$G,'TB FORMATTED'!J:J,0,0,1)</f>
        <v>0</v>
      </c>
      <c r="G121" s="955">
        <f>_xlfn.XLOOKUP($A121,'TB FORMATTED'!$G:$G,'TB FORMATTED'!K:K,0,0,1)</f>
        <v>0</v>
      </c>
      <c r="H121" s="955">
        <v>0</v>
      </c>
      <c r="I121" s="955"/>
      <c r="J121" s="280">
        <f t="shared" si="3"/>
        <v>0</v>
      </c>
    </row>
    <row r="122" spans="1:10" x14ac:dyDescent="0.3">
      <c r="A122" s="1036" t="str">
        <f>COA!B125</f>
        <v>6010 Other G&amp;A</v>
      </c>
      <c r="B122" s="955">
        <f>_xlfn.XLOOKUP($A122,'TB FORMATTED'!$G:$G,'TB FORMATTED'!H:H,0,0,1)</f>
        <v>0</v>
      </c>
      <c r="C122" s="955">
        <f>_xlfn.XLOOKUP($A122,'TB FORMATTED'!$G:$G,'TB FORMATTED'!I:I,0,0,1)</f>
        <v>0</v>
      </c>
      <c r="D122" s="280">
        <f t="shared" si="2"/>
        <v>0</v>
      </c>
      <c r="F122" s="955">
        <f>_xlfn.XLOOKUP($A122,'TB FORMATTED'!$G:$G,'TB FORMATTED'!J:J,0,0,1)</f>
        <v>0</v>
      </c>
      <c r="G122" s="955">
        <f>_xlfn.XLOOKUP($A122,'TB FORMATTED'!$G:$G,'TB FORMATTED'!K:K,0,0,1)</f>
        <v>0</v>
      </c>
      <c r="H122" s="955">
        <v>0</v>
      </c>
      <c r="I122" s="955"/>
      <c r="J122" s="280">
        <f t="shared" si="3"/>
        <v>0</v>
      </c>
    </row>
    <row r="123" spans="1:10" x14ac:dyDescent="0.3">
      <c r="A123" s="1036" t="str">
        <f>COA!B126</f>
        <v>6011 Bank charges</v>
      </c>
      <c r="B123" s="955">
        <f>_xlfn.XLOOKUP($A123,'TB FORMATTED'!$G:$G,'TB FORMATTED'!H:H,0,0,1)</f>
        <v>1600</v>
      </c>
      <c r="C123" s="955">
        <f>_xlfn.XLOOKUP($A123,'TB FORMATTED'!$G:$G,'TB FORMATTED'!I:I,0,0,1)</f>
        <v>0</v>
      </c>
      <c r="D123" s="280">
        <f t="shared" si="2"/>
        <v>1600</v>
      </c>
      <c r="F123" s="955">
        <f>_xlfn.XLOOKUP($A123,'TB FORMATTED'!$G:$G,'TB FORMATTED'!J:J,0,0,1)</f>
        <v>683.5</v>
      </c>
      <c r="G123" s="955">
        <f>_xlfn.XLOOKUP($A123,'TB FORMATTED'!$G:$G,'TB FORMATTED'!K:K,0,0,1)</f>
        <v>0</v>
      </c>
      <c r="H123" s="955">
        <v>-2</v>
      </c>
      <c r="I123" s="955"/>
      <c r="J123" s="280">
        <f t="shared" si="3"/>
        <v>681.5</v>
      </c>
    </row>
    <row r="124" spans="1:10" x14ac:dyDescent="0.3">
      <c r="A124" s="1036" t="str">
        <f>COA!B127</f>
        <v>6012 Bad debts</v>
      </c>
      <c r="B124" s="955">
        <f>_xlfn.XLOOKUP($A124,'TB FORMATTED'!$G:$G,'TB FORMATTED'!H:H,0,0,1)</f>
        <v>0</v>
      </c>
      <c r="C124" s="955">
        <f>_xlfn.XLOOKUP($A124,'TB FORMATTED'!$G:$G,'TB FORMATTED'!I:I,0,0,1)</f>
        <v>0</v>
      </c>
      <c r="D124" s="280">
        <f t="shared" si="2"/>
        <v>0</v>
      </c>
      <c r="F124" s="955">
        <f>_xlfn.XLOOKUP($A124,'TB FORMATTED'!$G:$G,'TB FORMATTED'!J:J,0,0,1)</f>
        <v>0</v>
      </c>
      <c r="G124" s="955">
        <f>_xlfn.XLOOKUP($A124,'TB FORMATTED'!$G:$G,'TB FORMATTED'!K:K,0,0,1)</f>
        <v>0</v>
      </c>
      <c r="H124" s="955">
        <v>0</v>
      </c>
      <c r="I124" s="955"/>
      <c r="J124" s="280">
        <f t="shared" si="3"/>
        <v>0</v>
      </c>
    </row>
    <row r="125" spans="1:10" x14ac:dyDescent="0.3">
      <c r="A125" s="1036" t="str">
        <f>COA!B128</f>
        <v>6012 Bad Debt</v>
      </c>
      <c r="B125" s="955">
        <f>_xlfn.XLOOKUP($A125,'TB FORMATTED'!$G:$G,'TB FORMATTED'!H:H,0,0,1)</f>
        <v>0</v>
      </c>
      <c r="C125" s="955">
        <f>_xlfn.XLOOKUP($A125,'TB FORMATTED'!$G:$G,'TB FORMATTED'!I:I,0,0,1)</f>
        <v>0</v>
      </c>
      <c r="D125" s="280">
        <f t="shared" si="2"/>
        <v>0</v>
      </c>
      <c r="F125" s="955">
        <f>_xlfn.XLOOKUP($A125,'TB FORMATTED'!$G:$G,'TB FORMATTED'!J:J,0,0,1)</f>
        <v>0</v>
      </c>
      <c r="G125" s="955">
        <f>_xlfn.XLOOKUP($A125,'TB FORMATTED'!$G:$G,'TB FORMATTED'!K:K,0,0,1)</f>
        <v>0</v>
      </c>
      <c r="H125" s="955">
        <v>0</v>
      </c>
      <c r="I125" s="955"/>
      <c r="J125" s="280">
        <f t="shared" si="3"/>
        <v>0</v>
      </c>
    </row>
    <row r="126" spans="1:10" x14ac:dyDescent="0.3">
      <c r="A126" s="1036" t="str">
        <f>COA!B129</f>
        <v>6013 Interest expense</v>
      </c>
      <c r="B126" s="955">
        <f>_xlfn.XLOOKUP($A126,'TB FORMATTED'!$G:$G,'TB FORMATTED'!H:H,0,0,1)</f>
        <v>30799.73</v>
      </c>
      <c r="C126" s="955">
        <f>_xlfn.XLOOKUP($A126,'TB FORMATTED'!$G:$G,'TB FORMATTED'!I:I,0,0,1)</f>
        <v>0</v>
      </c>
      <c r="D126" s="280">
        <f t="shared" si="2"/>
        <v>30799.73</v>
      </c>
      <c r="F126" s="955">
        <f>_xlfn.XLOOKUP($A126,'TB FORMATTED'!$G:$G,'TB FORMATTED'!J:J,0,0,1)</f>
        <v>0</v>
      </c>
      <c r="G126" s="955">
        <f>_xlfn.XLOOKUP($A126,'TB FORMATTED'!$G:$G,'TB FORMATTED'!K:K,0,0,1)</f>
        <v>2212.62</v>
      </c>
      <c r="H126" s="955">
        <v>5200</v>
      </c>
      <c r="I126" s="955"/>
      <c r="J126" s="280">
        <f t="shared" si="3"/>
        <v>2987.38</v>
      </c>
    </row>
    <row r="127" spans="1:10" x14ac:dyDescent="0.3">
      <c r="A127" s="1036" t="str">
        <f>COA!B130</f>
        <v>6015 Accounting Fees</v>
      </c>
      <c r="B127" s="955">
        <f>_xlfn.XLOOKUP($A127,'TB FORMATTED'!$G:$G,'TB FORMATTED'!H:H,0,0,1)</f>
        <v>27477.5</v>
      </c>
      <c r="C127" s="955">
        <f>_xlfn.XLOOKUP($A127,'TB FORMATTED'!$G:$G,'TB FORMATTED'!I:I,0,0,1)</f>
        <v>0</v>
      </c>
      <c r="D127" s="280">
        <f t="shared" si="2"/>
        <v>27477.5</v>
      </c>
      <c r="F127" s="955">
        <f>_xlfn.XLOOKUP($A127,'TB FORMATTED'!$G:$G,'TB FORMATTED'!J:J,0,0,1)</f>
        <v>0</v>
      </c>
      <c r="G127" s="955">
        <f>_xlfn.XLOOKUP($A127,'TB FORMATTED'!$G:$G,'TB FORMATTED'!K:K,0,0,1)</f>
        <v>0</v>
      </c>
      <c r="H127" s="955">
        <v>0</v>
      </c>
      <c r="I127" s="955"/>
      <c r="J127" s="280">
        <f t="shared" si="3"/>
        <v>0</v>
      </c>
    </row>
    <row r="128" spans="1:10" x14ac:dyDescent="0.3">
      <c r="A128" s="1036" t="str">
        <f>COA!B131</f>
        <v>6015 Accounting &amp; Legal</v>
      </c>
      <c r="B128" s="955">
        <f>_xlfn.XLOOKUP($A128,'TB FORMATTED'!$G:$G,'TB FORMATTED'!H:H,0,0,1)</f>
        <v>0</v>
      </c>
      <c r="C128" s="955">
        <f>_xlfn.XLOOKUP($A128,'TB FORMATTED'!$G:$G,'TB FORMATTED'!I:I,0,0,1)</f>
        <v>0</v>
      </c>
      <c r="D128" s="280">
        <f t="shared" si="2"/>
        <v>0</v>
      </c>
      <c r="F128" s="955">
        <f>_xlfn.XLOOKUP($A128,'TB FORMATTED'!$G:$G,'TB FORMATTED'!J:J,0,0,1)</f>
        <v>91764.9</v>
      </c>
      <c r="G128" s="955">
        <f>_xlfn.XLOOKUP($A128,'TB FORMATTED'!$G:$G,'TB FORMATTED'!K:K,0,0,1)</f>
        <v>0</v>
      </c>
      <c r="H128" s="955" t="e">
        <v>#REF!</v>
      </c>
      <c r="I128" s="955"/>
      <c r="J128" s="280" t="e">
        <f t="shared" si="3"/>
        <v>#REF!</v>
      </c>
    </row>
    <row r="129" spans="1:10" x14ac:dyDescent="0.3">
      <c r="A129" s="1036" t="str">
        <f>COA!B132</f>
        <v>6016 Legal and professional fees</v>
      </c>
      <c r="B129" s="955">
        <f>_xlfn.XLOOKUP($A129,'TB FORMATTED'!$G:$G,'TB FORMATTED'!H:H,0,0,1)</f>
        <v>54424.07</v>
      </c>
      <c r="C129" s="955">
        <f>_xlfn.XLOOKUP($A129,'TB FORMATTED'!$G:$G,'TB FORMATTED'!I:I,0,0,1)</f>
        <v>0</v>
      </c>
      <c r="D129" s="280">
        <f t="shared" si="2"/>
        <v>54424.07</v>
      </c>
      <c r="F129" s="955">
        <f>_xlfn.XLOOKUP($A129,'TB FORMATTED'!$G:$G,'TB FORMATTED'!J:J,0,0,1)</f>
        <v>0</v>
      </c>
      <c r="G129" s="955">
        <f>_xlfn.XLOOKUP($A129,'TB FORMATTED'!$G:$G,'TB FORMATTED'!K:K,0,0,1)</f>
        <v>0</v>
      </c>
      <c r="H129" s="955">
        <v>0</v>
      </c>
      <c r="I129" s="955"/>
      <c r="J129" s="280">
        <f t="shared" si="3"/>
        <v>0</v>
      </c>
    </row>
    <row r="130" spans="1:10" x14ac:dyDescent="0.3">
      <c r="A130" s="1036" t="str">
        <f>COA!B133</f>
        <v>6016 Consulting Expense</v>
      </c>
      <c r="B130" s="955">
        <f>_xlfn.XLOOKUP($A130,'TB FORMATTED'!$G:$G,'TB FORMATTED'!H:H,0,0,1)</f>
        <v>0</v>
      </c>
      <c r="C130" s="955">
        <f>_xlfn.XLOOKUP($A130,'TB FORMATTED'!$G:$G,'TB FORMATTED'!I:I,0,0,1)</f>
        <v>0</v>
      </c>
      <c r="D130" s="280">
        <f t="shared" si="2"/>
        <v>0</v>
      </c>
      <c r="F130" s="955">
        <f>_xlfn.XLOOKUP($A130,'TB FORMATTED'!$G:$G,'TB FORMATTED'!J:J,0,0,1)</f>
        <v>0</v>
      </c>
      <c r="G130" s="955">
        <f>_xlfn.XLOOKUP($A130,'TB FORMATTED'!$G:$G,'TB FORMATTED'!K:K,0,0,1)</f>
        <v>60000</v>
      </c>
      <c r="H130" s="955">
        <v>80000</v>
      </c>
      <c r="I130" s="955"/>
      <c r="J130" s="280">
        <f t="shared" si="3"/>
        <v>20000</v>
      </c>
    </row>
    <row r="131" spans="1:10" x14ac:dyDescent="0.3">
      <c r="A131" s="1036" t="str">
        <f>COA!B134</f>
        <v>6017 Consulting Fees</v>
      </c>
      <c r="B131" s="955">
        <f>_xlfn.XLOOKUP($A131,'TB FORMATTED'!$G:$G,'TB FORMATTED'!H:H,0,0,1)</f>
        <v>114140</v>
      </c>
      <c r="C131" s="955">
        <f>_xlfn.XLOOKUP($A131,'TB FORMATTED'!$G:$G,'TB FORMATTED'!I:I,0,0,1)</f>
        <v>0</v>
      </c>
      <c r="D131" s="280">
        <f t="shared" si="2"/>
        <v>114140</v>
      </c>
      <c r="F131" s="955">
        <f>_xlfn.XLOOKUP($A131,'TB FORMATTED'!$G:$G,'TB FORMATTED'!J:J,0,0,1)</f>
        <v>0</v>
      </c>
      <c r="G131" s="955">
        <f>_xlfn.XLOOKUP($A131,'TB FORMATTED'!$G:$G,'TB FORMATTED'!K:K,0,0,1)</f>
        <v>0</v>
      </c>
      <c r="H131" s="955">
        <v>0</v>
      </c>
      <c r="I131" s="955"/>
      <c r="J131" s="280">
        <f t="shared" si="3"/>
        <v>0</v>
      </c>
    </row>
    <row r="132" spans="1:10" x14ac:dyDescent="0.3">
      <c r="A132" s="1036" t="str">
        <f>COA!B135</f>
        <v>6018 Dues and Subscription</v>
      </c>
      <c r="B132" s="955">
        <f>_xlfn.XLOOKUP($A132,'TB FORMATTED'!$G:$G,'TB FORMATTED'!H:H,0,0,1)</f>
        <v>0</v>
      </c>
      <c r="C132" s="955">
        <f>_xlfn.XLOOKUP($A132,'TB FORMATTED'!$G:$G,'TB FORMATTED'!I:I,0,0,1)</f>
        <v>0</v>
      </c>
      <c r="D132" s="280">
        <f t="shared" si="2"/>
        <v>0</v>
      </c>
      <c r="F132" s="955">
        <f>_xlfn.XLOOKUP($A132,'TB FORMATTED'!$G:$G,'TB FORMATTED'!J:J,0,0,1)</f>
        <v>0</v>
      </c>
      <c r="G132" s="955">
        <f>_xlfn.XLOOKUP($A132,'TB FORMATTED'!$G:$G,'TB FORMATTED'!K:K,0,0,1)</f>
        <v>5.56</v>
      </c>
      <c r="H132" s="955">
        <v>0</v>
      </c>
      <c r="I132" s="955"/>
      <c r="J132" s="280">
        <f t="shared" si="3"/>
        <v>-5.56</v>
      </c>
    </row>
    <row r="133" spans="1:10" x14ac:dyDescent="0.3">
      <c r="A133" s="1036" t="str">
        <f>COA!B136</f>
        <v>6020 Advertising &amp; Promotion</v>
      </c>
      <c r="B133" s="955">
        <f>_xlfn.XLOOKUP($A133,'TB FORMATTED'!$G:$G,'TB FORMATTED'!H:H,0,0,1)</f>
        <v>10306.75</v>
      </c>
      <c r="C133" s="955">
        <f>_xlfn.XLOOKUP($A133,'TB FORMATTED'!$G:$G,'TB FORMATTED'!I:I,0,0,1)</f>
        <v>0</v>
      </c>
      <c r="D133" s="280">
        <f t="shared" si="2"/>
        <v>10306.75</v>
      </c>
      <c r="F133" s="955">
        <f>_xlfn.XLOOKUP($A133,'TB FORMATTED'!$G:$G,'TB FORMATTED'!J:J,0,0,1)</f>
        <v>9487.5499999999993</v>
      </c>
      <c r="G133" s="955">
        <f>_xlfn.XLOOKUP($A133,'TB FORMATTED'!$G:$G,'TB FORMATTED'!K:K,0,0,1)</f>
        <v>0</v>
      </c>
      <c r="H133" s="955" t="e">
        <v>#REF!</v>
      </c>
      <c r="I133" s="955"/>
      <c r="J133" s="280" t="e">
        <f t="shared" si="3"/>
        <v>#REF!</v>
      </c>
    </row>
    <row r="134" spans="1:10" x14ac:dyDescent="0.3">
      <c r="A134" s="1036" t="str">
        <f>COA!B137</f>
        <v>6021 Tradeshows and conventions</v>
      </c>
      <c r="B134" s="955">
        <f>_xlfn.XLOOKUP($A134,'TB FORMATTED'!$G:$G,'TB FORMATTED'!H:H,0,0,1)</f>
        <v>0</v>
      </c>
      <c r="C134" s="955">
        <f>_xlfn.XLOOKUP($A134,'TB FORMATTED'!$G:$G,'TB FORMATTED'!I:I,0,0,1)</f>
        <v>0</v>
      </c>
      <c r="D134" s="280">
        <f t="shared" ref="D134:D177" si="4">B134-C134</f>
        <v>0</v>
      </c>
      <c r="F134" s="955">
        <f>_xlfn.XLOOKUP($A134,'TB FORMATTED'!$G:$G,'TB FORMATTED'!J:J,0,0,1)</f>
        <v>1615.8</v>
      </c>
      <c r="G134" s="955">
        <f>_xlfn.XLOOKUP($A134,'TB FORMATTED'!$G:$G,'TB FORMATTED'!K:K,0,0,1)</f>
        <v>0</v>
      </c>
      <c r="H134" s="955" t="e">
        <v>#REF!</v>
      </c>
      <c r="I134" s="955"/>
      <c r="J134" s="280" t="e">
        <f t="shared" si="3"/>
        <v>#REF!</v>
      </c>
    </row>
    <row r="135" spans="1:10" x14ac:dyDescent="0.3">
      <c r="A135" s="1036" t="str">
        <f>COA!B138</f>
        <v>6025 Dues and Subscriptions</v>
      </c>
      <c r="B135" s="955">
        <f>_xlfn.XLOOKUP($A135,'TB FORMATTED'!$G:$G,'TB FORMATTED'!H:H,0,0,1)</f>
        <v>1259.25</v>
      </c>
      <c r="C135" s="955">
        <f>_xlfn.XLOOKUP($A135,'TB FORMATTED'!$G:$G,'TB FORMATTED'!I:I,0,0,1)</f>
        <v>0</v>
      </c>
      <c r="D135" s="280">
        <f t="shared" si="4"/>
        <v>1259.25</v>
      </c>
      <c r="F135" s="955">
        <f>_xlfn.XLOOKUP($A135,'TB FORMATTED'!$G:$G,'TB FORMATTED'!J:J,0,0,1)</f>
        <v>0</v>
      </c>
      <c r="G135" s="955">
        <f>_xlfn.XLOOKUP($A135,'TB FORMATTED'!$G:$G,'TB FORMATTED'!K:K,0,0,1)</f>
        <v>0</v>
      </c>
      <c r="H135" s="955">
        <v>0</v>
      </c>
      <c r="I135" s="955"/>
      <c r="J135" s="280">
        <f t="shared" ref="J135:J177" si="5">F135-G135+H135+I135</f>
        <v>0</v>
      </c>
    </row>
    <row r="136" spans="1:10" x14ac:dyDescent="0.3">
      <c r="A136" s="1036" t="str">
        <f>COA!B139</f>
        <v>6025 Automobile</v>
      </c>
      <c r="B136" s="955">
        <f>_xlfn.XLOOKUP($A136,'TB FORMATTED'!$G:$G,'TB FORMATTED'!H:H,0,0,1)</f>
        <v>0</v>
      </c>
      <c r="C136" s="955">
        <f>_xlfn.XLOOKUP($A136,'TB FORMATTED'!$G:$G,'TB FORMATTED'!I:I,0,0,1)</f>
        <v>0</v>
      </c>
      <c r="D136" s="280">
        <f t="shared" si="4"/>
        <v>0</v>
      </c>
      <c r="F136" s="955">
        <f>_xlfn.XLOOKUP($A136,'TB FORMATTED'!$G:$G,'TB FORMATTED'!J:J,0,0,1)</f>
        <v>0</v>
      </c>
      <c r="G136" s="955">
        <f>_xlfn.XLOOKUP($A136,'TB FORMATTED'!$G:$G,'TB FORMATTED'!K:K,0,0,1)</f>
        <v>0</v>
      </c>
      <c r="H136" s="955">
        <v>0</v>
      </c>
      <c r="I136" s="955"/>
      <c r="J136" s="280">
        <f t="shared" si="5"/>
        <v>0</v>
      </c>
    </row>
    <row r="137" spans="1:10" x14ac:dyDescent="0.3">
      <c r="A137" s="1036" t="str">
        <f>COA!B140</f>
        <v>6026 Fuel / Industrial Gas</v>
      </c>
      <c r="B137" s="955">
        <f>_xlfn.XLOOKUP($A137,'TB FORMATTED'!$G:$G,'TB FORMATTED'!H:H,0,0,1)</f>
        <v>0</v>
      </c>
      <c r="C137" s="955">
        <f>_xlfn.XLOOKUP($A137,'TB FORMATTED'!$G:$G,'TB FORMATTED'!I:I,0,0,1)</f>
        <v>0</v>
      </c>
      <c r="D137" s="280">
        <f t="shared" si="4"/>
        <v>0</v>
      </c>
      <c r="F137" s="955">
        <f>_xlfn.XLOOKUP($A137,'TB FORMATTED'!$G:$G,'TB FORMATTED'!J:J,0,0,1)</f>
        <v>2768.79</v>
      </c>
      <c r="G137" s="955">
        <f>_xlfn.XLOOKUP($A137,'TB FORMATTED'!$G:$G,'TB FORMATTED'!K:K,0,0,1)</f>
        <v>0</v>
      </c>
      <c r="H137" s="955">
        <v>-149</v>
      </c>
      <c r="I137" s="955"/>
      <c r="J137" s="280">
        <f t="shared" si="5"/>
        <v>2619.79</v>
      </c>
    </row>
    <row r="138" spans="1:10" x14ac:dyDescent="0.3">
      <c r="A138" s="1036" t="str">
        <f>COA!B141</f>
        <v>6030 Communications</v>
      </c>
      <c r="B138" s="955">
        <f>_xlfn.XLOOKUP($A138,'TB FORMATTED'!$G:$G,'TB FORMATTED'!H:H,0,0,1)</f>
        <v>0</v>
      </c>
      <c r="C138" s="955">
        <f>_xlfn.XLOOKUP($A138,'TB FORMATTED'!$G:$G,'TB FORMATTED'!I:I,0,0,1)</f>
        <v>0</v>
      </c>
      <c r="D138" s="280">
        <f t="shared" si="4"/>
        <v>0</v>
      </c>
      <c r="F138" s="955">
        <f>_xlfn.XLOOKUP($A138,'TB FORMATTED'!$G:$G,'TB FORMATTED'!J:J,0,0,1)</f>
        <v>0</v>
      </c>
      <c r="G138" s="955">
        <f>_xlfn.XLOOKUP($A138,'TB FORMATTED'!$G:$G,'TB FORMATTED'!K:K,0,0,1)</f>
        <v>0</v>
      </c>
      <c r="H138" s="955">
        <v>0</v>
      </c>
      <c r="I138" s="955"/>
      <c r="J138" s="280">
        <f t="shared" si="5"/>
        <v>0</v>
      </c>
    </row>
    <row r="139" spans="1:10" x14ac:dyDescent="0.3">
      <c r="A139" s="1036" t="str">
        <f>COA!B142</f>
        <v>6031 IT Expense</v>
      </c>
      <c r="B139" s="955">
        <f>_xlfn.XLOOKUP($A139,'TB FORMATTED'!$G:$G,'TB FORMATTED'!H:H,0,0,1)</f>
        <v>0</v>
      </c>
      <c r="C139" s="955">
        <f>_xlfn.XLOOKUP($A139,'TB FORMATTED'!$G:$G,'TB FORMATTED'!I:I,0,0,1)</f>
        <v>0</v>
      </c>
      <c r="D139" s="280">
        <f t="shared" si="4"/>
        <v>0</v>
      </c>
      <c r="F139" s="955">
        <f>_xlfn.XLOOKUP($A139,'TB FORMATTED'!$G:$G,'TB FORMATTED'!J:J,0,0,1)</f>
        <v>2195.9899999999998</v>
      </c>
      <c r="G139" s="955">
        <f>_xlfn.XLOOKUP($A139,'TB FORMATTED'!$G:$G,'TB FORMATTED'!K:K,0,0,1)</f>
        <v>0</v>
      </c>
      <c r="H139" s="955" t="e">
        <v>#REF!</v>
      </c>
      <c r="I139" s="955"/>
      <c r="J139" s="280" t="e">
        <f t="shared" si="5"/>
        <v>#REF!</v>
      </c>
    </row>
    <row r="140" spans="1:10" x14ac:dyDescent="0.3">
      <c r="A140" s="1036" t="str">
        <f>COA!B143</f>
        <v>6040 Meals and entertainment</v>
      </c>
      <c r="B140" s="955">
        <f>_xlfn.XLOOKUP($A140,'TB FORMATTED'!$G:$G,'TB FORMATTED'!H:H,0,0,1)</f>
        <v>89.21</v>
      </c>
      <c r="C140" s="955">
        <f>_xlfn.XLOOKUP($A140,'TB FORMATTED'!$G:$G,'TB FORMATTED'!I:I,0,0,1)</f>
        <v>0</v>
      </c>
      <c r="D140" s="280">
        <f t="shared" si="4"/>
        <v>89.21</v>
      </c>
      <c r="F140" s="955">
        <f>_xlfn.XLOOKUP($A140,'TB FORMATTED'!$G:$G,'TB FORMATTED'!J:J,0,0,1)</f>
        <v>2773.69</v>
      </c>
      <c r="G140" s="955">
        <f>_xlfn.XLOOKUP($A140,'TB FORMATTED'!$G:$G,'TB FORMATTED'!K:K,0,0,1)</f>
        <v>0</v>
      </c>
      <c r="H140" s="955" t="e">
        <v>#REF!</v>
      </c>
      <c r="I140" s="955"/>
      <c r="J140" s="280" t="e">
        <f t="shared" si="5"/>
        <v>#REF!</v>
      </c>
    </row>
    <row r="141" spans="1:10" x14ac:dyDescent="0.3">
      <c r="A141" s="1036" t="str">
        <f>COA!B144</f>
        <v>6041 Travel Meals</v>
      </c>
      <c r="B141" s="955">
        <f>_xlfn.XLOOKUP($A141,'TB FORMATTED'!$G:$G,'TB FORMATTED'!H:H,0,0,1)</f>
        <v>0</v>
      </c>
      <c r="C141" s="955">
        <f>_xlfn.XLOOKUP($A141,'TB FORMATTED'!$G:$G,'TB FORMATTED'!I:I,0,0,1)</f>
        <v>0</v>
      </c>
      <c r="D141" s="280">
        <f t="shared" si="4"/>
        <v>0</v>
      </c>
      <c r="F141" s="955">
        <f>_xlfn.XLOOKUP($A141,'TB FORMATTED'!$G:$G,'TB FORMATTED'!J:J,0,0,1)</f>
        <v>1422.04</v>
      </c>
      <c r="G141" s="955">
        <f>_xlfn.XLOOKUP($A141,'TB FORMATTED'!$G:$G,'TB FORMATTED'!K:K,0,0,1)</f>
        <v>0</v>
      </c>
      <c r="H141" s="955" t="e">
        <v>#REF!</v>
      </c>
      <c r="I141" s="955"/>
      <c r="J141" s="280" t="e">
        <f t="shared" si="5"/>
        <v>#REF!</v>
      </c>
    </row>
    <row r="142" spans="1:10" x14ac:dyDescent="0.3">
      <c r="A142" s="1036" t="str">
        <f>COA!B145</f>
        <v>6042 Travel</v>
      </c>
      <c r="B142" s="955">
        <f>_xlfn.XLOOKUP($A142,'TB FORMATTED'!$G:$G,'TB FORMATTED'!H:H,0,0,1)</f>
        <v>464.52</v>
      </c>
      <c r="C142" s="955">
        <f>_xlfn.XLOOKUP($A142,'TB FORMATTED'!$G:$G,'TB FORMATTED'!I:I,0,0,1)</f>
        <v>0</v>
      </c>
      <c r="D142" s="280">
        <f t="shared" si="4"/>
        <v>464.52</v>
      </c>
      <c r="F142" s="955">
        <f>_xlfn.XLOOKUP($A142,'TB FORMATTED'!$G:$G,'TB FORMATTED'!J:J,0,0,1)</f>
        <v>6332.37</v>
      </c>
      <c r="G142" s="955">
        <f>_xlfn.XLOOKUP($A142,'TB FORMATTED'!$G:$G,'TB FORMATTED'!K:K,0,0,1)</f>
        <v>0</v>
      </c>
      <c r="H142" s="955" t="e">
        <v>#REF!</v>
      </c>
      <c r="I142" s="955"/>
      <c r="J142" s="280" t="e">
        <f t="shared" si="5"/>
        <v>#REF!</v>
      </c>
    </row>
    <row r="143" spans="1:10" x14ac:dyDescent="0.3">
      <c r="A143" s="1036" t="str">
        <f>COA!B146</f>
        <v>6043 Transfer agent and regulatory expenses</v>
      </c>
      <c r="B143" s="955">
        <f>_xlfn.XLOOKUP($A143,'TB FORMATTED'!$G:$G,'TB FORMATTED'!H:H,0,0,1)</f>
        <v>10700</v>
      </c>
      <c r="C143" s="955">
        <f>_xlfn.XLOOKUP($A143,'TB FORMATTED'!$G:$G,'TB FORMATTED'!I:I,0,0,1)</f>
        <v>0</v>
      </c>
      <c r="D143" s="280">
        <f t="shared" si="4"/>
        <v>10700</v>
      </c>
      <c r="F143" s="955">
        <f>_xlfn.XLOOKUP($A143,'TB FORMATTED'!$G:$G,'TB FORMATTED'!J:J,0,0,1)</f>
        <v>0</v>
      </c>
      <c r="G143" s="955">
        <f>_xlfn.XLOOKUP($A143,'TB FORMATTED'!$G:$G,'TB FORMATTED'!K:K,0,0,1)</f>
        <v>0</v>
      </c>
      <c r="H143" s="955">
        <v>0</v>
      </c>
      <c r="I143" s="955"/>
      <c r="J143" s="280">
        <f t="shared" si="5"/>
        <v>0</v>
      </c>
    </row>
    <row r="144" spans="1:10" x14ac:dyDescent="0.3">
      <c r="A144" s="1036" t="str">
        <f>COA!B147</f>
        <v>6050 Insurance</v>
      </c>
      <c r="B144" s="955">
        <f>_xlfn.XLOOKUP($A144,'TB FORMATTED'!$G:$G,'TB FORMATTED'!H:H,0,0,1)</f>
        <v>23784.32</v>
      </c>
      <c r="C144" s="955">
        <f>_xlfn.XLOOKUP($A144,'TB FORMATTED'!$G:$G,'TB FORMATTED'!I:I,0,0,1)</f>
        <v>0</v>
      </c>
      <c r="D144" s="280">
        <f t="shared" si="4"/>
        <v>23784.32</v>
      </c>
      <c r="F144" s="955">
        <f>_xlfn.XLOOKUP($A144,'TB FORMATTED'!$G:$G,'TB FORMATTED'!J:J,0,0,1)</f>
        <v>0</v>
      </c>
      <c r="G144" s="955">
        <f>_xlfn.XLOOKUP($A144,'TB FORMATTED'!$G:$G,'TB FORMATTED'!K:K,0,0,1)</f>
        <v>0</v>
      </c>
      <c r="H144" s="955" t="e">
        <v>#REF!</v>
      </c>
      <c r="I144" s="955"/>
      <c r="J144" s="280" t="e">
        <f t="shared" si="5"/>
        <v>#REF!</v>
      </c>
    </row>
    <row r="145" spans="1:10" x14ac:dyDescent="0.3">
      <c r="A145" s="1036" t="str">
        <f>COA!B148</f>
        <v>6060 Office expenses</v>
      </c>
      <c r="B145" s="955">
        <f>_xlfn.XLOOKUP($A145,'TB FORMATTED'!$G:$G,'TB FORMATTED'!H:H,0,0,1)</f>
        <v>928.16</v>
      </c>
      <c r="C145" s="955">
        <f>_xlfn.XLOOKUP($A145,'TB FORMATTED'!$G:$G,'TB FORMATTED'!I:I,0,0,1)</f>
        <v>0</v>
      </c>
      <c r="D145" s="280">
        <f t="shared" si="4"/>
        <v>928.16</v>
      </c>
      <c r="F145" s="955">
        <f>_xlfn.XLOOKUP($A145,'TB FORMATTED'!$G:$G,'TB FORMATTED'!J:J,0,0,1)</f>
        <v>0</v>
      </c>
      <c r="G145" s="955">
        <f>_xlfn.XLOOKUP($A145,'TB FORMATTED'!$G:$G,'TB FORMATTED'!K:K,0,0,1)</f>
        <v>0</v>
      </c>
      <c r="H145" s="955">
        <v>0</v>
      </c>
      <c r="I145" s="955"/>
      <c r="J145" s="280">
        <f t="shared" si="5"/>
        <v>0</v>
      </c>
    </row>
    <row r="146" spans="1:10" x14ac:dyDescent="0.3">
      <c r="A146" s="1036" t="str">
        <f>COA!B149</f>
        <v>6060 Repairs and Maintenance</v>
      </c>
      <c r="B146" s="955">
        <f>_xlfn.XLOOKUP($A146,'TB FORMATTED'!$G:$G,'TB FORMATTED'!H:H,0,0,1)</f>
        <v>0</v>
      </c>
      <c r="C146" s="955">
        <f>_xlfn.XLOOKUP($A146,'TB FORMATTED'!$G:$G,'TB FORMATTED'!I:I,0,0,1)</f>
        <v>0</v>
      </c>
      <c r="D146" s="280">
        <f t="shared" si="4"/>
        <v>0</v>
      </c>
      <c r="F146" s="955">
        <f>_xlfn.XLOOKUP($A146,'TB FORMATTED'!$G:$G,'TB FORMATTED'!J:J,0,0,1)</f>
        <v>0</v>
      </c>
      <c r="G146" s="955">
        <f>_xlfn.XLOOKUP($A146,'TB FORMATTED'!$G:$G,'TB FORMATTED'!K:K,0,0,1)</f>
        <v>0</v>
      </c>
      <c r="H146" s="955">
        <v>0</v>
      </c>
      <c r="I146" s="955"/>
      <c r="J146" s="280">
        <f t="shared" si="5"/>
        <v>0</v>
      </c>
    </row>
    <row r="147" spans="1:10" x14ac:dyDescent="0.3">
      <c r="A147" s="1036" t="str">
        <f>COA!B150</f>
        <v>6061 Other general and administrative expenses</v>
      </c>
      <c r="B147" s="955">
        <f>_xlfn.XLOOKUP($A147,'TB FORMATTED'!$G:$G,'TB FORMATTED'!H:H,0,0,1)</f>
        <v>0</v>
      </c>
      <c r="C147" s="955">
        <f>_xlfn.XLOOKUP($A147,'TB FORMATTED'!$G:$G,'TB FORMATTED'!I:I,0,0,1)</f>
        <v>0</v>
      </c>
      <c r="D147" s="280">
        <f t="shared" si="4"/>
        <v>0</v>
      </c>
      <c r="F147" s="955">
        <f>_xlfn.XLOOKUP($A147,'TB FORMATTED'!$G:$G,'TB FORMATTED'!J:J,0,0,1)</f>
        <v>0</v>
      </c>
      <c r="G147" s="955">
        <f>_xlfn.XLOOKUP($A147,'TB FORMATTED'!$G:$G,'TB FORMATTED'!K:K,0,0,1)</f>
        <v>0</v>
      </c>
      <c r="H147" s="955">
        <v>0</v>
      </c>
      <c r="I147" s="955"/>
      <c r="J147" s="280">
        <f t="shared" si="5"/>
        <v>0</v>
      </c>
    </row>
    <row r="148" spans="1:10" x14ac:dyDescent="0.3">
      <c r="A148" s="1036" t="str">
        <f>COA!B151</f>
        <v>6065 Rent</v>
      </c>
      <c r="B148" s="955">
        <f>_xlfn.XLOOKUP($A148,'TB FORMATTED'!$G:$G,'TB FORMATTED'!H:H,0,0,1)</f>
        <v>0</v>
      </c>
      <c r="C148" s="955">
        <f>_xlfn.XLOOKUP($A148,'TB FORMATTED'!$G:$G,'TB FORMATTED'!I:I,0,0,1)</f>
        <v>0</v>
      </c>
      <c r="D148" s="280">
        <f t="shared" si="4"/>
        <v>0</v>
      </c>
      <c r="F148" s="955">
        <f>_xlfn.XLOOKUP($A148,'TB FORMATTED'!$G:$G,'TB FORMATTED'!J:J,0,0,1)</f>
        <v>0</v>
      </c>
      <c r="G148" s="955">
        <f>_xlfn.XLOOKUP($A148,'TB FORMATTED'!$G:$G,'TB FORMATTED'!K:K,0,0,1)</f>
        <v>0</v>
      </c>
      <c r="H148" s="955">
        <v>0</v>
      </c>
      <c r="I148" s="955"/>
      <c r="J148" s="280">
        <f t="shared" si="5"/>
        <v>0</v>
      </c>
    </row>
    <row r="149" spans="1:10" x14ac:dyDescent="0.3">
      <c r="A149" s="1036" t="str">
        <f>COA!B152</f>
        <v>6066 Utilities</v>
      </c>
      <c r="B149" s="955">
        <f>_xlfn.XLOOKUP($A149,'TB FORMATTED'!$G:$G,'TB FORMATTED'!H:H,0,0,1)</f>
        <v>0</v>
      </c>
      <c r="C149" s="955">
        <f>_xlfn.XLOOKUP($A149,'TB FORMATTED'!$G:$G,'TB FORMATTED'!I:I,0,0,1)</f>
        <v>0</v>
      </c>
      <c r="D149" s="280">
        <f t="shared" si="4"/>
        <v>0</v>
      </c>
      <c r="F149" s="955">
        <f>_xlfn.XLOOKUP($A149,'TB FORMATTED'!$G:$G,'TB FORMATTED'!J:J,0,0,1)</f>
        <v>0</v>
      </c>
      <c r="G149" s="955">
        <f>_xlfn.XLOOKUP($A149,'TB FORMATTED'!$G:$G,'TB FORMATTED'!K:K,0,0,1)</f>
        <v>0</v>
      </c>
      <c r="H149" s="955">
        <v>0</v>
      </c>
      <c r="I149" s="955"/>
      <c r="J149" s="280">
        <f t="shared" si="5"/>
        <v>0</v>
      </c>
    </row>
    <row r="150" spans="1:10" x14ac:dyDescent="0.3">
      <c r="A150" s="1036" t="str">
        <f>COA!B153</f>
        <v>6068 Shipping, Freight, and Delivery</v>
      </c>
      <c r="B150" s="955">
        <f>_xlfn.XLOOKUP($A150,'TB FORMATTED'!$G:$G,'TB FORMATTED'!H:H,0,0,1)</f>
        <v>0</v>
      </c>
      <c r="C150" s="955">
        <f>_xlfn.XLOOKUP($A150,'TB FORMATTED'!$G:$G,'TB FORMATTED'!I:I,0,0,1)</f>
        <v>0</v>
      </c>
      <c r="D150" s="280">
        <f t="shared" si="4"/>
        <v>0</v>
      </c>
      <c r="F150" s="955">
        <f>_xlfn.XLOOKUP($A150,'TB FORMATTED'!$G:$G,'TB FORMATTED'!J:J,0,0,1)</f>
        <v>11259.33</v>
      </c>
      <c r="G150" s="955">
        <f>_xlfn.XLOOKUP($A150,'TB FORMATTED'!$G:$G,'TB FORMATTED'!K:K,0,0,1)</f>
        <v>0</v>
      </c>
      <c r="H150" s="955" t="e">
        <v>#REF!</v>
      </c>
      <c r="I150" s="955"/>
      <c r="J150" s="280" t="e">
        <f t="shared" si="5"/>
        <v>#REF!</v>
      </c>
    </row>
    <row r="151" spans="1:10" x14ac:dyDescent="0.3">
      <c r="A151" s="1036" t="str">
        <f>COA!B154</f>
        <v>6070 Office Supplies</v>
      </c>
      <c r="B151" s="955">
        <f>_xlfn.XLOOKUP($A151,'TB FORMATTED'!$G:$G,'TB FORMATTED'!H:H,0,0,1)</f>
        <v>0</v>
      </c>
      <c r="C151" s="955">
        <f>_xlfn.XLOOKUP($A151,'TB FORMATTED'!$G:$G,'TB FORMATTED'!I:I,0,0,1)</f>
        <v>0</v>
      </c>
      <c r="D151" s="280">
        <f t="shared" si="4"/>
        <v>0</v>
      </c>
      <c r="F151" s="955">
        <f>_xlfn.XLOOKUP($A151,'TB FORMATTED'!$G:$G,'TB FORMATTED'!J:J,0,0,1)</f>
        <v>20.99</v>
      </c>
      <c r="G151" s="955">
        <f>_xlfn.XLOOKUP($A151,'TB FORMATTED'!$G:$G,'TB FORMATTED'!K:K,0,0,1)</f>
        <v>0</v>
      </c>
      <c r="H151" s="955" t="e">
        <v>#REF!</v>
      </c>
      <c r="I151" s="955"/>
      <c r="J151" s="280" t="e">
        <f t="shared" si="5"/>
        <v>#REF!</v>
      </c>
    </row>
    <row r="152" spans="1:10" x14ac:dyDescent="0.3">
      <c r="A152" s="1036" t="str">
        <f>COA!B155</f>
        <v>6075 Minor shop tools</v>
      </c>
      <c r="B152" s="955">
        <f>_xlfn.XLOOKUP($A152,'TB FORMATTED'!$G:$G,'TB FORMATTED'!H:H,0,0,1)</f>
        <v>0</v>
      </c>
      <c r="C152" s="955">
        <f>_xlfn.XLOOKUP($A152,'TB FORMATTED'!$G:$G,'TB FORMATTED'!I:I,0,0,1)</f>
        <v>0</v>
      </c>
      <c r="D152" s="280">
        <f t="shared" si="4"/>
        <v>0</v>
      </c>
      <c r="F152" s="955">
        <f>_xlfn.XLOOKUP($A152,'TB FORMATTED'!$G:$G,'TB FORMATTED'!J:J,0,0,1)</f>
        <v>1028.5899999999999</v>
      </c>
      <c r="G152" s="955">
        <f>_xlfn.XLOOKUP($A152,'TB FORMATTED'!$G:$G,'TB FORMATTED'!K:K,0,0,1)</f>
        <v>0</v>
      </c>
      <c r="H152" s="955">
        <v>0</v>
      </c>
      <c r="I152" s="955"/>
      <c r="J152" s="280">
        <f t="shared" si="5"/>
        <v>1028.5899999999999</v>
      </c>
    </row>
    <row r="153" spans="1:10" x14ac:dyDescent="0.3">
      <c r="A153" s="1036" t="str">
        <f>COA!B156</f>
        <v>6076 Disposal/Landfill</v>
      </c>
      <c r="B153" s="955">
        <f>_xlfn.XLOOKUP($A153,'TB FORMATTED'!$G:$G,'TB FORMATTED'!H:H,0,0,1)</f>
        <v>0</v>
      </c>
      <c r="C153" s="955">
        <f>_xlfn.XLOOKUP($A153,'TB FORMATTED'!$G:$G,'TB FORMATTED'!I:I,0,0,1)</f>
        <v>0</v>
      </c>
      <c r="D153" s="280">
        <f t="shared" si="4"/>
        <v>0</v>
      </c>
      <c r="F153" s="955">
        <f>_xlfn.XLOOKUP($A153,'TB FORMATTED'!$G:$G,'TB FORMATTED'!J:J,0,0,1)</f>
        <v>0</v>
      </c>
      <c r="G153" s="955">
        <f>_xlfn.XLOOKUP($A153,'TB FORMATTED'!$G:$G,'TB FORMATTED'!K:K,0,0,1)</f>
        <v>0</v>
      </c>
      <c r="H153" s="955">
        <v>0</v>
      </c>
      <c r="I153" s="955"/>
      <c r="J153" s="280">
        <f t="shared" si="5"/>
        <v>0</v>
      </c>
    </row>
    <row r="154" spans="1:10" x14ac:dyDescent="0.3">
      <c r="A154" s="1036" t="str">
        <f>COA!B157</f>
        <v>6080 PST Expense (BC)</v>
      </c>
      <c r="B154" s="955">
        <f>_xlfn.XLOOKUP($A154,'TB FORMATTED'!$G:$G,'TB FORMATTED'!H:H,0,0,1)</f>
        <v>0</v>
      </c>
      <c r="C154" s="955">
        <f>_xlfn.XLOOKUP($A154,'TB FORMATTED'!$G:$G,'TB FORMATTED'!I:I,0,0,1)</f>
        <v>0</v>
      </c>
      <c r="D154" s="280">
        <f t="shared" si="4"/>
        <v>0</v>
      </c>
      <c r="F154" s="955">
        <f>_xlfn.XLOOKUP($A154,'TB FORMATTED'!$G:$G,'TB FORMATTED'!J:J,0,0,1)</f>
        <v>0</v>
      </c>
      <c r="G154" s="955">
        <f>_xlfn.XLOOKUP($A154,'TB FORMATTED'!$G:$G,'TB FORMATTED'!K:K,0,0,1)</f>
        <v>0</v>
      </c>
      <c r="H154" s="955">
        <v>0</v>
      </c>
      <c r="I154" s="955"/>
      <c r="J154" s="280">
        <f t="shared" si="5"/>
        <v>0</v>
      </c>
    </row>
    <row r="155" spans="1:10" x14ac:dyDescent="0.3">
      <c r="A155" s="1036" t="str">
        <f>COA!B158</f>
        <v>6080 Shop and other supplies</v>
      </c>
      <c r="B155" s="955">
        <f>_xlfn.XLOOKUP($A155,'TB FORMATTED'!$G:$G,'TB FORMATTED'!H:H,0,0,1)</f>
        <v>0</v>
      </c>
      <c r="C155" s="955">
        <f>_xlfn.XLOOKUP($A155,'TB FORMATTED'!$G:$G,'TB FORMATTED'!I:I,0,0,1)</f>
        <v>0</v>
      </c>
      <c r="D155" s="280">
        <f t="shared" si="4"/>
        <v>0</v>
      </c>
      <c r="F155" s="955">
        <f>_xlfn.XLOOKUP($A155,'TB FORMATTED'!$G:$G,'TB FORMATTED'!J:J,0,0,1)</f>
        <v>2901.19</v>
      </c>
      <c r="G155" s="955">
        <f>_xlfn.XLOOKUP($A155,'TB FORMATTED'!$G:$G,'TB FORMATTED'!K:K,0,0,1)</f>
        <v>0</v>
      </c>
      <c r="H155" s="955" t="e">
        <v>#REF!</v>
      </c>
      <c r="I155" s="955"/>
      <c r="J155" s="280" t="e">
        <f t="shared" si="5"/>
        <v>#REF!</v>
      </c>
    </row>
    <row r="156" spans="1:10" x14ac:dyDescent="0.3">
      <c r="A156" s="1036" t="str">
        <f>COA!B159</f>
        <v>6085 Depreciation</v>
      </c>
      <c r="B156" s="955">
        <f>_xlfn.XLOOKUP($A156,'TB FORMATTED'!$G:$G,'TB FORMATTED'!H:H,0,0,1)</f>
        <v>0</v>
      </c>
      <c r="C156" s="955">
        <f>_xlfn.XLOOKUP($A156,'TB FORMATTED'!$G:$G,'TB FORMATTED'!I:I,0,0,1)</f>
        <v>0</v>
      </c>
      <c r="D156" s="280">
        <f t="shared" si="4"/>
        <v>0</v>
      </c>
      <c r="F156" s="955">
        <f>_xlfn.XLOOKUP($A156,'TB FORMATTED'!$G:$G,'TB FORMATTED'!J:J,0,0,1)</f>
        <v>948.31</v>
      </c>
      <c r="G156" s="955">
        <f>_xlfn.XLOOKUP($A156,'TB FORMATTED'!$G:$G,'TB FORMATTED'!K:K,0,0,1)</f>
        <v>0</v>
      </c>
      <c r="H156" s="955" t="e">
        <v>#REF!</v>
      </c>
      <c r="I156" s="955"/>
      <c r="J156" s="280" t="e">
        <f t="shared" si="5"/>
        <v>#REF!</v>
      </c>
    </row>
    <row r="157" spans="1:10" x14ac:dyDescent="0.3">
      <c r="A157" s="1036" t="str">
        <f>COA!B160</f>
        <v>6090 Corporate Tax Expense</v>
      </c>
      <c r="B157" s="955">
        <f>_xlfn.XLOOKUP($A157,'TB FORMATTED'!$G:$G,'TB FORMATTED'!H:H,0,0,1)</f>
        <v>0</v>
      </c>
      <c r="C157" s="955">
        <f>_xlfn.XLOOKUP($A157,'TB FORMATTED'!$G:$G,'TB FORMATTED'!I:I,0,0,1)</f>
        <v>0</v>
      </c>
      <c r="D157" s="280">
        <f t="shared" si="4"/>
        <v>0</v>
      </c>
      <c r="F157" s="955">
        <f>_xlfn.XLOOKUP($A157,'TB FORMATTED'!$G:$G,'TB FORMATTED'!J:J,0,0,1)</f>
        <v>0</v>
      </c>
      <c r="G157" s="955">
        <f>_xlfn.XLOOKUP($A157,'TB FORMATTED'!$G:$G,'TB FORMATTED'!K:K,0,0,1)</f>
        <v>0</v>
      </c>
      <c r="H157" s="955">
        <v>0</v>
      </c>
      <c r="I157" s="955"/>
      <c r="J157" s="280">
        <f t="shared" si="5"/>
        <v>0</v>
      </c>
    </row>
    <row r="158" spans="1:10" x14ac:dyDescent="0.3">
      <c r="A158" s="1036" t="str">
        <f>COA!B161</f>
        <v>6092 Penalties</v>
      </c>
      <c r="B158" s="955">
        <f>_xlfn.XLOOKUP($A158,'TB FORMATTED'!$G:$G,'TB FORMATTED'!H:H,0,0,1)</f>
        <v>0</v>
      </c>
      <c r="C158" s="955">
        <f>_xlfn.XLOOKUP($A158,'TB FORMATTED'!$G:$G,'TB FORMATTED'!I:I,0,0,1)</f>
        <v>0</v>
      </c>
      <c r="D158" s="280">
        <f t="shared" si="4"/>
        <v>0</v>
      </c>
      <c r="F158" s="955">
        <f>_xlfn.XLOOKUP($A158,'TB FORMATTED'!$G:$G,'TB FORMATTED'!J:J,0,0,1)</f>
        <v>0</v>
      </c>
      <c r="G158" s="955">
        <f>_xlfn.XLOOKUP($A158,'TB FORMATTED'!$G:$G,'TB FORMATTED'!K:K,0,0,1)</f>
        <v>0</v>
      </c>
      <c r="H158" s="955">
        <v>0</v>
      </c>
      <c r="I158" s="955"/>
      <c r="J158" s="280">
        <f t="shared" si="5"/>
        <v>0</v>
      </c>
    </row>
    <row r="159" spans="1:10" x14ac:dyDescent="0.3">
      <c r="A159" s="1036" t="str">
        <f>COA!B162</f>
        <v>6092 Penalities</v>
      </c>
      <c r="B159" s="955">
        <f>_xlfn.XLOOKUP($A159,'TB FORMATTED'!$G:$G,'TB FORMATTED'!H:H,0,0,1)</f>
        <v>0</v>
      </c>
      <c r="C159" s="955">
        <f>_xlfn.XLOOKUP($A159,'TB FORMATTED'!$G:$G,'TB FORMATTED'!I:I,0,0,1)</f>
        <v>0</v>
      </c>
      <c r="D159" s="280">
        <f t="shared" si="4"/>
        <v>0</v>
      </c>
      <c r="F159" s="955">
        <f>_xlfn.XLOOKUP($A159,'TB FORMATTED'!$G:$G,'TB FORMATTED'!J:J,0,0,1)</f>
        <v>0</v>
      </c>
      <c r="G159" s="955">
        <f>_xlfn.XLOOKUP($A159,'TB FORMATTED'!$G:$G,'TB FORMATTED'!K:K,0,0,1)</f>
        <v>0</v>
      </c>
      <c r="H159" s="955">
        <v>0</v>
      </c>
      <c r="I159" s="955"/>
      <c r="J159" s="280">
        <f t="shared" si="5"/>
        <v>0</v>
      </c>
    </row>
    <row r="160" spans="1:10" x14ac:dyDescent="0.3">
      <c r="A160" s="1036" t="str">
        <f>COA!B163</f>
        <v>6100 Listing expense</v>
      </c>
      <c r="B160" s="955">
        <f>_xlfn.XLOOKUP($A160,'TB FORMATTED'!$G:$G,'TB FORMATTED'!H:H,0,0,1)</f>
        <v>0</v>
      </c>
      <c r="C160" s="955">
        <f>_xlfn.XLOOKUP($A160,'TB FORMATTED'!$G:$G,'TB FORMATTED'!I:I,0,0,1)</f>
        <v>0</v>
      </c>
      <c r="D160" s="280">
        <f t="shared" si="4"/>
        <v>0</v>
      </c>
      <c r="F160" s="955">
        <f>_xlfn.XLOOKUP($A160,'TB FORMATTED'!$G:$G,'TB FORMATTED'!J:J,0,0,1)</f>
        <v>0</v>
      </c>
      <c r="G160" s="955">
        <f>_xlfn.XLOOKUP($A160,'TB FORMATTED'!$G:$G,'TB FORMATTED'!K:K,0,0,1)</f>
        <v>0</v>
      </c>
      <c r="H160" s="955">
        <v>0</v>
      </c>
      <c r="I160" s="955"/>
      <c r="J160" s="280">
        <f t="shared" si="5"/>
        <v>0</v>
      </c>
    </row>
    <row r="161" spans="1:10" x14ac:dyDescent="0.3">
      <c r="A161" s="1036" t="str">
        <f>COA!B164</f>
        <v>6300 Unapplied Cash Bill Payment Expense</v>
      </c>
      <c r="B161" s="955">
        <f>_xlfn.XLOOKUP($A161,'TB FORMATTED'!$G:$G,'TB FORMATTED'!H:H,0,0,1)</f>
        <v>0</v>
      </c>
      <c r="C161" s="955">
        <f>_xlfn.XLOOKUP($A161,'TB FORMATTED'!$G:$G,'TB FORMATTED'!I:I,0,0,1)</f>
        <v>0</v>
      </c>
      <c r="D161" s="280">
        <f t="shared" si="4"/>
        <v>0</v>
      </c>
      <c r="F161" s="955">
        <f>_xlfn.XLOOKUP($A161,'TB FORMATTED'!$G:$G,'TB FORMATTED'!J:J,0,0,1)</f>
        <v>0</v>
      </c>
      <c r="G161" s="955">
        <f>_xlfn.XLOOKUP($A161,'TB FORMATTED'!$G:$G,'TB FORMATTED'!K:K,0,0,1)</f>
        <v>0</v>
      </c>
      <c r="H161" s="955">
        <v>0</v>
      </c>
      <c r="I161" s="955"/>
      <c r="J161" s="280">
        <f t="shared" si="5"/>
        <v>0</v>
      </c>
    </row>
    <row r="162" spans="1:10" x14ac:dyDescent="0.3">
      <c r="A162" s="1036" t="str">
        <f>COA!B165</f>
        <v>6300 Design and modeling</v>
      </c>
      <c r="B162" s="955">
        <f>_xlfn.XLOOKUP($A162,'TB FORMATTED'!$G:$G,'TB FORMATTED'!H:H,0,0,1)</f>
        <v>0</v>
      </c>
      <c r="C162" s="955">
        <f>_xlfn.XLOOKUP($A162,'TB FORMATTED'!$G:$G,'TB FORMATTED'!I:I,0,0,1)</f>
        <v>0</v>
      </c>
      <c r="D162" s="280">
        <f t="shared" si="4"/>
        <v>0</v>
      </c>
      <c r="F162" s="955">
        <f>_xlfn.XLOOKUP($A162,'TB FORMATTED'!$G:$G,'TB FORMATTED'!J:J,0,0,1)</f>
        <v>3646.21</v>
      </c>
      <c r="G162" s="955">
        <f>_xlfn.XLOOKUP($A162,'TB FORMATTED'!$G:$G,'TB FORMATTED'!K:K,0,0,1)</f>
        <v>0</v>
      </c>
      <c r="H162" s="955">
        <v>0</v>
      </c>
      <c r="I162" s="955"/>
      <c r="J162" s="280">
        <f t="shared" si="5"/>
        <v>3646.21</v>
      </c>
    </row>
    <row r="163" spans="1:10" x14ac:dyDescent="0.3">
      <c r="A163" s="1036" t="str">
        <f>COA!B166</f>
        <v>6350 Other labor costs</v>
      </c>
      <c r="B163" s="955">
        <f>_xlfn.XLOOKUP($A163,'TB FORMATTED'!$G:$G,'TB FORMATTED'!H:H,0,0,1)</f>
        <v>0</v>
      </c>
      <c r="C163" s="955">
        <f>_xlfn.XLOOKUP($A163,'TB FORMATTED'!$G:$G,'TB FORMATTED'!I:I,0,0,1)</f>
        <v>0</v>
      </c>
      <c r="D163" s="280">
        <f t="shared" si="4"/>
        <v>0</v>
      </c>
      <c r="F163" s="955">
        <f>_xlfn.XLOOKUP($A163,'TB FORMATTED'!$G:$G,'TB FORMATTED'!J:J,0,0,1)</f>
        <v>2024.57</v>
      </c>
      <c r="G163" s="955">
        <f>_xlfn.XLOOKUP($A163,'TB FORMATTED'!$G:$G,'TB FORMATTED'!K:K,0,0,1)</f>
        <v>0</v>
      </c>
      <c r="H163" s="955">
        <v>0</v>
      </c>
      <c r="I163" s="955"/>
      <c r="J163" s="280">
        <f t="shared" si="5"/>
        <v>2024.57</v>
      </c>
    </row>
    <row r="164" spans="1:10" x14ac:dyDescent="0.3">
      <c r="A164" s="1036" t="str">
        <f>COA!B167</f>
        <v>6997 Unapplied Cash Bill Payment Expense</v>
      </c>
      <c r="B164" s="955">
        <f>_xlfn.XLOOKUP($A164,'TB FORMATTED'!$G:$G,'TB FORMATTED'!H:H,0,0,1)</f>
        <v>0</v>
      </c>
      <c r="C164" s="955">
        <f>_xlfn.XLOOKUP($A164,'TB FORMATTED'!$G:$G,'TB FORMATTED'!I:I,0,0,1)</f>
        <v>0</v>
      </c>
      <c r="D164" s="280">
        <f t="shared" si="4"/>
        <v>0</v>
      </c>
      <c r="F164" s="955">
        <f>_xlfn.XLOOKUP($A164,'TB FORMATTED'!$G:$G,'TB FORMATTED'!J:J,0,0,1)</f>
        <v>0</v>
      </c>
      <c r="G164" s="955">
        <f>_xlfn.XLOOKUP($A164,'TB FORMATTED'!$G:$G,'TB FORMATTED'!K:K,0,0,1)</f>
        <v>0</v>
      </c>
      <c r="H164" s="955">
        <v>0</v>
      </c>
      <c r="I164" s="955"/>
      <c r="J164" s="280">
        <f t="shared" si="5"/>
        <v>0</v>
      </c>
    </row>
    <row r="165" spans="1:10" x14ac:dyDescent="0.3">
      <c r="A165" s="1036" t="str">
        <f>COA!B168</f>
        <v>6998 Uncategorized Expense</v>
      </c>
      <c r="B165" s="955">
        <f>_xlfn.XLOOKUP($A165,'TB FORMATTED'!$G:$G,'TB FORMATTED'!H:H,0,0,1)</f>
        <v>0</v>
      </c>
      <c r="C165" s="955">
        <f>_xlfn.XLOOKUP($A165,'TB FORMATTED'!$G:$G,'TB FORMATTED'!I:I,0,0,1)</f>
        <v>0</v>
      </c>
      <c r="D165" s="280">
        <f t="shared" si="4"/>
        <v>0</v>
      </c>
      <c r="F165" s="955">
        <f>_xlfn.XLOOKUP($A165,'TB FORMATTED'!$G:$G,'TB FORMATTED'!J:J,0,0,1)</f>
        <v>0</v>
      </c>
      <c r="G165" s="955">
        <f>_xlfn.XLOOKUP($A165,'TB FORMATTED'!$G:$G,'TB FORMATTED'!K:K,0,0,1)</f>
        <v>0</v>
      </c>
      <c r="H165" s="955">
        <v>0</v>
      </c>
      <c r="I165" s="955"/>
      <c r="J165" s="280">
        <f t="shared" si="5"/>
        <v>0</v>
      </c>
    </row>
    <row r="166" spans="1:10" x14ac:dyDescent="0.3">
      <c r="A166" s="1036" t="str">
        <f>COA!B169</f>
        <v>6999 Miscellaneous</v>
      </c>
      <c r="B166" s="955">
        <f>_xlfn.XLOOKUP($A166,'TB FORMATTED'!$G:$G,'TB FORMATTED'!H:H,0,0,1)</f>
        <v>0</v>
      </c>
      <c r="C166" s="955">
        <f>_xlfn.XLOOKUP($A166,'TB FORMATTED'!$G:$G,'TB FORMATTED'!I:I,0,0,1)</f>
        <v>0</v>
      </c>
      <c r="D166" s="280">
        <f t="shared" si="4"/>
        <v>0</v>
      </c>
      <c r="F166" s="955">
        <f>_xlfn.XLOOKUP($A166,'TB FORMATTED'!$G:$G,'TB FORMATTED'!J:J,0,0,1)</f>
        <v>214.77</v>
      </c>
      <c r="G166" s="955">
        <f>_xlfn.XLOOKUP($A166,'TB FORMATTED'!$G:$G,'TB FORMATTED'!K:K,0,0,1)</f>
        <v>0</v>
      </c>
      <c r="H166" s="955" t="e">
        <v>#REF!</v>
      </c>
      <c r="I166" s="955"/>
      <c r="J166" s="280" t="e">
        <f t="shared" si="5"/>
        <v>#REF!</v>
      </c>
    </row>
    <row r="167" spans="1:10" x14ac:dyDescent="0.3">
      <c r="A167" s="1036" t="str">
        <f>COA!B170</f>
        <v>7000 Reconciliation Discrepancies</v>
      </c>
      <c r="B167" s="955">
        <f>_xlfn.XLOOKUP($A167,'TB FORMATTED'!$G:$G,'TB FORMATTED'!H:H,0,0,1)</f>
        <v>0</v>
      </c>
      <c r="C167" s="955">
        <f>_xlfn.XLOOKUP($A167,'TB FORMATTED'!$G:$G,'TB FORMATTED'!I:I,0,0,1)</f>
        <v>0</v>
      </c>
      <c r="D167" s="280">
        <f t="shared" si="4"/>
        <v>0</v>
      </c>
      <c r="F167" s="955">
        <f>_xlfn.XLOOKUP($A167,'TB FORMATTED'!$G:$G,'TB FORMATTED'!J:J,0,0,1)</f>
        <v>0</v>
      </c>
      <c r="G167" s="955">
        <f>_xlfn.XLOOKUP($A167,'TB FORMATTED'!$G:$G,'TB FORMATTED'!K:K,0,0,1)</f>
        <v>2769.58</v>
      </c>
      <c r="H167" s="955">
        <v>2769.58</v>
      </c>
      <c r="I167" s="955"/>
      <c r="J167" s="280">
        <f t="shared" si="5"/>
        <v>0</v>
      </c>
    </row>
    <row r="168" spans="1:10" x14ac:dyDescent="0.3">
      <c r="A168" s="1036" t="str">
        <f>COA!B171</f>
        <v>8000 Exchange Gain or Loss</v>
      </c>
      <c r="B168" s="955">
        <f>_xlfn.XLOOKUP($A168,'TB FORMATTED'!$G:$G,'TB FORMATTED'!H:H,0,0,1)</f>
        <v>0</v>
      </c>
      <c r="C168" s="955">
        <f>_xlfn.XLOOKUP($A168,'TB FORMATTED'!$G:$G,'TB FORMATTED'!I:I,0,0,1)</f>
        <v>0</v>
      </c>
      <c r="D168" s="280">
        <f t="shared" si="4"/>
        <v>0</v>
      </c>
      <c r="F168" s="955">
        <f>_xlfn.XLOOKUP($A168,'TB FORMATTED'!$G:$G,'TB FORMATTED'!J:J,0,0,1)</f>
        <v>201.26</v>
      </c>
      <c r="G168" s="955">
        <f>_xlfn.XLOOKUP($A168,'TB FORMATTED'!$G:$G,'TB FORMATTED'!K:K,0,0,1)</f>
        <v>0</v>
      </c>
      <c r="H168" s="955" t="e">
        <v>#REF!</v>
      </c>
      <c r="I168" s="955"/>
      <c r="J168" s="280" t="e">
        <f t="shared" si="5"/>
        <v>#REF!</v>
      </c>
    </row>
    <row r="169" spans="1:10" x14ac:dyDescent="0.3">
      <c r="A169" s="1036" t="str">
        <f>COA!B172</f>
        <v>IMP1 - Warranty expense</v>
      </c>
      <c r="B169" s="955">
        <f>_xlfn.XLOOKUP($A169,'TB FORMATTED'!$G:$G,'TB FORMATTED'!H:H,0,0,1)</f>
        <v>0</v>
      </c>
      <c r="C169" s="955">
        <f>_xlfn.XLOOKUP($A169,'TB FORMATTED'!$G:$G,'TB FORMATTED'!I:I,0,0,1)</f>
        <v>0</v>
      </c>
      <c r="D169" s="280">
        <f t="shared" si="4"/>
        <v>0</v>
      </c>
      <c r="F169" s="955">
        <f>_xlfn.XLOOKUP($A169,'TB FORMATTED'!$G:$G,'TB FORMATTED'!J:J,0,0,1)</f>
        <v>0</v>
      </c>
      <c r="G169" s="955">
        <f>_xlfn.XLOOKUP($A169,'TB FORMATTED'!$G:$G,'TB FORMATTED'!K:K,0,0,1)</f>
        <v>0</v>
      </c>
      <c r="H169" s="955">
        <v>0</v>
      </c>
      <c r="I169" s="955"/>
      <c r="J169" s="280">
        <f t="shared" si="5"/>
        <v>0</v>
      </c>
    </row>
    <row r="170" spans="1:10" x14ac:dyDescent="0.3">
      <c r="A170" s="1036" t="str">
        <f>COA!B173</f>
        <v>IMP2 - Engineering expense</v>
      </c>
      <c r="B170" s="955">
        <f>_xlfn.XLOOKUP($A170,'TB FORMATTED'!$G:$G,'TB FORMATTED'!H:H,0,0,1)</f>
        <v>0</v>
      </c>
      <c r="C170" s="955">
        <f>_xlfn.XLOOKUP($A170,'TB FORMATTED'!$G:$G,'TB FORMATTED'!I:I,0,0,1)</f>
        <v>0</v>
      </c>
      <c r="D170" s="280">
        <f t="shared" si="4"/>
        <v>0</v>
      </c>
      <c r="F170" s="955">
        <f>_xlfn.XLOOKUP($A170,'TB FORMATTED'!$G:$G,'TB FORMATTED'!J:J,0,0,1)</f>
        <v>0</v>
      </c>
      <c r="G170" s="955">
        <f>_xlfn.XLOOKUP($A170,'TB FORMATTED'!$G:$G,'TB FORMATTED'!K:K,0,0,1)</f>
        <v>0</v>
      </c>
      <c r="H170" s="955">
        <v>0</v>
      </c>
      <c r="I170" s="955"/>
      <c r="J170" s="280">
        <f t="shared" si="5"/>
        <v>0</v>
      </c>
    </row>
    <row r="171" spans="1:10" x14ac:dyDescent="0.3">
      <c r="A171" s="1036" t="str">
        <f>COA!B174</f>
        <v>IMP3 - Commission expense</v>
      </c>
      <c r="B171" s="955">
        <f>_xlfn.XLOOKUP($A171,'TB FORMATTED'!$G:$G,'TB FORMATTED'!H:H,0,0,1)</f>
        <v>0</v>
      </c>
      <c r="C171" s="955">
        <f>_xlfn.XLOOKUP($A171,'TB FORMATTED'!$G:$G,'TB FORMATTED'!I:I,0,0,1)</f>
        <v>0</v>
      </c>
      <c r="D171" s="280">
        <f t="shared" si="4"/>
        <v>0</v>
      </c>
      <c r="F171" s="955">
        <f>_xlfn.XLOOKUP($A171,'TB FORMATTED'!$G:$G,'TB FORMATTED'!J:J,0,0,1)</f>
        <v>0</v>
      </c>
      <c r="G171" s="955">
        <f>_xlfn.XLOOKUP($A171,'TB FORMATTED'!$G:$G,'TB FORMATTED'!K:K,0,0,1)</f>
        <v>0</v>
      </c>
      <c r="H171" s="955">
        <v>0</v>
      </c>
      <c r="I171" s="955"/>
      <c r="J171" s="280">
        <f t="shared" si="5"/>
        <v>0</v>
      </c>
    </row>
    <row r="172" spans="1:10" x14ac:dyDescent="0.3">
      <c r="A172" s="1036" t="str">
        <f>COA!B175</f>
        <v>IMP4 - Warranty Liability</v>
      </c>
      <c r="B172" s="955">
        <f>_xlfn.XLOOKUP($A172,'TB FORMATTED'!$G:$G,'TB FORMATTED'!H:H,0,0,1)</f>
        <v>0</v>
      </c>
      <c r="C172" s="955">
        <f>_xlfn.XLOOKUP($A172,'TB FORMATTED'!$G:$G,'TB FORMATTED'!I:I,0,0,1)</f>
        <v>0</v>
      </c>
      <c r="D172" s="280">
        <f t="shared" si="4"/>
        <v>0</v>
      </c>
      <c r="F172" s="955">
        <f>_xlfn.XLOOKUP($A172,'TB FORMATTED'!$G:$G,'TB FORMATTED'!J:J,0,0,1)</f>
        <v>0</v>
      </c>
      <c r="G172" s="955">
        <f>_xlfn.XLOOKUP($A172,'TB FORMATTED'!$G:$G,'TB FORMATTED'!K:K,0,0,1)</f>
        <v>0</v>
      </c>
      <c r="H172" s="955">
        <v>0</v>
      </c>
      <c r="I172" s="955"/>
      <c r="J172" s="280">
        <f t="shared" si="5"/>
        <v>0</v>
      </c>
    </row>
    <row r="173" spans="1:10" x14ac:dyDescent="0.3">
      <c r="A173" s="1036" t="str">
        <f>COA!B176</f>
        <v>IMP5 - R&amp;D</v>
      </c>
      <c r="B173" s="955">
        <f>_xlfn.XLOOKUP($A173,'TB FORMATTED'!$G:$G,'TB FORMATTED'!H:H,0,0,1)</f>
        <v>0</v>
      </c>
      <c r="C173" s="955">
        <f>_xlfn.XLOOKUP($A173,'TB FORMATTED'!$G:$G,'TB FORMATTED'!I:I,0,0,1)</f>
        <v>0</v>
      </c>
      <c r="D173" s="280">
        <f t="shared" si="4"/>
        <v>0</v>
      </c>
      <c r="F173" s="955">
        <f>_xlfn.XLOOKUP($A173,'TB FORMATTED'!$G:$G,'TB FORMATTED'!J:J,0,0,1)</f>
        <v>0</v>
      </c>
      <c r="G173" s="955">
        <f>_xlfn.XLOOKUP($A173,'TB FORMATTED'!$G:$G,'TB FORMATTED'!K:K,0,0,1)</f>
        <v>0</v>
      </c>
      <c r="H173" s="955">
        <v>0</v>
      </c>
      <c r="I173" s="955"/>
      <c r="J173" s="280">
        <f t="shared" si="5"/>
        <v>0</v>
      </c>
    </row>
    <row r="174" spans="1:10" x14ac:dyDescent="0.3">
      <c r="A174" s="1036" t="str">
        <f>COA!B177</f>
        <v>IMP6 - Acquisition costs</v>
      </c>
      <c r="B174" s="955">
        <f>_xlfn.XLOOKUP($A174,'TB FORMATTED'!$G:$G,'TB FORMATTED'!H:H,0,0,1)</f>
        <v>0</v>
      </c>
      <c r="C174" s="955">
        <f>_xlfn.XLOOKUP($A174,'TB FORMATTED'!$G:$G,'TB FORMATTED'!I:I,0,0,1)</f>
        <v>0</v>
      </c>
      <c r="D174" s="280">
        <f t="shared" si="4"/>
        <v>0</v>
      </c>
      <c r="F174" s="955">
        <f>_xlfn.XLOOKUP($A174,'TB FORMATTED'!$G:$G,'TB FORMATTED'!J:J,0,0,1)</f>
        <v>0</v>
      </c>
      <c r="G174" s="955">
        <f>_xlfn.XLOOKUP($A174,'TB FORMATTED'!$G:$G,'TB FORMATTED'!K:K,0,0,1)</f>
        <v>0</v>
      </c>
      <c r="H174" s="955">
        <v>0</v>
      </c>
      <c r="I174" s="955"/>
      <c r="J174" s="280">
        <f t="shared" si="5"/>
        <v>0</v>
      </c>
    </row>
    <row r="175" spans="1:10" x14ac:dyDescent="0.3">
      <c r="A175" s="1036" t="str">
        <f>COA!B178</f>
        <v>IMP9 - Share-based compensation</v>
      </c>
      <c r="B175" s="955">
        <f>_xlfn.XLOOKUP($A175,'TB FORMATTED'!$G:$G,'TB FORMATTED'!H:H,0,0,1)</f>
        <v>0</v>
      </c>
      <c r="C175" s="955">
        <f>_xlfn.XLOOKUP($A175,'TB FORMATTED'!$G:$G,'TB FORMATTED'!I:I,0,0,1)</f>
        <v>0</v>
      </c>
      <c r="D175" s="280">
        <f t="shared" si="4"/>
        <v>0</v>
      </c>
      <c r="F175" s="955">
        <f>_xlfn.XLOOKUP($A175,'TB FORMATTED'!$G:$G,'TB FORMATTED'!J:J,0,0,1)</f>
        <v>0</v>
      </c>
      <c r="G175" s="955">
        <f>_xlfn.XLOOKUP($A175,'TB FORMATTED'!$G:$G,'TB FORMATTED'!K:K,0,0,1)</f>
        <v>0</v>
      </c>
      <c r="H175" s="955">
        <v>0</v>
      </c>
      <c r="I175" s="955"/>
      <c r="J175" s="280">
        <f t="shared" si="5"/>
        <v>0</v>
      </c>
    </row>
    <row r="176" spans="1:10" x14ac:dyDescent="0.3">
      <c r="A176" s="1036" t="str">
        <f>COA!B179</f>
        <v>6200 Accretion expense</v>
      </c>
      <c r="B176" s="955">
        <f>_xlfn.XLOOKUP($A176,'TB FORMATTED'!$G:$G,'TB FORMATTED'!H:H,0,0,1)</f>
        <v>24938.14</v>
      </c>
      <c r="C176" s="955">
        <f>_xlfn.XLOOKUP($A176,'TB FORMATTED'!$G:$G,'TB FORMATTED'!I:I,0,0,1)</f>
        <v>0</v>
      </c>
      <c r="D176" s="280">
        <f t="shared" si="4"/>
        <v>24938.14</v>
      </c>
      <c r="F176" s="955">
        <f>_xlfn.XLOOKUP($A176,'TB FORMATTED'!$G:$G,'TB FORMATTED'!J:J,0,0,1)</f>
        <v>0</v>
      </c>
      <c r="G176" s="955">
        <f>_xlfn.XLOOKUP($A176,'TB FORMATTED'!$G:$G,'TB FORMATTED'!K:K,0,0,1)</f>
        <v>0</v>
      </c>
      <c r="H176" s="955">
        <v>0</v>
      </c>
      <c r="I176" s="955"/>
      <c r="J176" s="280">
        <f t="shared" si="5"/>
        <v>0</v>
      </c>
    </row>
    <row r="177" spans="1:10" x14ac:dyDescent="0.3">
      <c r="A177" s="1036" t="str">
        <f>COA!B180</f>
        <v>6250 Finance expense</v>
      </c>
      <c r="B177" s="955">
        <f>_xlfn.XLOOKUP($A177,'TB FORMATTED'!$G:$G,'TB FORMATTED'!H:H,0,0,1)</f>
        <v>0</v>
      </c>
      <c r="C177" s="955">
        <f>_xlfn.XLOOKUP($A177,'TB FORMATTED'!$G:$G,'TB FORMATTED'!I:I,0,0,1)</f>
        <v>75000</v>
      </c>
      <c r="D177" s="280">
        <f t="shared" si="4"/>
        <v>-75000</v>
      </c>
      <c r="F177" s="955">
        <f>_xlfn.XLOOKUP($A177,'TB FORMATTED'!$G:$G,'TB FORMATTED'!J:J,0,0,1)</f>
        <v>0</v>
      </c>
      <c r="G177" s="955">
        <f>_xlfn.XLOOKUP($A177,'TB FORMATTED'!$G:$G,'TB FORMATTED'!K:K,0,0,1)</f>
        <v>0</v>
      </c>
      <c r="H177" s="955">
        <v>0</v>
      </c>
      <c r="I177" s="955"/>
      <c r="J177" s="280">
        <f t="shared" si="5"/>
        <v>0</v>
      </c>
    </row>
  </sheetData>
  <autoFilter ref="A5:A177" xr:uid="{8C288433-1548-4D80-8531-2339622B3A62}"/>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46BA-5F3F-4251-A19A-E4D0401711C3}">
  <sheetPr>
    <tabColor theme="7" tint="0.59999389629810485"/>
  </sheetPr>
  <dimension ref="A1:R50"/>
  <sheetViews>
    <sheetView workbookViewId="0"/>
  </sheetViews>
  <sheetFormatPr defaultRowHeight="14.4" outlineLevelCol="1" x14ac:dyDescent="0.3"/>
  <cols>
    <col min="1" max="1" width="44.5546875" bestFit="1" customWidth="1"/>
    <col min="2" max="2" width="44.5546875" style="208" hidden="1" customWidth="1" outlineLevel="1"/>
    <col min="3" max="3" width="11.44140625" hidden="1" customWidth="1" outlineLevel="1"/>
    <col min="4" max="4" width="11.44140625" style="500" hidden="1" customWidth="1" outlineLevel="1"/>
    <col min="5" max="5" width="11.44140625" style="500" customWidth="1" collapsed="1"/>
    <col min="6" max="8" width="11.44140625" customWidth="1"/>
    <col min="9" max="9" width="14.109375" style="500" customWidth="1" collapsed="1"/>
    <col min="10" max="10" width="12.33203125" bestFit="1" customWidth="1"/>
    <col min="11" max="11" width="3.33203125" customWidth="1"/>
    <col min="12" max="12" width="37.5546875" bestFit="1" customWidth="1"/>
    <col min="13" max="13" width="37.5546875" style="208" hidden="1" customWidth="1" outlineLevel="1"/>
    <col min="14" max="14" width="10.44140625" style="792" bestFit="1" customWidth="1" collapsed="1"/>
    <col min="15" max="15" width="10.33203125" bestFit="1" customWidth="1"/>
    <col min="16" max="17" width="9.109375" customWidth="1"/>
    <col min="18" max="18" width="10.33203125" bestFit="1" customWidth="1"/>
  </cols>
  <sheetData>
    <row r="1" spans="1:18" ht="17.399999999999999" x14ac:dyDescent="0.3">
      <c r="A1" s="412" t="s">
        <v>642</v>
      </c>
      <c r="B1" s="931"/>
      <c r="L1" s="412" t="s">
        <v>496</v>
      </c>
      <c r="M1" s="944"/>
    </row>
    <row r="2" spans="1:18" ht="17.399999999999999" x14ac:dyDescent="0.3">
      <c r="A2" s="412" t="s">
        <v>714</v>
      </c>
      <c r="B2" s="931"/>
      <c r="F2" s="1307" t="s">
        <v>1879</v>
      </c>
      <c r="L2" s="412" t="s">
        <v>714</v>
      </c>
      <c r="M2" s="944"/>
    </row>
    <row r="3" spans="1:18" x14ac:dyDescent="0.3">
      <c r="A3" s="1306" t="s">
        <v>1991</v>
      </c>
      <c r="B3" s="932"/>
      <c r="L3" s="413" t="s">
        <v>1992</v>
      </c>
      <c r="M3" s="930"/>
    </row>
    <row r="5" spans="1:18" ht="24.6" x14ac:dyDescent="0.3">
      <c r="A5" s="163"/>
      <c r="B5" s="1364" t="s">
        <v>679</v>
      </c>
      <c r="C5" s="414" t="s">
        <v>857</v>
      </c>
      <c r="D5" s="1069" t="s">
        <v>861</v>
      </c>
      <c r="E5" s="1069" t="s">
        <v>862</v>
      </c>
      <c r="F5" s="414" t="s">
        <v>858</v>
      </c>
      <c r="G5" s="414" t="s">
        <v>859</v>
      </c>
      <c r="H5" s="414" t="s">
        <v>860</v>
      </c>
      <c r="I5" s="1069" t="s">
        <v>1996</v>
      </c>
      <c r="J5" s="414" t="s">
        <v>71</v>
      </c>
      <c r="L5" s="163"/>
      <c r="M5" s="934" t="s">
        <v>679</v>
      </c>
      <c r="N5" s="414" t="s">
        <v>857</v>
      </c>
      <c r="O5" s="414" t="s">
        <v>858</v>
      </c>
      <c r="P5" s="414" t="s">
        <v>859</v>
      </c>
      <c r="Q5" s="414" t="s">
        <v>860</v>
      </c>
      <c r="R5" s="414" t="s">
        <v>71</v>
      </c>
    </row>
    <row r="6" spans="1:18" x14ac:dyDescent="0.3">
      <c r="A6" s="1380" t="s">
        <v>1993</v>
      </c>
      <c r="H6" s="1381"/>
      <c r="J6" s="936"/>
      <c r="L6" s="256" t="s">
        <v>378</v>
      </c>
      <c r="M6" s="945"/>
      <c r="N6" s="280"/>
    </row>
    <row r="7" spans="1:18" x14ac:dyDescent="0.3">
      <c r="A7" s="256" t="s">
        <v>566</v>
      </c>
      <c r="B7" s="945" t="str">
        <f>_xlfn.XLOOKUP(A7,COA!B:B,COA!B:B,"not found",0,1)</f>
        <v>5000 Utility Vehicle Sales</v>
      </c>
      <c r="C7" s="792"/>
      <c r="D7" s="499"/>
      <c r="E7" s="499"/>
      <c r="F7" s="792"/>
      <c r="G7" s="1383">
        <f>190000</f>
        <v>190000</v>
      </c>
      <c r="H7" s="792"/>
      <c r="I7" s="978">
        <f>-G7</f>
        <v>-190000</v>
      </c>
      <c r="J7" s="716">
        <f>SUM(E7:I7)</f>
        <v>0</v>
      </c>
      <c r="L7" s="256" t="s">
        <v>472</v>
      </c>
      <c r="M7" s="945" t="str">
        <f>_xlfn.XLOOKUP(L7,COA!B:B,COA!B:B,0,0,1)</f>
        <v>6011 Bank charges</v>
      </c>
      <c r="N7" s="716">
        <v>475</v>
      </c>
      <c r="O7" s="716">
        <v>375</v>
      </c>
      <c r="P7" s="716">
        <v>375</v>
      </c>
      <c r="Q7" s="716">
        <v>375</v>
      </c>
      <c r="R7" s="716">
        <f>SUM(N7:Q7)</f>
        <v>1600</v>
      </c>
    </row>
    <row r="8" spans="1:18" x14ac:dyDescent="0.3">
      <c r="A8" s="256" t="s">
        <v>570</v>
      </c>
      <c r="B8" s="945" t="str">
        <f>_xlfn.XLOOKUP(A8,COA!B:B,COA!B:B,"not found",0,1)</f>
        <v>5004 Shop Supplies Sales</v>
      </c>
      <c r="C8" s="792"/>
      <c r="D8" s="499"/>
      <c r="E8" s="499"/>
      <c r="F8" s="792"/>
      <c r="G8" s="792"/>
      <c r="H8" s="1384"/>
      <c r="I8" s="499"/>
      <c r="J8" s="716">
        <f>SUM(E8:I8)</f>
        <v>0</v>
      </c>
      <c r="L8" s="256" t="s">
        <v>474</v>
      </c>
      <c r="M8" s="945" t="str">
        <f>_xlfn.XLOOKUP(L8,COA!B:B,COA!B:B,0,0,1)</f>
        <v>6013 Interest expense</v>
      </c>
      <c r="N8" s="716"/>
      <c r="O8" s="716"/>
      <c r="P8" s="716">
        <v>1160.73</v>
      </c>
      <c r="Q8" s="716"/>
      <c r="R8" s="716">
        <f t="shared" ref="R8:R18" si="0">SUM(N8:Q8)</f>
        <v>1160.73</v>
      </c>
    </row>
    <row r="9" spans="1:18" x14ac:dyDescent="0.3">
      <c r="A9" s="256" t="s">
        <v>572</v>
      </c>
      <c r="B9" s="945" t="str">
        <f>_xlfn.XLOOKUP(A9,COA!B:B,COA!B:B,"not found",0,1)</f>
        <v>5499 Other Income</v>
      </c>
      <c r="C9" s="792"/>
      <c r="D9" s="499"/>
      <c r="E9" s="499"/>
      <c r="F9" s="792"/>
      <c r="G9" s="1383">
        <f>3150</f>
        <v>3150</v>
      </c>
      <c r="H9" s="1383">
        <f>-100</f>
        <v>-100</v>
      </c>
      <c r="I9" s="499"/>
      <c r="J9" s="716">
        <f>SUM(E9:I9)</f>
        <v>3050</v>
      </c>
      <c r="L9" s="256" t="s">
        <v>475</v>
      </c>
      <c r="M9" s="945" t="str">
        <f>_xlfn.XLOOKUP(L9,COA!B:B,COA!B:B,0,0,1)</f>
        <v>6015 Accounting Fees</v>
      </c>
      <c r="N9" s="716">
        <v>2632.5</v>
      </c>
      <c r="O9" s="716">
        <v>24845</v>
      </c>
      <c r="P9" s="716"/>
      <c r="Q9" s="716"/>
      <c r="R9" s="716">
        <f t="shared" si="0"/>
        <v>27477.5</v>
      </c>
    </row>
    <row r="10" spans="1:18" x14ac:dyDescent="0.3">
      <c r="A10" s="1380" t="s">
        <v>1994</v>
      </c>
      <c r="C10" s="1382">
        <f t="shared" ref="C10" si="1">SUM(C7:C9)</f>
        <v>0</v>
      </c>
      <c r="D10" s="1388">
        <f t="shared" ref="D10" si="2">SUM(D7:D9)</f>
        <v>0</v>
      </c>
      <c r="E10" s="1388">
        <f t="shared" ref="E10:F10" si="3">SUM(E7:E9)</f>
        <v>0</v>
      </c>
      <c r="F10" s="1382">
        <f t="shared" si="3"/>
        <v>0</v>
      </c>
      <c r="G10" s="1382">
        <f>SUM(G7:G9)</f>
        <v>193150</v>
      </c>
      <c r="H10" s="1382">
        <f>SUM(H7:H9)</f>
        <v>-100</v>
      </c>
      <c r="I10" s="1385">
        <f>SUM(I7:I9)</f>
        <v>-190000</v>
      </c>
      <c r="J10" s="1382">
        <f>SUM(J7:J9)</f>
        <v>3050</v>
      </c>
      <c r="L10" s="256" t="s">
        <v>476</v>
      </c>
      <c r="M10" s="945" t="str">
        <f>_xlfn.XLOOKUP(L10,COA!B:B,COA!B:B,0,0,1)</f>
        <v>6016 Legal and professional fees</v>
      </c>
      <c r="N10" s="716">
        <v>54424.07</v>
      </c>
      <c r="O10" s="716"/>
      <c r="P10" s="716"/>
      <c r="Q10" s="716"/>
      <c r="R10" s="716">
        <f t="shared" si="0"/>
        <v>54424.07</v>
      </c>
    </row>
    <row r="11" spans="1:18" x14ac:dyDescent="0.3">
      <c r="A11" s="256" t="s">
        <v>717</v>
      </c>
      <c r="B11" s="933"/>
      <c r="C11" s="280"/>
      <c r="D11" s="977"/>
      <c r="E11" s="977"/>
      <c r="F11" s="280"/>
      <c r="G11" s="792"/>
      <c r="H11" s="1384"/>
      <c r="I11" s="977"/>
      <c r="J11" s="716"/>
      <c r="L11" s="256" t="s">
        <v>477</v>
      </c>
      <c r="M11" s="945" t="str">
        <f>_xlfn.XLOOKUP(L11,COA!B:B,COA!B:B,0,0,1)</f>
        <v>6017 Consulting Fees</v>
      </c>
      <c r="N11" s="716">
        <v>36340</v>
      </c>
      <c r="O11" s="716">
        <v>63800</v>
      </c>
      <c r="P11" s="716">
        <v>12000</v>
      </c>
      <c r="Q11" s="716">
        <v>2000</v>
      </c>
      <c r="R11" s="716">
        <f t="shared" si="0"/>
        <v>114140</v>
      </c>
    </row>
    <row r="12" spans="1:18" x14ac:dyDescent="0.3">
      <c r="A12" s="256" t="s">
        <v>575</v>
      </c>
      <c r="B12" s="945" t="str">
        <f>_xlfn.XLOOKUP(A12,COA!B:B,COA!B:B,"not found",0,1)</f>
        <v>5500 Cost of Goods Sold</v>
      </c>
      <c r="C12" s="716">
        <f>90</f>
        <v>90</v>
      </c>
      <c r="D12" s="978">
        <f>-C12</f>
        <v>-90</v>
      </c>
      <c r="E12" s="978">
        <f>SUM(C12:D12)</f>
        <v>0</v>
      </c>
      <c r="F12" s="716"/>
      <c r="G12" s="716"/>
      <c r="H12" s="716"/>
      <c r="I12" s="978"/>
      <c r="J12" s="716">
        <f>SUM(E12:I12)</f>
        <v>0</v>
      </c>
      <c r="L12" s="256" t="s">
        <v>478</v>
      </c>
      <c r="M12" s="945" t="str">
        <f>_xlfn.XLOOKUP(L12,COA!B:B,COA!B:B,0,0,1)</f>
        <v>6020 Advertising &amp; Promotion</v>
      </c>
      <c r="N12" s="716">
        <v>6000</v>
      </c>
      <c r="O12" s="716"/>
      <c r="P12" s="716"/>
      <c r="Q12" s="716">
        <v>4306.75</v>
      </c>
      <c r="R12" s="716">
        <f t="shared" si="0"/>
        <v>10306.75</v>
      </c>
    </row>
    <row r="13" spans="1:18" x14ac:dyDescent="0.3">
      <c r="A13" s="256" t="s">
        <v>576</v>
      </c>
      <c r="B13" s="945" t="str">
        <f>_xlfn.XLOOKUP(A13,COA!B:B,COA!B:B,"not found",0,1)</f>
        <v>5510 Cost of Goods Sold:Parts and components  - COS</v>
      </c>
      <c r="C13" s="716">
        <f>-237717.44</f>
        <v>-237717.44</v>
      </c>
      <c r="D13" s="978">
        <f>'GL 5510'!H71</f>
        <v>251333.95</v>
      </c>
      <c r="E13" s="978">
        <f t="shared" ref="E13:E15" si="4">SUM(C13:D13)</f>
        <v>13616.510000000009</v>
      </c>
      <c r="F13" s="716">
        <v>19443.09</v>
      </c>
      <c r="G13" s="716">
        <v>2063.1999999999998</v>
      </c>
      <c r="H13" s="918">
        <f>1068</f>
        <v>1068</v>
      </c>
      <c r="I13" s="978">
        <f>-SUM(E13:H13)</f>
        <v>-36190.800000000003</v>
      </c>
      <c r="J13" s="716">
        <f t="shared" ref="J13:J15" si="5">SUM(E13:I13)</f>
        <v>0</v>
      </c>
      <c r="L13" s="256" t="s">
        <v>479</v>
      </c>
      <c r="M13" s="945" t="str">
        <f>_xlfn.XLOOKUP(L13,COA!B:B,COA!B:B,0,0,1)</f>
        <v>6025 Dues and Subscriptions</v>
      </c>
      <c r="N13" s="716"/>
      <c r="O13" s="716"/>
      <c r="P13" s="716">
        <v>245.53</v>
      </c>
      <c r="Q13" s="716">
        <v>1013.72</v>
      </c>
      <c r="R13" s="716">
        <f t="shared" si="0"/>
        <v>1259.25</v>
      </c>
    </row>
    <row r="14" spans="1:18" x14ac:dyDescent="0.3">
      <c r="A14" s="256" t="s">
        <v>577</v>
      </c>
      <c r="B14" s="945" t="str">
        <f>_xlfn.XLOOKUP(A14,COA!B:B,COA!B:B,"not found",0,1)</f>
        <v>5515 Cost of Goods Sold:Engineering  - COS</v>
      </c>
      <c r="C14" s="716">
        <f>-9894.62</f>
        <v>-9894.6200000000008</v>
      </c>
      <c r="D14" s="978">
        <f>'GL 5515'!J16</f>
        <v>15460.46</v>
      </c>
      <c r="E14" s="978">
        <f t="shared" si="4"/>
        <v>5565.8399999999983</v>
      </c>
      <c r="F14" s="716">
        <f>9009.47</f>
        <v>9009.4699999999993</v>
      </c>
      <c r="G14" s="716">
        <v>247.87</v>
      </c>
      <c r="H14" s="716"/>
      <c r="I14" s="978">
        <f>-SUM(E14:H14)</f>
        <v>-14823.179999999998</v>
      </c>
      <c r="J14" s="716">
        <f t="shared" si="5"/>
        <v>0</v>
      </c>
      <c r="L14" s="256" t="s">
        <v>480</v>
      </c>
      <c r="M14" s="945" t="str">
        <f>_xlfn.XLOOKUP(L14,COA!B:B,COA!B:B,0,0,1)</f>
        <v>6040 Meals and entertainment</v>
      </c>
      <c r="N14" s="716"/>
      <c r="O14" s="716"/>
      <c r="P14" s="716">
        <v>89.21</v>
      </c>
      <c r="Q14" s="716"/>
      <c r="R14" s="716">
        <f t="shared" si="0"/>
        <v>89.21</v>
      </c>
    </row>
    <row r="15" spans="1:18" x14ac:dyDescent="0.3">
      <c r="A15" s="256" t="s">
        <v>578</v>
      </c>
      <c r="B15" s="945" t="str">
        <f>_xlfn.XLOOKUP(A15,COA!B:B,COA!B:B,"not found",0,1)</f>
        <v>5520 Cost of Goods Sold:Subcontracting  - COS</v>
      </c>
      <c r="C15" s="716">
        <v>-7859.37</v>
      </c>
      <c r="D15" s="978">
        <f>'GL 5520'!J11</f>
        <v>10833.14</v>
      </c>
      <c r="E15" s="978">
        <f t="shared" si="4"/>
        <v>2973.7699999999995</v>
      </c>
      <c r="F15" s="923">
        <f>3720.18</f>
        <v>3720.18</v>
      </c>
      <c r="G15" s="716"/>
      <c r="H15" s="716"/>
      <c r="I15" s="978">
        <f>-SUM(E15:H15)</f>
        <v>-6693.9499999999989</v>
      </c>
      <c r="J15" s="716">
        <f t="shared" si="5"/>
        <v>0</v>
      </c>
      <c r="L15" s="256" t="s">
        <v>481</v>
      </c>
      <c r="M15" s="945" t="str">
        <f>_xlfn.XLOOKUP(L15,COA!B:B,COA!B:B,0,0,1)</f>
        <v>6042 Travel</v>
      </c>
      <c r="N15" s="716"/>
      <c r="O15" s="716"/>
      <c r="P15" s="716">
        <v>464.52</v>
      </c>
      <c r="Q15" s="716"/>
      <c r="R15" s="716">
        <f t="shared" si="0"/>
        <v>464.52</v>
      </c>
    </row>
    <row r="16" spans="1:18" x14ac:dyDescent="0.3">
      <c r="A16" s="256" t="s">
        <v>825</v>
      </c>
      <c r="B16" s="933"/>
      <c r="C16" s="929">
        <f>SUM(C12:C15)</f>
        <v>-255381.43</v>
      </c>
      <c r="D16" s="1385">
        <f>SUM(D12:D15)</f>
        <v>277537.55000000005</v>
      </c>
      <c r="E16" s="1385">
        <f>SUM(E12:E15)</f>
        <v>22156.120000000006</v>
      </c>
      <c r="F16" s="943">
        <f>SUM(F12:F15)</f>
        <v>32172.739999999998</v>
      </c>
      <c r="G16" s="929">
        <f t="shared" ref="G16:J16" si="6">SUM(G12:G15)</f>
        <v>2311.0699999999997</v>
      </c>
      <c r="H16" s="929">
        <f t="shared" si="6"/>
        <v>1068</v>
      </c>
      <c r="I16" s="1385">
        <f t="shared" si="6"/>
        <v>-57707.93</v>
      </c>
      <c r="J16" s="929">
        <f t="shared" si="6"/>
        <v>0</v>
      </c>
      <c r="L16" s="256" t="s">
        <v>812</v>
      </c>
      <c r="M16" s="945" t="str">
        <f>_xlfn.XLOOKUP(L16,COA!B:B,COA!B:B,0,0,1)</f>
        <v>6043 Transfer agent and regulatory expenses</v>
      </c>
      <c r="N16" s="716">
        <v>5450</v>
      </c>
      <c r="O16" s="716">
        <v>5250</v>
      </c>
      <c r="P16" s="716"/>
      <c r="Q16" s="716"/>
      <c r="R16" s="716">
        <f t="shared" si="0"/>
        <v>10700</v>
      </c>
    </row>
    <row r="17" spans="1:18" x14ac:dyDescent="0.3">
      <c r="A17" s="256" t="s">
        <v>584</v>
      </c>
      <c r="B17" s="945" t="str">
        <f>_xlfn.XLOOKUP(A17,COA!B:B,COA!B:B,"not found",0,1)</f>
        <v>5511 Supplies and materials - COS</v>
      </c>
      <c r="C17" s="716">
        <f>-162.91</f>
        <v>-162.91</v>
      </c>
      <c r="D17" s="978">
        <f>-C17</f>
        <v>162.91</v>
      </c>
      <c r="E17" s="978">
        <f>SUM(C17:D17)</f>
        <v>0</v>
      </c>
      <c r="F17" s="716"/>
      <c r="G17" s="716"/>
      <c r="H17" s="716"/>
      <c r="I17" s="978"/>
      <c r="J17" s="716">
        <f>SUM(E17:H17)</f>
        <v>0</v>
      </c>
      <c r="L17" s="256" t="s">
        <v>482</v>
      </c>
      <c r="M17" s="945" t="str">
        <f>_xlfn.XLOOKUP(L17,COA!B:B,COA!B:B,0,0,1)</f>
        <v>6050 Insurance</v>
      </c>
      <c r="N17" s="716"/>
      <c r="O17" s="716">
        <v>9696.08</v>
      </c>
      <c r="P17" s="716">
        <v>7044.12</v>
      </c>
      <c r="Q17" s="716">
        <v>7044.12</v>
      </c>
      <c r="R17" s="716">
        <f t="shared" si="0"/>
        <v>23784.32</v>
      </c>
    </row>
    <row r="18" spans="1:18" x14ac:dyDescent="0.3">
      <c r="A18" s="256" t="s">
        <v>718</v>
      </c>
      <c r="B18" s="933"/>
      <c r="C18" s="929">
        <f>SUM(C16:C17)</f>
        <v>-255544.34</v>
      </c>
      <c r="D18" s="1385">
        <f>-SUM(D16:D17)</f>
        <v>-277700.46000000002</v>
      </c>
      <c r="E18" s="1385">
        <f>-SUM(E16:E17)</f>
        <v>-22156.120000000006</v>
      </c>
      <c r="F18" s="1385">
        <f>-SUM(F16:F17)</f>
        <v>-32172.739999999998</v>
      </c>
      <c r="G18" s="1385">
        <f>-SUM(G16:G17)</f>
        <v>-2311.0699999999997</v>
      </c>
      <c r="H18" s="1385">
        <f>-SUM(H16:H17)</f>
        <v>-1068</v>
      </c>
      <c r="I18" s="1385"/>
      <c r="J18" s="1385">
        <f>-SUM(J16:J17)</f>
        <v>0</v>
      </c>
      <c r="L18" s="256" t="s">
        <v>483</v>
      </c>
      <c r="M18" s="945" t="str">
        <f>_xlfn.XLOOKUP(L18,COA!B:B,COA!B:B,0,0,1)</f>
        <v>6060 Office expenses</v>
      </c>
      <c r="N18" s="716"/>
      <c r="O18" s="716"/>
      <c r="P18" s="716">
        <v>317.07</v>
      </c>
      <c r="Q18" s="716">
        <v>611.09</v>
      </c>
      <c r="R18" s="716">
        <f t="shared" si="0"/>
        <v>928.16000000000008</v>
      </c>
    </row>
    <row r="19" spans="1:18" x14ac:dyDescent="0.3">
      <c r="A19" s="256" t="s">
        <v>719</v>
      </c>
      <c r="B19" s="933"/>
      <c r="C19" s="929">
        <f>C10+(C18)</f>
        <v>-255544.34</v>
      </c>
      <c r="D19" s="1385">
        <f t="shared" ref="D19:F19" si="7">D10+(D18)</f>
        <v>-277700.46000000002</v>
      </c>
      <c r="E19" s="1385">
        <f t="shared" si="7"/>
        <v>-22156.120000000006</v>
      </c>
      <c r="F19" s="929">
        <f t="shared" si="7"/>
        <v>-32172.739999999998</v>
      </c>
      <c r="G19" s="929">
        <f t="shared" ref="G19" si="8">G10+(G18)</f>
        <v>190838.93</v>
      </c>
      <c r="H19" s="929">
        <f t="shared" ref="H19:I19" si="9">H10+(H18)</f>
        <v>-1168</v>
      </c>
      <c r="I19" s="1385">
        <f t="shared" si="9"/>
        <v>-190000</v>
      </c>
      <c r="J19" s="929">
        <f t="shared" ref="J19" si="10">J10+(J18)</f>
        <v>3050</v>
      </c>
      <c r="L19" s="256" t="s">
        <v>382</v>
      </c>
      <c r="M19" s="945"/>
      <c r="N19" s="929">
        <f>SUM(N7:N18)</f>
        <v>105321.57</v>
      </c>
      <c r="O19" s="929">
        <f t="shared" ref="O19:R19" si="11">SUM(O7:O18)</f>
        <v>103966.08</v>
      </c>
      <c r="P19" s="929">
        <f t="shared" si="11"/>
        <v>21696.18</v>
      </c>
      <c r="Q19" s="929">
        <f t="shared" si="11"/>
        <v>15350.68</v>
      </c>
      <c r="R19" s="929">
        <f t="shared" si="11"/>
        <v>246334.50999999998</v>
      </c>
    </row>
    <row r="20" spans="1:18" x14ac:dyDescent="0.3">
      <c r="A20" s="256" t="s">
        <v>378</v>
      </c>
      <c r="B20" s="933"/>
      <c r="C20" s="280"/>
      <c r="D20" s="977"/>
      <c r="E20" s="977"/>
      <c r="F20" s="280"/>
      <c r="G20" s="280"/>
      <c r="H20" s="280"/>
      <c r="I20" s="977"/>
      <c r="J20" s="280"/>
      <c r="L20" s="256" t="s">
        <v>385</v>
      </c>
      <c r="M20" s="945"/>
      <c r="N20" s="929">
        <f>(((0)-(N19))+(0))-(0)</f>
        <v>-105321.57</v>
      </c>
      <c r="O20" s="929">
        <f t="shared" ref="O20:R20" si="12">(((0)-(O19))+(0))-(0)</f>
        <v>-103966.08</v>
      </c>
      <c r="P20" s="929">
        <f t="shared" si="12"/>
        <v>-21696.18</v>
      </c>
      <c r="Q20" s="929">
        <f t="shared" si="12"/>
        <v>-15350.68</v>
      </c>
      <c r="R20" s="929">
        <f t="shared" si="12"/>
        <v>-246334.50999999998</v>
      </c>
    </row>
    <row r="21" spans="1:18" x14ac:dyDescent="0.3">
      <c r="A21" s="256" t="s">
        <v>592</v>
      </c>
      <c r="B21" s="945" t="str">
        <f>_xlfn.XLOOKUP(A21,COA!B:B,COA!B:B,"not found",0,1)</f>
        <v>6011 Bank charges</v>
      </c>
      <c r="C21" s="716">
        <v>221.5</v>
      </c>
      <c r="D21" s="978">
        <f>-'TB.3 - Acq TB'!I49</f>
        <v>-2</v>
      </c>
      <c r="E21" s="978">
        <f>SUM(C21:D21)</f>
        <v>219.5</v>
      </c>
      <c r="F21" s="1386">
        <v>-7.94</v>
      </c>
      <c r="G21" s="918">
        <f>270.44</f>
        <v>270.44</v>
      </c>
      <c r="H21" s="918">
        <f>198</f>
        <v>198</v>
      </c>
      <c r="I21" s="978"/>
      <c r="J21" s="716">
        <f>SUM(E21:I21)</f>
        <v>680</v>
      </c>
    </row>
    <row r="22" spans="1:18" x14ac:dyDescent="0.3">
      <c r="A22" s="256" t="s">
        <v>474</v>
      </c>
      <c r="B22" s="945" t="str">
        <f>_xlfn.XLOOKUP(A22,COA!B:B,COA!B:B,"not found",0,1)</f>
        <v>6013 Interest expense</v>
      </c>
      <c r="C22" s="716">
        <f>-5200</f>
        <v>-5200</v>
      </c>
      <c r="D22" s="978">
        <f>-C22</f>
        <v>5200</v>
      </c>
      <c r="E22" s="978">
        <f t="shared" ref="E22:E37" si="13">SUM(C22:D22)</f>
        <v>0</v>
      </c>
      <c r="F22" s="1386">
        <f>4.77</f>
        <v>4.7699999999999996</v>
      </c>
      <c r="G22" s="918">
        <f>1313.86</f>
        <v>1313.86</v>
      </c>
      <c r="H22" s="918">
        <f>1668.75</f>
        <v>1668.75</v>
      </c>
      <c r="I22" s="978"/>
      <c r="J22" s="716">
        <f t="shared" ref="J22:J39" si="14">SUM(E22:I22)</f>
        <v>2987.38</v>
      </c>
    </row>
    <row r="23" spans="1:18" x14ac:dyDescent="0.3">
      <c r="A23" s="256" t="s">
        <v>594</v>
      </c>
      <c r="B23" s="945" t="str">
        <f>_xlfn.XLOOKUP(A23,COA!B:B,COA!B:B,"not found",0,1)</f>
        <v>6015 Accounting &amp; Legal</v>
      </c>
      <c r="C23" s="716">
        <v>57584.9</v>
      </c>
      <c r="D23" s="978"/>
      <c r="E23" s="978">
        <f t="shared" si="13"/>
        <v>57584.9</v>
      </c>
      <c r="F23" s="1386">
        <v>29180</v>
      </c>
      <c r="G23" s="918">
        <f>3000</f>
        <v>3000</v>
      </c>
      <c r="H23" s="716"/>
      <c r="I23" s="978"/>
      <c r="J23" s="716">
        <f t="shared" si="14"/>
        <v>89764.9</v>
      </c>
    </row>
    <row r="24" spans="1:18" x14ac:dyDescent="0.3">
      <c r="A24" s="256" t="s">
        <v>595</v>
      </c>
      <c r="B24" s="945" t="str">
        <f>_xlfn.XLOOKUP(A24,COA!B:B,COA!B:B,"not found",0,1)</f>
        <v>6016 Consulting Expense</v>
      </c>
      <c r="C24" s="716">
        <f>-75000</f>
        <v>-75000</v>
      </c>
      <c r="D24" s="978">
        <f>-'GL 6016'!H26</f>
        <v>80000</v>
      </c>
      <c r="E24" s="978">
        <f t="shared" si="13"/>
        <v>5000</v>
      </c>
      <c r="F24" s="1386">
        <v>15000</v>
      </c>
      <c r="G24" s="716"/>
      <c r="H24" s="716"/>
      <c r="I24" s="978"/>
      <c r="J24" s="716">
        <f t="shared" si="14"/>
        <v>20000</v>
      </c>
    </row>
    <row r="25" spans="1:18" x14ac:dyDescent="0.3">
      <c r="A25" s="256" t="s">
        <v>1850</v>
      </c>
      <c r="B25" s="945" t="str">
        <f>_xlfn.XLOOKUP(A25,COA!B:B,COA!B:B,"not found",0,1)</f>
        <v>6018 Dues and Subscription</v>
      </c>
      <c r="C25" s="716"/>
      <c r="D25" s="978"/>
      <c r="E25" s="978"/>
      <c r="F25" s="1386">
        <f>190.84</f>
        <v>190.84</v>
      </c>
      <c r="G25" s="716"/>
      <c r="H25" s="918">
        <f>-196.4</f>
        <v>-196.4</v>
      </c>
      <c r="I25" s="978"/>
      <c r="J25" s="716">
        <f t="shared" si="14"/>
        <v>-5.5600000000000023</v>
      </c>
    </row>
    <row r="26" spans="1:18" x14ac:dyDescent="0.3">
      <c r="A26" s="256" t="s">
        <v>478</v>
      </c>
      <c r="B26" s="945" t="str">
        <f>_xlfn.XLOOKUP(A26,COA!B:B,COA!B:B,"not found",0,1)</f>
        <v>6020 Advertising &amp; Promotion</v>
      </c>
      <c r="C26" s="716">
        <f>580.15</f>
        <v>580.15</v>
      </c>
      <c r="D26" s="978"/>
      <c r="E26" s="978">
        <f t="shared" si="13"/>
        <v>580.15</v>
      </c>
      <c r="F26" s="1386">
        <f>2407.4</f>
        <v>2407.4</v>
      </c>
      <c r="G26" s="716"/>
      <c r="H26" s="918">
        <f>6500</f>
        <v>6500</v>
      </c>
      <c r="I26" s="978"/>
      <c r="J26" s="716">
        <f t="shared" si="14"/>
        <v>9487.5499999999993</v>
      </c>
    </row>
    <row r="27" spans="1:18" x14ac:dyDescent="0.3">
      <c r="A27" s="256" t="s">
        <v>596</v>
      </c>
      <c r="B27" s="945" t="str">
        <f>_xlfn.XLOOKUP(A27,COA!B:B,COA!B:B,"not found",0,1)</f>
        <v>6021 Tradeshows and conventions</v>
      </c>
      <c r="C27" s="716">
        <f>1615.8</f>
        <v>1615.8</v>
      </c>
      <c r="D27" s="978"/>
      <c r="E27" s="978">
        <f t="shared" si="13"/>
        <v>1615.8</v>
      </c>
      <c r="F27" s="716"/>
      <c r="G27" s="716"/>
      <c r="H27" s="716"/>
      <c r="I27" s="978"/>
      <c r="J27" s="716">
        <f t="shared" si="14"/>
        <v>1615.8</v>
      </c>
    </row>
    <row r="28" spans="1:18" x14ac:dyDescent="0.3">
      <c r="A28" s="256" t="s">
        <v>598</v>
      </c>
      <c r="B28" s="945" t="str">
        <f>_xlfn.XLOOKUP(A28,COA!B:B,COA!B:B,"not found",0,1)</f>
        <v>6026 Fuel / Industrial Gas</v>
      </c>
      <c r="C28" s="716">
        <v>847.13</v>
      </c>
      <c r="D28" s="978">
        <f>-'TB.3 - Acq TB'!I53</f>
        <v>-149</v>
      </c>
      <c r="E28" s="978">
        <f t="shared" si="13"/>
        <v>698.13</v>
      </c>
      <c r="F28" s="1386">
        <f>1394.57</f>
        <v>1394.57</v>
      </c>
      <c r="G28" s="918">
        <f>605.79</f>
        <v>605.79</v>
      </c>
      <c r="H28" s="716"/>
      <c r="I28" s="978"/>
      <c r="J28" s="716">
        <f t="shared" si="14"/>
        <v>2698.49</v>
      </c>
    </row>
    <row r="29" spans="1:18" x14ac:dyDescent="0.3">
      <c r="A29" s="256" t="s">
        <v>600</v>
      </c>
      <c r="B29" s="945" t="str">
        <f>_xlfn.XLOOKUP(A29,COA!B:B,COA!B:B,"not found",0,1)</f>
        <v>6031 IT Expense</v>
      </c>
      <c r="C29" s="716">
        <f>399.46</f>
        <v>399.46</v>
      </c>
      <c r="D29" s="978"/>
      <c r="E29" s="978">
        <f t="shared" si="13"/>
        <v>399.46</v>
      </c>
      <c r="F29" s="1386">
        <f>735.04</f>
        <v>735.04</v>
      </c>
      <c r="G29" s="918">
        <f>549.69</f>
        <v>549.69000000000005</v>
      </c>
      <c r="H29" s="918">
        <f>511.8</f>
        <v>511.8</v>
      </c>
      <c r="I29" s="978"/>
      <c r="J29" s="716">
        <f t="shared" si="14"/>
        <v>2195.9900000000002</v>
      </c>
    </row>
    <row r="30" spans="1:18" x14ac:dyDescent="0.3">
      <c r="A30" s="256" t="s">
        <v>601</v>
      </c>
      <c r="B30" s="945" t="str">
        <f>_xlfn.XLOOKUP(A30,COA!B:B,COA!B:B,"not found",0,1)</f>
        <v>6040 Meals and entertainment</v>
      </c>
      <c r="C30" s="716">
        <v>1984.75</v>
      </c>
      <c r="D30" s="978"/>
      <c r="E30" s="978">
        <f t="shared" si="13"/>
        <v>1984.75</v>
      </c>
      <c r="F30" s="1386">
        <f>619.24</f>
        <v>619.24</v>
      </c>
      <c r="G30" s="918">
        <f>169.7</f>
        <v>169.7</v>
      </c>
      <c r="H30" s="716"/>
      <c r="I30" s="978"/>
      <c r="J30" s="716">
        <f t="shared" si="14"/>
        <v>2773.6899999999996</v>
      </c>
    </row>
    <row r="31" spans="1:18" x14ac:dyDescent="0.3">
      <c r="A31" s="256" t="s">
        <v>602</v>
      </c>
      <c r="B31" s="945" t="str">
        <f>_xlfn.XLOOKUP(A31,COA!B:B,COA!B:B,"not found",0,1)</f>
        <v>6041 Travel Meals</v>
      </c>
      <c r="C31" s="716">
        <v>1382</v>
      </c>
      <c r="D31" s="978"/>
      <c r="E31" s="978">
        <f t="shared" si="13"/>
        <v>1382</v>
      </c>
      <c r="F31" s="1386">
        <f>40.04</f>
        <v>40.04</v>
      </c>
      <c r="G31" s="716"/>
      <c r="H31" s="716"/>
      <c r="I31" s="978"/>
      <c r="J31" s="716">
        <f t="shared" si="14"/>
        <v>1422.04</v>
      </c>
    </row>
    <row r="32" spans="1:18" x14ac:dyDescent="0.3">
      <c r="A32" s="256" t="s">
        <v>481</v>
      </c>
      <c r="B32" s="945" t="str">
        <f>_xlfn.XLOOKUP(A32,COA!B:B,COA!B:B,"not found",0,1)</f>
        <v>6042 Travel</v>
      </c>
      <c r="C32" s="716">
        <v>4927.53</v>
      </c>
      <c r="D32" s="978"/>
      <c r="E32" s="978">
        <f t="shared" si="13"/>
        <v>4927.53</v>
      </c>
      <c r="F32" s="1386">
        <f>944.77</f>
        <v>944.77</v>
      </c>
      <c r="G32" s="918">
        <f>498.92</f>
        <v>498.92</v>
      </c>
      <c r="H32" s="716"/>
      <c r="I32" s="978"/>
      <c r="J32" s="716">
        <f t="shared" si="14"/>
        <v>6371.2199999999993</v>
      </c>
    </row>
    <row r="33" spans="1:10" x14ac:dyDescent="0.3">
      <c r="A33" s="256" t="s">
        <v>482</v>
      </c>
      <c r="B33" s="945" t="str">
        <f>_xlfn.XLOOKUP(A33,COA!B:B,COA!B:B,"not found",0,1)</f>
        <v>6050 Insurance</v>
      </c>
      <c r="C33" s="716">
        <f>145.29</f>
        <v>145.29</v>
      </c>
      <c r="D33" s="978"/>
      <c r="E33" s="978">
        <f t="shared" si="13"/>
        <v>145.29</v>
      </c>
      <c r="F33" s="1387"/>
      <c r="G33" s="716"/>
      <c r="H33" s="716"/>
      <c r="I33" s="978"/>
      <c r="J33" s="716">
        <f t="shared" si="14"/>
        <v>145.29</v>
      </c>
    </row>
    <row r="34" spans="1:10" x14ac:dyDescent="0.3">
      <c r="A34" s="256" t="s">
        <v>605</v>
      </c>
      <c r="B34" s="945" t="str">
        <f>_xlfn.XLOOKUP(A34,COA!B:B,COA!B:B,"not found",0,1)</f>
        <v>6068 Shipping, Freight, and Delivery</v>
      </c>
      <c r="C34" s="716">
        <f>5950</f>
        <v>5950</v>
      </c>
      <c r="D34" s="978"/>
      <c r="E34" s="978">
        <f t="shared" si="13"/>
        <v>5950</v>
      </c>
      <c r="F34" s="1386">
        <f>5493.81</f>
        <v>5493.81</v>
      </c>
      <c r="G34" s="716"/>
      <c r="H34" s="716"/>
      <c r="I34" s="978"/>
      <c r="J34" s="716">
        <f t="shared" si="14"/>
        <v>11443.810000000001</v>
      </c>
    </row>
    <row r="35" spans="1:10" x14ac:dyDescent="0.3">
      <c r="A35" s="256" t="s">
        <v>486</v>
      </c>
      <c r="B35" s="945" t="str">
        <f>_xlfn.XLOOKUP(A35,COA!B:B,COA!B:B,"not found",0,1)</f>
        <v>6070 Office Supplies</v>
      </c>
      <c r="C35" s="716">
        <f>224.69</f>
        <v>224.69</v>
      </c>
      <c r="D35" s="978"/>
      <c r="E35" s="978">
        <f t="shared" si="13"/>
        <v>224.69</v>
      </c>
      <c r="F35" s="1386">
        <f>-203.7</f>
        <v>-203.7</v>
      </c>
      <c r="G35" s="716"/>
      <c r="H35" s="716"/>
      <c r="I35" s="978"/>
      <c r="J35" s="716">
        <f t="shared" si="14"/>
        <v>20.990000000000009</v>
      </c>
    </row>
    <row r="36" spans="1:10" x14ac:dyDescent="0.3">
      <c r="A36" s="256" t="s">
        <v>606</v>
      </c>
      <c r="B36" s="945" t="str">
        <f>_xlfn.XLOOKUP(A36,COA!B:B,COA!B:B,"not found",0,1)</f>
        <v>6075 Minor shop tools</v>
      </c>
      <c r="C36" s="716"/>
      <c r="D36" s="978"/>
      <c r="E36" s="978"/>
      <c r="F36" s="1386">
        <f>1028.59</f>
        <v>1028.5899999999999</v>
      </c>
      <c r="G36" s="716"/>
      <c r="H36" s="716"/>
      <c r="I36" s="978"/>
      <c r="J36" s="716">
        <f t="shared" si="14"/>
        <v>1028.5899999999999</v>
      </c>
    </row>
    <row r="37" spans="1:10" x14ac:dyDescent="0.3">
      <c r="A37" s="256" t="s">
        <v>608</v>
      </c>
      <c r="B37" s="945" t="str">
        <f>_xlfn.XLOOKUP(A37,COA!B:B,COA!B:B,"not found",0,1)</f>
        <v>6080 Shop and other supplies</v>
      </c>
      <c r="C37" s="716">
        <f>1169.37</f>
        <v>1169.3699999999999</v>
      </c>
      <c r="D37" s="978"/>
      <c r="E37" s="978">
        <f t="shared" si="13"/>
        <v>1169.3699999999999</v>
      </c>
      <c r="F37" s="1386">
        <v>1699.37</v>
      </c>
      <c r="G37" s="716"/>
      <c r="H37" s="918">
        <f>32.45</f>
        <v>32.450000000000003</v>
      </c>
      <c r="I37" s="978"/>
      <c r="J37" s="716">
        <f t="shared" si="14"/>
        <v>2901.1899999999996</v>
      </c>
    </row>
    <row r="38" spans="1:10" x14ac:dyDescent="0.3">
      <c r="A38" s="256" t="s">
        <v>1989</v>
      </c>
      <c r="B38" s="945" t="str">
        <f>_xlfn.XLOOKUP(A38,COA!B:B,COA!B:B,"not found",0,1)</f>
        <v>6300 Design and modeling</v>
      </c>
      <c r="C38" s="716"/>
      <c r="D38" s="978"/>
      <c r="E38" s="978"/>
      <c r="F38" s="1386"/>
      <c r="G38" s="716"/>
      <c r="H38" s="918">
        <f>3646.21</f>
        <v>3646.21</v>
      </c>
      <c r="I38" s="978"/>
      <c r="J38" s="716">
        <f t="shared" si="14"/>
        <v>3646.21</v>
      </c>
    </row>
    <row r="39" spans="1:10" x14ac:dyDescent="0.3">
      <c r="A39" s="256" t="s">
        <v>1990</v>
      </c>
      <c r="B39" s="945" t="str">
        <f>_xlfn.XLOOKUP(A39,COA!B:B,COA!B:B,"not found",0,1)</f>
        <v>6350 Other labor costs</v>
      </c>
      <c r="C39" s="716"/>
      <c r="D39" s="978"/>
      <c r="E39" s="978"/>
      <c r="F39" s="1386"/>
      <c r="G39" s="716"/>
      <c r="H39" s="918">
        <f>2024.57</f>
        <v>2024.57</v>
      </c>
      <c r="I39" s="978"/>
      <c r="J39" s="716">
        <f t="shared" si="14"/>
        <v>2024.57</v>
      </c>
    </row>
    <row r="40" spans="1:10" x14ac:dyDescent="0.3">
      <c r="A40" s="256" t="s">
        <v>382</v>
      </c>
      <c r="B40" s="945"/>
      <c r="C40" s="929">
        <f>-SUM(C21:C39)</f>
        <v>3167.4299999999985</v>
      </c>
      <c r="D40" s="1385">
        <f t="shared" ref="D40:E40" si="15">-SUM(D21:D39)</f>
        <v>-85049</v>
      </c>
      <c r="E40" s="1385">
        <f t="shared" si="15"/>
        <v>-81881.570000000007</v>
      </c>
      <c r="F40" s="929">
        <f>-SUM(F21:F39)</f>
        <v>-58526.799999999996</v>
      </c>
      <c r="G40" s="929">
        <f>-SUM(G21:G39)</f>
        <v>-6408.4000000000005</v>
      </c>
      <c r="H40" s="929">
        <f>-SUM(H21:H39)</f>
        <v>-14385.380000000001</v>
      </c>
      <c r="I40" s="1385">
        <f>-SUM(I21:I39)</f>
        <v>0</v>
      </c>
      <c r="J40" s="929">
        <f>-SUM(J21:J39)</f>
        <v>-161202.15000000002</v>
      </c>
    </row>
    <row r="41" spans="1:10" x14ac:dyDescent="0.3">
      <c r="A41" s="256" t="s">
        <v>720</v>
      </c>
      <c r="B41" s="945"/>
      <c r="C41" s="280"/>
      <c r="D41" s="977"/>
      <c r="E41" s="977"/>
      <c r="F41" s="280"/>
      <c r="G41" s="280"/>
      <c r="H41" s="280"/>
      <c r="I41" s="977"/>
      <c r="J41" s="280"/>
    </row>
    <row r="42" spans="1:10" x14ac:dyDescent="0.3">
      <c r="A42" s="256" t="s">
        <v>490</v>
      </c>
      <c r="B42" s="945" t="str">
        <f>_xlfn.XLOOKUP(A42,COA!B:B,COA!B:B,"not found",0,1)</f>
        <v>5498 Interest income</v>
      </c>
      <c r="C42" s="716">
        <f>99.47</f>
        <v>99.47</v>
      </c>
      <c r="D42" s="978"/>
      <c r="E42" s="978">
        <f t="shared" ref="E42" si="16">SUM(C42:D42)</f>
        <v>99.47</v>
      </c>
      <c r="F42" s="716">
        <v>83.37</v>
      </c>
      <c r="G42" s="918">
        <f>8.86</f>
        <v>8.86</v>
      </c>
      <c r="H42" s="918">
        <f>6.42</f>
        <v>6.42</v>
      </c>
      <c r="I42" s="978"/>
      <c r="J42" s="716">
        <f t="shared" ref="J42" si="17">SUM(E42:I42)</f>
        <v>198.11999999999998</v>
      </c>
    </row>
    <row r="43" spans="1:10" x14ac:dyDescent="0.3">
      <c r="A43" s="256" t="s">
        <v>721</v>
      </c>
      <c r="B43" s="945"/>
      <c r="C43" s="929">
        <f>C42</f>
        <v>99.47</v>
      </c>
      <c r="D43" s="1385">
        <f>D42</f>
        <v>0</v>
      </c>
      <c r="E43" s="1385">
        <f>E42</f>
        <v>99.47</v>
      </c>
      <c r="F43" s="929">
        <f t="shared" ref="F43:J43" si="18">F42</f>
        <v>83.37</v>
      </c>
      <c r="G43" s="929">
        <f t="shared" si="18"/>
        <v>8.86</v>
      </c>
      <c r="H43" s="929">
        <f t="shared" si="18"/>
        <v>6.42</v>
      </c>
      <c r="I43" s="1385">
        <f t="shared" si="18"/>
        <v>0</v>
      </c>
      <c r="J43" s="929">
        <f t="shared" si="18"/>
        <v>198.11999999999998</v>
      </c>
    </row>
    <row r="44" spans="1:10" x14ac:dyDescent="0.3">
      <c r="A44" s="256" t="s">
        <v>383</v>
      </c>
      <c r="B44" s="945"/>
      <c r="C44" s="280"/>
      <c r="D44" s="977"/>
      <c r="E44" s="977"/>
      <c r="F44" s="280"/>
      <c r="G44" s="280"/>
      <c r="H44" s="280"/>
      <c r="I44" s="977"/>
      <c r="J44" s="280"/>
    </row>
    <row r="45" spans="1:10" x14ac:dyDescent="0.3">
      <c r="A45" s="256" t="s">
        <v>610</v>
      </c>
      <c r="B45" s="945" t="str">
        <f>_xlfn.XLOOKUP(A45,COA!B:B,COA!B:B,"not found",0,1)</f>
        <v>6085 Depreciation</v>
      </c>
      <c r="C45" s="716">
        <f>439.3</f>
        <v>439.3</v>
      </c>
      <c r="D45" s="978"/>
      <c r="E45" s="978">
        <f t="shared" ref="E45:E48" si="19">SUM(C45:D45)</f>
        <v>439.3</v>
      </c>
      <c r="F45" s="716">
        <v>509.01</v>
      </c>
      <c r="G45" s="716"/>
      <c r="H45" s="716"/>
      <c r="I45" s="978"/>
      <c r="J45" s="716">
        <f t="shared" ref="J45:J48" si="20">SUM(E45:I45)</f>
        <v>948.31</v>
      </c>
    </row>
    <row r="46" spans="1:10" x14ac:dyDescent="0.3">
      <c r="A46" s="256" t="s">
        <v>492</v>
      </c>
      <c r="B46" s="945" t="str">
        <f>_xlfn.XLOOKUP(A46,COA!B:B,COA!B:B,"not found",0,1)</f>
        <v>6999 Miscellaneous</v>
      </c>
      <c r="C46" s="716">
        <f>149.77</f>
        <v>149.77000000000001</v>
      </c>
      <c r="D46" s="978"/>
      <c r="E46" s="978">
        <f t="shared" si="19"/>
        <v>149.77000000000001</v>
      </c>
      <c r="F46" s="1386">
        <f>65</f>
        <v>65</v>
      </c>
      <c r="G46" s="716"/>
      <c r="H46" s="716"/>
      <c r="I46" s="978"/>
      <c r="J46" s="716">
        <f t="shared" si="20"/>
        <v>214.77</v>
      </c>
    </row>
    <row r="47" spans="1:10" x14ac:dyDescent="0.3">
      <c r="A47" s="256" t="s">
        <v>493</v>
      </c>
      <c r="B47" s="945" t="str">
        <f>_xlfn.XLOOKUP(A47,COA!B:B,COA!B:B,"not found",0,1)</f>
        <v>7000 Reconciliation Discrepancies</v>
      </c>
      <c r="C47" s="716">
        <f>-2769.58</f>
        <v>-2769.58</v>
      </c>
      <c r="D47" s="978">
        <f>-C47</f>
        <v>2769.58</v>
      </c>
      <c r="E47" s="978">
        <f t="shared" si="19"/>
        <v>0</v>
      </c>
      <c r="F47" s="716"/>
      <c r="G47" s="716"/>
      <c r="H47" s="716"/>
      <c r="I47" s="978"/>
      <c r="J47" s="716">
        <f t="shared" si="20"/>
        <v>0</v>
      </c>
    </row>
    <row r="48" spans="1:10" x14ac:dyDescent="0.3">
      <c r="A48" s="256" t="s">
        <v>612</v>
      </c>
      <c r="B48" s="945" t="str">
        <f>_xlfn.XLOOKUP(A48,COA!B:B,COA!B:B,"not found",0,1)</f>
        <v>8000 Exchange Gain or Loss</v>
      </c>
      <c r="C48" s="716">
        <f>149.34</f>
        <v>149.34</v>
      </c>
      <c r="D48" s="978"/>
      <c r="E48" s="978">
        <f t="shared" si="19"/>
        <v>149.34</v>
      </c>
      <c r="F48" s="1386">
        <f>47.92</f>
        <v>47.92</v>
      </c>
      <c r="G48" s="918">
        <f>1.59</f>
        <v>1.59</v>
      </c>
      <c r="H48" s="918">
        <f>2.41</f>
        <v>2.41</v>
      </c>
      <c r="I48" s="978"/>
      <c r="J48" s="716">
        <f t="shared" si="20"/>
        <v>201.26</v>
      </c>
    </row>
    <row r="49" spans="1:10" x14ac:dyDescent="0.3">
      <c r="A49" s="256" t="s">
        <v>384</v>
      </c>
      <c r="B49" s="945"/>
      <c r="C49" s="929">
        <f t="shared" ref="C49:J49" si="21">-SUM(C45:C48)</f>
        <v>2031.1699999999998</v>
      </c>
      <c r="D49" s="1385">
        <f t="shared" si="21"/>
        <v>-2769.58</v>
      </c>
      <c r="E49" s="1385">
        <f t="shared" si="21"/>
        <v>-738.41000000000008</v>
      </c>
      <c r="F49" s="929">
        <f t="shared" si="21"/>
        <v>-621.92999999999995</v>
      </c>
      <c r="G49" s="929">
        <f t="shared" si="21"/>
        <v>-1.59</v>
      </c>
      <c r="H49" s="929">
        <f t="shared" si="21"/>
        <v>-2.41</v>
      </c>
      <c r="I49" s="1385">
        <f t="shared" si="21"/>
        <v>0</v>
      </c>
      <c r="J49" s="929">
        <f t="shared" si="21"/>
        <v>-1364.34</v>
      </c>
    </row>
    <row r="50" spans="1:10" x14ac:dyDescent="0.3">
      <c r="A50" s="256" t="s">
        <v>385</v>
      </c>
      <c r="B50" s="945"/>
      <c r="C50" s="929">
        <f>C19-C40-C43-C49</f>
        <v>-260842.41</v>
      </c>
      <c r="D50" s="1385">
        <f t="shared" ref="D50:E50" si="22">D19+D40+D43+D49</f>
        <v>-365519.04000000004</v>
      </c>
      <c r="E50" s="1385">
        <f t="shared" si="22"/>
        <v>-104676.63000000002</v>
      </c>
      <c r="F50" s="929">
        <f>F19+F40+F43+F49</f>
        <v>-91238.099999999991</v>
      </c>
      <c r="G50" s="929">
        <f>G19+G40+G43+G49</f>
        <v>184437.8</v>
      </c>
      <c r="H50" s="929">
        <f>H19+H40+H43+H49</f>
        <v>-15549.37</v>
      </c>
      <c r="I50" s="1385">
        <f>I19+I40+I43+I49</f>
        <v>-190000</v>
      </c>
      <c r="J50" s="929">
        <f>J19+J40+J43+J49</f>
        <v>-159318.37000000002</v>
      </c>
    </row>
  </sheetData>
  <autoFilter ref="A5:J45" xr:uid="{7A3346BA-5F3F-4251-A19A-E4D0401711C3}"/>
  <conditionalFormatting sqref="B1:B5 B11:B1048576">
    <cfRule type="duplicateValues" dxfId="6" priority="74"/>
  </conditionalFormatting>
  <conditionalFormatting sqref="B7">
    <cfRule type="duplicateValues" dxfId="5" priority="3"/>
  </conditionalFormatting>
  <conditionalFormatting sqref="B8">
    <cfRule type="duplicateValues" dxfId="4" priority="2"/>
  </conditionalFormatting>
  <conditionalFormatting sqref="B9">
    <cfRule type="duplicateValues" dxfId="3" priority="1"/>
  </conditionalFormatting>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D06C-0FEE-48E9-9895-A3E25BE322A2}">
  <sheetPr>
    <tabColor theme="5" tint="0.79998168889431442"/>
  </sheetPr>
  <dimension ref="A1:G31"/>
  <sheetViews>
    <sheetView workbookViewId="0"/>
  </sheetViews>
  <sheetFormatPr defaultRowHeight="14.4" x14ac:dyDescent="0.3"/>
  <cols>
    <col min="1" max="1" width="51.44140625" customWidth="1"/>
    <col min="2" max="2" width="11.6640625" style="792" bestFit="1" customWidth="1"/>
    <col min="3" max="3" width="11.6640625" style="792" customWidth="1"/>
    <col min="4" max="4" width="11.5546875" style="792" bestFit="1" customWidth="1"/>
    <col min="6" max="6" width="12.88671875" bestFit="1" customWidth="1"/>
    <col min="7" max="7" width="10.44140625" bestFit="1" customWidth="1"/>
  </cols>
  <sheetData>
    <row r="1" spans="1:7" ht="17.399999999999999" x14ac:dyDescent="0.3">
      <c r="A1" s="412" t="s">
        <v>496</v>
      </c>
      <c r="F1" s="530" t="s">
        <v>365</v>
      </c>
      <c r="G1" s="545">
        <v>45186</v>
      </c>
    </row>
    <row r="2" spans="1:7" ht="17.399999999999999" x14ac:dyDescent="0.3">
      <c r="A2" s="412" t="s">
        <v>374</v>
      </c>
    </row>
    <row r="3" spans="1:7" x14ac:dyDescent="0.3">
      <c r="A3" s="524" t="s">
        <v>499</v>
      </c>
    </row>
    <row r="5" spans="1:7" x14ac:dyDescent="0.3">
      <c r="A5" s="163"/>
      <c r="B5" s="1341" t="s">
        <v>251</v>
      </c>
      <c r="C5" s="1341" t="s">
        <v>252</v>
      </c>
      <c r="D5" s="1342" t="s">
        <v>253</v>
      </c>
    </row>
    <row r="6" spans="1:7" x14ac:dyDescent="0.3">
      <c r="A6" s="256" t="s">
        <v>453</v>
      </c>
      <c r="B6" s="716">
        <v>108179.91</v>
      </c>
      <c r="C6" s="280"/>
      <c r="D6" s="280">
        <f>B6-C6</f>
        <v>108179.91</v>
      </c>
    </row>
    <row r="7" spans="1:7" x14ac:dyDescent="0.3">
      <c r="A7" s="256" t="s">
        <v>730</v>
      </c>
      <c r="B7" s="716">
        <v>556400</v>
      </c>
      <c r="C7" s="280"/>
      <c r="D7" s="280">
        <f>B7-C7</f>
        <v>556400</v>
      </c>
    </row>
    <row r="8" spans="1:7" x14ac:dyDescent="0.3">
      <c r="A8" s="256" t="s">
        <v>320</v>
      </c>
      <c r="B8" s="280"/>
      <c r="C8" s="716">
        <v>43957.31</v>
      </c>
      <c r="D8" s="280">
        <f t="shared" ref="D8:D27" si="0">B8-C8</f>
        <v>-43957.31</v>
      </c>
    </row>
    <row r="9" spans="1:7" x14ac:dyDescent="0.3">
      <c r="A9" s="256" t="s">
        <v>321</v>
      </c>
      <c r="B9" s="280"/>
      <c r="C9" s="716">
        <v>23721</v>
      </c>
      <c r="D9" s="280">
        <f t="shared" si="0"/>
        <v>-23721</v>
      </c>
    </row>
    <row r="10" spans="1:7" x14ac:dyDescent="0.3">
      <c r="A10" s="256" t="s">
        <v>457</v>
      </c>
      <c r="B10" s="716">
        <v>12374.97</v>
      </c>
      <c r="C10" s="280"/>
      <c r="D10" s="280">
        <f t="shared" si="0"/>
        <v>12374.97</v>
      </c>
    </row>
    <row r="11" spans="1:7" x14ac:dyDescent="0.3">
      <c r="A11" s="256" t="s">
        <v>461</v>
      </c>
      <c r="B11" s="280"/>
      <c r="C11" s="716">
        <v>900</v>
      </c>
      <c r="D11" s="280">
        <f t="shared" si="0"/>
        <v>-900</v>
      </c>
    </row>
    <row r="12" spans="1:7" x14ac:dyDescent="0.3">
      <c r="A12" s="256" t="s">
        <v>462</v>
      </c>
      <c r="B12" s="280"/>
      <c r="C12" s="716">
        <v>0</v>
      </c>
      <c r="D12" s="280">
        <f t="shared" si="0"/>
        <v>0</v>
      </c>
    </row>
    <row r="13" spans="1:7" x14ac:dyDescent="0.3">
      <c r="A13" s="256" t="s">
        <v>463</v>
      </c>
      <c r="B13" s="280"/>
      <c r="C13" s="716">
        <v>0</v>
      </c>
      <c r="D13" s="280">
        <f t="shared" si="0"/>
        <v>0</v>
      </c>
    </row>
    <row r="14" spans="1:7" x14ac:dyDescent="0.3">
      <c r="A14" s="256" t="s">
        <v>466</v>
      </c>
      <c r="B14" s="716"/>
      <c r="C14" s="280">
        <v>1801251</v>
      </c>
      <c r="D14" s="280">
        <f t="shared" si="0"/>
        <v>-1801251</v>
      </c>
    </row>
    <row r="15" spans="1:7" x14ac:dyDescent="0.3">
      <c r="A15" s="256" t="s">
        <v>467</v>
      </c>
      <c r="B15" s="280">
        <v>27152.1</v>
      </c>
      <c r="C15" s="716"/>
      <c r="D15" s="280">
        <f t="shared" si="0"/>
        <v>27152.1</v>
      </c>
    </row>
    <row r="16" spans="1:7" x14ac:dyDescent="0.3">
      <c r="A16" s="256" t="s">
        <v>468</v>
      </c>
      <c r="B16" s="280"/>
      <c r="C16" s="716">
        <v>308750</v>
      </c>
      <c r="D16" s="280">
        <f t="shared" si="0"/>
        <v>-308750</v>
      </c>
    </row>
    <row r="17" spans="1:4" x14ac:dyDescent="0.3">
      <c r="A17" s="919" t="s">
        <v>469</v>
      </c>
      <c r="B17" s="923">
        <v>106588.45</v>
      </c>
      <c r="C17" s="979"/>
      <c r="D17" s="979">
        <f t="shared" si="0"/>
        <v>106588.45</v>
      </c>
    </row>
    <row r="18" spans="1:4" x14ac:dyDescent="0.3">
      <c r="A18" s="256" t="s">
        <v>472</v>
      </c>
      <c r="B18" s="716">
        <v>400.59</v>
      </c>
      <c r="C18" s="280"/>
      <c r="D18" s="280">
        <f t="shared" si="0"/>
        <v>400.59</v>
      </c>
    </row>
    <row r="19" spans="1:4" x14ac:dyDescent="0.3">
      <c r="A19" s="256" t="s">
        <v>475</v>
      </c>
      <c r="B19" s="716">
        <v>10488.95</v>
      </c>
      <c r="C19" s="280"/>
      <c r="D19" s="280">
        <f t="shared" si="0"/>
        <v>10488.95</v>
      </c>
    </row>
    <row r="20" spans="1:4" x14ac:dyDescent="0.3">
      <c r="A20" s="256" t="s">
        <v>476</v>
      </c>
      <c r="B20" s="716">
        <v>51153.34</v>
      </c>
      <c r="C20" s="280"/>
      <c r="D20" s="280">
        <f t="shared" si="0"/>
        <v>51153.34</v>
      </c>
    </row>
    <row r="21" spans="1:4" x14ac:dyDescent="0.3">
      <c r="A21" s="256" t="s">
        <v>477</v>
      </c>
      <c r="B21" s="716">
        <v>1302430</v>
      </c>
      <c r="C21" s="280"/>
      <c r="D21" s="280">
        <f t="shared" si="0"/>
        <v>1302430</v>
      </c>
    </row>
    <row r="22" spans="1:4" x14ac:dyDescent="0.3">
      <c r="A22" s="256" t="s">
        <v>478</v>
      </c>
      <c r="B22" s="716">
        <v>29541.72</v>
      </c>
      <c r="C22" s="280"/>
      <c r="D22" s="280">
        <f t="shared" si="0"/>
        <v>29541.72</v>
      </c>
    </row>
    <row r="23" spans="1:4" x14ac:dyDescent="0.3">
      <c r="A23" s="256" t="s">
        <v>480</v>
      </c>
      <c r="B23" s="716">
        <v>922.65</v>
      </c>
      <c r="C23" s="280"/>
      <c r="D23" s="280">
        <f t="shared" si="0"/>
        <v>922.65</v>
      </c>
    </row>
    <row r="24" spans="1:4" x14ac:dyDescent="0.3">
      <c r="A24" s="256" t="s">
        <v>481</v>
      </c>
      <c r="B24" s="716">
        <v>2</v>
      </c>
      <c r="C24" s="280"/>
      <c r="D24" s="280">
        <f t="shared" si="0"/>
        <v>2</v>
      </c>
    </row>
    <row r="25" spans="1:4" x14ac:dyDescent="0.3">
      <c r="A25" s="256" t="s">
        <v>483</v>
      </c>
      <c r="B25" s="716">
        <v>9344.6299999999992</v>
      </c>
      <c r="C25" s="280"/>
      <c r="D25" s="280">
        <f t="shared" si="0"/>
        <v>9344.6299999999992</v>
      </c>
    </row>
    <row r="26" spans="1:4" x14ac:dyDescent="0.3">
      <c r="A26" s="256" t="s">
        <v>486</v>
      </c>
      <c r="B26" s="716">
        <v>0</v>
      </c>
      <c r="C26" s="280"/>
      <c r="D26" s="280">
        <f t="shared" si="0"/>
        <v>0</v>
      </c>
    </row>
    <row r="27" spans="1:4" x14ac:dyDescent="0.3">
      <c r="A27" s="256" t="s">
        <v>490</v>
      </c>
      <c r="B27" s="716"/>
      <c r="C27" s="280">
        <v>36400</v>
      </c>
      <c r="D27" s="280">
        <f t="shared" si="0"/>
        <v>-36400</v>
      </c>
    </row>
    <row r="28" spans="1:4" x14ac:dyDescent="0.3">
      <c r="A28" s="415"/>
      <c r="B28" s="1032"/>
      <c r="C28" s="1031"/>
      <c r="D28" s="280"/>
    </row>
    <row r="29" spans="1:4" x14ac:dyDescent="0.3">
      <c r="A29" s="415"/>
      <c r="B29" s="1032"/>
      <c r="C29" s="1031"/>
      <c r="D29" s="280"/>
    </row>
    <row r="30" spans="1:4" x14ac:dyDescent="0.3">
      <c r="A30" s="415"/>
      <c r="B30" s="1032"/>
      <c r="C30" s="1031"/>
      <c r="D30" s="280"/>
    </row>
    <row r="31" spans="1:4" x14ac:dyDescent="0.3">
      <c r="A31" s="415" t="s">
        <v>0</v>
      </c>
      <c r="B31" s="1033">
        <f>SUM(B6:B28)</f>
        <v>2214979.3099999996</v>
      </c>
      <c r="C31" s="1033">
        <f>SUM(C6:C28)</f>
        <v>2214979.31</v>
      </c>
      <c r="D31" s="1033">
        <f>SUM(D6:D30)</f>
        <v>2.3283064365386963E-10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1BEF-E628-4644-BAF2-DD34E2A93636}">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7C1E-203B-4DDD-9962-0F0A25E5F8F4}">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DDD1C-E5ED-483D-BC37-9C38F4E0A2C3}">
  <dimension ref="A1:G32"/>
  <sheetViews>
    <sheetView workbookViewId="0"/>
  </sheetViews>
  <sheetFormatPr defaultColWidth="9.109375" defaultRowHeight="14.4" outlineLevelCol="1" x14ac:dyDescent="0.3"/>
  <cols>
    <col min="1" max="1" width="60.88671875" style="474" customWidth="1"/>
    <col min="2" max="2" width="14" style="785" customWidth="1" outlineLevel="1"/>
    <col min="3" max="3" width="10.5546875" style="480" customWidth="1"/>
    <col min="4" max="4" width="10.5546875" style="474" bestFit="1" customWidth="1"/>
    <col min="5" max="5" width="11.44140625" style="474" bestFit="1" customWidth="1"/>
    <col min="6" max="6" width="35.44140625" style="789" customWidth="1"/>
    <col min="7" max="7" width="38" style="474" bestFit="1" customWidth="1"/>
    <col min="8" max="16384" width="9.109375" style="474"/>
  </cols>
  <sheetData>
    <row r="1" spans="1:7" ht="17.399999999999999" x14ac:dyDescent="0.3">
      <c r="A1" s="779" t="s">
        <v>642</v>
      </c>
      <c r="B1" s="781"/>
    </row>
    <row r="2" spans="1:7" ht="17.399999999999999" x14ac:dyDescent="0.3">
      <c r="A2" s="779" t="s">
        <v>714</v>
      </c>
      <c r="B2" s="781"/>
    </row>
    <row r="3" spans="1:7" x14ac:dyDescent="0.3">
      <c r="A3" s="780" t="s">
        <v>715</v>
      </c>
      <c r="B3" s="781"/>
    </row>
    <row r="4" spans="1:7" x14ac:dyDescent="0.3">
      <c r="A4" s="788" t="s">
        <v>725</v>
      </c>
      <c r="F4" s="789" t="s">
        <v>727</v>
      </c>
      <c r="G4" s="789" t="s">
        <v>728</v>
      </c>
    </row>
    <row r="5" spans="1:7" ht="28.8" x14ac:dyDescent="0.3">
      <c r="A5" s="476"/>
      <c r="B5" s="786" t="s">
        <v>716</v>
      </c>
      <c r="C5" s="787" t="s">
        <v>722</v>
      </c>
      <c r="D5" s="787" t="s">
        <v>723</v>
      </c>
      <c r="E5" s="787" t="s">
        <v>724</v>
      </c>
      <c r="F5" s="789" t="s">
        <v>679</v>
      </c>
      <c r="G5" s="789" t="s">
        <v>679</v>
      </c>
    </row>
    <row r="6" spans="1:7" x14ac:dyDescent="0.3">
      <c r="A6" s="778" t="s">
        <v>717</v>
      </c>
      <c r="B6" s="782"/>
    </row>
    <row r="7" spans="1:7" x14ac:dyDescent="0.3">
      <c r="A7" s="507" t="s">
        <v>575</v>
      </c>
      <c r="B7" s="782"/>
    </row>
    <row r="8" spans="1:7" x14ac:dyDescent="0.3">
      <c r="A8" s="507" t="s">
        <v>576</v>
      </c>
      <c r="B8" s="783">
        <f>-251333.95</f>
        <v>-251333.95</v>
      </c>
      <c r="C8" s="783">
        <f>ROUND(B8,0)</f>
        <v>-251334</v>
      </c>
      <c r="D8" s="783">
        <v>0</v>
      </c>
      <c r="E8" s="783">
        <f>D8</f>
        <v>0</v>
      </c>
      <c r="F8" s="789" t="str">
        <f>_xlfn.XLOOKUP(A8,COA!B:B,COA!C:C,0,0,1)</f>
        <v>Cost of goods sold</v>
      </c>
      <c r="G8" s="789"/>
    </row>
    <row r="9" spans="1:7" x14ac:dyDescent="0.3">
      <c r="A9" s="507" t="s">
        <v>577</v>
      </c>
      <c r="B9" s="783">
        <f>-15460.46</f>
        <v>-15460.46</v>
      </c>
      <c r="C9" s="783">
        <f t="shared" ref="C9:C10" si="0">ROUND(B9,0)</f>
        <v>-15460</v>
      </c>
      <c r="D9" s="783">
        <v>0</v>
      </c>
      <c r="E9" s="783">
        <f>D9</f>
        <v>0</v>
      </c>
      <c r="F9" s="789" t="str">
        <f>_xlfn.XLOOKUP(A9,COA!B:B,COA!C:C,0,0,1)</f>
        <v>Cost of goods sold</v>
      </c>
      <c r="G9" s="789"/>
    </row>
    <row r="10" spans="1:7" x14ac:dyDescent="0.3">
      <c r="A10" s="507" t="s">
        <v>578</v>
      </c>
      <c r="B10" s="783">
        <f>-10642.47</f>
        <v>-10642.47</v>
      </c>
      <c r="C10" s="783">
        <f t="shared" si="0"/>
        <v>-10642</v>
      </c>
      <c r="D10" s="783">
        <v>0</v>
      </c>
      <c r="E10" s="783">
        <f>D10</f>
        <v>0</v>
      </c>
      <c r="F10" s="789" t="str">
        <f>_xlfn.XLOOKUP(A10,COA!B:B,COA!C:C,0,0,1)</f>
        <v>Cost of goods sold</v>
      </c>
      <c r="G10" s="789"/>
    </row>
    <row r="11" spans="1:7" x14ac:dyDescent="0.3">
      <c r="A11" s="507" t="s">
        <v>726</v>
      </c>
      <c r="B11" s="784">
        <f>(((B7)+(B8))+(B9))+(B10)</f>
        <v>-277436.88</v>
      </c>
      <c r="C11" s="784">
        <f>(((C7)+(C8))+(C9))+(C10)</f>
        <v>-277436</v>
      </c>
      <c r="D11" s="784">
        <f>(((D7)+(D8))+(D9))+(D10)</f>
        <v>0</v>
      </c>
      <c r="E11" s="784">
        <f>(((E7)+(E8))+(E9))+(E10)</f>
        <v>0</v>
      </c>
      <c r="G11" s="789"/>
    </row>
    <row r="12" spans="1:7" x14ac:dyDescent="0.3">
      <c r="A12" s="507" t="s">
        <v>584</v>
      </c>
      <c r="B12" s="783">
        <f>-162.91</f>
        <v>-162.91</v>
      </c>
      <c r="C12" s="783">
        <f>ROUND(B12,0)</f>
        <v>-163</v>
      </c>
      <c r="D12" s="783">
        <v>0</v>
      </c>
      <c r="E12" s="783">
        <f>D12</f>
        <v>0</v>
      </c>
      <c r="F12" s="789" t="str">
        <f>_xlfn.XLOOKUP(A12,COA!B:B,COA!C:C,0,0,1)</f>
        <v>Cost of goods sold</v>
      </c>
      <c r="G12" s="789"/>
    </row>
    <row r="13" spans="1:7" x14ac:dyDescent="0.3">
      <c r="A13" s="778" t="s">
        <v>718</v>
      </c>
      <c r="B13" s="784">
        <f>(B11)+(B12)</f>
        <v>-277599.78999999998</v>
      </c>
      <c r="C13" s="784">
        <f>(C11)+(C12)</f>
        <v>-277599</v>
      </c>
      <c r="D13" s="784">
        <f>(D11)+(D12)</f>
        <v>0</v>
      </c>
      <c r="E13" s="784">
        <f>(E11)+(E12)</f>
        <v>0</v>
      </c>
      <c r="G13" s="789"/>
    </row>
    <row r="14" spans="1:7" x14ac:dyDescent="0.3">
      <c r="A14" s="778" t="s">
        <v>719</v>
      </c>
      <c r="B14" s="784">
        <f>(0)-(B13)</f>
        <v>277599.78999999998</v>
      </c>
      <c r="C14" s="784">
        <f>(0)-(C13)</f>
        <v>277599</v>
      </c>
      <c r="D14" s="784">
        <f>(0)-(D13)</f>
        <v>0</v>
      </c>
      <c r="E14" s="784">
        <f>(0)-(E13)</f>
        <v>0</v>
      </c>
      <c r="G14" s="789"/>
    </row>
    <row r="15" spans="1:7" x14ac:dyDescent="0.3">
      <c r="A15" s="778" t="s">
        <v>378</v>
      </c>
      <c r="B15" s="782"/>
      <c r="C15" s="783"/>
      <c r="D15" s="783"/>
      <c r="E15" s="783"/>
      <c r="G15" s="789"/>
    </row>
    <row r="16" spans="1:7" x14ac:dyDescent="0.3">
      <c r="A16" s="507" t="s">
        <v>592</v>
      </c>
      <c r="B16" s="783">
        <f>85.5</f>
        <v>85.5</v>
      </c>
      <c r="C16" s="783">
        <f>ROUND(B16,0)</f>
        <v>86</v>
      </c>
      <c r="D16" s="783">
        <f>-C16</f>
        <v>-86</v>
      </c>
      <c r="E16" s="783">
        <f>D16</f>
        <v>-86</v>
      </c>
      <c r="F16" s="789" t="str">
        <f>_xlfn.XLOOKUP(A16,COA!B:B,COA!C:C,0,0,1)</f>
        <v>General and administration</v>
      </c>
      <c r="G16" s="789" t="s">
        <v>451</v>
      </c>
    </row>
    <row r="17" spans="1:7" x14ac:dyDescent="0.3">
      <c r="A17" s="507" t="s">
        <v>474</v>
      </c>
      <c r="B17" s="783">
        <f>-5200</f>
        <v>-5200</v>
      </c>
      <c r="C17" s="783">
        <f t="shared" ref="C17:C23" si="1">ROUND(B17,0)</f>
        <v>-5200</v>
      </c>
      <c r="D17" s="783">
        <v>0</v>
      </c>
      <c r="E17" s="783">
        <f t="shared" ref="E17:E23" si="2">D17</f>
        <v>0</v>
      </c>
      <c r="F17" s="789" t="str">
        <f>_xlfn.XLOOKUP(A17,COA!B:B,COA!C:C,0,0,1)</f>
        <v>Interest expense</v>
      </c>
      <c r="G17" s="789"/>
    </row>
    <row r="18" spans="1:7" x14ac:dyDescent="0.3">
      <c r="A18" s="507" t="s">
        <v>594</v>
      </c>
      <c r="B18" s="783">
        <f>57353.75</f>
        <v>57353.75</v>
      </c>
      <c r="C18" s="783">
        <f t="shared" si="1"/>
        <v>57354</v>
      </c>
      <c r="D18" s="783">
        <f>-1845.75-4500</f>
        <v>-6345.75</v>
      </c>
      <c r="E18" s="783">
        <f t="shared" si="2"/>
        <v>-6345.75</v>
      </c>
      <c r="F18" s="789" t="str">
        <f>_xlfn.XLOOKUP(A18,COA!B:B,COA!C:C,0,0,1)</f>
        <v>General and administration</v>
      </c>
      <c r="G18" s="789" t="s">
        <v>308</v>
      </c>
    </row>
    <row r="19" spans="1:7" x14ac:dyDescent="0.3">
      <c r="A19" s="507" t="s">
        <v>595</v>
      </c>
      <c r="B19" s="783">
        <f>-80000</f>
        <v>-80000</v>
      </c>
      <c r="C19" s="783">
        <f t="shared" si="1"/>
        <v>-80000</v>
      </c>
      <c r="D19" s="783">
        <v>0</v>
      </c>
      <c r="E19" s="783">
        <f t="shared" si="2"/>
        <v>0</v>
      </c>
      <c r="F19" s="789" t="str">
        <f>_xlfn.XLOOKUP(A19,COA!B:B,COA!C:C,0,0,1)</f>
        <v>General and administration</v>
      </c>
      <c r="G19" s="789"/>
    </row>
    <row r="20" spans="1:7" x14ac:dyDescent="0.3">
      <c r="A20" s="507" t="s">
        <v>598</v>
      </c>
      <c r="B20" s="783">
        <f>149.3</f>
        <v>149.30000000000001</v>
      </c>
      <c r="C20" s="783">
        <f t="shared" si="1"/>
        <v>149</v>
      </c>
      <c r="D20" s="783">
        <f>-C20</f>
        <v>-149</v>
      </c>
      <c r="E20" s="783">
        <f t="shared" si="2"/>
        <v>-149</v>
      </c>
      <c r="F20" s="789" t="str">
        <f>_xlfn.XLOOKUP(A20,COA!B:B,COA!C:C,0,0,1)</f>
        <v>General and administration</v>
      </c>
      <c r="G20" s="789" t="s">
        <v>451</v>
      </c>
    </row>
    <row r="21" spans="1:7" x14ac:dyDescent="0.3">
      <c r="A21" s="507" t="s">
        <v>600</v>
      </c>
      <c r="B21" s="783">
        <f>183.23</f>
        <v>183.23</v>
      </c>
      <c r="C21" s="783">
        <f t="shared" si="1"/>
        <v>183</v>
      </c>
      <c r="D21" s="783">
        <f>-C21</f>
        <v>-183</v>
      </c>
      <c r="E21" s="783">
        <f t="shared" si="2"/>
        <v>-183</v>
      </c>
      <c r="F21" s="789" t="str">
        <f>_xlfn.XLOOKUP(A21,COA!B:B,COA!C:C,0,0,1)</f>
        <v>General and administration</v>
      </c>
      <c r="G21" s="789" t="s">
        <v>451</v>
      </c>
    </row>
    <row r="22" spans="1:7" x14ac:dyDescent="0.3">
      <c r="A22" s="507" t="s">
        <v>601</v>
      </c>
      <c r="B22" s="783">
        <f>69.9</f>
        <v>69.900000000000006</v>
      </c>
      <c r="C22" s="783">
        <f t="shared" si="1"/>
        <v>70</v>
      </c>
      <c r="D22" s="783">
        <f>-C22</f>
        <v>-70</v>
      </c>
      <c r="E22" s="783">
        <f t="shared" si="2"/>
        <v>-70</v>
      </c>
      <c r="F22" s="789" t="str">
        <f>_xlfn.XLOOKUP(A22,COA!B:B,COA!C:C,0,0,1)</f>
        <v>General and administration</v>
      </c>
      <c r="G22" s="789" t="s">
        <v>451</v>
      </c>
    </row>
    <row r="23" spans="1:7" x14ac:dyDescent="0.3">
      <c r="A23" s="507" t="s">
        <v>608</v>
      </c>
      <c r="B23" s="783">
        <f>447.37</f>
        <v>447.37</v>
      </c>
      <c r="C23" s="783">
        <f t="shared" si="1"/>
        <v>447</v>
      </c>
      <c r="D23" s="783">
        <f>-C23</f>
        <v>-447</v>
      </c>
      <c r="E23" s="783">
        <f t="shared" si="2"/>
        <v>-447</v>
      </c>
      <c r="F23" s="789" t="str">
        <f>_xlfn.XLOOKUP(A23,COA!B:B,COA!C:C,0,0,1)</f>
        <v>General and administration</v>
      </c>
      <c r="G23" s="789" t="s">
        <v>451</v>
      </c>
    </row>
    <row r="24" spans="1:7" x14ac:dyDescent="0.3">
      <c r="A24" s="778" t="s">
        <v>382</v>
      </c>
      <c r="B24" s="784">
        <f>(((((((B16)+(B17))+(B18))+(B19))+(B20))+(B21))+(B22))+(B23)</f>
        <v>-26910.95</v>
      </c>
      <c r="C24" s="784">
        <f>(((((((C16)+(C17))+(C18))+(C19))+(C20))+(C21))+(C22))+(C23)</f>
        <v>-26911</v>
      </c>
      <c r="D24" s="784">
        <f>(((((((D16)+(D17))+(D18))+(D19))+(D20))+(D21))+(D22))+(D23)</f>
        <v>-7280.75</v>
      </c>
      <c r="E24" s="784">
        <f>(((((((E16)+(E17))+(E18))+(E19))+(E20))+(E21))+(E22))+(E23)</f>
        <v>-7280.75</v>
      </c>
      <c r="G24" s="789"/>
    </row>
    <row r="25" spans="1:7" x14ac:dyDescent="0.3">
      <c r="A25" s="778" t="s">
        <v>720</v>
      </c>
      <c r="B25" s="782"/>
      <c r="C25" s="783"/>
      <c r="D25" s="783"/>
      <c r="E25" s="783"/>
      <c r="G25" s="789"/>
    </row>
    <row r="26" spans="1:7" x14ac:dyDescent="0.3">
      <c r="A26" s="507" t="s">
        <v>490</v>
      </c>
      <c r="B26" s="783">
        <f>33.32</f>
        <v>33.32</v>
      </c>
      <c r="C26" s="783">
        <f t="shared" ref="C26" si="3">ROUND(B26,0)</f>
        <v>33</v>
      </c>
      <c r="D26" s="783">
        <v>0</v>
      </c>
      <c r="E26" s="783">
        <f t="shared" ref="E26" si="4">D26</f>
        <v>0</v>
      </c>
      <c r="F26" s="789" t="str">
        <f>_xlfn.XLOOKUP(A26,COA!B:B,COA!C:C,0,0,1)</f>
        <v>Interest income</v>
      </c>
      <c r="G26" s="789"/>
    </row>
    <row r="27" spans="1:7" x14ac:dyDescent="0.3">
      <c r="A27" s="778" t="s">
        <v>721</v>
      </c>
      <c r="B27" s="784">
        <f>B26</f>
        <v>33.32</v>
      </c>
      <c r="C27" s="784">
        <f>C26</f>
        <v>33</v>
      </c>
      <c r="D27" s="784">
        <f>D26</f>
        <v>0</v>
      </c>
      <c r="E27" s="784">
        <f>E26</f>
        <v>0</v>
      </c>
      <c r="G27" s="789"/>
    </row>
    <row r="28" spans="1:7" x14ac:dyDescent="0.3">
      <c r="A28" s="778" t="s">
        <v>383</v>
      </c>
      <c r="B28" s="782"/>
      <c r="C28" s="783"/>
      <c r="D28" s="783"/>
      <c r="E28" s="783"/>
      <c r="G28" s="789"/>
    </row>
    <row r="29" spans="1:7" x14ac:dyDescent="0.3">
      <c r="A29" s="507" t="s">
        <v>610</v>
      </c>
      <c r="B29" s="783">
        <f>439.3</f>
        <v>439.3</v>
      </c>
      <c r="C29" s="783">
        <f t="shared" ref="C29:C30" si="5">ROUND(B29,0)</f>
        <v>439</v>
      </c>
      <c r="D29" s="783">
        <v>0</v>
      </c>
      <c r="E29" s="783">
        <f t="shared" ref="E29:E30" si="6">D29</f>
        <v>0</v>
      </c>
      <c r="F29" s="789" t="str">
        <f>_xlfn.XLOOKUP(A29,COA!B:B,COA!C:C,0,0,1)</f>
        <v>General and administration</v>
      </c>
      <c r="G29" s="789"/>
    </row>
    <row r="30" spans="1:7" x14ac:dyDescent="0.3">
      <c r="A30" s="507" t="s">
        <v>493</v>
      </c>
      <c r="B30" s="783">
        <f>-2769.58</f>
        <v>-2769.58</v>
      </c>
      <c r="C30" s="783">
        <f t="shared" si="5"/>
        <v>-2770</v>
      </c>
      <c r="D30" s="783">
        <v>0</v>
      </c>
      <c r="E30" s="783">
        <f t="shared" si="6"/>
        <v>0</v>
      </c>
      <c r="F30" s="789" t="str">
        <f>_xlfn.XLOOKUP(A30,COA!B:B,COA!C:C,0,0,1)</f>
        <v>General and administration</v>
      </c>
      <c r="G30" s="789"/>
    </row>
    <row r="31" spans="1:7" x14ac:dyDescent="0.3">
      <c r="A31" s="778" t="s">
        <v>384</v>
      </c>
      <c r="B31" s="784">
        <f>(B29)+(B30)</f>
        <v>-2330.2799999999997</v>
      </c>
      <c r="C31" s="784">
        <f>(C29)+(C30)</f>
        <v>-2331</v>
      </c>
      <c r="D31" s="784">
        <f>(D29)+(D30)</f>
        <v>0</v>
      </c>
      <c r="E31" s="784">
        <f>(E29)+(E30)</f>
        <v>0</v>
      </c>
    </row>
    <row r="32" spans="1:7" x14ac:dyDescent="0.3">
      <c r="A32" s="778" t="s">
        <v>385</v>
      </c>
      <c r="B32" s="784">
        <f>(((B14)-(B24))+(B27))-(B31)</f>
        <v>306874.34000000003</v>
      </c>
      <c r="C32" s="784">
        <f>(((C14)-(C24))+(C27))-(C31)</f>
        <v>306874</v>
      </c>
      <c r="D32" s="784">
        <f>(((D14)-(D24))+(D27))-(D31)</f>
        <v>7280.75</v>
      </c>
      <c r="E32" s="784">
        <f>(((E14)-(E24))+(E27))-(E31)</f>
        <v>7280.75</v>
      </c>
    </row>
  </sheetData>
  <autoFilter ref="A5:G32" xr:uid="{66EDDD1C-E5ED-483D-BC37-9C38F4E0A2C3}"/>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A74C-54FE-4BC3-87FF-053E33DD95E8}">
  <sheetPr>
    <tabColor theme="5" tint="0.79998168889431442"/>
  </sheetPr>
  <dimension ref="A1:Q41"/>
  <sheetViews>
    <sheetView workbookViewId="0"/>
  </sheetViews>
  <sheetFormatPr defaultRowHeight="14.4" x14ac:dyDescent="0.3"/>
  <cols>
    <col min="1" max="1" width="38.109375" bestFit="1" customWidth="1"/>
    <col min="2" max="2" width="9.88671875" style="208" bestFit="1" customWidth="1"/>
    <col min="3" max="3" width="9" customWidth="1"/>
    <col min="4" max="4" width="4" customWidth="1"/>
    <col min="5" max="5" width="4.109375" customWidth="1"/>
    <col min="6" max="6" width="35.44140625" bestFit="1" customWidth="1"/>
    <col min="7" max="7" width="27.44140625" bestFit="1" customWidth="1"/>
    <col min="8" max="8" width="8.88671875" style="792" bestFit="1" customWidth="1"/>
    <col min="9" max="9" width="9.44140625" bestFit="1" customWidth="1"/>
    <col min="10" max="10" width="10.33203125" customWidth="1"/>
    <col min="11" max="11" width="9.109375" bestFit="1" customWidth="1"/>
    <col min="12" max="12" width="9.44140625" bestFit="1" customWidth="1"/>
    <col min="13" max="13" width="10" customWidth="1"/>
    <col min="14" max="14" width="5.109375" style="208" bestFit="1" customWidth="1"/>
    <col min="15" max="15" width="3.109375" customWidth="1"/>
    <col min="16" max="16" width="9.44140625" bestFit="1" customWidth="1"/>
  </cols>
  <sheetData>
    <row r="1" spans="1:16" ht="17.399999999999999" x14ac:dyDescent="0.3">
      <c r="A1" s="412" t="s">
        <v>642</v>
      </c>
      <c r="B1" s="931"/>
      <c r="F1" s="412" t="s">
        <v>496</v>
      </c>
      <c r="G1" s="412"/>
    </row>
    <row r="2" spans="1:16" ht="17.399999999999999" x14ac:dyDescent="0.3">
      <c r="A2" s="412" t="s">
        <v>714</v>
      </c>
      <c r="B2" s="931"/>
      <c r="F2" s="412" t="s">
        <v>714</v>
      </c>
      <c r="G2" s="412"/>
    </row>
    <row r="3" spans="1:16" x14ac:dyDescent="0.3">
      <c r="A3" s="930" t="s">
        <v>1947</v>
      </c>
      <c r="B3" s="932"/>
      <c r="F3" s="413" t="s">
        <v>1946</v>
      </c>
      <c r="G3" s="413"/>
    </row>
    <row r="5" spans="1:16" ht="36.6" x14ac:dyDescent="0.3">
      <c r="A5" s="163"/>
      <c r="B5" s="934" t="s">
        <v>679</v>
      </c>
      <c r="C5" s="414" t="s">
        <v>71</v>
      </c>
      <c r="F5" s="163"/>
      <c r="G5" s="934" t="s">
        <v>679</v>
      </c>
      <c r="H5" s="414" t="s">
        <v>851</v>
      </c>
      <c r="I5" s="414" t="s">
        <v>407</v>
      </c>
      <c r="J5" s="414" t="s">
        <v>852</v>
      </c>
      <c r="K5" s="414" t="s">
        <v>853</v>
      </c>
      <c r="L5" s="414" t="s">
        <v>71</v>
      </c>
      <c r="M5" s="414" t="s">
        <v>1273</v>
      </c>
      <c r="N5" s="1029" t="s">
        <v>856</v>
      </c>
      <c r="P5" s="414" t="s">
        <v>1881</v>
      </c>
    </row>
    <row r="6" spans="1:16" x14ac:dyDescent="0.3">
      <c r="A6" s="256" t="s">
        <v>717</v>
      </c>
      <c r="B6" s="933"/>
      <c r="C6" s="258"/>
      <c r="F6" s="256" t="s">
        <v>378</v>
      </c>
      <c r="G6" s="256"/>
      <c r="H6" s="935"/>
      <c r="I6" s="733"/>
      <c r="J6" s="733"/>
      <c r="K6" s="733"/>
      <c r="L6" s="733"/>
    </row>
    <row r="7" spans="1:16" x14ac:dyDescent="0.3">
      <c r="A7" s="256" t="s">
        <v>821</v>
      </c>
      <c r="B7" s="933"/>
      <c r="C7" s="716">
        <v>0</v>
      </c>
      <c r="F7" s="256" t="s">
        <v>847</v>
      </c>
      <c r="G7" s="938" t="s">
        <v>472</v>
      </c>
      <c r="H7" s="1008">
        <v>0</v>
      </c>
      <c r="I7" s="1007">
        <f>333.09-H7</f>
        <v>333.09</v>
      </c>
      <c r="J7" s="936">
        <f>25</f>
        <v>25</v>
      </c>
      <c r="K7" s="936">
        <f>42.5</f>
        <v>42.5</v>
      </c>
      <c r="L7" s="939">
        <f>SUM(H7:K7)</f>
        <v>400.59</v>
      </c>
      <c r="M7" s="1229">
        <v>400.59</v>
      </c>
      <c r="N7" s="1030">
        <f>M7-L7</f>
        <v>0</v>
      </c>
      <c r="P7" s="1229">
        <f>SUM(H7:I7)</f>
        <v>333.09</v>
      </c>
    </row>
    <row r="8" spans="1:16" x14ac:dyDescent="0.3">
      <c r="A8" s="256" t="s">
        <v>822</v>
      </c>
      <c r="B8" s="933"/>
      <c r="C8" s="716">
        <v>0</v>
      </c>
      <c r="F8" s="256" t="s">
        <v>848</v>
      </c>
      <c r="G8" s="938" t="s">
        <v>475</v>
      </c>
      <c r="H8" s="942">
        <f>-5454.55+5454.55+(100*6)</f>
        <v>600</v>
      </c>
      <c r="I8" s="942">
        <f>750-5454.55-H8</f>
        <v>-5304.55</v>
      </c>
      <c r="J8" s="936">
        <f>750</f>
        <v>750</v>
      </c>
      <c r="K8" s="936">
        <f>14443.5</f>
        <v>14443.5</v>
      </c>
      <c r="L8" s="939">
        <f t="shared" ref="L8:L15" si="0">SUM(H8:K8)</f>
        <v>10488.95</v>
      </c>
      <c r="M8" s="1229">
        <v>10488.95</v>
      </c>
      <c r="N8" s="1030">
        <f t="shared" ref="N8:N17" si="1">M8-L8</f>
        <v>0</v>
      </c>
      <c r="P8" s="1229">
        <f t="shared" ref="P8:P17" si="2">SUM(H8:I8)</f>
        <v>-4704.55</v>
      </c>
    </row>
    <row r="9" spans="1:16" x14ac:dyDescent="0.3">
      <c r="A9" s="256" t="s">
        <v>823</v>
      </c>
      <c r="B9" s="933"/>
      <c r="C9" s="716">
        <v>0</v>
      </c>
      <c r="F9" s="256" t="s">
        <v>849</v>
      </c>
      <c r="G9" s="938" t="s">
        <v>476</v>
      </c>
      <c r="H9" s="942">
        <f>4529.22-4529.22+5000</f>
        <v>5000</v>
      </c>
      <c r="I9" s="942">
        <f>21029.97-4529.22-H9</f>
        <v>11500.75</v>
      </c>
      <c r="J9" s="935"/>
      <c r="K9" s="936">
        <f>34652.59</f>
        <v>34652.589999999997</v>
      </c>
      <c r="L9" s="940">
        <f t="shared" si="0"/>
        <v>51153.34</v>
      </c>
      <c r="M9" s="1229">
        <v>51153.34</v>
      </c>
      <c r="N9" s="1030">
        <f t="shared" si="1"/>
        <v>0</v>
      </c>
      <c r="P9" s="1229">
        <f t="shared" si="2"/>
        <v>16500.75</v>
      </c>
    </row>
    <row r="10" spans="1:16" x14ac:dyDescent="0.3">
      <c r="A10" s="256" t="s">
        <v>824</v>
      </c>
      <c r="B10" s="933"/>
      <c r="C10" s="716">
        <v>0</v>
      </c>
      <c r="F10" s="256" t="s">
        <v>850</v>
      </c>
      <c r="G10" s="938" t="s">
        <v>477</v>
      </c>
      <c r="H10" s="1008">
        <f>2500+2500+5000</f>
        <v>10000</v>
      </c>
      <c r="I10" s="1008">
        <f>1288080-H10</f>
        <v>1278080</v>
      </c>
      <c r="J10" s="936">
        <f>2250</f>
        <v>2250</v>
      </c>
      <c r="K10" s="936">
        <f>12100</f>
        <v>12100</v>
      </c>
      <c r="L10" s="939">
        <f t="shared" si="0"/>
        <v>1302430</v>
      </c>
      <c r="M10" s="1229">
        <v>1302430</v>
      </c>
      <c r="N10" s="1030">
        <f t="shared" si="1"/>
        <v>0</v>
      </c>
      <c r="P10" s="1229">
        <f t="shared" si="2"/>
        <v>1288080</v>
      </c>
    </row>
    <row r="11" spans="1:16" x14ac:dyDescent="0.3">
      <c r="A11" s="256" t="s">
        <v>825</v>
      </c>
      <c r="B11" s="933"/>
      <c r="C11" s="929">
        <f>(((C7)+(C8))+(C9))+(C10)</f>
        <v>0</v>
      </c>
      <c r="F11" s="256" t="s">
        <v>831</v>
      </c>
      <c r="G11" s="938" t="s">
        <v>478</v>
      </c>
      <c r="H11" s="1008"/>
      <c r="I11" s="1008">
        <f>10000-H11</f>
        <v>10000</v>
      </c>
      <c r="J11" s="936">
        <f>7041.72</f>
        <v>7041.72</v>
      </c>
      <c r="K11" s="936">
        <f>12500</f>
        <v>12500</v>
      </c>
      <c r="L11" s="939">
        <f t="shared" si="0"/>
        <v>29541.72</v>
      </c>
      <c r="M11" s="1229">
        <v>29541.72</v>
      </c>
      <c r="N11" s="1030">
        <f t="shared" si="1"/>
        <v>0</v>
      </c>
      <c r="P11" s="1229">
        <f t="shared" si="2"/>
        <v>10000</v>
      </c>
    </row>
    <row r="12" spans="1:16" x14ac:dyDescent="0.3">
      <c r="A12" s="256" t="s">
        <v>826</v>
      </c>
      <c r="B12" s="933"/>
      <c r="C12" s="716">
        <v>0</v>
      </c>
      <c r="F12" s="256" t="s">
        <v>854</v>
      </c>
      <c r="G12" s="938" t="s">
        <v>480</v>
      </c>
      <c r="H12" s="1008"/>
      <c r="I12" s="1008"/>
      <c r="J12" s="936">
        <f>127.94</f>
        <v>127.94</v>
      </c>
      <c r="K12" s="936">
        <f>794.71</f>
        <v>794.71</v>
      </c>
      <c r="L12" s="939">
        <f t="shared" si="0"/>
        <v>922.65000000000009</v>
      </c>
      <c r="M12" s="1229">
        <v>922.65000000000009</v>
      </c>
      <c r="N12" s="1030">
        <f t="shared" si="1"/>
        <v>0</v>
      </c>
      <c r="P12" s="1229">
        <f t="shared" si="2"/>
        <v>0</v>
      </c>
    </row>
    <row r="13" spans="1:16" x14ac:dyDescent="0.3">
      <c r="A13" s="256" t="s">
        <v>718</v>
      </c>
      <c r="B13" s="933"/>
      <c r="C13" s="929">
        <f>(C11)+(C12)</f>
        <v>0</v>
      </c>
      <c r="F13" s="256" t="s">
        <v>837</v>
      </c>
      <c r="G13" s="938" t="s">
        <v>481</v>
      </c>
      <c r="H13" s="1008"/>
      <c r="I13" s="1008"/>
      <c r="J13" s="935"/>
      <c r="K13" s="936">
        <f>2</f>
        <v>2</v>
      </c>
      <c r="L13" s="939">
        <f t="shared" si="0"/>
        <v>2</v>
      </c>
      <c r="M13" s="1229">
        <v>2</v>
      </c>
      <c r="N13" s="1030">
        <f t="shared" si="1"/>
        <v>0</v>
      </c>
      <c r="P13" s="1229">
        <f t="shared" si="2"/>
        <v>0</v>
      </c>
    </row>
    <row r="14" spans="1:16" x14ac:dyDescent="0.3">
      <c r="A14" s="256" t="s">
        <v>719</v>
      </c>
      <c r="B14" s="933"/>
      <c r="C14" s="929">
        <f>(0)-(C13)</f>
        <v>0</v>
      </c>
      <c r="F14" s="256" t="s">
        <v>855</v>
      </c>
      <c r="G14" s="938" t="s">
        <v>483</v>
      </c>
      <c r="H14" s="1008">
        <f>719.89+1155.46</f>
        <v>1875.35</v>
      </c>
      <c r="I14" s="1008">
        <f>9297.11-H14</f>
        <v>7421.76</v>
      </c>
      <c r="J14" s="935"/>
      <c r="K14" s="936">
        <f>47.52</f>
        <v>47.52</v>
      </c>
      <c r="L14" s="939">
        <f t="shared" si="0"/>
        <v>9344.630000000001</v>
      </c>
      <c r="M14" s="1229">
        <v>9344.630000000001</v>
      </c>
      <c r="N14" s="1030">
        <f t="shared" si="1"/>
        <v>0</v>
      </c>
      <c r="P14" s="1229">
        <f t="shared" si="2"/>
        <v>9297.11</v>
      </c>
    </row>
    <row r="15" spans="1:16" x14ac:dyDescent="0.3">
      <c r="A15" s="256" t="s">
        <v>378</v>
      </c>
      <c r="B15" s="933"/>
      <c r="C15" s="280"/>
      <c r="F15" s="256" t="s">
        <v>840</v>
      </c>
      <c r="G15" s="938" t="s">
        <v>483</v>
      </c>
      <c r="H15" s="1008"/>
      <c r="I15" s="1008">
        <f>0</f>
        <v>0</v>
      </c>
      <c r="J15" s="935"/>
      <c r="K15" s="935"/>
      <c r="L15" s="935">
        <f t="shared" si="0"/>
        <v>0</v>
      </c>
      <c r="M15" s="1230">
        <v>0</v>
      </c>
      <c r="N15" s="1030">
        <f t="shared" si="1"/>
        <v>0</v>
      </c>
      <c r="P15" s="1229">
        <f t="shared" si="2"/>
        <v>0</v>
      </c>
    </row>
    <row r="16" spans="1:16" x14ac:dyDescent="0.3">
      <c r="A16" s="256" t="s">
        <v>827</v>
      </c>
      <c r="B16" s="933"/>
      <c r="C16" s="716">
        <v>0</v>
      </c>
      <c r="F16" s="256" t="s">
        <v>382</v>
      </c>
      <c r="G16" s="256"/>
      <c r="H16" s="937">
        <f>SUM(H6:H15)</f>
        <v>17475.349999999999</v>
      </c>
      <c r="I16" s="937">
        <f t="shared" ref="I16:L16" si="3">SUM(I6:I15)</f>
        <v>1302031.05</v>
      </c>
      <c r="J16" s="937">
        <f t="shared" si="3"/>
        <v>10194.660000000002</v>
      </c>
      <c r="K16" s="937">
        <f t="shared" si="3"/>
        <v>74582.820000000007</v>
      </c>
      <c r="L16" s="937">
        <f t="shared" si="3"/>
        <v>1404283.8799999997</v>
      </c>
      <c r="M16" s="1231"/>
      <c r="N16" s="1030"/>
      <c r="P16" s="937">
        <f t="shared" ref="P16" si="4">SUM(P6:P15)</f>
        <v>1319506.4000000001</v>
      </c>
    </row>
    <row r="17" spans="1:17" x14ac:dyDescent="0.3">
      <c r="A17" s="256" t="s">
        <v>828</v>
      </c>
      <c r="B17" s="933"/>
      <c r="C17" s="716">
        <v>0</v>
      </c>
      <c r="F17" s="256" t="s">
        <v>842</v>
      </c>
      <c r="G17" s="938" t="s">
        <v>490</v>
      </c>
      <c r="H17" s="935"/>
      <c r="I17" s="936">
        <f>5200</f>
        <v>5200</v>
      </c>
      <c r="J17" s="936">
        <f>15600</f>
        <v>15600</v>
      </c>
      <c r="K17" s="936">
        <f>15600</f>
        <v>15600</v>
      </c>
      <c r="L17" s="939">
        <f>(((H17)+(I17))+(J17))+(K17)</f>
        <v>36400</v>
      </c>
      <c r="M17" s="1229">
        <v>36400</v>
      </c>
      <c r="N17" s="1030">
        <f t="shared" si="1"/>
        <v>0</v>
      </c>
      <c r="P17" s="1229">
        <f t="shared" si="2"/>
        <v>5200</v>
      </c>
    </row>
    <row r="18" spans="1:17" x14ac:dyDescent="0.3">
      <c r="A18" s="256" t="s">
        <v>829</v>
      </c>
      <c r="B18" s="933"/>
      <c r="C18" s="716">
        <v>0</v>
      </c>
      <c r="F18" s="256" t="s">
        <v>721</v>
      </c>
      <c r="H18" s="937">
        <f>H17</f>
        <v>0</v>
      </c>
      <c r="I18" s="937">
        <f>I17</f>
        <v>5200</v>
      </c>
      <c r="J18" s="937">
        <f>J17</f>
        <v>15600</v>
      </c>
      <c r="K18" s="937">
        <f>K17</f>
        <v>15600</v>
      </c>
      <c r="L18" s="937">
        <f>L17</f>
        <v>36400</v>
      </c>
      <c r="M18" s="1231"/>
      <c r="P18" s="937">
        <f>P17</f>
        <v>5200</v>
      </c>
    </row>
    <row r="19" spans="1:17" x14ac:dyDescent="0.3">
      <c r="A19" s="256" t="s">
        <v>830</v>
      </c>
      <c r="B19" s="933"/>
      <c r="C19" s="716">
        <v>0</v>
      </c>
      <c r="F19" s="256" t="s">
        <v>385</v>
      </c>
      <c r="G19" s="256"/>
      <c r="H19" s="937">
        <f>(((0)-(H16))+(H18))-(0)</f>
        <v>-17475.349999999999</v>
      </c>
      <c r="I19" s="937">
        <f t="shared" ref="I19:L19" si="5">(((0)-(I16))+(I18))-(0)</f>
        <v>-1296831.05</v>
      </c>
      <c r="J19" s="937">
        <f t="shared" si="5"/>
        <v>5405.3399999999983</v>
      </c>
      <c r="K19" s="937">
        <f t="shared" si="5"/>
        <v>-58982.820000000007</v>
      </c>
      <c r="L19" s="937">
        <f t="shared" si="5"/>
        <v>-1367883.8799999997</v>
      </c>
      <c r="M19" s="937"/>
      <c r="P19" s="937">
        <f t="shared" ref="P19" si="6">(((0)-(P16))+(P18))-(0)</f>
        <v>-1314306.4000000001</v>
      </c>
    </row>
    <row r="20" spans="1:17" x14ac:dyDescent="0.3">
      <c r="A20" s="256" t="s">
        <v>831</v>
      </c>
      <c r="B20" s="933"/>
      <c r="C20" s="716">
        <v>0</v>
      </c>
    </row>
    <row r="21" spans="1:17" x14ac:dyDescent="0.3">
      <c r="A21" s="256" t="s">
        <v>832</v>
      </c>
      <c r="B21" s="933"/>
      <c r="C21" s="716">
        <v>0</v>
      </c>
      <c r="P21" s="1343">
        <f>P19-SUM(H19:I19)</f>
        <v>0</v>
      </c>
      <c r="Q21" s="1343" t="s">
        <v>507</v>
      </c>
    </row>
    <row r="22" spans="1:17" x14ac:dyDescent="0.3">
      <c r="A22" s="256" t="s">
        <v>833</v>
      </c>
      <c r="B22" s="933"/>
      <c r="C22" s="716">
        <v>0</v>
      </c>
    </row>
    <row r="23" spans="1:17" x14ac:dyDescent="0.3">
      <c r="A23" s="256" t="s">
        <v>834</v>
      </c>
      <c r="B23" s="933"/>
      <c r="C23" s="716">
        <v>0</v>
      </c>
    </row>
    <row r="24" spans="1:17" x14ac:dyDescent="0.3">
      <c r="A24" s="256" t="s">
        <v>835</v>
      </c>
      <c r="B24" s="933"/>
      <c r="C24" s="716">
        <v>0</v>
      </c>
    </row>
    <row r="25" spans="1:17" x14ac:dyDescent="0.3">
      <c r="A25" s="256" t="s">
        <v>836</v>
      </c>
      <c r="B25" s="933"/>
      <c r="C25" s="716">
        <v>0</v>
      </c>
    </row>
    <row r="26" spans="1:17" x14ac:dyDescent="0.3">
      <c r="A26" s="256" t="s">
        <v>837</v>
      </c>
      <c r="B26" s="933"/>
      <c r="C26" s="716">
        <v>0</v>
      </c>
    </row>
    <row r="27" spans="1:17" x14ac:dyDescent="0.3">
      <c r="A27" s="256" t="s">
        <v>838</v>
      </c>
      <c r="B27" s="933"/>
      <c r="C27" s="716">
        <v>0</v>
      </c>
    </row>
    <row r="28" spans="1:17" x14ac:dyDescent="0.3">
      <c r="A28" s="256" t="s">
        <v>839</v>
      </c>
      <c r="B28" s="933"/>
      <c r="C28" s="716">
        <v>0</v>
      </c>
    </row>
    <row r="29" spans="1:17" x14ac:dyDescent="0.3">
      <c r="A29" s="256" t="s">
        <v>840</v>
      </c>
      <c r="B29" s="933"/>
      <c r="C29" s="716">
        <v>0</v>
      </c>
    </row>
    <row r="30" spans="1:17" x14ac:dyDescent="0.3">
      <c r="A30" s="256" t="s">
        <v>841</v>
      </c>
      <c r="B30" s="933"/>
      <c r="C30" s="716">
        <v>0</v>
      </c>
    </row>
    <row r="31" spans="1:17" x14ac:dyDescent="0.3">
      <c r="A31" s="256" t="s">
        <v>382</v>
      </c>
      <c r="B31" s="933"/>
      <c r="C31" s="929">
        <f>((((((((((((((C16)+(C17))+(C18))+(C19))+(C20))+(C21))+(C22))+(C23))+(C24))+(C25))+(C26))+(C27))+(C28))+(C29))+(C30)</f>
        <v>0</v>
      </c>
    </row>
    <row r="32" spans="1:17" x14ac:dyDescent="0.3">
      <c r="A32" s="256" t="s">
        <v>720</v>
      </c>
      <c r="B32" s="933"/>
      <c r="C32" s="280"/>
    </row>
    <row r="33" spans="1:3" x14ac:dyDescent="0.3">
      <c r="A33" s="256" t="s">
        <v>842</v>
      </c>
      <c r="B33" s="933"/>
      <c r="C33" s="716">
        <v>0</v>
      </c>
    </row>
    <row r="34" spans="1:3" x14ac:dyDescent="0.3">
      <c r="A34" s="256" t="s">
        <v>721</v>
      </c>
      <c r="B34" s="933"/>
      <c r="C34" s="929">
        <f>C33</f>
        <v>0</v>
      </c>
    </row>
    <row r="35" spans="1:3" x14ac:dyDescent="0.3">
      <c r="A35" s="256" t="s">
        <v>383</v>
      </c>
      <c r="B35" s="933"/>
      <c r="C35" s="280"/>
    </row>
    <row r="36" spans="1:3" x14ac:dyDescent="0.3">
      <c r="A36" s="256" t="s">
        <v>843</v>
      </c>
      <c r="B36" s="933"/>
      <c r="C36" s="716">
        <v>0</v>
      </c>
    </row>
    <row r="37" spans="1:3" x14ac:dyDescent="0.3">
      <c r="A37" s="256" t="s">
        <v>844</v>
      </c>
      <c r="B37" s="933"/>
      <c r="C37" s="716">
        <v>0</v>
      </c>
    </row>
    <row r="38" spans="1:3" x14ac:dyDescent="0.3">
      <c r="A38" s="256" t="s">
        <v>845</v>
      </c>
      <c r="B38" s="933"/>
      <c r="C38" s="716">
        <v>0</v>
      </c>
    </row>
    <row r="39" spans="1:3" x14ac:dyDescent="0.3">
      <c r="A39" s="256" t="s">
        <v>846</v>
      </c>
      <c r="B39" s="933"/>
      <c r="C39" s="716">
        <v>0</v>
      </c>
    </row>
    <row r="40" spans="1:3" x14ac:dyDescent="0.3">
      <c r="A40" s="256" t="s">
        <v>384</v>
      </c>
      <c r="B40" s="933"/>
      <c r="C40" s="929">
        <f>(((C36)+(C37))+(C38))+(C39)</f>
        <v>0</v>
      </c>
    </row>
    <row r="41" spans="1:3" x14ac:dyDescent="0.3">
      <c r="A41" s="256" t="s">
        <v>385</v>
      </c>
      <c r="B41" s="933"/>
      <c r="C41" s="929">
        <f>(((C14)-(C31))+(C34))-(C40)</f>
        <v>0</v>
      </c>
    </row>
  </sheetData>
  <pageMargins left="0.7" right="0.7" top="0.75" bottom="0.75" header="0.3" footer="0.3"/>
  <pageSetup orientation="portrait"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3A40-384A-44DB-8CC9-0E26A33309A1}">
  <sheetPr>
    <tabColor rgb="FFFFC000"/>
  </sheetPr>
  <dimension ref="A1:J13"/>
  <sheetViews>
    <sheetView workbookViewId="0"/>
  </sheetViews>
  <sheetFormatPr defaultColWidth="9.109375" defaultRowHeight="14.4" outlineLevelCol="1" x14ac:dyDescent="0.3"/>
  <cols>
    <col min="1" max="1" width="37" style="474" customWidth="1"/>
    <col min="2" max="4" width="12" style="474" customWidth="1"/>
    <col min="5" max="5" width="12" style="474" customWidth="1" outlineLevel="1"/>
    <col min="6" max="6" width="12" style="474" customWidth="1"/>
    <col min="7" max="7" width="5.33203125" style="474" customWidth="1"/>
    <col min="8" max="8" width="37.33203125" style="508" bestFit="1" customWidth="1"/>
    <col min="9" max="9" width="5.6640625" style="474" customWidth="1"/>
    <col min="10" max="10" width="10.5546875" style="474" bestFit="1" customWidth="1"/>
    <col min="11" max="16384" width="9.109375" style="474"/>
  </cols>
  <sheetData>
    <row r="1" spans="1:10" ht="17.399999999999999" x14ac:dyDescent="0.3">
      <c r="A1" s="649" t="s">
        <v>638</v>
      </c>
    </row>
    <row r="2" spans="1:10" ht="17.399999999999999" x14ac:dyDescent="0.3">
      <c r="A2" s="473" t="s">
        <v>377</v>
      </c>
    </row>
    <row r="3" spans="1:10" x14ac:dyDescent="0.3">
      <c r="A3" s="475" t="s">
        <v>405</v>
      </c>
    </row>
    <row r="5" spans="1:10" ht="24.6" x14ac:dyDescent="0.3">
      <c r="A5" s="476"/>
      <c r="B5" s="477" t="s">
        <v>386</v>
      </c>
      <c r="C5" s="477" t="s">
        <v>387</v>
      </c>
      <c r="D5" s="477" t="s">
        <v>406</v>
      </c>
      <c r="E5" s="477" t="s">
        <v>407</v>
      </c>
      <c r="F5" s="477" t="s">
        <v>71</v>
      </c>
      <c r="H5" s="509" t="s">
        <v>399</v>
      </c>
      <c r="J5" s="477" t="s">
        <v>408</v>
      </c>
    </row>
    <row r="6" spans="1:10" x14ac:dyDescent="0.3">
      <c r="A6" s="478" t="s">
        <v>378</v>
      </c>
      <c r="B6" s="479"/>
      <c r="C6" s="479"/>
      <c r="D6" s="479"/>
      <c r="E6" s="479"/>
      <c r="F6" s="479"/>
    </row>
    <row r="7" spans="1:10" x14ac:dyDescent="0.3">
      <c r="A7" s="507" t="s">
        <v>379</v>
      </c>
      <c r="B7" s="416">
        <f>1050</f>
        <v>1050</v>
      </c>
      <c r="C7" s="416">
        <f>8426.25</f>
        <v>8426.25</v>
      </c>
      <c r="D7" s="416">
        <v>5055.75</v>
      </c>
      <c r="E7" s="416"/>
      <c r="F7" s="416">
        <f>SUM(B7:E7)</f>
        <v>14532</v>
      </c>
      <c r="H7" s="508" t="str">
        <f>TEXT(MID(A7,4,100),"")</f>
        <v>6010 Accounting</v>
      </c>
      <c r="I7" s="508"/>
      <c r="J7" s="416">
        <f>SUM(B7:C7)</f>
        <v>9476.25</v>
      </c>
    </row>
    <row r="8" spans="1:10" x14ac:dyDescent="0.3">
      <c r="A8" s="478" t="s">
        <v>380</v>
      </c>
      <c r="B8" s="416">
        <f>21</f>
        <v>21</v>
      </c>
      <c r="C8" s="416">
        <f>173</f>
        <v>173</v>
      </c>
      <c r="D8" s="416">
        <v>228</v>
      </c>
      <c r="E8" s="416"/>
      <c r="F8" s="416">
        <f t="shared" ref="F8:F11" si="0">SUM(B8:E8)</f>
        <v>422</v>
      </c>
      <c r="H8" s="508" t="str">
        <f t="shared" ref="H8:H11" si="1">TEXT(MID(A8,4,100),"")</f>
        <v>6015 Bank charges</v>
      </c>
      <c r="J8" s="416">
        <f t="shared" ref="J8:J11" si="2">SUM(B8:C8)</f>
        <v>194</v>
      </c>
    </row>
    <row r="9" spans="1:10" x14ac:dyDescent="0.3">
      <c r="A9" s="478" t="s">
        <v>381</v>
      </c>
      <c r="B9" s="416">
        <f>6993</f>
        <v>6993</v>
      </c>
      <c r="C9" s="416">
        <f>7056.28</f>
        <v>7056.28</v>
      </c>
      <c r="D9" s="416">
        <v>778.34</v>
      </c>
      <c r="E9" s="416"/>
      <c r="F9" s="416">
        <f t="shared" si="0"/>
        <v>14827.619999999999</v>
      </c>
      <c r="H9" s="508" t="str">
        <f t="shared" si="1"/>
        <v>6020 Legal and professional fees</v>
      </c>
      <c r="J9" s="416">
        <f t="shared" si="2"/>
        <v>14049.279999999999</v>
      </c>
    </row>
    <row r="10" spans="1:10" x14ac:dyDescent="0.3">
      <c r="A10" s="478" t="s">
        <v>388</v>
      </c>
      <c r="B10" s="417"/>
      <c r="C10" s="416">
        <f>2900.5</f>
        <v>2900.5</v>
      </c>
      <c r="D10" s="416">
        <v>-1375.5</v>
      </c>
      <c r="E10" s="416"/>
      <c r="F10" s="416">
        <f t="shared" si="0"/>
        <v>1525</v>
      </c>
      <c r="H10" s="508" t="str">
        <f t="shared" si="1"/>
        <v>6050 Regulatory and Transfer Agent fees</v>
      </c>
      <c r="J10" s="416">
        <f t="shared" si="2"/>
        <v>2900.5</v>
      </c>
    </row>
    <row r="11" spans="1:10" x14ac:dyDescent="0.3">
      <c r="A11" s="525" t="s">
        <v>404</v>
      </c>
      <c r="B11" s="417"/>
      <c r="C11" s="416"/>
      <c r="D11" s="416">
        <v>262.5</v>
      </c>
      <c r="E11" s="416"/>
      <c r="F11" s="416">
        <f t="shared" si="0"/>
        <v>262.5</v>
      </c>
      <c r="H11" s="508" t="str">
        <f t="shared" si="1"/>
        <v>6060 Communication</v>
      </c>
      <c r="J11" s="416">
        <f t="shared" si="2"/>
        <v>0</v>
      </c>
    </row>
    <row r="12" spans="1:10" x14ac:dyDescent="0.3">
      <c r="A12" s="478" t="s">
        <v>382</v>
      </c>
      <c r="B12" s="526">
        <f>SUM(B7:B11)</f>
        <v>8064</v>
      </c>
      <c r="C12" s="526">
        <f t="shared" ref="C12:F12" si="3">SUM(C7:C11)</f>
        <v>18556.03</v>
      </c>
      <c r="D12" s="526">
        <f t="shared" si="3"/>
        <v>4949.09</v>
      </c>
      <c r="E12" s="526">
        <f t="shared" si="3"/>
        <v>0</v>
      </c>
      <c r="F12" s="526">
        <f t="shared" si="3"/>
        <v>31569.119999999999</v>
      </c>
      <c r="J12" s="526">
        <f>SUM(J7:J11)</f>
        <v>26620.03</v>
      </c>
    </row>
    <row r="13" spans="1:10" x14ac:dyDescent="0.3">
      <c r="A13" s="478" t="s">
        <v>385</v>
      </c>
      <c r="B13" s="526">
        <f>-B12</f>
        <v>-8064</v>
      </c>
      <c r="C13" s="526">
        <f t="shared" ref="C13:F13" si="4">-C12</f>
        <v>-18556.03</v>
      </c>
      <c r="D13" s="526">
        <f t="shared" si="4"/>
        <v>-4949.09</v>
      </c>
      <c r="E13" s="526">
        <f t="shared" si="4"/>
        <v>0</v>
      </c>
      <c r="F13" s="526">
        <f t="shared" si="4"/>
        <v>-31569.119999999999</v>
      </c>
      <c r="J13" s="526">
        <f>-J12</f>
        <v>-26620.03</v>
      </c>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7DB2-575E-4D3B-8613-2421A581DD2F}">
  <sheetPr>
    <tabColor theme="4"/>
  </sheetPr>
  <dimension ref="A1:U61"/>
  <sheetViews>
    <sheetView workbookViewId="0"/>
  </sheetViews>
  <sheetFormatPr defaultRowHeight="14.4" outlineLevelCol="1" x14ac:dyDescent="0.3"/>
  <cols>
    <col min="1" max="1" width="47" customWidth="1"/>
    <col min="2" max="2" width="45.109375" style="985" bestFit="1" customWidth="1"/>
    <col min="3" max="4" width="10.88671875" hidden="1" customWidth="1" outlineLevel="1"/>
    <col min="5" max="5" width="12.88671875" style="500" customWidth="1" collapsed="1"/>
    <col min="6" max="6" width="10.44140625" style="500" bestFit="1" customWidth="1"/>
    <col min="7" max="8" width="12.44140625" style="500" customWidth="1"/>
    <col min="9" max="9" width="13.88671875" style="500" customWidth="1"/>
    <col min="10" max="10" width="10.5546875" bestFit="1" customWidth="1"/>
    <col min="11" max="11" width="10.5546875" customWidth="1"/>
    <col min="12" max="12" width="47.44140625" customWidth="1"/>
    <col min="13" max="13" width="12.33203125" bestFit="1" customWidth="1"/>
    <col min="14" max="14" width="10.5546875" bestFit="1" customWidth="1"/>
    <col min="15" max="16" width="11.33203125" bestFit="1" customWidth="1"/>
    <col min="17" max="17" width="11.44140625" bestFit="1" customWidth="1"/>
    <col min="18" max="18" width="11.44140625" customWidth="1"/>
    <col min="19" max="19" width="12.33203125" bestFit="1" customWidth="1"/>
    <col min="20" max="20" width="13.44140625" customWidth="1"/>
    <col min="21" max="21" width="11.33203125" bestFit="1" customWidth="1"/>
  </cols>
  <sheetData>
    <row r="1" spans="1:21" ht="28.8" x14ac:dyDescent="0.3">
      <c r="A1" s="412" t="s">
        <v>642</v>
      </c>
      <c r="B1" s="981"/>
      <c r="H1" s="500" t="s">
        <v>1208</v>
      </c>
      <c r="I1" s="994">
        <f>SUM(I8:I38)</f>
        <v>-281822</v>
      </c>
      <c r="L1" s="274" t="s">
        <v>1302</v>
      </c>
      <c r="M1" s="580">
        <v>5510</v>
      </c>
      <c r="N1" s="580">
        <v>5511</v>
      </c>
      <c r="O1" s="580">
        <v>5515</v>
      </c>
      <c r="P1" s="580">
        <v>5520</v>
      </c>
      <c r="Q1" s="580">
        <v>6016</v>
      </c>
      <c r="R1" s="580">
        <v>1120</v>
      </c>
      <c r="S1" s="580" t="s">
        <v>71</v>
      </c>
      <c r="T1" s="992" t="s">
        <v>1207</v>
      </c>
      <c r="U1" s="582" t="s">
        <v>861</v>
      </c>
    </row>
    <row r="2" spans="1:21" ht="17.399999999999999" x14ac:dyDescent="0.3">
      <c r="A2" s="412" t="s">
        <v>374</v>
      </c>
      <c r="B2" s="981"/>
      <c r="L2" s="1086" t="s">
        <v>1206</v>
      </c>
      <c r="M2" s="792">
        <f>'GL 5510'!H71</f>
        <v>251333.95</v>
      </c>
      <c r="N2" s="792">
        <f>'GL 5511'!J8</f>
        <v>162.91</v>
      </c>
      <c r="O2" s="792">
        <f>'GL 5515'!J16</f>
        <v>15460.46</v>
      </c>
      <c r="P2" s="792">
        <f>'GL 5520'!J11</f>
        <v>10833.14</v>
      </c>
      <c r="Q2" s="792">
        <f>-'GL 6016'!H26</f>
        <v>80000</v>
      </c>
      <c r="R2" s="792">
        <f>SUM('GL 1120'!I13:I24)</f>
        <v>39659.08</v>
      </c>
      <c r="S2" s="167">
        <f>SUM(M2:R2)</f>
        <v>397449.54000000004</v>
      </c>
      <c r="T2" s="167">
        <f>C16</f>
        <v>399703.1</v>
      </c>
      <c r="U2" s="167">
        <f>S2-T2</f>
        <v>-2253.5599999999395</v>
      </c>
    </row>
    <row r="3" spans="1:21" x14ac:dyDescent="0.3">
      <c r="A3" s="413" t="s">
        <v>1203</v>
      </c>
      <c r="B3" s="982"/>
    </row>
    <row r="4" spans="1:21" x14ac:dyDescent="0.3">
      <c r="A4" s="207" t="s">
        <v>1204</v>
      </c>
      <c r="L4" s="1086" t="s">
        <v>1303</v>
      </c>
      <c r="M4" s="792">
        <v>101516.25</v>
      </c>
      <c r="N4" s="792"/>
      <c r="O4" s="792"/>
      <c r="P4" s="792"/>
      <c r="Q4" s="792"/>
      <c r="R4" s="792"/>
      <c r="S4" s="167">
        <f>ROUND(SUM(M4:R4),0)</f>
        <v>101516</v>
      </c>
      <c r="T4" s="1024"/>
      <c r="U4" s="274"/>
    </row>
    <row r="5" spans="1:21" x14ac:dyDescent="0.3">
      <c r="L5" s="1086" t="s">
        <v>1301</v>
      </c>
      <c r="M5" s="275">
        <f>M2-M4</f>
        <v>149817.70000000001</v>
      </c>
      <c r="N5" s="275">
        <f t="shared" ref="N5:R5" si="0">N2-N4</f>
        <v>162.91</v>
      </c>
      <c r="O5" s="275">
        <f t="shared" si="0"/>
        <v>15460.46</v>
      </c>
      <c r="P5" s="275">
        <f t="shared" si="0"/>
        <v>10833.14</v>
      </c>
      <c r="Q5" s="275">
        <f t="shared" si="0"/>
        <v>80000</v>
      </c>
      <c r="R5" s="275">
        <f t="shared" si="0"/>
        <v>39659.08</v>
      </c>
      <c r="S5" s="167">
        <f>ROUND(SUM(M5:R5),0)</f>
        <v>295933</v>
      </c>
      <c r="T5" s="167"/>
      <c r="U5" s="167"/>
    </row>
    <row r="6" spans="1:21" ht="28.8" x14ac:dyDescent="0.3">
      <c r="E6" s="1010" t="s">
        <v>1203</v>
      </c>
      <c r="I6" s="987" t="s">
        <v>1205</v>
      </c>
      <c r="L6" s="167"/>
      <c r="M6" s="792"/>
      <c r="N6" s="792"/>
      <c r="O6" s="792"/>
      <c r="P6" s="792"/>
      <c r="Q6" s="792"/>
      <c r="R6" s="792"/>
      <c r="S6" s="167"/>
      <c r="T6" s="167"/>
      <c r="U6" s="167"/>
    </row>
    <row r="7" spans="1:21" ht="24.6" x14ac:dyDescent="0.3">
      <c r="A7" s="163"/>
      <c r="B7" s="1264" t="s">
        <v>679</v>
      </c>
      <c r="C7" s="941" t="s">
        <v>251</v>
      </c>
      <c r="D7" s="941" t="s">
        <v>252</v>
      </c>
      <c r="E7" s="1011" t="s">
        <v>253</v>
      </c>
      <c r="F7" s="988" t="s">
        <v>1200</v>
      </c>
      <c r="G7" s="1069" t="s">
        <v>1201</v>
      </c>
      <c r="H7" s="988" t="s">
        <v>1202</v>
      </c>
      <c r="I7" s="988" t="s">
        <v>1199</v>
      </c>
      <c r="J7" s="988" t="s">
        <v>507</v>
      </c>
      <c r="L7" s="161" t="s">
        <v>1221</v>
      </c>
      <c r="M7" s="414" t="s">
        <v>251</v>
      </c>
      <c r="N7" s="414" t="s">
        <v>252</v>
      </c>
      <c r="O7" s="988" t="s">
        <v>253</v>
      </c>
    </row>
    <row r="8" spans="1:21" x14ac:dyDescent="0.3">
      <c r="A8" s="989" t="s">
        <v>515</v>
      </c>
      <c r="B8" s="983" t="str">
        <f>_xlfn.XLOOKUP(A8,COA!B:B,COA!C:C,0,0,1)</f>
        <v>Cash</v>
      </c>
      <c r="C8" s="990">
        <v>0</v>
      </c>
      <c r="D8" s="717"/>
      <c r="E8" s="1013">
        <f>C8-D8</f>
        <v>0</v>
      </c>
      <c r="F8" s="991"/>
      <c r="G8" s="986">
        <f>_xlfn.XLOOKUP(A8,$L$8:$L$46,$O$8:$O$46,"n/a",0,1)-E8</f>
        <v>0</v>
      </c>
      <c r="H8" s="991"/>
      <c r="I8" s="991">
        <f t="shared" ref="I8:I13" si="1">ROUND(SUM(E8:H8),0)</f>
        <v>0</v>
      </c>
      <c r="L8" s="256" t="s">
        <v>515</v>
      </c>
      <c r="M8" s="716">
        <f>0</f>
        <v>0</v>
      </c>
      <c r="N8" s="280"/>
      <c r="O8" s="986">
        <f>M8-N8</f>
        <v>0</v>
      </c>
    </row>
    <row r="9" spans="1:21" x14ac:dyDescent="0.3">
      <c r="A9" s="256" t="s">
        <v>516</v>
      </c>
      <c r="B9" s="983" t="str">
        <f>_xlfn.XLOOKUP(A9,COA!B:B,COA!C:C,0,0,1)</f>
        <v>Cash</v>
      </c>
      <c r="C9" s="966">
        <v>7568.84</v>
      </c>
      <c r="D9" s="922"/>
      <c r="E9" s="1014">
        <f t="shared" ref="E9:E60" si="2">C9-D9</f>
        <v>7568.84</v>
      </c>
      <c r="F9" s="986"/>
      <c r="G9" s="986">
        <f t="shared" ref="G9:G43" si="3">_xlfn.XLOOKUP(A9,$L$8:$L$46,$O$8:$O$46,"n/a",0,1)-E9</f>
        <v>2370.4599999999991</v>
      </c>
      <c r="H9" s="986"/>
      <c r="I9" s="986">
        <f t="shared" si="1"/>
        <v>9939</v>
      </c>
      <c r="L9" s="256" t="s">
        <v>516</v>
      </c>
      <c r="M9" s="716">
        <f>9939.3</f>
        <v>9939.2999999999993</v>
      </c>
      <c r="N9" s="280"/>
      <c r="O9" s="986">
        <f t="shared" ref="O9:O46" si="4">M9-N9</f>
        <v>9939.2999999999993</v>
      </c>
    </row>
    <row r="10" spans="1:21" x14ac:dyDescent="0.3">
      <c r="A10" s="256" t="s">
        <v>517</v>
      </c>
      <c r="B10" s="983" t="str">
        <f>_xlfn.XLOOKUP(A10,COA!B:B,COA!C:C,0,0,1)</f>
        <v>Cash</v>
      </c>
      <c r="C10" s="966">
        <v>15282.21</v>
      </c>
      <c r="D10" s="922"/>
      <c r="E10" s="1014">
        <f t="shared" si="2"/>
        <v>15282.21</v>
      </c>
      <c r="F10" s="986"/>
      <c r="G10" s="986">
        <f t="shared" si="3"/>
        <v>-28.319999999999709</v>
      </c>
      <c r="H10" s="986"/>
      <c r="I10" s="986">
        <f t="shared" si="1"/>
        <v>15254</v>
      </c>
      <c r="L10" s="256" t="s">
        <v>517</v>
      </c>
      <c r="M10" s="716">
        <f>15253.89</f>
        <v>15253.89</v>
      </c>
      <c r="N10" s="280"/>
      <c r="O10" s="986">
        <f t="shared" si="4"/>
        <v>15253.89</v>
      </c>
    </row>
    <row r="11" spans="1:21" x14ac:dyDescent="0.3">
      <c r="A11" s="256" t="s">
        <v>518</v>
      </c>
      <c r="B11" s="983" t="str">
        <f>_xlfn.XLOOKUP(A11,COA!B:B,COA!C:C,0,0,1)</f>
        <v>Cash</v>
      </c>
      <c r="C11" s="966">
        <v>242.6</v>
      </c>
      <c r="D11" s="922"/>
      <c r="E11" s="1014">
        <f t="shared" si="2"/>
        <v>242.6</v>
      </c>
      <c r="F11" s="986"/>
      <c r="G11" s="986">
        <f t="shared" si="3"/>
        <v>82.9</v>
      </c>
      <c r="H11" s="986"/>
      <c r="I11" s="986">
        <f t="shared" si="1"/>
        <v>326</v>
      </c>
      <c r="L11" s="256" t="s">
        <v>518</v>
      </c>
      <c r="M11" s="716">
        <f>325.5</f>
        <v>325.5</v>
      </c>
      <c r="N11" s="280"/>
      <c r="O11" s="986">
        <f t="shared" si="4"/>
        <v>325.5</v>
      </c>
    </row>
    <row r="12" spans="1:21" x14ac:dyDescent="0.3">
      <c r="A12" s="256" t="s">
        <v>519</v>
      </c>
      <c r="B12" s="983" t="str">
        <f>_xlfn.XLOOKUP(A12,COA!B:B,COA!C:C,0,0,1)</f>
        <v>Cash</v>
      </c>
      <c r="C12" s="966">
        <v>6.04</v>
      </c>
      <c r="D12" s="922"/>
      <c r="E12" s="1014">
        <f t="shared" si="2"/>
        <v>6.04</v>
      </c>
      <c r="F12" s="986"/>
      <c r="G12" s="986">
        <f t="shared" si="3"/>
        <v>0</v>
      </c>
      <c r="H12" s="986"/>
      <c r="I12" s="986">
        <f t="shared" si="1"/>
        <v>6</v>
      </c>
      <c r="L12" s="256" t="s">
        <v>519</v>
      </c>
      <c r="M12" s="716">
        <f>6.04</f>
        <v>6.04</v>
      </c>
      <c r="N12" s="280"/>
      <c r="O12" s="986">
        <f t="shared" si="4"/>
        <v>6.04</v>
      </c>
    </row>
    <row r="13" spans="1:21" x14ac:dyDescent="0.3">
      <c r="A13" s="919" t="s">
        <v>522</v>
      </c>
      <c r="B13" s="984" t="str">
        <f>_xlfn.XLOOKUP(A13,COA!B:B,COA!C:C,0,0,1)</f>
        <v>Cash</v>
      </c>
      <c r="C13" s="923">
        <v>0</v>
      </c>
      <c r="D13" s="979"/>
      <c r="E13" s="1015">
        <f t="shared" si="2"/>
        <v>0</v>
      </c>
      <c r="F13" s="980"/>
      <c r="G13" s="980">
        <f t="shared" si="3"/>
        <v>0</v>
      </c>
      <c r="H13" s="980"/>
      <c r="I13" s="980">
        <f t="shared" si="1"/>
        <v>0</v>
      </c>
      <c r="L13" s="256" t="s">
        <v>522</v>
      </c>
      <c r="M13" s="716">
        <f>0</f>
        <v>0</v>
      </c>
      <c r="N13" s="280"/>
      <c r="O13" s="986">
        <f t="shared" si="4"/>
        <v>0</v>
      </c>
    </row>
    <row r="14" spans="1:21" x14ac:dyDescent="0.3">
      <c r="A14" s="256" t="s">
        <v>520</v>
      </c>
      <c r="B14" s="983" t="str">
        <f>_xlfn.XLOOKUP(A14,COA!B:B,COA!C:C,0,0,1)</f>
        <v>Receivables</v>
      </c>
      <c r="C14" s="716">
        <v>0</v>
      </c>
      <c r="D14" s="280"/>
      <c r="E14" s="1016">
        <f t="shared" si="2"/>
        <v>0</v>
      </c>
      <c r="F14" s="977"/>
      <c r="G14" s="986">
        <f t="shared" si="3"/>
        <v>0</v>
      </c>
      <c r="H14" s="977"/>
      <c r="I14" s="986">
        <f t="shared" ref="I14:I60" si="5">ROUND(SUM(E14:H14),0)</f>
        <v>0</v>
      </c>
      <c r="L14" s="256" t="s">
        <v>520</v>
      </c>
      <c r="M14" s="716">
        <f>0</f>
        <v>0</v>
      </c>
      <c r="N14" s="280"/>
      <c r="O14" s="986">
        <f t="shared" si="4"/>
        <v>0</v>
      </c>
    </row>
    <row r="15" spans="1:21" x14ac:dyDescent="0.3">
      <c r="A15" s="256" t="s">
        <v>680</v>
      </c>
      <c r="B15" s="983" t="str">
        <f>_xlfn.XLOOKUP(A15,COA!B:B,COA!C:C,0,0,1)</f>
        <v>Prepaid expenses</v>
      </c>
      <c r="C15" s="716">
        <v>308</v>
      </c>
      <c r="D15" s="280"/>
      <c r="E15" s="1016">
        <f t="shared" si="2"/>
        <v>308</v>
      </c>
      <c r="F15" s="977"/>
      <c r="G15" s="986">
        <f t="shared" si="3"/>
        <v>1932</v>
      </c>
      <c r="H15" s="977"/>
      <c r="I15" s="986">
        <f t="shared" si="5"/>
        <v>2240</v>
      </c>
      <c r="L15" s="256" t="s">
        <v>680</v>
      </c>
      <c r="M15" s="716">
        <f>2240</f>
        <v>2240</v>
      </c>
      <c r="N15" s="280"/>
      <c r="O15" s="986">
        <f t="shared" si="4"/>
        <v>2240</v>
      </c>
    </row>
    <row r="16" spans="1:21" x14ac:dyDescent="0.3">
      <c r="A16" s="256" t="s">
        <v>523</v>
      </c>
      <c r="B16" s="983" t="str">
        <f>_xlfn.XLOOKUP(A16,COA!B:B,COA!C:C,0,0,1)</f>
        <v>Inventory</v>
      </c>
      <c r="C16" s="716">
        <v>399703.1</v>
      </c>
      <c r="D16" s="280"/>
      <c r="E16" s="1016">
        <f t="shared" si="2"/>
        <v>399703.1</v>
      </c>
      <c r="F16" s="977"/>
      <c r="G16" s="993">
        <f>U2</f>
        <v>-2253.5599999999395</v>
      </c>
      <c r="H16" s="977"/>
      <c r="I16" s="986">
        <f t="shared" si="5"/>
        <v>397450</v>
      </c>
      <c r="L16" s="256" t="s">
        <v>523</v>
      </c>
      <c r="M16" s="716">
        <f>39659.08</f>
        <v>39659.08</v>
      </c>
      <c r="N16" s="280"/>
      <c r="O16" s="986">
        <f t="shared" si="4"/>
        <v>39659.08</v>
      </c>
    </row>
    <row r="17" spans="1:15" x14ac:dyDescent="0.3">
      <c r="A17" s="256" t="s">
        <v>454</v>
      </c>
      <c r="B17" s="983" t="str">
        <f>_xlfn.XLOOKUP(A17,COA!B:B,COA!C:C,0,0,1)</f>
        <v>Other current assets</v>
      </c>
      <c r="C17" s="716">
        <v>0</v>
      </c>
      <c r="D17" s="280"/>
      <c r="E17" s="1016">
        <f t="shared" si="2"/>
        <v>0</v>
      </c>
      <c r="F17" s="977"/>
      <c r="G17" s="986">
        <f t="shared" si="3"/>
        <v>0</v>
      </c>
      <c r="H17" s="977"/>
      <c r="I17" s="986">
        <f t="shared" si="5"/>
        <v>0</v>
      </c>
      <c r="L17" s="256" t="s">
        <v>454</v>
      </c>
      <c r="M17" s="716">
        <f>0</f>
        <v>0</v>
      </c>
      <c r="N17" s="280"/>
      <c r="O17" s="986">
        <f t="shared" si="4"/>
        <v>0</v>
      </c>
    </row>
    <row r="18" spans="1:15" x14ac:dyDescent="0.3">
      <c r="A18" s="256" t="s">
        <v>529</v>
      </c>
      <c r="B18" s="983" t="str">
        <f>_xlfn.XLOOKUP(A18,COA!B:B,COA!C:C,0,0,1)</f>
        <v>Equipment</v>
      </c>
      <c r="C18" s="716">
        <v>6108.16</v>
      </c>
      <c r="D18" s="280"/>
      <c r="E18" s="1016">
        <f t="shared" si="2"/>
        <v>6108.16</v>
      </c>
      <c r="F18" s="977"/>
      <c r="G18" s="986">
        <f t="shared" si="3"/>
        <v>0</v>
      </c>
      <c r="H18" s="977"/>
      <c r="I18" s="986">
        <f t="shared" si="5"/>
        <v>6108</v>
      </c>
      <c r="L18" s="256" t="s">
        <v>529</v>
      </c>
      <c r="M18" s="716">
        <f>6108.16</f>
        <v>6108.16</v>
      </c>
      <c r="N18" s="280"/>
      <c r="O18" s="986">
        <f t="shared" si="4"/>
        <v>6108.16</v>
      </c>
    </row>
    <row r="19" spans="1:15" x14ac:dyDescent="0.3">
      <c r="A19" s="256" t="s">
        <v>530</v>
      </c>
      <c r="B19" s="983" t="str">
        <f>_xlfn.XLOOKUP(A19,COA!B:B,COA!C:C,0,0,1)</f>
        <v>Equipment</v>
      </c>
      <c r="C19" s="280"/>
      <c r="D19" s="716">
        <v>439.3</v>
      </c>
      <c r="E19" s="1016">
        <f t="shared" si="2"/>
        <v>-439.3</v>
      </c>
      <c r="F19" s="978"/>
      <c r="G19" s="986">
        <f>_xlfn.XLOOKUP(A19,$L$8:$L$46,$O$8:$O$46,0,0,1)-E19</f>
        <v>439.3</v>
      </c>
      <c r="H19" s="978"/>
      <c r="I19" s="986">
        <f t="shared" si="5"/>
        <v>0</v>
      </c>
      <c r="L19" s="256" t="s">
        <v>500</v>
      </c>
      <c r="M19" s="280"/>
      <c r="N19" s="716">
        <f>116824.33</f>
        <v>116824.33</v>
      </c>
      <c r="O19" s="986">
        <f t="shared" si="4"/>
        <v>-116824.33</v>
      </c>
    </row>
    <row r="20" spans="1:15" x14ac:dyDescent="0.3">
      <c r="A20" s="256" t="s">
        <v>500</v>
      </c>
      <c r="B20" s="983" t="str">
        <f>_xlfn.XLOOKUP(A20,COA!B:B,COA!C:C,0,0,1)</f>
        <v>Accounts payables and accrued liabilities</v>
      </c>
      <c r="C20" s="280"/>
      <c r="D20" s="716">
        <v>119257.01</v>
      </c>
      <c r="E20" s="1016">
        <f t="shared" si="2"/>
        <v>-119257.01</v>
      </c>
      <c r="F20" s="978"/>
      <c r="G20" s="993">
        <f>_xlfn.XLOOKUP(A20,$L$8:$L$46,$O$8:$O$46,"n/a",0,1)-E20-G16</f>
        <v>4686.2399999999325</v>
      </c>
      <c r="H20" s="978"/>
      <c r="I20" s="986">
        <f t="shared" si="5"/>
        <v>-114571</v>
      </c>
      <c r="L20" s="256" t="s">
        <v>531</v>
      </c>
      <c r="M20" s="280"/>
      <c r="N20" s="716">
        <f>4051.63</f>
        <v>4051.63</v>
      </c>
      <c r="O20" s="986">
        <f t="shared" si="4"/>
        <v>-4051.63</v>
      </c>
    </row>
    <row r="21" spans="1:15" x14ac:dyDescent="0.3">
      <c r="A21" s="256" t="s">
        <v>531</v>
      </c>
      <c r="B21" s="983" t="str">
        <f>_xlfn.XLOOKUP(A21,COA!B:B,COA!C:C,0,0,1)</f>
        <v>Accounts payables and accrued liabilities</v>
      </c>
      <c r="C21" s="280"/>
      <c r="D21" s="716">
        <v>4051.63</v>
      </c>
      <c r="E21" s="1016">
        <f t="shared" si="2"/>
        <v>-4051.63</v>
      </c>
      <c r="F21" s="978"/>
      <c r="G21" s="986">
        <f t="shared" si="3"/>
        <v>0</v>
      </c>
      <c r="H21" s="978"/>
      <c r="I21" s="986">
        <f t="shared" si="5"/>
        <v>-4052</v>
      </c>
      <c r="L21" s="256" t="s">
        <v>532</v>
      </c>
      <c r="M21" s="280"/>
      <c r="N21" s="716">
        <f>4394.61</f>
        <v>4394.6099999999997</v>
      </c>
      <c r="O21" s="986">
        <f t="shared" si="4"/>
        <v>-4394.6099999999997</v>
      </c>
    </row>
    <row r="22" spans="1:15" x14ac:dyDescent="0.3">
      <c r="A22" s="256" t="s">
        <v>532</v>
      </c>
      <c r="B22" s="983" t="str">
        <f>_xlfn.XLOOKUP(A22,COA!B:B,COA!C:C,0,0,1)</f>
        <v>Cash</v>
      </c>
      <c r="C22" s="280"/>
      <c r="D22" s="716">
        <v>2320.91</v>
      </c>
      <c r="E22" s="1016">
        <f t="shared" si="2"/>
        <v>-2320.91</v>
      </c>
      <c r="F22" s="978"/>
      <c r="G22" s="986">
        <f t="shared" si="3"/>
        <v>-2073.6999999999998</v>
      </c>
      <c r="H22" s="978"/>
      <c r="I22" s="986">
        <f t="shared" si="5"/>
        <v>-4395</v>
      </c>
      <c r="L22" s="256" t="s">
        <v>533</v>
      </c>
      <c r="M22" s="280"/>
      <c r="N22" s="716">
        <f>60000</f>
        <v>60000</v>
      </c>
      <c r="O22" s="986">
        <f t="shared" si="4"/>
        <v>-60000</v>
      </c>
    </row>
    <row r="23" spans="1:15" x14ac:dyDescent="0.3">
      <c r="A23" s="256" t="s">
        <v>533</v>
      </c>
      <c r="B23" s="983" t="str">
        <f>_xlfn.XLOOKUP(A23,COA!B:B,COA!C:C,0,0,1)</f>
        <v>Accounts payables and accrued liabilities</v>
      </c>
      <c r="C23" s="280"/>
      <c r="D23" s="716">
        <v>116055</v>
      </c>
      <c r="E23" s="1016">
        <f t="shared" si="2"/>
        <v>-116055</v>
      </c>
      <c r="F23" s="978"/>
      <c r="G23" s="986">
        <f t="shared" si="3"/>
        <v>56055</v>
      </c>
      <c r="H23" s="978"/>
      <c r="I23" s="986">
        <f t="shared" si="5"/>
        <v>-60000</v>
      </c>
      <c r="L23" s="256" t="s">
        <v>535</v>
      </c>
      <c r="M23" s="280"/>
      <c r="N23" s="716">
        <f>0</f>
        <v>0</v>
      </c>
      <c r="O23" s="986">
        <f t="shared" si="4"/>
        <v>0</v>
      </c>
    </row>
    <row r="24" spans="1:15" x14ac:dyDescent="0.3">
      <c r="A24" s="256" t="s">
        <v>535</v>
      </c>
      <c r="B24" s="983" t="str">
        <f>_xlfn.XLOOKUP(A24,COA!B:B,COA!C:C,0,0,1)</f>
        <v>Deferred revenue</v>
      </c>
      <c r="C24" s="280"/>
      <c r="D24" s="716">
        <v>0</v>
      </c>
      <c r="E24" s="1016">
        <f t="shared" si="2"/>
        <v>0</v>
      </c>
      <c r="F24" s="978"/>
      <c r="G24" s="986">
        <f t="shared" si="3"/>
        <v>0</v>
      </c>
      <c r="H24" s="978"/>
      <c r="I24" s="986">
        <f t="shared" si="5"/>
        <v>0</v>
      </c>
      <c r="L24" s="256" t="s">
        <v>542</v>
      </c>
      <c r="M24" s="280"/>
      <c r="N24" s="716">
        <f>0</f>
        <v>0</v>
      </c>
      <c r="O24" s="986">
        <f t="shared" si="4"/>
        <v>0</v>
      </c>
    </row>
    <row r="25" spans="1:15" x14ac:dyDescent="0.3">
      <c r="A25" s="256" t="s">
        <v>542</v>
      </c>
      <c r="B25" s="983" t="str">
        <f>_xlfn.XLOOKUP(A25,COA!B:B,COA!C:C,0,0,1)</f>
        <v>Sales tax receivable</v>
      </c>
      <c r="C25" s="716"/>
      <c r="D25" s="280">
        <v>0</v>
      </c>
      <c r="E25" s="1016">
        <f t="shared" si="2"/>
        <v>0</v>
      </c>
      <c r="F25" s="977"/>
      <c r="G25" s="986">
        <f t="shared" si="3"/>
        <v>0</v>
      </c>
      <c r="H25" s="977"/>
      <c r="I25" s="986">
        <f t="shared" si="5"/>
        <v>0</v>
      </c>
      <c r="L25" s="256" t="s">
        <v>543</v>
      </c>
      <c r="M25" s="716">
        <f>25726.22</f>
        <v>25726.22</v>
      </c>
      <c r="N25" s="280"/>
      <c r="O25" s="986">
        <f t="shared" si="4"/>
        <v>25726.22</v>
      </c>
    </row>
    <row r="26" spans="1:15" x14ac:dyDescent="0.3">
      <c r="A26" s="256" t="s">
        <v>543</v>
      </c>
      <c r="B26" s="983" t="str">
        <f>_xlfn.XLOOKUP(A26,COA!B:B,COA!C:C,0,0,1)</f>
        <v>Sales tax receivable</v>
      </c>
      <c r="C26" s="716">
        <v>4.76</v>
      </c>
      <c r="D26" s="280"/>
      <c r="E26" s="1016">
        <f t="shared" si="2"/>
        <v>4.76</v>
      </c>
      <c r="F26" s="977"/>
      <c r="G26" s="986">
        <f t="shared" si="3"/>
        <v>25721.460000000003</v>
      </c>
      <c r="H26" s="977"/>
      <c r="I26" s="986">
        <f t="shared" si="5"/>
        <v>25726</v>
      </c>
      <c r="L26" s="256" t="s">
        <v>544</v>
      </c>
      <c r="M26" s="716">
        <f>389.61</f>
        <v>389.61</v>
      </c>
      <c r="N26" s="280"/>
      <c r="O26" s="986">
        <f t="shared" si="4"/>
        <v>389.61</v>
      </c>
    </row>
    <row r="27" spans="1:15" x14ac:dyDescent="0.3">
      <c r="A27" s="256" t="s">
        <v>544</v>
      </c>
      <c r="B27" s="983" t="str">
        <f>_xlfn.XLOOKUP(A27,COA!B:B,COA!C:C,0,0,1)</f>
        <v>Sales tax receivable</v>
      </c>
      <c r="C27" s="280">
        <v>389.61</v>
      </c>
      <c r="D27" s="716"/>
      <c r="E27" s="1016">
        <f t="shared" si="2"/>
        <v>389.61</v>
      </c>
      <c r="F27" s="978"/>
      <c r="G27" s="986">
        <f t="shared" si="3"/>
        <v>0</v>
      </c>
      <c r="H27" s="978"/>
      <c r="I27" s="986">
        <f t="shared" si="5"/>
        <v>390</v>
      </c>
      <c r="L27" s="256" t="s">
        <v>545</v>
      </c>
      <c r="M27" s="280"/>
      <c r="N27" s="716">
        <f>0</f>
        <v>0</v>
      </c>
      <c r="O27" s="986">
        <f t="shared" si="4"/>
        <v>0</v>
      </c>
    </row>
    <row r="28" spans="1:15" x14ac:dyDescent="0.3">
      <c r="A28" s="256" t="s">
        <v>545</v>
      </c>
      <c r="B28" s="983" t="str">
        <f>_xlfn.XLOOKUP(A28,COA!B:B,COA!C:C,0,0,1)</f>
        <v>Sales tax receivable</v>
      </c>
      <c r="C28" s="716"/>
      <c r="D28" s="280">
        <v>0</v>
      </c>
      <c r="E28" s="1016">
        <f t="shared" si="2"/>
        <v>0</v>
      </c>
      <c r="F28" s="977"/>
      <c r="G28" s="986">
        <f t="shared" si="3"/>
        <v>0</v>
      </c>
      <c r="H28" s="977"/>
      <c r="I28" s="986">
        <f t="shared" si="5"/>
        <v>0</v>
      </c>
      <c r="L28" s="256" t="s">
        <v>546</v>
      </c>
      <c r="M28" s="716">
        <f>255.43</f>
        <v>255.43</v>
      </c>
      <c r="N28" s="280"/>
      <c r="O28" s="986">
        <f t="shared" si="4"/>
        <v>255.43</v>
      </c>
    </row>
    <row r="29" spans="1:15" x14ac:dyDescent="0.3">
      <c r="A29" s="256" t="s">
        <v>546</v>
      </c>
      <c r="B29" s="983" t="str">
        <f>_xlfn.XLOOKUP(A29,COA!B:B,COA!C:C,0,0,1)</f>
        <v>Sales tax receivable</v>
      </c>
      <c r="C29" s="280">
        <v>26198.75</v>
      </c>
      <c r="D29" s="716"/>
      <c r="E29" s="1016">
        <f t="shared" si="2"/>
        <v>26198.75</v>
      </c>
      <c r="F29" s="978"/>
      <c r="G29" s="986">
        <f t="shared" si="3"/>
        <v>-25943.32</v>
      </c>
      <c r="H29" s="978"/>
      <c r="I29" s="986">
        <f t="shared" si="5"/>
        <v>255</v>
      </c>
      <c r="L29" s="256" t="s">
        <v>548</v>
      </c>
      <c r="M29" s="280"/>
      <c r="N29" s="716">
        <f>2769.58</f>
        <v>2769.58</v>
      </c>
      <c r="O29" s="986">
        <f t="shared" si="4"/>
        <v>-2769.58</v>
      </c>
    </row>
    <row r="30" spans="1:15" x14ac:dyDescent="0.3">
      <c r="A30" s="256" t="s">
        <v>548</v>
      </c>
      <c r="B30" s="983" t="str">
        <f>_xlfn.XLOOKUP(A30,COA!B:B,COA!C:C,0,0,1)</f>
        <v>Sales tax payable</v>
      </c>
      <c r="C30" s="280"/>
      <c r="D30" s="716">
        <v>0</v>
      </c>
      <c r="E30" s="1016">
        <f t="shared" si="2"/>
        <v>0</v>
      </c>
      <c r="F30" s="978"/>
      <c r="G30" s="986">
        <v>0</v>
      </c>
      <c r="H30" s="978"/>
      <c r="I30" s="986">
        <f t="shared" si="5"/>
        <v>0</v>
      </c>
      <c r="L30" s="256" t="s">
        <v>549</v>
      </c>
      <c r="M30" s="280"/>
      <c r="N30" s="716">
        <f>0</f>
        <v>0</v>
      </c>
      <c r="O30" s="986">
        <f t="shared" si="4"/>
        <v>0</v>
      </c>
    </row>
    <row r="31" spans="1:15" x14ac:dyDescent="0.3">
      <c r="A31" s="256" t="s">
        <v>549</v>
      </c>
      <c r="B31" s="983" t="str">
        <f>_xlfn.XLOOKUP(A31,COA!B:B,COA!C:C,0,0,1)</f>
        <v>Sales tax payable</v>
      </c>
      <c r="C31" s="280"/>
      <c r="D31" s="716">
        <v>0</v>
      </c>
      <c r="E31" s="1016">
        <f t="shared" si="2"/>
        <v>0</v>
      </c>
      <c r="F31" s="978"/>
      <c r="G31" s="986">
        <f t="shared" si="3"/>
        <v>0</v>
      </c>
      <c r="H31" s="978"/>
      <c r="I31" s="986">
        <f t="shared" si="5"/>
        <v>0</v>
      </c>
      <c r="L31" s="256" t="s">
        <v>550</v>
      </c>
      <c r="M31" s="280"/>
      <c r="N31" s="716">
        <f>98.09</f>
        <v>98.09</v>
      </c>
      <c r="O31" s="986">
        <f t="shared" si="4"/>
        <v>-98.09</v>
      </c>
    </row>
    <row r="32" spans="1:15" x14ac:dyDescent="0.3">
      <c r="A32" s="256" t="s">
        <v>550</v>
      </c>
      <c r="B32" s="983" t="str">
        <f>_xlfn.XLOOKUP(A32,COA!B:B,COA!C:C,0,0,1)</f>
        <v>Income tax payable</v>
      </c>
      <c r="C32" s="280"/>
      <c r="D32" s="716">
        <v>98.09</v>
      </c>
      <c r="E32" s="1016">
        <f t="shared" si="2"/>
        <v>-98.09</v>
      </c>
      <c r="F32" s="978"/>
      <c r="G32" s="986">
        <f t="shared" si="3"/>
        <v>0</v>
      </c>
      <c r="H32" s="978"/>
      <c r="I32" s="986">
        <f t="shared" si="5"/>
        <v>-98</v>
      </c>
      <c r="L32" s="256" t="s">
        <v>551</v>
      </c>
      <c r="M32" s="280"/>
      <c r="N32" s="716">
        <f>0</f>
        <v>0</v>
      </c>
      <c r="O32" s="986">
        <f t="shared" si="4"/>
        <v>0</v>
      </c>
    </row>
    <row r="33" spans="1:15" x14ac:dyDescent="0.3">
      <c r="A33" s="256" t="s">
        <v>551</v>
      </c>
      <c r="B33" s="983" t="str">
        <f>_xlfn.XLOOKUP(A33,COA!B:B,COA!C:C,0,0,1)</f>
        <v>Due to related parties</v>
      </c>
      <c r="C33" s="280"/>
      <c r="D33" s="716">
        <v>0</v>
      </c>
      <c r="E33" s="1016">
        <f t="shared" si="2"/>
        <v>0</v>
      </c>
      <c r="F33" s="978"/>
      <c r="G33" s="986">
        <f t="shared" si="3"/>
        <v>0</v>
      </c>
      <c r="H33" s="978"/>
      <c r="I33" s="986">
        <f t="shared" si="5"/>
        <v>0</v>
      </c>
      <c r="L33" s="256" t="s">
        <v>552</v>
      </c>
      <c r="M33" s="280"/>
      <c r="N33" s="716">
        <f>0</f>
        <v>0</v>
      </c>
      <c r="O33" s="986">
        <f t="shared" si="4"/>
        <v>0</v>
      </c>
    </row>
    <row r="34" spans="1:15" x14ac:dyDescent="0.3">
      <c r="A34" s="256" t="s">
        <v>552</v>
      </c>
      <c r="B34" s="983" t="str">
        <f>_xlfn.XLOOKUP(A34,COA!B:B,COA!C:C,0,0,1)</f>
        <v>Due to related parties</v>
      </c>
      <c r="C34" s="280"/>
      <c r="D34" s="716">
        <v>0</v>
      </c>
      <c r="E34" s="1016">
        <f t="shared" si="2"/>
        <v>0</v>
      </c>
      <c r="F34" s="978"/>
      <c r="G34" s="986">
        <f t="shared" si="3"/>
        <v>0</v>
      </c>
      <c r="H34" s="978"/>
      <c r="I34" s="986">
        <f t="shared" si="5"/>
        <v>0</v>
      </c>
      <c r="L34" s="256" t="s">
        <v>553</v>
      </c>
      <c r="M34" s="280"/>
      <c r="N34" s="716">
        <f>0</f>
        <v>0</v>
      </c>
      <c r="O34" s="986">
        <f t="shared" si="4"/>
        <v>0</v>
      </c>
    </row>
    <row r="35" spans="1:15" x14ac:dyDescent="0.3">
      <c r="A35" s="256" t="s">
        <v>553</v>
      </c>
      <c r="B35" s="983" t="str">
        <f>_xlfn.XLOOKUP(A35,COA!B:B,COA!C:C,0,0,1)</f>
        <v>Due to related parties</v>
      </c>
      <c r="C35" s="280"/>
      <c r="D35" s="716">
        <v>0</v>
      </c>
      <c r="E35" s="1016">
        <f t="shared" si="2"/>
        <v>0</v>
      </c>
      <c r="F35" s="978"/>
      <c r="G35" s="986">
        <f t="shared" si="3"/>
        <v>0</v>
      </c>
      <c r="H35" s="978"/>
      <c r="I35" s="986">
        <f t="shared" si="5"/>
        <v>0</v>
      </c>
      <c r="L35" s="256" t="s">
        <v>554</v>
      </c>
      <c r="M35" s="280"/>
      <c r="N35" s="716">
        <f>561600</f>
        <v>561600</v>
      </c>
      <c r="O35" s="986">
        <f t="shared" si="4"/>
        <v>-561600</v>
      </c>
    </row>
    <row r="36" spans="1:15" x14ac:dyDescent="0.3">
      <c r="A36" s="256" t="s">
        <v>554</v>
      </c>
      <c r="B36" s="983" t="str">
        <f>_xlfn.XLOOKUP(A36,COA!B:B,COA!C:C,0,0,1)</f>
        <v>Loans and borrowings</v>
      </c>
      <c r="C36" s="280"/>
      <c r="D36" s="716">
        <v>556400</v>
      </c>
      <c r="E36" s="1016">
        <f t="shared" si="2"/>
        <v>-556400</v>
      </c>
      <c r="F36" s="978"/>
      <c r="G36" s="986"/>
      <c r="H36" s="978"/>
      <c r="I36" s="986">
        <f t="shared" si="5"/>
        <v>-556400</v>
      </c>
      <c r="L36" s="256" t="s">
        <v>557</v>
      </c>
      <c r="M36" s="280"/>
      <c r="N36" s="716">
        <f>0</f>
        <v>0</v>
      </c>
      <c r="O36" s="986">
        <f t="shared" si="4"/>
        <v>0</v>
      </c>
    </row>
    <row r="37" spans="1:15" x14ac:dyDescent="0.3">
      <c r="A37" s="256" t="s">
        <v>557</v>
      </c>
      <c r="B37" s="983" t="str">
        <f>_xlfn.XLOOKUP(A37,COA!B:B,COA!C:C,0,0,1)</f>
        <v>Due to related parties</v>
      </c>
      <c r="C37" s="280"/>
      <c r="D37" s="716">
        <v>0</v>
      </c>
      <c r="E37" s="1016">
        <f t="shared" si="2"/>
        <v>0</v>
      </c>
      <c r="F37" s="978"/>
      <c r="G37" s="986">
        <f t="shared" si="3"/>
        <v>0</v>
      </c>
      <c r="H37" s="978"/>
      <c r="I37" s="986">
        <f t="shared" si="5"/>
        <v>0</v>
      </c>
      <c r="L37" s="256" t="s">
        <v>558</v>
      </c>
      <c r="M37" s="280"/>
      <c r="N37" s="716">
        <f>0</f>
        <v>0</v>
      </c>
      <c r="O37" s="986">
        <f t="shared" si="4"/>
        <v>0</v>
      </c>
    </row>
    <row r="38" spans="1:15" x14ac:dyDescent="0.3">
      <c r="A38" s="919" t="s">
        <v>558</v>
      </c>
      <c r="B38" s="984" t="str">
        <f>_xlfn.XLOOKUP(A38,COA!B:B,COA!C:C,0,0,1)</f>
        <v>Due to related parties</v>
      </c>
      <c r="C38" s="923"/>
      <c r="D38" s="979">
        <v>0</v>
      </c>
      <c r="E38" s="1015">
        <f t="shared" si="2"/>
        <v>0</v>
      </c>
      <c r="F38" s="980"/>
      <c r="G38" s="980">
        <f t="shared" si="3"/>
        <v>0</v>
      </c>
      <c r="H38" s="980"/>
      <c r="I38" s="980">
        <f t="shared" si="5"/>
        <v>0</v>
      </c>
      <c r="L38" s="256" t="s">
        <v>559</v>
      </c>
      <c r="M38" s="716">
        <f>1697.62</f>
        <v>1697.62</v>
      </c>
      <c r="N38" s="280"/>
      <c r="O38" s="986">
        <f t="shared" si="4"/>
        <v>1697.62</v>
      </c>
    </row>
    <row r="39" spans="1:15" x14ac:dyDescent="0.3">
      <c r="A39" s="256" t="s">
        <v>559</v>
      </c>
      <c r="B39" s="983" t="str">
        <f>_xlfn.XLOOKUP(A39,COA!B:B,COA!C:C,0,0,1)</f>
        <v>Accumulated deficit</v>
      </c>
      <c r="C39" s="280">
        <v>1697.62</v>
      </c>
      <c r="D39" s="716"/>
      <c r="E39" s="1016">
        <f t="shared" si="2"/>
        <v>1697.62</v>
      </c>
      <c r="F39" s="978"/>
      <c r="G39" s="986">
        <f t="shared" si="3"/>
        <v>0</v>
      </c>
      <c r="H39" s="978"/>
      <c r="I39" s="986">
        <f t="shared" si="5"/>
        <v>1698</v>
      </c>
      <c r="L39" s="256" t="s">
        <v>561</v>
      </c>
      <c r="M39" s="280"/>
      <c r="N39" s="716">
        <f>24</f>
        <v>24</v>
      </c>
      <c r="O39" s="986">
        <f t="shared" si="4"/>
        <v>-24</v>
      </c>
    </row>
    <row r="40" spans="1:15" x14ac:dyDescent="0.3">
      <c r="A40" s="256" t="s">
        <v>561</v>
      </c>
      <c r="B40" s="983" t="str">
        <f>_xlfn.XLOOKUP(A40,COA!B:B,COA!C:C,0,0,1)</f>
        <v>Share capital</v>
      </c>
      <c r="C40" s="280"/>
      <c r="D40" s="716">
        <v>24</v>
      </c>
      <c r="E40" s="1016">
        <f t="shared" si="2"/>
        <v>-24</v>
      </c>
      <c r="F40" s="978"/>
      <c r="G40" s="986">
        <f t="shared" si="3"/>
        <v>0</v>
      </c>
      <c r="H40" s="978"/>
      <c r="I40" s="986">
        <f t="shared" si="5"/>
        <v>-24</v>
      </c>
      <c r="L40" s="256" t="s">
        <v>562</v>
      </c>
      <c r="M40" s="280"/>
      <c r="N40" s="716">
        <f>12</f>
        <v>12</v>
      </c>
      <c r="O40" s="986">
        <f t="shared" si="4"/>
        <v>-12</v>
      </c>
    </row>
    <row r="41" spans="1:15" x14ac:dyDescent="0.3">
      <c r="A41" s="256" t="s">
        <v>562</v>
      </c>
      <c r="B41" s="983" t="str">
        <f>_xlfn.XLOOKUP(A41,COA!B:B,COA!C:C,0,0,1)</f>
        <v>Share capital</v>
      </c>
      <c r="C41" s="280"/>
      <c r="D41" s="716">
        <v>12</v>
      </c>
      <c r="E41" s="1016">
        <f t="shared" si="2"/>
        <v>-12</v>
      </c>
      <c r="F41" s="978"/>
      <c r="G41" s="986">
        <f t="shared" si="3"/>
        <v>0</v>
      </c>
      <c r="H41" s="978"/>
      <c r="I41" s="986">
        <f t="shared" si="5"/>
        <v>-12</v>
      </c>
      <c r="L41" s="256" t="s">
        <v>563</v>
      </c>
      <c r="M41" s="280"/>
      <c r="N41" s="716">
        <f>12</f>
        <v>12</v>
      </c>
      <c r="O41" s="986">
        <f t="shared" si="4"/>
        <v>-12</v>
      </c>
    </row>
    <row r="42" spans="1:15" x14ac:dyDescent="0.3">
      <c r="A42" s="256" t="s">
        <v>563</v>
      </c>
      <c r="B42" s="983" t="str">
        <f>_xlfn.XLOOKUP(A42,COA!B:B,COA!C:C,0,0,1)</f>
        <v>Share capital</v>
      </c>
      <c r="C42" s="280"/>
      <c r="D42" s="716">
        <v>12</v>
      </c>
      <c r="E42" s="1016">
        <f t="shared" si="2"/>
        <v>-12</v>
      </c>
      <c r="F42" s="978"/>
      <c r="G42" s="986">
        <f t="shared" si="3"/>
        <v>0</v>
      </c>
      <c r="H42" s="978"/>
      <c r="I42" s="986">
        <f t="shared" si="5"/>
        <v>-12</v>
      </c>
      <c r="L42" s="256" t="s">
        <v>564</v>
      </c>
      <c r="M42" s="280"/>
      <c r="N42" s="716">
        <f>59349.72</f>
        <v>59349.72</v>
      </c>
      <c r="O42" s="986">
        <f t="shared" si="4"/>
        <v>-59349.72</v>
      </c>
    </row>
    <row r="43" spans="1:15" x14ac:dyDescent="0.3">
      <c r="A43" s="256" t="s">
        <v>564</v>
      </c>
      <c r="B43" s="983" t="str">
        <f>_xlfn.XLOOKUP(A43,COA!B:B,COA!C:C,0,0,1)</f>
        <v>Contributed surplus</v>
      </c>
      <c r="C43" s="966"/>
      <c r="D43" s="922">
        <v>59349.72</v>
      </c>
      <c r="E43" s="1014">
        <f t="shared" si="2"/>
        <v>-59349.72</v>
      </c>
      <c r="F43" s="986"/>
      <c r="G43" s="986">
        <f t="shared" si="3"/>
        <v>0</v>
      </c>
      <c r="H43" s="986"/>
      <c r="I43" s="986">
        <f t="shared" si="5"/>
        <v>-59350</v>
      </c>
      <c r="L43" s="919" t="s">
        <v>565</v>
      </c>
      <c r="M43" s="923">
        <f>707384.31</f>
        <v>707384.31</v>
      </c>
      <c r="N43" s="979"/>
      <c r="O43" s="980">
        <f t="shared" si="4"/>
        <v>707384.31</v>
      </c>
    </row>
    <row r="44" spans="1:15" x14ac:dyDescent="0.3">
      <c r="A44" s="919" t="s">
        <v>565</v>
      </c>
      <c r="B44" s="984" t="str">
        <f>_xlfn.XLOOKUP(A44,COA!B:B,COA!C:C,0,0,1)</f>
        <v>Accumulated deficit</v>
      </c>
      <c r="C44" s="1009">
        <v>707384.31</v>
      </c>
      <c r="D44" s="979"/>
      <c r="E44" s="1015">
        <f>C44-D44</f>
        <v>707384.31</v>
      </c>
      <c r="F44" s="980"/>
      <c r="G44" s="980">
        <f>-SUM(G8:G43)</f>
        <v>-60988.46</v>
      </c>
      <c r="H44" s="980">
        <f>-SUM(H45:H50,H51:H60)</f>
        <v>-307025.14</v>
      </c>
      <c r="I44" s="980">
        <f t="shared" si="5"/>
        <v>339371</v>
      </c>
      <c r="J44" s="167"/>
      <c r="K44" s="167"/>
      <c r="L44" s="256" t="s">
        <v>576</v>
      </c>
      <c r="M44" s="716">
        <f>0</f>
        <v>0</v>
      </c>
      <c r="N44" s="280"/>
      <c r="O44" s="986">
        <f t="shared" si="4"/>
        <v>0</v>
      </c>
    </row>
    <row r="45" spans="1:15" x14ac:dyDescent="0.3">
      <c r="A45" s="256" t="s">
        <v>576</v>
      </c>
      <c r="B45" s="983" t="str">
        <f>B44</f>
        <v>Accumulated deficit</v>
      </c>
      <c r="C45" s="716"/>
      <c r="D45" s="280">
        <v>251333.95</v>
      </c>
      <c r="E45" s="1016">
        <f t="shared" si="2"/>
        <v>-251333.95</v>
      </c>
      <c r="F45" s="977"/>
      <c r="G45" s="977"/>
      <c r="H45" s="977">
        <f>-E45</f>
        <v>251333.95</v>
      </c>
      <c r="I45" s="986">
        <f t="shared" si="5"/>
        <v>0</v>
      </c>
      <c r="L45" s="256" t="s">
        <v>592</v>
      </c>
      <c r="M45" s="716">
        <f>1.5</f>
        <v>1.5</v>
      </c>
      <c r="N45" s="280"/>
      <c r="O45" s="986">
        <f t="shared" si="4"/>
        <v>1.5</v>
      </c>
    </row>
    <row r="46" spans="1:15" x14ac:dyDescent="0.3">
      <c r="A46" s="256" t="s">
        <v>577</v>
      </c>
      <c r="B46" s="983" t="str">
        <f>B45</f>
        <v>Accumulated deficit</v>
      </c>
      <c r="C46" s="716"/>
      <c r="D46" s="280">
        <v>15460.46</v>
      </c>
      <c r="E46" s="1016">
        <f t="shared" si="2"/>
        <v>-15460.46</v>
      </c>
      <c r="F46" s="977"/>
      <c r="G46" s="977"/>
      <c r="H46" s="977">
        <f t="shared" ref="H46:H48" si="6">-E46</f>
        <v>15460.46</v>
      </c>
      <c r="I46" s="986">
        <f t="shared" si="5"/>
        <v>0</v>
      </c>
      <c r="L46" s="256" t="s">
        <v>598</v>
      </c>
      <c r="M46" s="716">
        <f>149.3</f>
        <v>149.30000000000001</v>
      </c>
      <c r="N46" s="280"/>
      <c r="O46" s="986">
        <f t="shared" si="4"/>
        <v>149.30000000000001</v>
      </c>
    </row>
    <row r="47" spans="1:15" x14ac:dyDescent="0.3">
      <c r="A47" s="256" t="s">
        <v>578</v>
      </c>
      <c r="B47" s="983" t="str">
        <f t="shared" ref="B47:B59" si="7">B46</f>
        <v>Accumulated deficit</v>
      </c>
      <c r="C47" s="716"/>
      <c r="D47" s="280">
        <v>10642.47</v>
      </c>
      <c r="E47" s="1016">
        <f t="shared" si="2"/>
        <v>-10642.47</v>
      </c>
      <c r="F47" s="977"/>
      <c r="G47" s="977"/>
      <c r="H47" s="977">
        <f t="shared" si="6"/>
        <v>10642.47</v>
      </c>
      <c r="I47" s="986">
        <f t="shared" si="5"/>
        <v>0</v>
      </c>
      <c r="L47" s="256" t="s">
        <v>0</v>
      </c>
      <c r="M47" s="929">
        <f>((((((((((((((((((((((((((((((((((((((M8)+(M9))+(M10))+(M11))+(M12))+(M13))+(M14))+(M15))+(M16))+(M17))+(M18))+(M19))+(M20))+(M21))+(M22))+(M23))+(M24))+(M25))+(M26))+(M27))+(M28))+(M29))+(M30))+(M31))+(M32))+(M33))+(M34))+(M35))+(M36))+(M37))+(M38))+(M39))+(M40))+(M41))+(M42))+(M43))+(M44))+(M45))+(M46)</f>
        <v>809135.96000000008</v>
      </c>
      <c r="N47" s="929">
        <f>((((((((((((((((((((((((((((((((((((((N8)+(N9))+(N10))+(N11))+(N12))+(N13))+(N14))+(N15))+(N16))+(N17))+(N18))+(N19))+(N20))+(N21))+(N22))+(N23))+(N24))+(N25))+(N26))+(N27))+(N28))+(N29))+(N30))+(N31))+(N32))+(N33))+(N34))+(N35))+(N36))+(N37))+(N38))+(N39))+(N40))+(N41))+(N42))+(N43))+(N44))+(N45))+(N46)</f>
        <v>809135.96</v>
      </c>
      <c r="O47" s="929">
        <f>((((((((((((((((((((((((((((((((((((((O8)+(O9))+(O10))+(O11))+(O12))+(O13))+(O14))+(O15))+(O16))+(O17))+(O18))+(O19))+(O20))+(O21))+(O22))+(O23))+(O24))+(O25))+(O26))+(O27))+(O28))+(O29))+(O30))+(O31))+(O32))+(O33))+(O34))+(O35))+(O36))+(O37))+(O38))+(O39))+(O40))+(O41))+(O42))+(O43))+(O44))+(O45))+(O46)</f>
        <v>6.986056177993305E-11</v>
      </c>
    </row>
    <row r="48" spans="1:15" x14ac:dyDescent="0.3">
      <c r="A48" s="256" t="s">
        <v>584</v>
      </c>
      <c r="B48" s="983" t="str">
        <f t="shared" si="7"/>
        <v>Accumulated deficit</v>
      </c>
      <c r="C48" s="716"/>
      <c r="D48" s="280">
        <v>162.91</v>
      </c>
      <c r="E48" s="1016">
        <f t="shared" si="2"/>
        <v>-162.91</v>
      </c>
      <c r="F48" s="977"/>
      <c r="G48" s="977"/>
      <c r="H48" s="977">
        <f t="shared" si="6"/>
        <v>162.91</v>
      </c>
      <c r="I48" s="986">
        <f t="shared" si="5"/>
        <v>0</v>
      </c>
    </row>
    <row r="49" spans="1:9" x14ac:dyDescent="0.3">
      <c r="A49" s="256" t="s">
        <v>592</v>
      </c>
      <c r="B49" s="983" t="str">
        <f t="shared" si="7"/>
        <v>Accumulated deficit</v>
      </c>
      <c r="C49" s="716">
        <v>85.5</v>
      </c>
      <c r="D49" s="280"/>
      <c r="E49" s="1016">
        <f t="shared" si="2"/>
        <v>85.5</v>
      </c>
      <c r="F49" s="977"/>
      <c r="G49" s="977"/>
      <c r="H49" s="977">
        <f>(1.5)-E49</f>
        <v>-84</v>
      </c>
      <c r="I49" s="986">
        <f t="shared" si="5"/>
        <v>2</v>
      </c>
    </row>
    <row r="50" spans="1:9" x14ac:dyDescent="0.3">
      <c r="A50" s="256" t="s">
        <v>474</v>
      </c>
      <c r="B50" s="983" t="str">
        <f t="shared" si="7"/>
        <v>Accumulated deficit</v>
      </c>
      <c r="C50" s="716"/>
      <c r="D50" s="280">
        <v>5200</v>
      </c>
      <c r="E50" s="1016">
        <f t="shared" si="2"/>
        <v>-5200</v>
      </c>
      <c r="F50" s="977"/>
      <c r="G50" s="977"/>
      <c r="H50" s="977">
        <f>-E50</f>
        <v>5200</v>
      </c>
      <c r="I50" s="986">
        <f t="shared" si="5"/>
        <v>0</v>
      </c>
    </row>
    <row r="51" spans="1:9" x14ac:dyDescent="0.3">
      <c r="A51" s="256" t="s">
        <v>594</v>
      </c>
      <c r="B51" s="983" t="str">
        <f t="shared" si="7"/>
        <v>Accumulated deficit</v>
      </c>
      <c r="C51" s="716">
        <v>57353.75</v>
      </c>
      <c r="D51" s="280"/>
      <c r="E51" s="1016">
        <f t="shared" si="2"/>
        <v>57353.75</v>
      </c>
      <c r="F51" s="977"/>
      <c r="G51" s="977"/>
      <c r="H51" s="977">
        <f>(0)-E51</f>
        <v>-57353.75</v>
      </c>
      <c r="I51" s="986">
        <f t="shared" si="5"/>
        <v>0</v>
      </c>
    </row>
    <row r="52" spans="1:9" x14ac:dyDescent="0.3">
      <c r="A52" s="256" t="s">
        <v>595</v>
      </c>
      <c r="B52" s="983" t="str">
        <f t="shared" si="7"/>
        <v>Accumulated deficit</v>
      </c>
      <c r="C52" s="716"/>
      <c r="D52" s="280">
        <v>80000</v>
      </c>
      <c r="E52" s="1016">
        <f t="shared" si="2"/>
        <v>-80000</v>
      </c>
      <c r="F52" s="977"/>
      <c r="G52" s="977"/>
      <c r="H52" s="977">
        <f>-E52</f>
        <v>80000</v>
      </c>
      <c r="I52" s="986">
        <f t="shared" si="5"/>
        <v>0</v>
      </c>
    </row>
    <row r="53" spans="1:9" x14ac:dyDescent="0.3">
      <c r="A53" s="256" t="s">
        <v>598</v>
      </c>
      <c r="B53" s="983" t="str">
        <f t="shared" si="7"/>
        <v>Accumulated deficit</v>
      </c>
      <c r="C53" s="716">
        <v>149.30000000000001</v>
      </c>
      <c r="D53" s="280"/>
      <c r="E53" s="1016">
        <f t="shared" si="2"/>
        <v>149.30000000000001</v>
      </c>
      <c r="F53" s="977"/>
      <c r="G53" s="977"/>
      <c r="H53" s="977"/>
      <c r="I53" s="986">
        <f t="shared" si="5"/>
        <v>149</v>
      </c>
    </row>
    <row r="54" spans="1:9" x14ac:dyDescent="0.3">
      <c r="A54" s="256" t="s">
        <v>600</v>
      </c>
      <c r="B54" s="983" t="str">
        <f t="shared" si="7"/>
        <v>Accumulated deficit</v>
      </c>
      <c r="C54" s="716">
        <v>183.23</v>
      </c>
      <c r="D54" s="280"/>
      <c r="E54" s="1016">
        <f t="shared" si="2"/>
        <v>183.23</v>
      </c>
      <c r="F54" s="977"/>
      <c r="G54" s="977"/>
      <c r="H54" s="977">
        <f t="shared" ref="H54:H59" si="8">(0)-E54</f>
        <v>-183.23</v>
      </c>
      <c r="I54" s="986">
        <f t="shared" si="5"/>
        <v>0</v>
      </c>
    </row>
    <row r="55" spans="1:9" x14ac:dyDescent="0.3">
      <c r="A55" s="256" t="s">
        <v>601</v>
      </c>
      <c r="B55" s="983" t="str">
        <f t="shared" si="7"/>
        <v>Accumulated deficit</v>
      </c>
      <c r="C55" s="716">
        <v>69.900000000000006</v>
      </c>
      <c r="D55" s="280"/>
      <c r="E55" s="1016">
        <f t="shared" si="2"/>
        <v>69.900000000000006</v>
      </c>
      <c r="F55" s="977"/>
      <c r="G55" s="977"/>
      <c r="H55" s="977">
        <f t="shared" si="8"/>
        <v>-69.900000000000006</v>
      </c>
      <c r="I55" s="986">
        <f t="shared" si="5"/>
        <v>0</v>
      </c>
    </row>
    <row r="56" spans="1:9" x14ac:dyDescent="0.3">
      <c r="A56" s="256" t="s">
        <v>608</v>
      </c>
      <c r="B56" s="983" t="str">
        <f t="shared" si="7"/>
        <v>Accumulated deficit</v>
      </c>
      <c r="C56" s="716">
        <v>447.37</v>
      </c>
      <c r="D56" s="280"/>
      <c r="E56" s="1016">
        <f t="shared" si="2"/>
        <v>447.37</v>
      </c>
      <c r="F56" s="977"/>
      <c r="G56" s="977"/>
      <c r="H56" s="977">
        <f t="shared" si="8"/>
        <v>-447.37</v>
      </c>
      <c r="I56" s="986">
        <f t="shared" si="5"/>
        <v>0</v>
      </c>
    </row>
    <row r="57" spans="1:9" x14ac:dyDescent="0.3">
      <c r="A57" s="256" t="s">
        <v>490</v>
      </c>
      <c r="B57" s="983" t="str">
        <f t="shared" si="7"/>
        <v>Accumulated deficit</v>
      </c>
      <c r="C57" s="716"/>
      <c r="D57" s="280">
        <v>33.32</v>
      </c>
      <c r="E57" s="1016">
        <f t="shared" si="2"/>
        <v>-33.32</v>
      </c>
      <c r="F57" s="977"/>
      <c r="G57" s="977"/>
      <c r="H57" s="977">
        <f t="shared" si="8"/>
        <v>33.32</v>
      </c>
      <c r="I57" s="986">
        <f t="shared" si="5"/>
        <v>0</v>
      </c>
    </row>
    <row r="58" spans="1:9" x14ac:dyDescent="0.3">
      <c r="A58" s="256" t="s">
        <v>610</v>
      </c>
      <c r="B58" s="983" t="str">
        <f t="shared" si="7"/>
        <v>Accumulated deficit</v>
      </c>
      <c r="C58" s="716">
        <v>439.3</v>
      </c>
      <c r="D58" s="280"/>
      <c r="E58" s="1016">
        <f t="shared" si="2"/>
        <v>439.3</v>
      </c>
      <c r="F58" s="977"/>
      <c r="G58" s="977"/>
      <c r="H58" s="977">
        <f t="shared" si="8"/>
        <v>-439.3</v>
      </c>
      <c r="I58" s="986">
        <f t="shared" si="5"/>
        <v>0</v>
      </c>
    </row>
    <row r="59" spans="1:9" x14ac:dyDescent="0.3">
      <c r="A59" s="256" t="s">
        <v>493</v>
      </c>
      <c r="B59" s="983" t="str">
        <f t="shared" si="7"/>
        <v>Accumulated deficit</v>
      </c>
      <c r="C59" s="716"/>
      <c r="D59" s="280">
        <v>2769.58</v>
      </c>
      <c r="E59" s="1016">
        <f t="shared" si="2"/>
        <v>-2769.58</v>
      </c>
      <c r="F59" s="977"/>
      <c r="G59" s="977"/>
      <c r="H59" s="977">
        <f t="shared" si="8"/>
        <v>2769.58</v>
      </c>
      <c r="I59" s="986">
        <f t="shared" si="5"/>
        <v>0</v>
      </c>
    </row>
    <row r="60" spans="1:9" x14ac:dyDescent="0.3">
      <c r="A60" s="256"/>
      <c r="B60" s="983"/>
      <c r="C60" s="716"/>
      <c r="D60" s="280"/>
      <c r="E60" s="1016">
        <f t="shared" si="2"/>
        <v>0</v>
      </c>
      <c r="F60" s="977"/>
      <c r="G60" s="977"/>
      <c r="H60" s="977"/>
      <c r="I60" s="986">
        <f t="shared" si="5"/>
        <v>0</v>
      </c>
    </row>
    <row r="61" spans="1:9" x14ac:dyDescent="0.3">
      <c r="A61" s="256" t="s">
        <v>0</v>
      </c>
      <c r="B61" s="983"/>
      <c r="C61" s="929">
        <f t="shared" ref="C61:I61" si="9">SUM(C8:C60)</f>
        <v>1223622.3500000001</v>
      </c>
      <c r="D61" s="929">
        <f t="shared" si="9"/>
        <v>1223622.3499999999</v>
      </c>
      <c r="E61" s="1012">
        <f t="shared" si="9"/>
        <v>7.5942807598039508E-11</v>
      </c>
      <c r="F61" s="929">
        <f t="shared" si="9"/>
        <v>0</v>
      </c>
      <c r="G61" s="929">
        <f t="shared" si="9"/>
        <v>0</v>
      </c>
      <c r="H61" s="929">
        <f t="shared" si="9"/>
        <v>-5.9117155615240335E-12</v>
      </c>
      <c r="I61" s="929">
        <f t="shared" si="9"/>
        <v>0</v>
      </c>
    </row>
  </sheetData>
  <autoFilter ref="A7:I61" xr:uid="{79367DB2-575E-4D3B-8613-2421A581DD2F}"/>
  <phoneticPr fontId="42" type="noConversion"/>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C2DF-3234-4958-9D63-CC5A0600559E}">
  <sheetPr>
    <tabColor theme="1"/>
  </sheetPr>
  <dimension ref="B2"/>
  <sheetViews>
    <sheetView workbookViewId="0"/>
  </sheetViews>
  <sheetFormatPr defaultColWidth="9.109375" defaultRowHeight="12" x14ac:dyDescent="0.25"/>
  <cols>
    <col min="1" max="16384" width="9.109375" style="140"/>
  </cols>
  <sheetData>
    <row r="2" spans="2:2" x14ac:dyDescent="0.25">
      <c r="B2" s="139" t="s">
        <v>23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1319-F8CC-4F35-98E7-4D622E7469B9}">
  <sheetPr>
    <tabColor rgb="FF00FF99"/>
  </sheetPr>
  <dimension ref="A1:M42"/>
  <sheetViews>
    <sheetView workbookViewId="0"/>
  </sheetViews>
  <sheetFormatPr defaultRowHeight="14.4" x14ac:dyDescent="0.3"/>
  <cols>
    <col min="1" max="1" width="42.109375" customWidth="1"/>
    <col min="2" max="2" width="15.44140625" customWidth="1"/>
    <col min="3" max="3" width="3.44140625" customWidth="1"/>
    <col min="4" max="4" width="30.33203125" style="767" customWidth="1"/>
    <col min="5" max="5" width="14.33203125" style="767" bestFit="1" customWidth="1"/>
    <col min="6" max="6" width="3.5546875" style="767" customWidth="1"/>
    <col min="7" max="7" width="45.33203125" style="767" customWidth="1"/>
    <col min="8" max="8" width="15.33203125" style="767" bestFit="1" customWidth="1"/>
    <col min="9" max="9" width="13.88671875" style="767" bestFit="1" customWidth="1"/>
    <col min="11" max="11" width="18" customWidth="1"/>
    <col min="12" max="12" width="14" style="1265" bestFit="1" customWidth="1"/>
  </cols>
  <sheetData>
    <row r="1" spans="1:13" ht="15" thickBot="1" x14ac:dyDescent="0.35">
      <c r="A1" s="713" t="s">
        <v>1209</v>
      </c>
    </row>
    <row r="2" spans="1:13" ht="15.6" thickTop="1" thickBot="1" x14ac:dyDescent="0.35">
      <c r="A2" s="690" t="s">
        <v>689</v>
      </c>
      <c r="B2" s="995">
        <v>45119</v>
      </c>
      <c r="D2" s="767" t="s">
        <v>697</v>
      </c>
      <c r="E2" s="771">
        <v>12000000</v>
      </c>
      <c r="G2" s="790"/>
      <c r="H2" s="791" t="s">
        <v>709</v>
      </c>
    </row>
    <row r="3" spans="1:13" x14ac:dyDescent="0.3">
      <c r="A3" s="616" t="s">
        <v>690</v>
      </c>
      <c r="B3" s="617"/>
      <c r="D3" s="767" t="s">
        <v>698</v>
      </c>
      <c r="E3" s="772">
        <v>0.5</v>
      </c>
      <c r="G3" s="763" t="s">
        <v>729</v>
      </c>
      <c r="H3" s="1270">
        <f>E4</f>
        <v>6000000</v>
      </c>
    </row>
    <row r="4" spans="1:13" x14ac:dyDescent="0.3">
      <c r="A4" s="616" t="s">
        <v>89</v>
      </c>
      <c r="B4" s="617"/>
      <c r="D4" s="767" t="s">
        <v>695</v>
      </c>
      <c r="E4" s="776">
        <f>E2*E3</f>
        <v>6000000</v>
      </c>
      <c r="G4" s="764" t="s">
        <v>700</v>
      </c>
      <c r="H4" s="1270">
        <f>E5</f>
        <v>556400</v>
      </c>
    </row>
    <row r="5" spans="1:13" x14ac:dyDescent="0.3">
      <c r="A5" s="624" t="s">
        <v>451</v>
      </c>
      <c r="B5" s="755">
        <f>SUMIF('TB.3 - Acq TB'!B:B,A5,'TB.3 - Acq TB'!I:I)</f>
        <v>21130</v>
      </c>
      <c r="D5" s="767" t="s">
        <v>696</v>
      </c>
      <c r="E5" s="774">
        <f>B21</f>
        <v>556400</v>
      </c>
      <c r="G5" s="765" t="s">
        <v>731</v>
      </c>
      <c r="H5" s="794">
        <f>SUM(H3:H4)</f>
        <v>6556400</v>
      </c>
    </row>
    <row r="6" spans="1:13" ht="15" thickBot="1" x14ac:dyDescent="0.35">
      <c r="A6" s="624" t="s">
        <v>22</v>
      </c>
      <c r="B6" s="755">
        <f>SUMIF('TB.3 - Acq TB'!B:B,A6,'TB.3 - Acq TB'!I:I)</f>
        <v>0</v>
      </c>
      <c r="D6" s="773" t="s">
        <v>699</v>
      </c>
      <c r="E6" s="775">
        <f>SUM(E4:E5)</f>
        <v>6556400</v>
      </c>
      <c r="G6" s="1034" t="s">
        <v>1276</v>
      </c>
      <c r="H6" s="1271"/>
      <c r="K6" s="1273" t="s">
        <v>1829</v>
      </c>
      <c r="L6" s="1272" t="s">
        <v>1828</v>
      </c>
      <c r="M6" s="159" t="s">
        <v>1827</v>
      </c>
    </row>
    <row r="7" spans="1:13" ht="15" thickTop="1" x14ac:dyDescent="0.3">
      <c r="A7" s="624" t="s">
        <v>3</v>
      </c>
      <c r="B7" s="755">
        <f>SUMIF('TB.3 - Acq TB'!B:B,A7,'TB.3 - Acq TB'!I:I)</f>
        <v>2240</v>
      </c>
      <c r="G7" s="766" t="str" cm="1">
        <f t="array" ref="G7:G19">_xlfn.UNIQUE('TB.3 - Acq TB'!B8:B38)</f>
        <v>Cash</v>
      </c>
      <c r="H7" s="1270">
        <f>SUMIF('TB.3 - Acq TB'!B:B,G7,'TB.3 - Acq TB'!I:I)</f>
        <v>21130</v>
      </c>
      <c r="K7" s="766" t="str">
        <f>G7</f>
        <v>Cash</v>
      </c>
      <c r="L7" s="1266">
        <f>_xlfn.XLOOKUP(K7,$G$6:$G$20,$H$6:$H$20)</f>
        <v>21130</v>
      </c>
      <c r="M7" s="1130">
        <f>L7/$L$12</f>
        <v>3.1496180361468232E-3</v>
      </c>
    </row>
    <row r="8" spans="1:13" x14ac:dyDescent="0.3">
      <c r="A8" s="624" t="s">
        <v>29</v>
      </c>
      <c r="B8" s="755">
        <f>SUMIF('TB.3 - Acq TB'!B:B,A8,'TB.3 - Acq TB'!I:I)</f>
        <v>397450</v>
      </c>
      <c r="G8" s="766" t="str">
        <v>Receivables</v>
      </c>
      <c r="H8" s="1270">
        <f>SUMIF('TB.3 - Acq TB'!B:B,G8,'TB.3 - Acq TB'!I:I)</f>
        <v>0</v>
      </c>
      <c r="K8" s="766" t="str">
        <f>G9</f>
        <v>Prepaid expenses</v>
      </c>
      <c r="L8" s="1266">
        <f t="shared" ref="L8:L11" si="0">_xlfn.XLOOKUP(K8,$G$6:$G$20,$H$6:$H$20)</f>
        <v>2240</v>
      </c>
      <c r="M8" s="1130">
        <f t="shared" ref="M8:M11" si="1">L8/$L$12</f>
        <v>3.3389230482578719E-4</v>
      </c>
    </row>
    <row r="9" spans="1:13" x14ac:dyDescent="0.3">
      <c r="A9" s="624" t="s">
        <v>618</v>
      </c>
      <c r="B9" s="755">
        <f>SUMIF('TB.3 - Acq TB'!B:B,A9,'TB.3 - Acq TB'!I:I)</f>
        <v>26371</v>
      </c>
      <c r="G9" s="766" t="str">
        <v>Prepaid expenses</v>
      </c>
      <c r="H9" s="1270">
        <f>SUMIF('TB.3 - Acq TB'!B:B,G9,'TB.3 - Acq TB'!I:I)</f>
        <v>2240</v>
      </c>
      <c r="K9" s="766" t="str">
        <f>G10</f>
        <v>Inventory</v>
      </c>
      <c r="L9" s="1266">
        <f t="shared" si="0"/>
        <v>397450</v>
      </c>
      <c r="M9" s="1130">
        <f t="shared" si="1"/>
        <v>5.9243525246879078E-2</v>
      </c>
    </row>
    <row r="10" spans="1:13" ht="15" thickBot="1" x14ac:dyDescent="0.35">
      <c r="A10" s="641" t="s">
        <v>691</v>
      </c>
      <c r="B10" s="756">
        <f>SUM(B5:B9)</f>
        <v>447191</v>
      </c>
      <c r="G10" s="766" t="str">
        <v>Inventory</v>
      </c>
      <c r="H10" s="1270">
        <f>SUMIF('TB.3 - Acq TB'!B:B,G10,'TB.3 - Acq TB'!I:I)</f>
        <v>397450</v>
      </c>
      <c r="K10" s="766" t="str">
        <f>G12</f>
        <v>Equipment</v>
      </c>
      <c r="L10" s="1266">
        <f t="shared" si="0"/>
        <v>6108</v>
      </c>
      <c r="M10" s="1130">
        <f t="shared" si="1"/>
        <v>9.1045276690888759E-4</v>
      </c>
    </row>
    <row r="11" spans="1:13" x14ac:dyDescent="0.3">
      <c r="A11" s="616" t="s">
        <v>93</v>
      </c>
      <c r="B11" s="755"/>
      <c r="G11" s="766" t="str">
        <v>Other current assets</v>
      </c>
      <c r="H11" s="1270">
        <f>SUMIF('TB.3 - Acq TB'!B:B,G11,'TB.3 - Acq TB'!I:I)</f>
        <v>0</v>
      </c>
      <c r="K11" s="769" t="str">
        <f>G20</f>
        <v>Intangible asset</v>
      </c>
      <c r="L11" s="1269">
        <f t="shared" si="0"/>
        <v>6281822</v>
      </c>
      <c r="M11" s="1130">
        <f t="shared" si="1"/>
        <v>0.93636251164523943</v>
      </c>
    </row>
    <row r="12" spans="1:13" x14ac:dyDescent="0.3">
      <c r="A12" s="624" t="s">
        <v>616</v>
      </c>
      <c r="B12" s="755">
        <f>SUMIF('TB.3 - Acq TB'!B:B,A12,'TB.3 - Acq TB'!I:I)</f>
        <v>6108</v>
      </c>
      <c r="G12" s="766" t="str">
        <v>Equipment</v>
      </c>
      <c r="H12" s="1270">
        <f>SUMIF('TB.3 - Acq TB'!B:B,G12,'TB.3 - Acq TB'!I:I)</f>
        <v>6108</v>
      </c>
      <c r="K12" s="1267" t="s">
        <v>71</v>
      </c>
      <c r="L12" s="1268">
        <f>SUM(L7:L11)</f>
        <v>6708750</v>
      </c>
    </row>
    <row r="13" spans="1:13" ht="15" thickBot="1" x14ac:dyDescent="0.35">
      <c r="A13" s="641" t="s">
        <v>416</v>
      </c>
      <c r="B13" s="756">
        <f>SUM(B10:B12)</f>
        <v>453299</v>
      </c>
      <c r="G13" s="767" t="str">
        <v>Accounts payables and accrued liabilities</v>
      </c>
      <c r="H13" s="1270">
        <f>SUMIF('TB.3 - Acq TB'!B:B,G13,'TB.3 - Acq TB'!I:I)</f>
        <v>-178623</v>
      </c>
      <c r="K13" s="766"/>
      <c r="L13" s="1266"/>
    </row>
    <row r="14" spans="1:13" x14ac:dyDescent="0.3">
      <c r="A14" s="624"/>
      <c r="B14" s="615"/>
      <c r="G14" s="766" t="str">
        <v>Deferred revenue</v>
      </c>
      <c r="H14" s="1270">
        <f>SUMIF('TB.3 - Acq TB'!B:B,G14,'TB.3 - Acq TB'!I:I)</f>
        <v>0</v>
      </c>
      <c r="K14" s="766"/>
      <c r="L14" s="1266"/>
    </row>
    <row r="15" spans="1:13" x14ac:dyDescent="0.3">
      <c r="A15" s="616" t="s">
        <v>96</v>
      </c>
      <c r="B15" s="615"/>
      <c r="G15" s="766" t="str">
        <v>Sales tax receivable</v>
      </c>
      <c r="H15" s="1270">
        <f>SUMIF('TB.3 - Acq TB'!B:B,G15,'TB.3 - Acq TB'!I:I)</f>
        <v>26371</v>
      </c>
      <c r="K15" s="766"/>
      <c r="L15" s="1266"/>
    </row>
    <row r="16" spans="1:13" x14ac:dyDescent="0.3">
      <c r="A16" s="616" t="s">
        <v>97</v>
      </c>
      <c r="B16" s="615"/>
      <c r="G16" s="766" t="str">
        <v>Sales tax payable</v>
      </c>
      <c r="H16" s="1270">
        <f>SUMIF('TB.3 - Acq TB'!B:B,G16,'TB.3 - Acq TB'!I:I)</f>
        <v>0</v>
      </c>
      <c r="K16" s="766"/>
      <c r="L16" s="1266"/>
    </row>
    <row r="17" spans="1:12" x14ac:dyDescent="0.3">
      <c r="A17" s="624" t="s">
        <v>308</v>
      </c>
      <c r="B17" s="755">
        <f>-SUMIF('TB.3 - Acq TB'!B:B,A17,'TB.3 - Acq TB'!I:I)</f>
        <v>178623</v>
      </c>
      <c r="G17" s="766" t="str">
        <v>Income tax payable</v>
      </c>
      <c r="H17" s="1270">
        <f>SUMIF('TB.3 - Acq TB'!B:B,G17,'TB.3 - Acq TB'!I:I)</f>
        <v>-98</v>
      </c>
      <c r="K17" s="766"/>
      <c r="L17" s="1266"/>
    </row>
    <row r="18" spans="1:12" x14ac:dyDescent="0.3">
      <c r="A18" s="624" t="s">
        <v>192</v>
      </c>
      <c r="B18" s="755">
        <f>-SUMIF('TB.3 - Acq TB'!B:B,A18,'TB.3 - Acq TB'!I:I)</f>
        <v>98</v>
      </c>
      <c r="G18" s="767" t="str">
        <v>Due to related parties</v>
      </c>
      <c r="H18" s="1270">
        <f>SUMIF('TB.3 - Acq TB'!B:B,G18,'TB.3 - Acq TB'!I:I)</f>
        <v>0</v>
      </c>
      <c r="K18" s="766"/>
      <c r="L18" s="1266"/>
    </row>
    <row r="19" spans="1:12" x14ac:dyDescent="0.3">
      <c r="A19" s="624" t="s">
        <v>239</v>
      </c>
      <c r="B19" s="755">
        <f>-SUMIF('TB.3 - Acq TB'!B:B,A19,'TB.3 - Acq TB'!I:I)</f>
        <v>0</v>
      </c>
      <c r="G19" s="767" t="str">
        <v>Loans and borrowings</v>
      </c>
      <c r="H19" s="1270">
        <f>SUMIF('TB.3 - Acq TB'!B:B,G19,'TB.3 - Acq TB'!I:I)*0</f>
        <v>0</v>
      </c>
      <c r="K19" s="766"/>
      <c r="L19" s="1266"/>
    </row>
    <row r="20" spans="1:12" x14ac:dyDescent="0.3">
      <c r="A20" s="624" t="s">
        <v>694</v>
      </c>
      <c r="B20" s="755">
        <f>-SUMIF('TB.3 - Acq TB'!B:B,A20,'TB.3 - Acq TB'!I:I)</f>
        <v>0</v>
      </c>
      <c r="G20" s="767" t="s">
        <v>1277</v>
      </c>
      <c r="H20" s="793">
        <f>H5-H7-H8-H9-H10-H11-H12-H13-H14-H15-H16-H17-H18-H19</f>
        <v>6281822</v>
      </c>
    </row>
    <row r="21" spans="1:12" x14ac:dyDescent="0.3">
      <c r="A21" s="624" t="s">
        <v>30</v>
      </c>
      <c r="B21" s="755">
        <f>-SUMIF('TB.3 - Acq TB'!B:B,A21,'TB.3 - Acq TB'!I:I)</f>
        <v>556400</v>
      </c>
      <c r="G21" s="765" t="s">
        <v>1278</v>
      </c>
      <c r="H21" s="794">
        <f>SUM(H7:H20)</f>
        <v>6556400</v>
      </c>
      <c r="I21" s="1305"/>
    </row>
    <row r="22" spans="1:12" x14ac:dyDescent="0.3">
      <c r="G22" s="765"/>
      <c r="H22" s="794"/>
    </row>
    <row r="23" spans="1:12" ht="15" thickBot="1" x14ac:dyDescent="0.35">
      <c r="A23" s="641" t="s">
        <v>692</v>
      </c>
      <c r="B23" s="757">
        <f>SUM(B17:B22)</f>
        <v>735121</v>
      </c>
      <c r="G23" s="391" t="s">
        <v>507</v>
      </c>
      <c r="H23" s="795">
        <f>SUM(H21:H22)-H5</f>
        <v>0</v>
      </c>
    </row>
    <row r="24" spans="1:12" ht="27" x14ac:dyDescent="0.3">
      <c r="A24" s="624"/>
      <c r="B24" s="617"/>
      <c r="G24" s="768" t="s">
        <v>701</v>
      </c>
      <c r="H24" s="769"/>
      <c r="I24" s="856" t="s">
        <v>710</v>
      </c>
    </row>
    <row r="25" spans="1:12" x14ac:dyDescent="0.3">
      <c r="A25" s="616" t="s">
        <v>418</v>
      </c>
      <c r="B25" s="617"/>
      <c r="G25" s="796" t="s">
        <v>702</v>
      </c>
      <c r="I25" s="391"/>
    </row>
    <row r="26" spans="1:12" x14ac:dyDescent="0.3">
      <c r="A26" s="624" t="s">
        <v>5</v>
      </c>
      <c r="B26" s="755">
        <f>-SUMIF('TB.3 - Acq TB'!B:B,A26,'TB.3 - Acq TB'!I:I)</f>
        <v>48</v>
      </c>
      <c r="F26" s="767">
        <v>1</v>
      </c>
      <c r="G26" s="762" t="s">
        <v>687</v>
      </c>
      <c r="H26" s="793">
        <v>6000000</v>
      </c>
      <c r="I26" s="391"/>
    </row>
    <row r="27" spans="1:12" x14ac:dyDescent="0.3">
      <c r="A27" s="624" t="s">
        <v>6</v>
      </c>
      <c r="B27" s="755">
        <f>-SUMIF('TB.3 - Acq TB'!B:B,A27,'TB.3 - Acq TB'!I:I)</f>
        <v>59350</v>
      </c>
      <c r="F27" s="767">
        <f>F26</f>
        <v>1</v>
      </c>
      <c r="G27" s="762" t="s">
        <v>325</v>
      </c>
      <c r="H27" s="793">
        <f>-E4</f>
        <v>-6000000</v>
      </c>
    </row>
    <row r="28" spans="1:12" x14ac:dyDescent="0.3">
      <c r="A28" s="624" t="s">
        <v>619</v>
      </c>
      <c r="B28" s="755">
        <f>-SUMIF('TB.3 - Acq TB'!B:B,A28,'TB.3 - Acq TB'!I:I)</f>
        <v>0</v>
      </c>
      <c r="I28" s="770">
        <f>SUM(H26:H27)</f>
        <v>0</v>
      </c>
    </row>
    <row r="29" spans="1:12" ht="15" thickBot="1" x14ac:dyDescent="0.35">
      <c r="A29" s="641" t="s">
        <v>419</v>
      </c>
      <c r="B29" s="757">
        <f>SUM(B26:B28)</f>
        <v>59398</v>
      </c>
      <c r="G29" s="796" t="s">
        <v>705</v>
      </c>
      <c r="H29" s="793"/>
    </row>
    <row r="30" spans="1:12" x14ac:dyDescent="0.3">
      <c r="A30" s="616" t="s">
        <v>693</v>
      </c>
      <c r="B30" s="758">
        <f>B23+B29</f>
        <v>794519</v>
      </c>
      <c r="F30" s="767">
        <v>2</v>
      </c>
      <c r="G30" s="762" t="s">
        <v>713</v>
      </c>
      <c r="H30" s="793">
        <f>900000*E3</f>
        <v>450000</v>
      </c>
      <c r="I30" s="391"/>
    </row>
    <row r="31" spans="1:12" ht="15" thickBot="1" x14ac:dyDescent="0.35">
      <c r="A31" s="759"/>
      <c r="B31" s="759"/>
      <c r="C31" s="761"/>
      <c r="F31" s="767">
        <f>F30</f>
        <v>2</v>
      </c>
      <c r="G31" s="762" t="s">
        <v>325</v>
      </c>
      <c r="H31" s="793">
        <f>-H30</f>
        <v>-450000</v>
      </c>
      <c r="I31" s="391"/>
    </row>
    <row r="32" spans="1:12" ht="15" thickTop="1" x14ac:dyDescent="0.3">
      <c r="I32" s="770">
        <f>SUM(H30:H31)</f>
        <v>0</v>
      </c>
    </row>
    <row r="33" spans="1:9" x14ac:dyDescent="0.3">
      <c r="A33" s="209" t="s">
        <v>19</v>
      </c>
      <c r="B33" s="760">
        <f>B30-B13</f>
        <v>341220</v>
      </c>
      <c r="G33" s="796" t="s">
        <v>708</v>
      </c>
      <c r="H33" s="793"/>
      <c r="I33" s="391"/>
    </row>
    <row r="34" spans="1:9" x14ac:dyDescent="0.3">
      <c r="F34" s="767">
        <v>3</v>
      </c>
      <c r="G34" s="762" t="s">
        <v>561</v>
      </c>
      <c r="H34" s="793">
        <v>24</v>
      </c>
      <c r="I34" s="391"/>
    </row>
    <row r="35" spans="1:9" x14ac:dyDescent="0.3">
      <c r="F35" s="767">
        <f>F34</f>
        <v>3</v>
      </c>
      <c r="G35" s="767" t="s">
        <v>562</v>
      </c>
      <c r="H35" s="793">
        <v>12</v>
      </c>
      <c r="I35" s="391"/>
    </row>
    <row r="36" spans="1:9" x14ac:dyDescent="0.3">
      <c r="F36" s="767">
        <f>F35</f>
        <v>3</v>
      </c>
      <c r="G36" s="767" t="s">
        <v>563</v>
      </c>
      <c r="H36" s="793">
        <v>12</v>
      </c>
    </row>
    <row r="37" spans="1:9" x14ac:dyDescent="0.3">
      <c r="F37" s="767">
        <f>F36</f>
        <v>3</v>
      </c>
      <c r="G37" s="762" t="s">
        <v>565</v>
      </c>
      <c r="H37" s="793">
        <f>-SUM('TB.3 - Acq TB'!I44:I60)</f>
        <v>-339522</v>
      </c>
    </row>
    <row r="38" spans="1:9" x14ac:dyDescent="0.3">
      <c r="F38" s="767">
        <f t="shared" ref="F38:F42" si="2">F37</f>
        <v>3</v>
      </c>
      <c r="G38" s="762" t="s">
        <v>559</v>
      </c>
      <c r="H38" s="793">
        <f>-'TB.3 - Acq TB'!I39</f>
        <v>-1698</v>
      </c>
      <c r="I38" s="391"/>
    </row>
    <row r="39" spans="1:9" x14ac:dyDescent="0.3">
      <c r="F39" s="767">
        <f t="shared" si="2"/>
        <v>3</v>
      </c>
      <c r="G39" s="767" t="s">
        <v>564</v>
      </c>
      <c r="H39" s="793">
        <f>-'TB.3 - Acq TB'!I43</f>
        <v>59350</v>
      </c>
      <c r="I39" s="391"/>
    </row>
    <row r="40" spans="1:9" x14ac:dyDescent="0.3">
      <c r="F40" s="767">
        <f t="shared" si="2"/>
        <v>3</v>
      </c>
      <c r="G40" s="767" t="s">
        <v>733</v>
      </c>
      <c r="H40" s="793">
        <f>H20</f>
        <v>6281822</v>
      </c>
    </row>
    <row r="41" spans="1:9" x14ac:dyDescent="0.3">
      <c r="F41" s="767">
        <f t="shared" si="2"/>
        <v>3</v>
      </c>
      <c r="G41" s="767" t="s">
        <v>707</v>
      </c>
      <c r="H41" s="793">
        <v>0</v>
      </c>
    </row>
    <row r="42" spans="1:9" x14ac:dyDescent="0.3">
      <c r="F42" s="767">
        <f t="shared" si="2"/>
        <v>3</v>
      </c>
      <c r="G42" s="762" t="s">
        <v>687</v>
      </c>
      <c r="H42" s="793">
        <f>-H26</f>
        <v>-6000000</v>
      </c>
      <c r="I42" s="770">
        <f>SUM(H34:H42)</f>
        <v>0</v>
      </c>
    </row>
  </sheetData>
  <pageMargins left="0.7" right="0.7" top="0.75" bottom="0.75" header="0.3" footer="0.3"/>
  <pageSetup orientation="portrait"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7A04-FA61-4B16-8F87-055430C5EB23}">
  <sheetPr>
    <tabColor rgb="FF00FF99"/>
  </sheetPr>
  <dimension ref="A1:K61"/>
  <sheetViews>
    <sheetView workbookViewId="0"/>
  </sheetViews>
  <sheetFormatPr defaultColWidth="9.109375" defaultRowHeight="14.4" x14ac:dyDescent="0.3"/>
  <cols>
    <col min="1" max="1" width="45.5546875" style="809" customWidth="1"/>
    <col min="2" max="2" width="4.33203125" style="827" customWidth="1"/>
    <col min="3" max="3" width="13.6640625" style="809" customWidth="1"/>
    <col min="4" max="4" width="15.109375" style="809" customWidth="1"/>
    <col min="5" max="5" width="13.6640625" style="809" customWidth="1"/>
    <col min="6" max="6" width="3.44140625" style="809" customWidth="1"/>
    <col min="7" max="7" width="26" style="809" bestFit="1" customWidth="1"/>
    <col min="8" max="8" width="12.44140625" style="809" customWidth="1"/>
    <col min="9" max="9" width="9.6640625" style="809" customWidth="1"/>
    <col min="10" max="16384" width="9.109375" style="809"/>
  </cols>
  <sheetData>
    <row r="1" spans="1:11" x14ac:dyDescent="0.3">
      <c r="A1" s="852" t="s">
        <v>496</v>
      </c>
      <c r="C1" s="853" t="s">
        <v>747</v>
      </c>
      <c r="D1" s="161"/>
      <c r="E1" s="161"/>
      <c r="G1" s="1600" t="s">
        <v>777</v>
      </c>
      <c r="H1" s="1601"/>
      <c r="I1" s="1602"/>
    </row>
    <row r="2" spans="1:11" x14ac:dyDescent="0.3">
      <c r="A2" s="810" t="s">
        <v>780</v>
      </c>
      <c r="C2" s="854" t="s">
        <v>748</v>
      </c>
      <c r="D2" s="161"/>
      <c r="E2" s="161"/>
      <c r="G2" s="812"/>
      <c r="H2" s="813" t="s">
        <v>749</v>
      </c>
      <c r="I2" s="814" t="s">
        <v>750</v>
      </c>
    </row>
    <row r="3" spans="1:11" x14ac:dyDescent="0.3">
      <c r="A3" s="815"/>
      <c r="B3" s="816"/>
      <c r="C3" s="811"/>
      <c r="D3" s="811"/>
      <c r="E3" s="811"/>
      <c r="G3" s="817" t="s">
        <v>751</v>
      </c>
      <c r="H3" s="818">
        <f>MIN(D19:D19)</f>
        <v>0</v>
      </c>
      <c r="I3" s="819">
        <f>MAX(D19:D19)</f>
        <v>0</v>
      </c>
    </row>
    <row r="4" spans="1:11" x14ac:dyDescent="0.3">
      <c r="A4" s="858" t="s">
        <v>778</v>
      </c>
      <c r="C4" s="873">
        <f>200000+25000</f>
        <v>225000</v>
      </c>
      <c r="D4" s="873"/>
      <c r="E4" s="873"/>
      <c r="G4" s="821" t="s">
        <v>752</v>
      </c>
      <c r="H4" s="818">
        <f>MIN(D20:D20)</f>
        <v>0</v>
      </c>
      <c r="I4" s="819">
        <f>MAX(D20:D20)</f>
        <v>0</v>
      </c>
    </row>
    <row r="5" spans="1:11" x14ac:dyDescent="0.3">
      <c r="A5" s="858" t="s">
        <v>779</v>
      </c>
      <c r="C5" s="895">
        <f>(0.75*0.5)</f>
        <v>0.375</v>
      </c>
      <c r="D5" s="857"/>
      <c r="E5" s="857"/>
      <c r="G5" s="821" t="s">
        <v>753</v>
      </c>
      <c r="H5" s="824">
        <f>MIN(D24:D24)</f>
        <v>0</v>
      </c>
      <c r="I5" s="825">
        <f>MAX(D24:D24)</f>
        <v>0</v>
      </c>
    </row>
    <row r="6" spans="1:11" x14ac:dyDescent="0.3">
      <c r="A6" s="858" t="s">
        <v>782</v>
      </c>
      <c r="C6" s="859">
        <f>ROUND(C4/C5,0)</f>
        <v>600000</v>
      </c>
      <c r="D6" s="859"/>
      <c r="E6" s="859"/>
      <c r="G6" s="821" t="s">
        <v>754</v>
      </c>
      <c r="H6" s="828">
        <f>MIN(D21:D21)</f>
        <v>0</v>
      </c>
      <c r="I6" s="829">
        <f>MAX(D21:D21)</f>
        <v>0</v>
      </c>
    </row>
    <row r="7" spans="1:11" x14ac:dyDescent="0.3">
      <c r="A7" s="858" t="s">
        <v>781</v>
      </c>
      <c r="C7" s="859">
        <f>C6</f>
        <v>600000</v>
      </c>
      <c r="D7" s="859"/>
      <c r="E7" s="859"/>
      <c r="G7" s="832" t="s">
        <v>755</v>
      </c>
      <c r="H7" s="833">
        <f>MIN(D22:D22)</f>
        <v>0</v>
      </c>
      <c r="I7" s="834">
        <f>MAX(D22:D22)</f>
        <v>0</v>
      </c>
    </row>
    <row r="8" spans="1:11" x14ac:dyDescent="0.3">
      <c r="A8" s="858"/>
      <c r="C8" s="859"/>
      <c r="D8" s="859"/>
      <c r="E8" s="859"/>
    </row>
    <row r="9" spans="1:11" x14ac:dyDescent="0.3">
      <c r="A9" s="858" t="s">
        <v>801</v>
      </c>
      <c r="C9" s="859"/>
      <c r="D9" s="859"/>
      <c r="E9" s="859"/>
    </row>
    <row r="10" spans="1:11" ht="18.75" customHeight="1" x14ac:dyDescent="0.25">
      <c r="A10" s="1603" t="s">
        <v>802</v>
      </c>
      <c r="B10" s="1603"/>
      <c r="C10" s="1603"/>
      <c r="D10" s="1603"/>
      <c r="E10" s="1603"/>
      <c r="F10" s="1603"/>
      <c r="G10" s="1603"/>
      <c r="H10" s="1603"/>
      <c r="I10" s="1603"/>
      <c r="J10" s="1603"/>
      <c r="K10" s="1603"/>
    </row>
    <row r="11" spans="1:11" ht="18.75" customHeight="1" x14ac:dyDescent="0.25">
      <c r="A11" s="1603"/>
      <c r="B11" s="1603"/>
      <c r="C11" s="1603"/>
      <c r="D11" s="1603"/>
      <c r="E11" s="1603"/>
      <c r="F11" s="1603"/>
      <c r="G11" s="1603"/>
      <c r="H11" s="1603"/>
      <c r="I11" s="1603"/>
      <c r="J11" s="1603"/>
      <c r="K11" s="1603"/>
    </row>
    <row r="12" spans="1:11" ht="18.75" customHeight="1" x14ac:dyDescent="0.25">
      <c r="A12" s="1603"/>
      <c r="B12" s="1603"/>
      <c r="C12" s="1603"/>
      <c r="D12" s="1603"/>
      <c r="E12" s="1603"/>
      <c r="F12" s="1603"/>
      <c r="G12" s="1603"/>
      <c r="H12" s="1603"/>
      <c r="I12" s="1603"/>
      <c r="J12" s="1603"/>
      <c r="K12" s="1603"/>
    </row>
    <row r="13" spans="1:11" ht="18.75" customHeight="1" x14ac:dyDescent="0.25">
      <c r="A13" s="1603"/>
      <c r="B13" s="1603"/>
      <c r="C13" s="1603"/>
      <c r="D13" s="1603"/>
      <c r="E13" s="1603"/>
      <c r="F13" s="1603"/>
      <c r="G13" s="1603"/>
      <c r="H13" s="1603"/>
      <c r="I13" s="1603"/>
      <c r="J13" s="1603"/>
      <c r="K13" s="1603"/>
    </row>
    <row r="14" spans="1:11" x14ac:dyDescent="0.3">
      <c r="A14" s="858"/>
      <c r="C14" s="859"/>
      <c r="D14" s="859"/>
      <c r="E14" s="859"/>
    </row>
    <row r="15" spans="1:11" x14ac:dyDescent="0.3">
      <c r="A15" s="858"/>
      <c r="C15" s="1025">
        <f>(C21*365)+C17</f>
        <v>45277.666666666664</v>
      </c>
      <c r="D15" s="1025">
        <f>(((C21*365))+(5*365))+D17</f>
        <v>47102.666666666664</v>
      </c>
      <c r="E15" s="859"/>
    </row>
    <row r="16" spans="1:11" ht="28.8" x14ac:dyDescent="0.3">
      <c r="B16" s="830"/>
      <c r="C16" s="831" t="s">
        <v>803</v>
      </c>
      <c r="D16" s="831" t="s">
        <v>804</v>
      </c>
      <c r="E16" s="831" t="s">
        <v>800</v>
      </c>
    </row>
    <row r="17" spans="1:5" ht="15" thickBot="1" x14ac:dyDescent="0.35">
      <c r="A17" s="835"/>
      <c r="B17" s="836"/>
      <c r="C17" s="860">
        <v>45156</v>
      </c>
      <c r="D17" s="860">
        <f>C17</f>
        <v>45156</v>
      </c>
      <c r="E17" s="860">
        <v>45199</v>
      </c>
    </row>
    <row r="18" spans="1:5" x14ac:dyDescent="0.25">
      <c r="A18" s="837" t="s">
        <v>783</v>
      </c>
      <c r="B18" s="838"/>
      <c r="C18" s="861">
        <f>C6</f>
        <v>600000</v>
      </c>
      <c r="D18" s="861">
        <f>C6</f>
        <v>600000</v>
      </c>
    </row>
    <row r="19" spans="1:5" x14ac:dyDescent="0.25">
      <c r="A19" s="837" t="s">
        <v>757</v>
      </c>
      <c r="B19" s="839"/>
      <c r="C19" s="862">
        <v>0.5</v>
      </c>
      <c r="D19" s="885"/>
    </row>
    <row r="20" spans="1:5" x14ac:dyDescent="0.25">
      <c r="A20" s="837" t="s">
        <v>752</v>
      </c>
      <c r="B20" s="838"/>
      <c r="C20" s="862">
        <v>0.375</v>
      </c>
      <c r="D20" s="885"/>
    </row>
    <row r="21" spans="1:5" s="841" customFormat="1" x14ac:dyDescent="0.3">
      <c r="A21" s="837" t="s">
        <v>754</v>
      </c>
      <c r="B21" s="840"/>
      <c r="C21" s="863">
        <f>4/12</f>
        <v>0.33333333333333331</v>
      </c>
      <c r="D21" s="886"/>
    </row>
    <row r="22" spans="1:5" x14ac:dyDescent="0.25">
      <c r="A22" s="837" t="s">
        <v>758</v>
      </c>
      <c r="B22" s="839"/>
      <c r="C22" s="864">
        <v>1</v>
      </c>
      <c r="D22" s="887"/>
    </row>
    <row r="23" spans="1:5" x14ac:dyDescent="0.25">
      <c r="A23" s="837" t="s">
        <v>759</v>
      </c>
      <c r="B23" s="838"/>
      <c r="C23" s="863">
        <v>0</v>
      </c>
      <c r="D23" s="886"/>
    </row>
    <row r="24" spans="1:5" x14ac:dyDescent="0.25">
      <c r="A24" s="837" t="s">
        <v>760</v>
      </c>
      <c r="B24" s="842"/>
      <c r="C24" s="865">
        <v>4.7600000000000003E-2</v>
      </c>
      <c r="D24" s="888"/>
    </row>
    <row r="25" spans="1:5" x14ac:dyDescent="0.3">
      <c r="C25" s="843"/>
      <c r="D25" s="843"/>
    </row>
    <row r="26" spans="1:5" x14ac:dyDescent="0.3">
      <c r="A26" s="844" t="s">
        <v>761</v>
      </c>
      <c r="C26" s="843"/>
      <c r="D26" s="843"/>
    </row>
    <row r="27" spans="1:5" x14ac:dyDescent="0.3">
      <c r="A27" s="837" t="s">
        <v>762</v>
      </c>
      <c r="C27" s="870">
        <f>C19/(1+C23/4)^(C21*4)</f>
        <v>0.5</v>
      </c>
      <c r="D27" s="889"/>
    </row>
    <row r="28" spans="1:5" x14ac:dyDescent="0.3">
      <c r="A28" s="837" t="s">
        <v>763</v>
      </c>
      <c r="C28" s="870">
        <f>C20/(1+C24/2)^(C21*2)</f>
        <v>0.36916556508420573</v>
      </c>
      <c r="D28" s="889"/>
    </row>
    <row r="29" spans="1:5" x14ac:dyDescent="0.3">
      <c r="A29" s="837" t="s">
        <v>764</v>
      </c>
      <c r="C29" s="868">
        <f>C22*SQRT(C21)</f>
        <v>0.57735026918962573</v>
      </c>
      <c r="D29" s="890"/>
    </row>
    <row r="30" spans="1:5" x14ac:dyDescent="0.3">
      <c r="A30" s="837"/>
      <c r="C30" s="866"/>
      <c r="D30" s="866"/>
    </row>
    <row r="31" spans="1:5" x14ac:dyDescent="0.3">
      <c r="A31" s="844" t="s">
        <v>765</v>
      </c>
      <c r="C31" s="866"/>
      <c r="D31" s="866"/>
    </row>
    <row r="32" spans="1:5" x14ac:dyDescent="0.3">
      <c r="A32" s="837" t="s">
        <v>766</v>
      </c>
      <c r="C32" s="868">
        <f>NORMSDIST((LN(C27/C28)/C29+C29/2))</f>
        <v>0.79221047385674093</v>
      </c>
      <c r="D32" s="890"/>
    </row>
    <row r="33" spans="1:6" x14ac:dyDescent="0.3">
      <c r="A33" s="837" t="s">
        <v>767</v>
      </c>
      <c r="C33" s="868">
        <f>-NORMSDIST((LN(C27/C28)/C29-C29/2))</f>
        <v>-0.59358035719405389</v>
      </c>
      <c r="D33" s="890"/>
    </row>
    <row r="34" spans="1:6" x14ac:dyDescent="0.3">
      <c r="A34" s="837" t="s">
        <v>768</v>
      </c>
      <c r="C34" s="869">
        <f>ROUND(+C27*C32+C28*C33,3)</f>
        <v>0.17699999999999999</v>
      </c>
      <c r="D34" s="891"/>
    </row>
    <row r="35" spans="1:6" x14ac:dyDescent="0.3">
      <c r="A35" s="837"/>
      <c r="C35" s="866"/>
      <c r="D35" s="866"/>
    </row>
    <row r="36" spans="1:6" x14ac:dyDescent="0.3">
      <c r="A36" s="844" t="s">
        <v>769</v>
      </c>
      <c r="C36" s="866"/>
      <c r="D36" s="866"/>
    </row>
    <row r="37" spans="1:6" x14ac:dyDescent="0.3">
      <c r="A37" s="837" t="s">
        <v>770</v>
      </c>
      <c r="C37" s="868">
        <f>C32-1</f>
        <v>-0.20778952614325907</v>
      </c>
      <c r="D37" s="890"/>
    </row>
    <row r="38" spans="1:6" x14ac:dyDescent="0.3">
      <c r="A38" s="837" t="s">
        <v>767</v>
      </c>
      <c r="C38" s="868">
        <f>C33+1</f>
        <v>0.40641964280594611</v>
      </c>
      <c r="D38" s="890"/>
    </row>
    <row r="39" spans="1:6" x14ac:dyDescent="0.3">
      <c r="A39" s="837" t="s">
        <v>771</v>
      </c>
      <c r="C39" s="869">
        <f>ROUND(+C27*C37+C28*C38,3)</f>
        <v>4.5999999999999999E-2</v>
      </c>
      <c r="D39" s="891"/>
    </row>
    <row r="40" spans="1:6" x14ac:dyDescent="0.25">
      <c r="A40" s="837"/>
      <c r="B40" s="838"/>
      <c r="C40" s="867"/>
      <c r="D40" s="867"/>
    </row>
    <row r="41" spans="1:6" x14ac:dyDescent="0.25">
      <c r="A41" s="845" t="s">
        <v>798</v>
      </c>
      <c r="B41" s="838"/>
      <c r="C41" s="894">
        <f>C34</f>
        <v>0.17699999999999999</v>
      </c>
      <c r="D41" s="893">
        <v>0.11600000000000001</v>
      </c>
    </row>
    <row r="42" spans="1:6" x14ac:dyDescent="0.25">
      <c r="A42" s="845" t="s">
        <v>773</v>
      </c>
      <c r="B42" s="838"/>
      <c r="C42" s="872">
        <v>0</v>
      </c>
      <c r="D42" s="872">
        <v>0</v>
      </c>
    </row>
    <row r="43" spans="1:6" x14ac:dyDescent="0.25">
      <c r="A43" s="846" t="s">
        <v>797</v>
      </c>
      <c r="B43" s="838"/>
      <c r="C43" s="894">
        <f>C41*(1-C42)</f>
        <v>0.17699999999999999</v>
      </c>
      <c r="D43" s="894">
        <f>D41*(1-D42)</f>
        <v>0.11600000000000001</v>
      </c>
      <c r="F43" s="847"/>
    </row>
    <row r="44" spans="1:6" x14ac:dyDescent="0.25">
      <c r="A44" s="837"/>
      <c r="B44" s="838"/>
      <c r="C44" s="848"/>
      <c r="D44" s="848"/>
    </row>
    <row r="45" spans="1:6" ht="15" thickBot="1" x14ac:dyDescent="0.3">
      <c r="A45" s="849" t="s">
        <v>784</v>
      </c>
      <c r="B45" s="850"/>
      <c r="C45" s="851">
        <f>C43*C18</f>
        <v>106200</v>
      </c>
      <c r="D45" s="851">
        <f>D43*D18</f>
        <v>69600</v>
      </c>
      <c r="E45" s="851">
        <f>SUM(C45:D45)</f>
        <v>175800</v>
      </c>
    </row>
    <row r="49" spans="1:11" ht="27" x14ac:dyDescent="0.3">
      <c r="A49" s="892" t="s">
        <v>799</v>
      </c>
      <c r="C49" s="876" t="s">
        <v>793</v>
      </c>
      <c r="D49" s="876" t="s">
        <v>789</v>
      </c>
    </row>
    <row r="50" spans="1:11" ht="27" x14ac:dyDescent="0.3">
      <c r="A50" s="880" t="s">
        <v>795</v>
      </c>
      <c r="B50" s="875"/>
      <c r="C50" s="878" t="s">
        <v>788</v>
      </c>
      <c r="D50" s="878" t="s">
        <v>796</v>
      </c>
    </row>
    <row r="51" spans="1:11" ht="66" x14ac:dyDescent="0.3">
      <c r="A51" s="877" t="s">
        <v>790</v>
      </c>
      <c r="B51" s="875"/>
      <c r="C51" s="884">
        <v>0.33333333333333331</v>
      </c>
      <c r="D51" s="879" t="s">
        <v>794</v>
      </c>
    </row>
    <row r="52" spans="1:11" ht="66" x14ac:dyDescent="0.3">
      <c r="A52" s="877" t="s">
        <v>791</v>
      </c>
      <c r="B52" s="875"/>
      <c r="C52" s="883">
        <v>0.375</v>
      </c>
      <c r="D52" s="879" t="s">
        <v>792</v>
      </c>
    </row>
    <row r="53" spans="1:11" x14ac:dyDescent="0.3">
      <c r="A53" s="882" t="s">
        <v>785</v>
      </c>
      <c r="B53" s="875"/>
      <c r="C53" s="883">
        <v>0.5</v>
      </c>
      <c r="D53" s="883">
        <v>0.5</v>
      </c>
    </row>
    <row r="54" spans="1:11" x14ac:dyDescent="0.3">
      <c r="A54" s="880" t="s">
        <v>755</v>
      </c>
      <c r="B54" s="875"/>
      <c r="C54" s="881">
        <v>1</v>
      </c>
      <c r="D54" s="881">
        <v>1</v>
      </c>
    </row>
    <row r="55" spans="1:11" x14ac:dyDescent="0.3">
      <c r="A55" s="880" t="s">
        <v>786</v>
      </c>
      <c r="B55" s="875"/>
      <c r="C55" s="881">
        <f>C24</f>
        <v>4.7600000000000003E-2</v>
      </c>
      <c r="D55" s="881">
        <f>C55</f>
        <v>4.7600000000000003E-2</v>
      </c>
    </row>
    <row r="56" spans="1:11" x14ac:dyDescent="0.3">
      <c r="A56" s="880" t="s">
        <v>787</v>
      </c>
      <c r="B56" s="875"/>
      <c r="C56" s="881">
        <f>C48</f>
        <v>0</v>
      </c>
      <c r="D56" s="881">
        <f>B48</f>
        <v>0</v>
      </c>
      <c r="G56" s="858" t="s">
        <v>1214</v>
      </c>
    </row>
    <row r="57" spans="1:11" x14ac:dyDescent="0.3">
      <c r="C57" s="874"/>
      <c r="D57" s="874"/>
      <c r="G57" s="858" t="s">
        <v>1210</v>
      </c>
    </row>
    <row r="58" spans="1:11" x14ac:dyDescent="0.3">
      <c r="G58" s="809" t="s">
        <v>1211</v>
      </c>
      <c r="H58" s="997">
        <v>225000</v>
      </c>
      <c r="I58" s="996"/>
      <c r="J58" s="996"/>
      <c r="K58" s="996"/>
    </row>
    <row r="59" spans="1:11" x14ac:dyDescent="0.3">
      <c r="G59" s="809" t="s">
        <v>1212</v>
      </c>
      <c r="H59" s="997">
        <f>-E45</f>
        <v>-175800</v>
      </c>
      <c r="I59" s="996"/>
      <c r="J59" s="996"/>
      <c r="K59" s="996"/>
    </row>
    <row r="60" spans="1:11" x14ac:dyDescent="0.3">
      <c r="G60" s="809" t="s">
        <v>1213</v>
      </c>
      <c r="H60" s="997">
        <f>-SUM(H58:H59)</f>
        <v>-49200</v>
      </c>
      <c r="I60" s="996"/>
      <c r="J60" s="996"/>
      <c r="K60" s="996"/>
    </row>
    <row r="61" spans="1:11" x14ac:dyDescent="0.3">
      <c r="G61" s="998" t="s">
        <v>507</v>
      </c>
      <c r="H61" s="999">
        <f>SUM(H58:H60)</f>
        <v>0</v>
      </c>
    </row>
  </sheetData>
  <mergeCells count="2">
    <mergeCell ref="G1:I1"/>
    <mergeCell ref="A10:K13"/>
  </mergeCells>
  <pageMargins left="0.7" right="0.7" top="0.75" bottom="0.75" header="0.3" footer="0.3"/>
  <pageSetup orientation="portrait" r:id="rId1"/>
  <drawing r:id="rId2"/>
  <legacy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C0C3-C623-4D13-AC9F-EC878FC14A0C}">
  <sheetPr>
    <tabColor rgb="FF00FF99"/>
  </sheetPr>
  <dimension ref="A1:K36"/>
  <sheetViews>
    <sheetView workbookViewId="0"/>
  </sheetViews>
  <sheetFormatPr defaultColWidth="9.109375" defaultRowHeight="14.4" x14ac:dyDescent="0.3"/>
  <cols>
    <col min="1" max="1" width="32.5546875" style="809" bestFit="1" customWidth="1"/>
    <col min="2" max="2" width="4.44140625" style="827" customWidth="1"/>
    <col min="3" max="4" width="13.109375" style="809" bestFit="1" customWidth="1"/>
    <col min="5" max="5" width="3.44140625" style="809" customWidth="1"/>
    <col min="6" max="6" width="26" style="809" bestFit="1" customWidth="1"/>
    <col min="7" max="7" width="12.44140625" style="809" customWidth="1"/>
    <col min="8" max="8" width="9.6640625" style="809" customWidth="1"/>
    <col min="9" max="9" width="9.109375" style="809"/>
    <col min="10" max="10" width="10" style="809" customWidth="1"/>
    <col min="11" max="16384" width="9.109375" style="809"/>
  </cols>
  <sheetData>
    <row r="1" spans="1:11" x14ac:dyDescent="0.3">
      <c r="A1" s="852" t="s">
        <v>496</v>
      </c>
      <c r="C1" s="853" t="s">
        <v>747</v>
      </c>
      <c r="D1" s="161"/>
      <c r="F1" s="897" t="s">
        <v>807</v>
      </c>
      <c r="G1" s="898"/>
      <c r="H1" s="899"/>
      <c r="J1" s="897" t="s">
        <v>808</v>
      </c>
      <c r="K1" s="910"/>
    </row>
    <row r="2" spans="1:11" x14ac:dyDescent="0.3">
      <c r="A2" s="810" t="s">
        <v>805</v>
      </c>
      <c r="C2" s="854" t="s">
        <v>748</v>
      </c>
      <c r="D2" s="161"/>
      <c r="F2" s="812"/>
      <c r="G2" s="813" t="s">
        <v>749</v>
      </c>
      <c r="H2" s="814" t="s">
        <v>750</v>
      </c>
      <c r="J2" s="900" t="s">
        <v>749</v>
      </c>
      <c r="K2" s="901" t="s">
        <v>750</v>
      </c>
    </row>
    <row r="3" spans="1:11" x14ac:dyDescent="0.3">
      <c r="A3" s="815"/>
      <c r="B3" s="816"/>
      <c r="C3" s="811"/>
      <c r="D3" s="811"/>
      <c r="F3" s="817" t="s">
        <v>751</v>
      </c>
      <c r="G3" s="818">
        <f>MIN(C10:C10)</f>
        <v>0.5</v>
      </c>
      <c r="H3" s="819">
        <f>MAX(C10:C10)</f>
        <v>0.5</v>
      </c>
      <c r="J3" s="902">
        <f>K3</f>
        <v>0.5</v>
      </c>
      <c r="K3" s="903">
        <f>MAX(D10:D10)</f>
        <v>0.5</v>
      </c>
    </row>
    <row r="4" spans="1:11" x14ac:dyDescent="0.3">
      <c r="B4" s="816"/>
      <c r="C4" s="820"/>
      <c r="D4" s="820"/>
      <c r="F4" s="821" t="s">
        <v>752</v>
      </c>
      <c r="G4" s="818">
        <f>MIN(C11:C11)</f>
        <v>0.5</v>
      </c>
      <c r="H4" s="819">
        <f>MAX(C11:C11)</f>
        <v>0.5</v>
      </c>
      <c r="J4" s="902">
        <f t="shared" ref="J4:J7" si="0">K4</f>
        <v>0.5</v>
      </c>
      <c r="K4" s="903">
        <f>MAX(D11:D11)</f>
        <v>0.5</v>
      </c>
    </row>
    <row r="5" spans="1:11" x14ac:dyDescent="0.3">
      <c r="B5" s="822"/>
      <c r="C5" s="823"/>
      <c r="D5" s="823"/>
      <c r="F5" s="821" t="s">
        <v>753</v>
      </c>
      <c r="G5" s="824">
        <f>MIN(C15:C15)</f>
        <v>3.2599999999999997E-2</v>
      </c>
      <c r="H5" s="825">
        <f>MAX(C15:C15)</f>
        <v>3.2599999999999997E-2</v>
      </c>
      <c r="J5" s="904">
        <f t="shared" si="0"/>
        <v>3.6799999999999999E-2</v>
      </c>
      <c r="K5" s="905">
        <f>MAX(D15:D15)</f>
        <v>3.6799999999999999E-2</v>
      </c>
    </row>
    <row r="6" spans="1:11" x14ac:dyDescent="0.3">
      <c r="A6" s="826"/>
      <c r="C6" s="816"/>
      <c r="D6" s="816"/>
      <c r="F6" s="821" t="s">
        <v>754</v>
      </c>
      <c r="G6" s="828">
        <f>MIN(C12:C12)</f>
        <v>10</v>
      </c>
      <c r="H6" s="829">
        <f>MAX(C12:C12)</f>
        <v>10</v>
      </c>
      <c r="J6" s="906">
        <f t="shared" si="0"/>
        <v>5</v>
      </c>
      <c r="K6" s="907">
        <f>MAX(D12:D12)</f>
        <v>5</v>
      </c>
    </row>
    <row r="7" spans="1:11" ht="43.2" x14ac:dyDescent="0.3">
      <c r="B7" s="830"/>
      <c r="C7" s="831" t="s">
        <v>776</v>
      </c>
      <c r="D7" s="831" t="s">
        <v>806</v>
      </c>
      <c r="F7" s="832" t="s">
        <v>755</v>
      </c>
      <c r="G7" s="833">
        <f>MIN(C13:C13)</f>
        <v>1</v>
      </c>
      <c r="H7" s="834">
        <f>MAX(C13:C13)</f>
        <v>1</v>
      </c>
      <c r="J7" s="908">
        <f t="shared" si="0"/>
        <v>1</v>
      </c>
      <c r="K7" s="909">
        <f>MAX(D13:D13)</f>
        <v>1</v>
      </c>
    </row>
    <row r="8" spans="1:11" ht="15" thickBot="1" x14ac:dyDescent="0.35">
      <c r="A8" s="835"/>
      <c r="B8" s="836"/>
      <c r="C8" s="855">
        <v>45107</v>
      </c>
      <c r="D8" s="855">
        <f>C8</f>
        <v>45107</v>
      </c>
    </row>
    <row r="9" spans="1:11" x14ac:dyDescent="0.25">
      <c r="A9" s="837" t="s">
        <v>756</v>
      </c>
      <c r="B9" s="838"/>
      <c r="C9" s="861">
        <v>1760000</v>
      </c>
      <c r="D9" s="861">
        <f>DER.V!C7</f>
        <v>600000</v>
      </c>
    </row>
    <row r="10" spans="1:11" x14ac:dyDescent="0.25">
      <c r="A10" s="837" t="s">
        <v>757</v>
      </c>
      <c r="B10" s="839"/>
      <c r="C10" s="911">
        <v>0.5</v>
      </c>
      <c r="D10" s="911">
        <v>0.5</v>
      </c>
    </row>
    <row r="11" spans="1:11" x14ac:dyDescent="0.25">
      <c r="A11" s="837" t="s">
        <v>752</v>
      </c>
      <c r="B11" s="838"/>
      <c r="C11" s="911">
        <v>0.5</v>
      </c>
      <c r="D11" s="911">
        <v>0.5</v>
      </c>
    </row>
    <row r="12" spans="1:11" s="841" customFormat="1" x14ac:dyDescent="0.3">
      <c r="A12" s="837" t="s">
        <v>754</v>
      </c>
      <c r="B12" s="840"/>
      <c r="C12" s="912">
        <v>10</v>
      </c>
      <c r="D12" s="912">
        <v>5</v>
      </c>
    </row>
    <row r="13" spans="1:11" x14ac:dyDescent="0.25">
      <c r="A13" s="837" t="s">
        <v>758</v>
      </c>
      <c r="B13" s="839"/>
      <c r="C13" s="896">
        <v>1</v>
      </c>
      <c r="D13" s="896">
        <v>1</v>
      </c>
    </row>
    <row r="14" spans="1:11" x14ac:dyDescent="0.25">
      <c r="A14" s="837" t="s">
        <v>759</v>
      </c>
      <c r="B14" s="838"/>
      <c r="C14" s="896">
        <v>0</v>
      </c>
      <c r="D14" s="896">
        <v>0</v>
      </c>
    </row>
    <row r="15" spans="1:11" x14ac:dyDescent="0.25">
      <c r="A15" s="837" t="s">
        <v>760</v>
      </c>
      <c r="B15" s="842"/>
      <c r="C15" s="865">
        <v>3.2599999999999997E-2</v>
      </c>
      <c r="D15" s="865">
        <v>3.6799999999999999E-2</v>
      </c>
    </row>
    <row r="16" spans="1:11" x14ac:dyDescent="0.3">
      <c r="C16" s="843"/>
      <c r="D16" s="843"/>
    </row>
    <row r="17" spans="1:4" x14ac:dyDescent="0.3">
      <c r="A17" s="844" t="s">
        <v>761</v>
      </c>
      <c r="C17" s="843"/>
      <c r="D17" s="843"/>
    </row>
    <row r="18" spans="1:4" x14ac:dyDescent="0.3">
      <c r="A18" s="837" t="s">
        <v>762</v>
      </c>
      <c r="C18" s="870">
        <f>C10/(1+C14/4)^(C12*4)</f>
        <v>0.5</v>
      </c>
      <c r="D18" s="870">
        <f>D10/(1+D14/4)^(D12*4)</f>
        <v>0.5</v>
      </c>
    </row>
    <row r="19" spans="1:4" x14ac:dyDescent="0.3">
      <c r="A19" s="837" t="s">
        <v>763</v>
      </c>
      <c r="C19" s="870">
        <f>C11/(1+C15/2)^(C12*2)</f>
        <v>0.36185242942504786</v>
      </c>
      <c r="D19" s="870">
        <f>D11/(1+D15/2)^(D12*2)</f>
        <v>0.41666411425088345</v>
      </c>
    </row>
    <row r="20" spans="1:4" x14ac:dyDescent="0.3">
      <c r="A20" s="837" t="s">
        <v>764</v>
      </c>
      <c r="C20" s="868">
        <f>C13*SQRT(C12)</f>
        <v>3.1622776601683795</v>
      </c>
      <c r="D20" s="868">
        <f>D13*SQRT(D12)</f>
        <v>2.2360679774997898</v>
      </c>
    </row>
    <row r="21" spans="1:4" x14ac:dyDescent="0.3">
      <c r="A21" s="837"/>
      <c r="C21" s="866"/>
      <c r="D21" s="866"/>
    </row>
    <row r="22" spans="1:4" x14ac:dyDescent="0.3">
      <c r="A22" s="844" t="s">
        <v>765</v>
      </c>
      <c r="C22" s="866"/>
      <c r="D22" s="866"/>
    </row>
    <row r="23" spans="1:4" x14ac:dyDescent="0.3">
      <c r="A23" s="837" t="s">
        <v>766</v>
      </c>
      <c r="C23" s="868">
        <f>NORMSDIST((LN(C18/C19)/C20+C20/2))</f>
        <v>0.95385095679195542</v>
      </c>
      <c r="D23" s="868">
        <f>NORMSDIST((LN(D18/D19)/D20+D20/2))</f>
        <v>0.88484747021090748</v>
      </c>
    </row>
    <row r="24" spans="1:4" x14ac:dyDescent="0.3">
      <c r="A24" s="837" t="s">
        <v>767</v>
      </c>
      <c r="C24" s="868">
        <f>-NORMSDIST((LN(C18/C19)/C20-C20/2))</f>
        <v>-6.9586228978942483E-2</v>
      </c>
      <c r="D24" s="868">
        <f>-NORMSDIST((LN(D18/D19)/D20-D20/2))</f>
        <v>-0.14998573562197576</v>
      </c>
    </row>
    <row r="25" spans="1:4" x14ac:dyDescent="0.3">
      <c r="A25" s="837" t="s">
        <v>768</v>
      </c>
      <c r="C25" s="869">
        <f>ROUND(+C18*C23+C19*C24,3)</f>
        <v>0.45200000000000001</v>
      </c>
      <c r="D25" s="869">
        <f>ROUND(+D18*D23+D19*D24,3)</f>
        <v>0.38</v>
      </c>
    </row>
    <row r="26" spans="1:4" x14ac:dyDescent="0.3">
      <c r="A26" s="837"/>
      <c r="C26" s="866"/>
      <c r="D26" s="866"/>
    </row>
    <row r="27" spans="1:4" x14ac:dyDescent="0.3">
      <c r="A27" s="844" t="s">
        <v>769</v>
      </c>
      <c r="C27" s="866"/>
      <c r="D27" s="866"/>
    </row>
    <row r="28" spans="1:4" x14ac:dyDescent="0.3">
      <c r="A28" s="837" t="s">
        <v>770</v>
      </c>
      <c r="C28" s="868">
        <f>C23-1</f>
        <v>-4.6149043208044582E-2</v>
      </c>
      <c r="D28" s="868">
        <f>D23-1</f>
        <v>-0.11515252978909252</v>
      </c>
    </row>
    <row r="29" spans="1:4" x14ac:dyDescent="0.3">
      <c r="A29" s="837" t="s">
        <v>767</v>
      </c>
      <c r="C29" s="868">
        <f>C24+1</f>
        <v>0.93041377102105749</v>
      </c>
      <c r="D29" s="868">
        <f>D24+1</f>
        <v>0.85001426437802419</v>
      </c>
    </row>
    <row r="30" spans="1:4" x14ac:dyDescent="0.3">
      <c r="A30" s="837" t="s">
        <v>771</v>
      </c>
      <c r="C30" s="869">
        <f>ROUND(+C18*C28+C19*C29,3)</f>
        <v>0.314</v>
      </c>
      <c r="D30" s="869">
        <f>ROUND(+D18*D28+D19*D29,3)</f>
        <v>0.29699999999999999</v>
      </c>
    </row>
    <row r="31" spans="1:4" x14ac:dyDescent="0.25">
      <c r="A31" s="837"/>
      <c r="B31" s="838"/>
      <c r="C31" s="867"/>
      <c r="D31" s="867"/>
    </row>
    <row r="32" spans="1:4" x14ac:dyDescent="0.25">
      <c r="A32" s="845" t="s">
        <v>772</v>
      </c>
      <c r="B32" s="838"/>
      <c r="C32" s="871">
        <f>C25</f>
        <v>0.45200000000000001</v>
      </c>
      <c r="D32" s="871">
        <f>D25</f>
        <v>0.38</v>
      </c>
    </row>
    <row r="33" spans="1:5" x14ac:dyDescent="0.25">
      <c r="A33" s="845" t="s">
        <v>773</v>
      </c>
      <c r="B33" s="838"/>
      <c r="C33" s="872">
        <v>0</v>
      </c>
      <c r="D33" s="872">
        <v>0</v>
      </c>
    </row>
    <row r="34" spans="1:5" x14ac:dyDescent="0.25">
      <c r="A34" s="846" t="s">
        <v>774</v>
      </c>
      <c r="B34" s="838"/>
      <c r="C34" s="871">
        <f>C32*(1-C33)</f>
        <v>0.45200000000000001</v>
      </c>
      <c r="D34" s="871">
        <f>D32*(1-D33)</f>
        <v>0.38</v>
      </c>
      <c r="E34" s="847"/>
    </row>
    <row r="35" spans="1:5" x14ac:dyDescent="0.25">
      <c r="A35" s="837"/>
      <c r="B35" s="838"/>
      <c r="C35" s="848"/>
      <c r="D35" s="848"/>
    </row>
    <row r="36" spans="1:5" ht="15" thickBot="1" x14ac:dyDescent="0.3">
      <c r="A36" s="849" t="s">
        <v>775</v>
      </c>
      <c r="B36" s="850"/>
      <c r="C36" s="913">
        <f>C34*C9</f>
        <v>795520</v>
      </c>
      <c r="D36" s="913">
        <f>D34*D9</f>
        <v>228000</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89-7DFB-4E3E-949B-98D036BBEC97}">
  <sheetPr>
    <tabColor rgb="FF00FF99"/>
  </sheetPr>
  <dimension ref="A1:T51"/>
  <sheetViews>
    <sheetView workbookViewId="0"/>
  </sheetViews>
  <sheetFormatPr defaultRowHeight="14.4" x14ac:dyDescent="0.3"/>
  <cols>
    <col min="1" max="1" width="44.109375" bestFit="1" customWidth="1"/>
    <col min="2" max="2" width="13.6640625" style="792" customWidth="1"/>
    <col min="3" max="3" width="12.5546875" bestFit="1" customWidth="1"/>
    <col min="4" max="4" width="14.33203125" style="647" customWidth="1"/>
    <col min="5" max="5" width="12.33203125" bestFit="1" customWidth="1"/>
    <col min="6" max="6" width="16.6640625" customWidth="1"/>
    <col min="13" max="13" width="12.5546875" bestFit="1" customWidth="1"/>
  </cols>
  <sheetData>
    <row r="1" spans="1:20" x14ac:dyDescent="0.3">
      <c r="A1" s="713" t="s">
        <v>1328</v>
      </c>
    </row>
    <row r="2" spans="1:20" x14ac:dyDescent="0.3">
      <c r="A2" s="713" t="s">
        <v>1386</v>
      </c>
    </row>
    <row r="4" spans="1:20" x14ac:dyDescent="0.3">
      <c r="A4" s="713" t="s">
        <v>1337</v>
      </c>
      <c r="B4" s="1355">
        <v>45151</v>
      </c>
    </row>
    <row r="5" spans="1:20" ht="18.75" customHeight="1" x14ac:dyDescent="0.3">
      <c r="A5" s="713" t="s">
        <v>1374</v>
      </c>
      <c r="B5" s="1355">
        <v>45322</v>
      </c>
      <c r="I5" s="1604" t="s">
        <v>1375</v>
      </c>
      <c r="J5" s="1604"/>
      <c r="K5" s="1604"/>
      <c r="L5" s="1604"/>
      <c r="M5" s="1604"/>
      <c r="N5" s="1604"/>
      <c r="O5" s="1604"/>
      <c r="P5" s="1604"/>
      <c r="Q5" s="1604"/>
      <c r="R5" s="1604"/>
      <c r="S5" s="1604"/>
      <c r="T5" s="1604"/>
    </row>
    <row r="6" spans="1:20" x14ac:dyDescent="0.3">
      <c r="A6" s="713"/>
      <c r="B6" s="1121"/>
      <c r="I6" s="1604"/>
      <c r="J6" s="1604"/>
      <c r="K6" s="1604"/>
      <c r="L6" s="1604"/>
      <c r="M6" s="1604"/>
      <c r="N6" s="1604"/>
      <c r="O6" s="1604"/>
      <c r="P6" s="1604"/>
      <c r="Q6" s="1604"/>
      <c r="R6" s="1604"/>
      <c r="S6" s="1604"/>
      <c r="T6" s="1604"/>
    </row>
    <row r="7" spans="1:20" x14ac:dyDescent="0.3">
      <c r="A7" s="713" t="s">
        <v>1331</v>
      </c>
      <c r="B7" s="1118">
        <f>SUM(C8:C9)</f>
        <v>225000</v>
      </c>
      <c r="I7" s="1604"/>
      <c r="J7" s="1604"/>
      <c r="K7" s="1604"/>
      <c r="L7" s="1604"/>
      <c r="M7" s="1604"/>
      <c r="N7" s="1604"/>
      <c r="O7" s="1604"/>
      <c r="P7" s="1604"/>
      <c r="Q7" s="1604"/>
      <c r="R7" s="1604"/>
      <c r="S7" s="1604"/>
      <c r="T7" s="1604"/>
    </row>
    <row r="8" spans="1:20" x14ac:dyDescent="0.3">
      <c r="A8" s="1120" t="s">
        <v>1330</v>
      </c>
      <c r="B8" s="1119"/>
      <c r="C8" s="1117">
        <v>200000</v>
      </c>
      <c r="D8" s="647" t="s">
        <v>1332</v>
      </c>
      <c r="I8" s="1604"/>
      <c r="J8" s="1604"/>
      <c r="K8" s="1604"/>
      <c r="L8" s="1604"/>
      <c r="M8" s="1604"/>
      <c r="N8" s="1604"/>
      <c r="O8" s="1604"/>
      <c r="P8" s="1604"/>
      <c r="Q8" s="1604"/>
      <c r="R8" s="1604"/>
      <c r="S8" s="1604"/>
      <c r="T8" s="1604"/>
    </row>
    <row r="9" spans="1:20" x14ac:dyDescent="0.3">
      <c r="A9" s="1120" t="s">
        <v>1329</v>
      </c>
      <c r="C9" s="1117">
        <v>25000</v>
      </c>
      <c r="D9" s="647" t="s">
        <v>1332</v>
      </c>
      <c r="I9" s="1604"/>
      <c r="J9" s="1604"/>
      <c r="K9" s="1604"/>
      <c r="L9" s="1604"/>
      <c r="M9" s="1604"/>
      <c r="N9" s="1604"/>
      <c r="O9" s="1604"/>
      <c r="P9" s="1604"/>
      <c r="Q9" s="1604"/>
      <c r="R9" s="1604"/>
      <c r="S9" s="1604"/>
      <c r="T9" s="1604"/>
    </row>
    <row r="10" spans="1:20" x14ac:dyDescent="0.3">
      <c r="B10" s="1117"/>
      <c r="I10" s="1604"/>
      <c r="J10" s="1604"/>
      <c r="K10" s="1604"/>
      <c r="L10" s="1604"/>
      <c r="M10" s="1604"/>
      <c r="N10" s="1604"/>
      <c r="O10" s="1604"/>
      <c r="P10" s="1604"/>
      <c r="Q10" s="1604"/>
      <c r="R10" s="1604"/>
      <c r="S10" s="1604"/>
      <c r="T10" s="1604"/>
    </row>
    <row r="11" spans="1:20" x14ac:dyDescent="0.3">
      <c r="A11" t="s">
        <v>1333</v>
      </c>
      <c r="B11" s="1356">
        <v>0.12</v>
      </c>
      <c r="C11" s="647" t="s">
        <v>1335</v>
      </c>
      <c r="I11" s="1604"/>
      <c r="J11" s="1604"/>
      <c r="K11" s="1604"/>
      <c r="L11" s="1604"/>
      <c r="M11" s="1604"/>
      <c r="N11" s="1604"/>
      <c r="O11" s="1604"/>
      <c r="P11" s="1604"/>
      <c r="Q11" s="1604"/>
      <c r="R11" s="1604"/>
      <c r="S11" s="1604"/>
      <c r="T11" s="1604"/>
    </row>
    <row r="12" spans="1:20" x14ac:dyDescent="0.3">
      <c r="A12" t="s">
        <v>1334</v>
      </c>
      <c r="B12" s="1356">
        <f>B11/12</f>
        <v>0.01</v>
      </c>
      <c r="I12" s="1604"/>
      <c r="J12" s="1604"/>
      <c r="K12" s="1604"/>
      <c r="L12" s="1604"/>
      <c r="M12" s="1604"/>
      <c r="N12" s="1604"/>
      <c r="O12" s="1604"/>
      <c r="P12" s="1604"/>
      <c r="Q12" s="1604"/>
      <c r="R12" s="1604"/>
      <c r="S12" s="1604"/>
      <c r="T12" s="1604"/>
    </row>
    <row r="13" spans="1:20" x14ac:dyDescent="0.3">
      <c r="A13" t="s">
        <v>1361</v>
      </c>
      <c r="B13" s="1357">
        <f>B11/365</f>
        <v>3.2876712328767124E-4</v>
      </c>
      <c r="I13" s="1604"/>
      <c r="J13" s="1604"/>
      <c r="K13" s="1604"/>
      <c r="L13" s="1604"/>
      <c r="M13" s="1604"/>
      <c r="N13" s="1604"/>
      <c r="O13" s="1604"/>
      <c r="P13" s="1604"/>
      <c r="Q13" s="1604"/>
      <c r="R13" s="1604"/>
      <c r="S13" s="1604"/>
      <c r="T13" s="1604"/>
    </row>
    <row r="14" spans="1:20" x14ac:dyDescent="0.3">
      <c r="A14" t="s">
        <v>1336</v>
      </c>
      <c r="B14" s="1358">
        <f>B5-B4</f>
        <v>171</v>
      </c>
    </row>
    <row r="15" spans="1:20" x14ac:dyDescent="0.3">
      <c r="A15" t="s">
        <v>1338</v>
      </c>
      <c r="B15" s="1359">
        <f>B5</f>
        <v>45322</v>
      </c>
    </row>
    <row r="16" spans="1:20" x14ac:dyDescent="0.3">
      <c r="I16" t="s">
        <v>1376</v>
      </c>
      <c r="M16" s="1161">
        <f>B7</f>
        <v>225000</v>
      </c>
    </row>
    <row r="17" spans="1:14" x14ac:dyDescent="0.3">
      <c r="A17" t="s">
        <v>1340</v>
      </c>
      <c r="B17" s="1122">
        <f>(B15-B4)</f>
        <v>171</v>
      </c>
      <c r="I17" t="s">
        <v>1377</v>
      </c>
      <c r="M17" s="1162">
        <v>0.6</v>
      </c>
      <c r="N17" s="647" t="s">
        <v>1378</v>
      </c>
    </row>
    <row r="18" spans="1:14" x14ac:dyDescent="0.3">
      <c r="A18" t="s">
        <v>1339</v>
      </c>
      <c r="B18" s="1117">
        <f>ROUND(-SUM(E28:E33),0)</f>
        <v>12708</v>
      </c>
      <c r="I18" t="s">
        <v>1379</v>
      </c>
      <c r="M18" s="1161">
        <f>M17*0.75</f>
        <v>0.44999999999999996</v>
      </c>
    </row>
    <row r="19" spans="1:14" x14ac:dyDescent="0.3">
      <c r="F19" s="792"/>
      <c r="I19" t="s">
        <v>1380</v>
      </c>
      <c r="M19" s="1163">
        <f>M16/M18</f>
        <v>500000.00000000006</v>
      </c>
    </row>
    <row r="20" spans="1:14" x14ac:dyDescent="0.3">
      <c r="I20" t="s">
        <v>1381</v>
      </c>
      <c r="M20" s="1164">
        <f>M19*M17</f>
        <v>300000</v>
      </c>
    </row>
    <row r="21" spans="1:14" x14ac:dyDescent="0.3">
      <c r="A21" s="713" t="s">
        <v>1383</v>
      </c>
      <c r="B21" s="1119">
        <f>B7</f>
        <v>225000</v>
      </c>
    </row>
    <row r="22" spans="1:14" x14ac:dyDescent="0.3">
      <c r="A22" t="s">
        <v>1357</v>
      </c>
      <c r="B22" s="792">
        <f>M22</f>
        <v>75000</v>
      </c>
      <c r="C22" s="1138" t="s">
        <v>1384</v>
      </c>
      <c r="I22" s="713" t="s">
        <v>1382</v>
      </c>
      <c r="J22" s="713"/>
      <c r="K22" s="713"/>
      <c r="L22" s="713"/>
      <c r="M22" s="1160">
        <f>M20-M16</f>
        <v>75000</v>
      </c>
      <c r="N22" s="1138" t="s">
        <v>1384</v>
      </c>
    </row>
    <row r="23" spans="1:14" x14ac:dyDescent="0.3">
      <c r="A23" t="s">
        <v>1358</v>
      </c>
      <c r="B23" s="792">
        <f>B21-B22</f>
        <v>150000</v>
      </c>
    </row>
    <row r="25" spans="1:14" x14ac:dyDescent="0.3">
      <c r="C25" s="274" t="s">
        <v>1364</v>
      </c>
      <c r="D25" s="1137">
        <v>8.1750157197557516E-2</v>
      </c>
      <c r="E25" s="1138" t="s">
        <v>1365</v>
      </c>
    </row>
    <row r="27" spans="1:14" ht="43.2" x14ac:dyDescent="0.3">
      <c r="A27" s="580" t="s">
        <v>1362</v>
      </c>
      <c r="B27" s="1132" t="s">
        <v>1363</v>
      </c>
      <c r="C27" s="1133" t="s">
        <v>1359</v>
      </c>
      <c r="D27" s="992" t="s">
        <v>1368</v>
      </c>
      <c r="E27" s="1133" t="s">
        <v>1367</v>
      </c>
      <c r="F27" s="1133" t="s">
        <v>1360</v>
      </c>
    </row>
    <row r="28" spans="1:14" x14ac:dyDescent="0.3">
      <c r="A28" s="1131">
        <f>EOMONTH(B4,0)</f>
        <v>45169</v>
      </c>
      <c r="B28" s="1122">
        <f>A28-B4</f>
        <v>18</v>
      </c>
      <c r="C28" s="792">
        <f>B23</f>
        <v>150000</v>
      </c>
      <c r="D28" s="792">
        <f>$D$25*C28</f>
        <v>12262.523579633627</v>
      </c>
      <c r="E28" s="792">
        <f>-((((1+$B$13)^B28)*$B$7)-$B$7)</f>
        <v>-1335.234304974816</v>
      </c>
      <c r="F28" s="792">
        <f t="shared" ref="F28:F34" si="0">SUM(C28:E28)</f>
        <v>160927.2892746588</v>
      </c>
    </row>
    <row r="29" spans="1:14" x14ac:dyDescent="0.3">
      <c r="A29" s="1134">
        <f>EOMONTH(A28,1)</f>
        <v>45199</v>
      </c>
      <c r="B29" s="1135">
        <f>A29-A28</f>
        <v>30</v>
      </c>
      <c r="C29" s="170">
        <f>F28</f>
        <v>160927.2892746588</v>
      </c>
      <c r="D29" s="1136">
        <f t="shared" ref="D29:D33" si="1">$D$25*C29</f>
        <v>13155.831195580169</v>
      </c>
      <c r="E29" s="1136">
        <f t="shared" ref="E29:E33" si="2">-((((1+$B$13)^B29)*$B$7)-$B$7)</f>
        <v>-2229.7897117508983</v>
      </c>
      <c r="F29" s="1136">
        <f t="shared" si="0"/>
        <v>171853.33075848807</v>
      </c>
    </row>
    <row r="30" spans="1:14" x14ac:dyDescent="0.3">
      <c r="A30" s="1131">
        <f t="shared" ref="A30:A33" si="3">EOMONTH(A29,1)</f>
        <v>45230</v>
      </c>
      <c r="B30" s="1122">
        <f t="shared" ref="B30:B33" si="4">A30-A29</f>
        <v>31</v>
      </c>
      <c r="C30" s="167">
        <f t="shared" ref="C30:C33" si="5">F29</f>
        <v>171853.33075848807</v>
      </c>
      <c r="D30" s="792">
        <f t="shared" si="1"/>
        <v>14049.036804430245</v>
      </c>
      <c r="E30" s="792">
        <f t="shared" si="2"/>
        <v>-2304.4953960397397</v>
      </c>
      <c r="F30" s="792">
        <f t="shared" si="0"/>
        <v>183597.87216687857</v>
      </c>
    </row>
    <row r="31" spans="1:14" x14ac:dyDescent="0.3">
      <c r="A31" s="1131">
        <f t="shared" si="3"/>
        <v>45260</v>
      </c>
      <c r="B31" s="1122">
        <f t="shared" si="4"/>
        <v>30</v>
      </c>
      <c r="C31" s="167">
        <f t="shared" si="5"/>
        <v>183597.87216687857</v>
      </c>
      <c r="D31" s="792">
        <f t="shared" si="1"/>
        <v>15009.154910779393</v>
      </c>
      <c r="E31" s="792">
        <f t="shared" si="2"/>
        <v>-2229.7897117508983</v>
      </c>
      <c r="F31" s="792">
        <f t="shared" si="0"/>
        <v>196377.23736590706</v>
      </c>
    </row>
    <row r="32" spans="1:14" x14ac:dyDescent="0.3">
      <c r="A32" s="1134">
        <f t="shared" si="3"/>
        <v>45291</v>
      </c>
      <c r="B32" s="1135">
        <f t="shared" si="4"/>
        <v>31</v>
      </c>
      <c r="C32" s="170">
        <f t="shared" si="5"/>
        <v>196377.23736590706</v>
      </c>
      <c r="D32" s="1136">
        <f t="shared" si="1"/>
        <v>16053.870024684968</v>
      </c>
      <c r="E32" s="1136">
        <f t="shared" si="2"/>
        <v>-2304.4953960397397</v>
      </c>
      <c r="F32" s="1136">
        <f t="shared" si="0"/>
        <v>210126.61199455228</v>
      </c>
    </row>
    <row r="33" spans="1:6" x14ac:dyDescent="0.3">
      <c r="A33" s="1131">
        <f t="shared" si="3"/>
        <v>45322</v>
      </c>
      <c r="B33" s="1122">
        <f t="shared" si="4"/>
        <v>31</v>
      </c>
      <c r="C33" s="167">
        <f t="shared" si="5"/>
        <v>210126.61199455228</v>
      </c>
      <c r="D33" s="792">
        <f t="shared" si="1"/>
        <v>17177.883561944822</v>
      </c>
      <c r="E33" s="792">
        <f t="shared" si="2"/>
        <v>-2304.4953960397397</v>
      </c>
      <c r="F33" s="792">
        <f t="shared" si="0"/>
        <v>225000.00016045736</v>
      </c>
    </row>
    <row r="34" spans="1:6" x14ac:dyDescent="0.3">
      <c r="A34" s="1134"/>
      <c r="B34" s="1135"/>
      <c r="C34" s="170"/>
      <c r="D34" s="1136"/>
      <c r="E34" s="1136"/>
      <c r="F34" s="1136">
        <f t="shared" si="0"/>
        <v>0</v>
      </c>
    </row>
    <row r="35" spans="1:6" x14ac:dyDescent="0.3">
      <c r="D35" s="167">
        <f>SUM(D28:D34)</f>
        <v>87708.300077053224</v>
      </c>
      <c r="E35" s="167">
        <f>SUM(E28:E34)</f>
        <v>-12708.299916595832</v>
      </c>
    </row>
    <row r="36" spans="1:6" ht="15" thickBot="1" x14ac:dyDescent="0.35"/>
    <row r="37" spans="1:6" x14ac:dyDescent="0.3">
      <c r="A37" s="1139" t="s">
        <v>892</v>
      </c>
      <c r="B37" s="1140"/>
      <c r="C37" s="1141"/>
      <c r="D37" s="1152"/>
      <c r="E37" s="1141"/>
      <c r="F37" s="1142"/>
    </row>
    <row r="38" spans="1:6" x14ac:dyDescent="0.3">
      <c r="A38" s="1143" t="s">
        <v>2161</v>
      </c>
      <c r="B38" s="828"/>
      <c r="C38" s="1144"/>
      <c r="D38" s="1153"/>
      <c r="E38" s="1144"/>
      <c r="F38" s="1145"/>
    </row>
    <row r="39" spans="1:6" x14ac:dyDescent="0.3">
      <c r="A39" s="1146" t="s">
        <v>2162</v>
      </c>
      <c r="B39" s="1147">
        <f>ROUND((SUM(D28:D33)),0)</f>
        <v>87708</v>
      </c>
      <c r="C39" s="1144"/>
      <c r="D39" s="1153"/>
      <c r="E39" s="1144"/>
      <c r="F39" s="1145"/>
    </row>
    <row r="40" spans="1:6" x14ac:dyDescent="0.3">
      <c r="A40" s="1146" t="s">
        <v>2163</v>
      </c>
      <c r="B40" s="1147">
        <f>-B39</f>
        <v>-87708</v>
      </c>
      <c r="C40" s="1144"/>
      <c r="D40" s="1153"/>
      <c r="E40" s="1144"/>
      <c r="F40" s="1145"/>
    </row>
    <row r="41" spans="1:6" x14ac:dyDescent="0.3">
      <c r="A41" s="1146" t="s">
        <v>2164</v>
      </c>
      <c r="B41" s="828">
        <f>-B42</f>
        <v>12708</v>
      </c>
      <c r="C41" s="1153"/>
      <c r="D41" s="1153"/>
      <c r="E41" s="1144"/>
      <c r="F41" s="1145"/>
    </row>
    <row r="42" spans="1:6" x14ac:dyDescent="0.3">
      <c r="A42" s="1146" t="s">
        <v>2165</v>
      </c>
      <c r="B42" s="828">
        <f>ROUND((SUM(E28:E33)),0)</f>
        <v>-12708</v>
      </c>
      <c r="C42" s="1153"/>
      <c r="D42" s="1153"/>
      <c r="E42" s="1144"/>
      <c r="F42" s="1145"/>
    </row>
    <row r="43" spans="1:6" ht="15" thickBot="1" x14ac:dyDescent="0.35">
      <c r="A43" s="1148" t="s">
        <v>507</v>
      </c>
      <c r="B43" s="1149">
        <f>SUM(B39:B42)</f>
        <v>0</v>
      </c>
      <c r="C43" s="1150"/>
      <c r="D43" s="1154"/>
      <c r="E43" s="1150"/>
      <c r="F43" s="1151"/>
    </row>
    <row r="44" spans="1:6" ht="15" thickBot="1" x14ac:dyDescent="0.35"/>
    <row r="45" spans="1:6" x14ac:dyDescent="0.3">
      <c r="A45" s="1139" t="s">
        <v>892</v>
      </c>
      <c r="B45" s="1140"/>
      <c r="C45" s="1141"/>
      <c r="D45" s="1152"/>
      <c r="E45" s="1141"/>
      <c r="F45" s="1142"/>
    </row>
    <row r="46" spans="1:6" x14ac:dyDescent="0.3">
      <c r="A46" s="1143" t="s">
        <v>1997</v>
      </c>
      <c r="B46" s="828"/>
      <c r="C46" s="1144"/>
      <c r="D46" s="1153"/>
      <c r="E46" s="1144"/>
      <c r="F46" s="1145"/>
    </row>
    <row r="47" spans="1:6" x14ac:dyDescent="0.3">
      <c r="A47" s="1146" t="s">
        <v>1385</v>
      </c>
      <c r="B47" s="1147">
        <f>ROUND((SUM(D30:D34)),0)</f>
        <v>62290</v>
      </c>
      <c r="C47" s="1144"/>
      <c r="D47" s="1153"/>
      <c r="E47" s="1144"/>
      <c r="F47" s="1145"/>
    </row>
    <row r="48" spans="1:6" x14ac:dyDescent="0.3">
      <c r="A48" s="1146" t="s">
        <v>1366</v>
      </c>
      <c r="B48" s="1147">
        <f>-B47</f>
        <v>-62290</v>
      </c>
      <c r="C48" s="1144"/>
      <c r="D48" s="1153"/>
      <c r="E48" s="1144"/>
      <c r="F48" s="1145"/>
    </row>
    <row r="49" spans="1:6" x14ac:dyDescent="0.3">
      <c r="A49" s="1146" t="s">
        <v>1387</v>
      </c>
      <c r="B49" s="828">
        <f>-B50</f>
        <v>9143</v>
      </c>
      <c r="C49" s="1153" t="s">
        <v>1370</v>
      </c>
      <c r="D49" s="1153"/>
      <c r="E49" s="1144"/>
      <c r="F49" s="1145"/>
    </row>
    <row r="50" spans="1:6" x14ac:dyDescent="0.3">
      <c r="A50" s="1146" t="s">
        <v>1366</v>
      </c>
      <c r="B50" s="828">
        <f>ROUND((SUM(E30:E34)),0)</f>
        <v>-9143</v>
      </c>
      <c r="C50" s="1153" t="s">
        <v>1370</v>
      </c>
      <c r="D50" s="1153"/>
      <c r="E50" s="1144"/>
      <c r="F50" s="1145"/>
    </row>
    <row r="51" spans="1:6" ht="15" thickBot="1" x14ac:dyDescent="0.35">
      <c r="A51" s="1148" t="s">
        <v>507</v>
      </c>
      <c r="B51" s="1149">
        <f>SUM(B47:B50)</f>
        <v>0</v>
      </c>
      <c r="C51" s="1150"/>
      <c r="D51" s="1154"/>
      <c r="E51" s="1150"/>
      <c r="F51" s="1151"/>
    </row>
  </sheetData>
  <mergeCells count="1">
    <mergeCell ref="I5:T13"/>
  </mergeCells>
  <pageMargins left="0.7" right="0.7" top="0.75" bottom="0.75" header="0.3" footer="0.3"/>
  <drawing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10DE-A81B-4DBE-A4FB-94B0AD8EE64D}">
  <sheetPr>
    <tabColor rgb="FF00FF99"/>
  </sheetPr>
  <dimension ref="A1:BP47"/>
  <sheetViews>
    <sheetView workbookViewId="0"/>
  </sheetViews>
  <sheetFormatPr defaultRowHeight="14.4" x14ac:dyDescent="0.3"/>
  <cols>
    <col min="1" max="1" width="17.44140625" customWidth="1"/>
    <col min="2" max="2" width="27.109375" customWidth="1"/>
    <col min="3" max="4" width="13.44140625" customWidth="1"/>
    <col min="5" max="5" width="12.6640625" customWidth="1"/>
    <col min="6" max="6" width="4" customWidth="1"/>
    <col min="7" max="7" width="11.88671875" customWidth="1"/>
    <col min="8" max="17" width="11.5546875" bestFit="1" customWidth="1"/>
    <col min="18" max="18" width="14.109375" bestFit="1" customWidth="1"/>
    <col min="19" max="29" width="11.5546875" bestFit="1" customWidth="1"/>
    <col min="30" max="30" width="14.109375" bestFit="1" customWidth="1"/>
    <col min="31" max="32" width="11.5546875" bestFit="1" customWidth="1"/>
    <col min="33" max="33" width="12.44140625" bestFit="1" customWidth="1"/>
    <col min="34" max="41" width="11.44140625" customWidth="1"/>
    <col min="42" max="42" width="14.109375" bestFit="1" customWidth="1"/>
    <col min="43" max="66" width="11.44140625" customWidth="1"/>
    <col min="67" max="67" width="11.109375" bestFit="1" customWidth="1"/>
    <col min="68" max="68" width="13.77734375" style="209" bestFit="1" customWidth="1"/>
  </cols>
  <sheetData>
    <row r="1" spans="1:68" x14ac:dyDescent="0.3">
      <c r="A1" s="713" t="s">
        <v>1839</v>
      </c>
      <c r="E1" s="1294" t="s">
        <v>747</v>
      </c>
    </row>
    <row r="3" spans="1:68" x14ac:dyDescent="0.3">
      <c r="A3" s="713" t="s">
        <v>365</v>
      </c>
      <c r="B3" s="1286">
        <v>45931</v>
      </c>
      <c r="G3" s="1277">
        <v>45138</v>
      </c>
    </row>
    <row r="5" spans="1:68" ht="15" thickBot="1" x14ac:dyDescent="0.35">
      <c r="G5" s="710">
        <v>1</v>
      </c>
      <c r="H5" s="710">
        <f>G5+1</f>
        <v>2</v>
      </c>
      <c r="I5" s="710">
        <f t="shared" ref="I5:BN5" si="0">H5+1</f>
        <v>3</v>
      </c>
      <c r="J5" s="710">
        <f t="shared" si="0"/>
        <v>4</v>
      </c>
      <c r="K5" s="710">
        <f t="shared" si="0"/>
        <v>5</v>
      </c>
      <c r="L5" s="710">
        <f t="shared" si="0"/>
        <v>6</v>
      </c>
      <c r="M5" s="710">
        <f t="shared" si="0"/>
        <v>7</v>
      </c>
      <c r="N5" s="710">
        <f t="shared" si="0"/>
        <v>8</v>
      </c>
      <c r="O5" s="710">
        <f t="shared" si="0"/>
        <v>9</v>
      </c>
      <c r="P5" s="710">
        <f t="shared" si="0"/>
        <v>10</v>
      </c>
      <c r="Q5" s="710">
        <f t="shared" si="0"/>
        <v>11</v>
      </c>
      <c r="R5" s="710">
        <f t="shared" si="0"/>
        <v>12</v>
      </c>
      <c r="S5" s="710">
        <f t="shared" si="0"/>
        <v>13</v>
      </c>
      <c r="T5" s="710">
        <f t="shared" si="0"/>
        <v>14</v>
      </c>
      <c r="U5" s="710">
        <f t="shared" si="0"/>
        <v>15</v>
      </c>
      <c r="V5" s="710">
        <f t="shared" si="0"/>
        <v>16</v>
      </c>
      <c r="W5" s="710">
        <f t="shared" si="0"/>
        <v>17</v>
      </c>
      <c r="X5" s="710">
        <f t="shared" si="0"/>
        <v>18</v>
      </c>
      <c r="Y5" s="710">
        <f t="shared" si="0"/>
        <v>19</v>
      </c>
      <c r="Z5" s="710">
        <f t="shared" si="0"/>
        <v>20</v>
      </c>
      <c r="AA5" s="710">
        <f t="shared" si="0"/>
        <v>21</v>
      </c>
      <c r="AB5" s="710">
        <f t="shared" si="0"/>
        <v>22</v>
      </c>
      <c r="AC5" s="710">
        <f t="shared" si="0"/>
        <v>23</v>
      </c>
      <c r="AD5" s="710">
        <f t="shared" si="0"/>
        <v>24</v>
      </c>
      <c r="AE5" s="710">
        <f t="shared" si="0"/>
        <v>25</v>
      </c>
      <c r="AF5" s="710">
        <f t="shared" si="0"/>
        <v>26</v>
      </c>
      <c r="AG5" s="710">
        <f t="shared" si="0"/>
        <v>27</v>
      </c>
      <c r="AH5" s="710">
        <f t="shared" si="0"/>
        <v>28</v>
      </c>
      <c r="AI5" s="710">
        <f t="shared" si="0"/>
        <v>29</v>
      </c>
      <c r="AJ5" s="710">
        <f t="shared" si="0"/>
        <v>30</v>
      </c>
      <c r="AK5" s="710">
        <f t="shared" si="0"/>
        <v>31</v>
      </c>
      <c r="AL5" s="710">
        <f t="shared" si="0"/>
        <v>32</v>
      </c>
      <c r="AM5" s="710">
        <f t="shared" si="0"/>
        <v>33</v>
      </c>
      <c r="AN5" s="710">
        <f t="shared" si="0"/>
        <v>34</v>
      </c>
      <c r="AO5" s="710">
        <f t="shared" si="0"/>
        <v>35</v>
      </c>
      <c r="AP5" s="710">
        <f t="shared" si="0"/>
        <v>36</v>
      </c>
      <c r="AQ5" s="710">
        <f t="shared" si="0"/>
        <v>37</v>
      </c>
      <c r="AR5" s="710">
        <f t="shared" si="0"/>
        <v>38</v>
      </c>
      <c r="AS5" s="710">
        <f t="shared" si="0"/>
        <v>39</v>
      </c>
      <c r="AT5" s="710">
        <f t="shared" si="0"/>
        <v>40</v>
      </c>
      <c r="AU5" s="710">
        <f t="shared" si="0"/>
        <v>41</v>
      </c>
      <c r="AV5" s="710">
        <f t="shared" si="0"/>
        <v>42</v>
      </c>
      <c r="AW5" s="710">
        <f t="shared" si="0"/>
        <v>43</v>
      </c>
      <c r="AX5" s="710">
        <f t="shared" si="0"/>
        <v>44</v>
      </c>
      <c r="AY5" s="710">
        <f t="shared" si="0"/>
        <v>45</v>
      </c>
      <c r="AZ5" s="710">
        <f t="shared" si="0"/>
        <v>46</v>
      </c>
      <c r="BA5" s="710">
        <f t="shared" si="0"/>
        <v>47</v>
      </c>
      <c r="BB5" s="710">
        <f t="shared" si="0"/>
        <v>48</v>
      </c>
      <c r="BC5" s="710">
        <f t="shared" si="0"/>
        <v>49</v>
      </c>
      <c r="BD5" s="710">
        <f t="shared" si="0"/>
        <v>50</v>
      </c>
      <c r="BE5" s="710">
        <f t="shared" si="0"/>
        <v>51</v>
      </c>
      <c r="BF5" s="710">
        <f t="shared" si="0"/>
        <v>52</v>
      </c>
      <c r="BG5" s="710">
        <f t="shared" si="0"/>
        <v>53</v>
      </c>
      <c r="BH5" s="710">
        <f t="shared" si="0"/>
        <v>54</v>
      </c>
      <c r="BI5" s="710">
        <f t="shared" si="0"/>
        <v>55</v>
      </c>
      <c r="BJ5" s="710">
        <f t="shared" si="0"/>
        <v>56</v>
      </c>
      <c r="BK5" s="710">
        <f t="shared" si="0"/>
        <v>57</v>
      </c>
      <c r="BL5" s="710">
        <f t="shared" si="0"/>
        <v>58</v>
      </c>
      <c r="BM5" s="710">
        <f t="shared" si="0"/>
        <v>59</v>
      </c>
      <c r="BN5" s="710">
        <f t="shared" si="0"/>
        <v>60</v>
      </c>
      <c r="BO5" s="710">
        <f t="shared" ref="BO5" si="1">BN5+1</f>
        <v>61</v>
      </c>
    </row>
    <row r="6" spans="1:68" ht="28.8" x14ac:dyDescent="0.3">
      <c r="A6" s="580" t="s">
        <v>1833</v>
      </c>
      <c r="B6" s="648" t="s">
        <v>1842</v>
      </c>
      <c r="C6" s="582" t="s">
        <v>253</v>
      </c>
      <c r="D6" s="992" t="s">
        <v>1835</v>
      </c>
      <c r="E6" s="992" t="s">
        <v>1834</v>
      </c>
      <c r="G6" s="1435">
        <f>G3</f>
        <v>45138</v>
      </c>
      <c r="H6" s="1436">
        <f>EOMONTH(G6,1)</f>
        <v>45169</v>
      </c>
      <c r="I6" s="1436">
        <f t="shared" ref="I6:BO6" si="2">EOMONTH(H6,1)</f>
        <v>45199</v>
      </c>
      <c r="J6" s="1436">
        <f t="shared" si="2"/>
        <v>45230</v>
      </c>
      <c r="K6" s="1436">
        <f t="shared" si="2"/>
        <v>45260</v>
      </c>
      <c r="L6" s="1436">
        <f t="shared" si="2"/>
        <v>45291</v>
      </c>
      <c r="M6" s="1436">
        <f t="shared" si="2"/>
        <v>45322</v>
      </c>
      <c r="N6" s="1436">
        <f t="shared" si="2"/>
        <v>45351</v>
      </c>
      <c r="O6" s="1436">
        <f t="shared" si="2"/>
        <v>45382</v>
      </c>
      <c r="P6" s="1436">
        <f t="shared" si="2"/>
        <v>45412</v>
      </c>
      <c r="Q6" s="1436">
        <f t="shared" si="2"/>
        <v>45443</v>
      </c>
      <c r="R6" s="1436">
        <f t="shared" si="2"/>
        <v>45473</v>
      </c>
      <c r="S6" s="1435">
        <f t="shared" si="2"/>
        <v>45504</v>
      </c>
      <c r="T6" s="1436">
        <f t="shared" si="2"/>
        <v>45535</v>
      </c>
      <c r="U6" s="1436">
        <f t="shared" si="2"/>
        <v>45565</v>
      </c>
      <c r="V6" s="1436">
        <f t="shared" si="2"/>
        <v>45596</v>
      </c>
      <c r="W6" s="1436">
        <f t="shared" si="2"/>
        <v>45626</v>
      </c>
      <c r="X6" s="1436">
        <f t="shared" si="2"/>
        <v>45657</v>
      </c>
      <c r="Y6" s="1436">
        <f t="shared" si="2"/>
        <v>45688</v>
      </c>
      <c r="Z6" s="1436">
        <f t="shared" si="2"/>
        <v>45716</v>
      </c>
      <c r="AA6" s="1436">
        <f t="shared" si="2"/>
        <v>45747</v>
      </c>
      <c r="AB6" s="1436">
        <f t="shared" si="2"/>
        <v>45777</v>
      </c>
      <c r="AC6" s="1436">
        <f t="shared" si="2"/>
        <v>45808</v>
      </c>
      <c r="AD6" s="1437">
        <f t="shared" si="2"/>
        <v>45838</v>
      </c>
      <c r="AE6" s="1435">
        <f t="shared" si="2"/>
        <v>45869</v>
      </c>
      <c r="AF6" s="1436">
        <f t="shared" si="2"/>
        <v>45900</v>
      </c>
      <c r="AG6" s="1436">
        <f t="shared" si="2"/>
        <v>45930</v>
      </c>
      <c r="AH6" s="1436">
        <f t="shared" si="2"/>
        <v>45961</v>
      </c>
      <c r="AI6" s="1436">
        <f t="shared" si="2"/>
        <v>45991</v>
      </c>
      <c r="AJ6" s="1436">
        <f t="shared" si="2"/>
        <v>46022</v>
      </c>
      <c r="AK6" s="1436">
        <f t="shared" si="2"/>
        <v>46053</v>
      </c>
      <c r="AL6" s="1436">
        <f t="shared" si="2"/>
        <v>46081</v>
      </c>
      <c r="AM6" s="1436">
        <f t="shared" si="2"/>
        <v>46112</v>
      </c>
      <c r="AN6" s="1436">
        <f t="shared" si="2"/>
        <v>46142</v>
      </c>
      <c r="AO6" s="1436">
        <f t="shared" si="2"/>
        <v>46173</v>
      </c>
      <c r="AP6" s="1437">
        <f t="shared" si="2"/>
        <v>46203</v>
      </c>
      <c r="AQ6" s="1435">
        <f t="shared" si="2"/>
        <v>46234</v>
      </c>
      <c r="AR6" s="1436">
        <f t="shared" si="2"/>
        <v>46265</v>
      </c>
      <c r="AS6" s="1436">
        <f t="shared" si="2"/>
        <v>46295</v>
      </c>
      <c r="AT6" s="1436">
        <f t="shared" si="2"/>
        <v>46326</v>
      </c>
      <c r="AU6" s="1436">
        <f t="shared" si="2"/>
        <v>46356</v>
      </c>
      <c r="AV6" s="1436">
        <f t="shared" si="2"/>
        <v>46387</v>
      </c>
      <c r="AW6" s="1436">
        <f t="shared" si="2"/>
        <v>46418</v>
      </c>
      <c r="AX6" s="1436">
        <f t="shared" si="2"/>
        <v>46446</v>
      </c>
      <c r="AY6" s="1436">
        <f t="shared" si="2"/>
        <v>46477</v>
      </c>
      <c r="AZ6" s="1436">
        <f t="shared" si="2"/>
        <v>46507</v>
      </c>
      <c r="BA6" s="1436">
        <f t="shared" si="2"/>
        <v>46538</v>
      </c>
      <c r="BB6" s="1437">
        <f t="shared" si="2"/>
        <v>46568</v>
      </c>
      <c r="BC6" s="1435">
        <f t="shared" si="2"/>
        <v>46599</v>
      </c>
      <c r="BD6" s="1436">
        <f t="shared" si="2"/>
        <v>46630</v>
      </c>
      <c r="BE6" s="1436">
        <f t="shared" si="2"/>
        <v>46660</v>
      </c>
      <c r="BF6" s="1436">
        <f t="shared" si="2"/>
        <v>46691</v>
      </c>
      <c r="BG6" s="1436">
        <f t="shared" si="2"/>
        <v>46721</v>
      </c>
      <c r="BH6" s="1436">
        <f t="shared" si="2"/>
        <v>46752</v>
      </c>
      <c r="BI6" s="1436">
        <f t="shared" si="2"/>
        <v>46783</v>
      </c>
      <c r="BJ6" s="1436">
        <f t="shared" si="2"/>
        <v>46812</v>
      </c>
      <c r="BK6" s="1436">
        <f t="shared" si="2"/>
        <v>46843</v>
      </c>
      <c r="BL6" s="1436">
        <f t="shared" si="2"/>
        <v>46873</v>
      </c>
      <c r="BM6" s="1436">
        <f t="shared" si="2"/>
        <v>46904</v>
      </c>
      <c r="BN6" s="1437">
        <f t="shared" si="2"/>
        <v>46934</v>
      </c>
      <c r="BO6" s="1447">
        <f t="shared" si="2"/>
        <v>46965</v>
      </c>
      <c r="BP6" s="209" t="s">
        <v>507</v>
      </c>
    </row>
    <row r="7" spans="1:68" x14ac:dyDescent="0.3">
      <c r="A7" s="1284">
        <v>45119</v>
      </c>
      <c r="B7" s="1287" t="s">
        <v>1837</v>
      </c>
      <c r="C7" s="1434">
        <f>'Asset Acquisition'!H20</f>
        <v>6281822</v>
      </c>
      <c r="D7" s="1279">
        <v>5</v>
      </c>
      <c r="E7" s="792">
        <f>D7*12</f>
        <v>60</v>
      </c>
      <c r="G7" s="1438">
        <f>ROUND(C7/E7,0)/2</f>
        <v>52348.5</v>
      </c>
      <c r="H7" s="167">
        <f>ROUND($C7/$E7,0)</f>
        <v>104697</v>
      </c>
      <c r="I7" s="167">
        <f t="shared" ref="I7:BN7" si="3">ROUND($C7/$E7,0)</f>
        <v>104697</v>
      </c>
      <c r="J7" s="167">
        <f t="shared" si="3"/>
        <v>104697</v>
      </c>
      <c r="K7" s="167">
        <f t="shared" si="3"/>
        <v>104697</v>
      </c>
      <c r="L7" s="167">
        <f t="shared" si="3"/>
        <v>104697</v>
      </c>
      <c r="M7" s="167">
        <f t="shared" si="3"/>
        <v>104697</v>
      </c>
      <c r="N7" s="167">
        <f t="shared" si="3"/>
        <v>104697</v>
      </c>
      <c r="O7" s="167">
        <f t="shared" si="3"/>
        <v>104697</v>
      </c>
      <c r="P7" s="167">
        <f t="shared" si="3"/>
        <v>104697</v>
      </c>
      <c r="Q7" s="167">
        <f t="shared" si="3"/>
        <v>104697</v>
      </c>
      <c r="R7" s="167">
        <f t="shared" si="3"/>
        <v>104697</v>
      </c>
      <c r="S7" s="1446">
        <f t="shared" si="3"/>
        <v>104697</v>
      </c>
      <c r="T7" s="167">
        <f t="shared" si="3"/>
        <v>104697</v>
      </c>
      <c r="U7" s="167">
        <f t="shared" si="3"/>
        <v>104697</v>
      </c>
      <c r="V7" s="167">
        <f t="shared" si="3"/>
        <v>104697</v>
      </c>
      <c r="W7" s="167">
        <f t="shared" si="3"/>
        <v>104697</v>
      </c>
      <c r="X7" s="167">
        <f t="shared" si="3"/>
        <v>104697</v>
      </c>
      <c r="Y7" s="167">
        <f t="shared" si="3"/>
        <v>104697</v>
      </c>
      <c r="Z7" s="167">
        <f t="shared" si="3"/>
        <v>104697</v>
      </c>
      <c r="AA7" s="167">
        <f t="shared" si="3"/>
        <v>104697</v>
      </c>
      <c r="AB7" s="167">
        <f t="shared" si="3"/>
        <v>104697</v>
      </c>
      <c r="AC7" s="167">
        <f t="shared" si="3"/>
        <v>104697</v>
      </c>
      <c r="AD7" s="1439">
        <f t="shared" si="3"/>
        <v>104697</v>
      </c>
      <c r="AE7" s="1446">
        <f t="shared" si="3"/>
        <v>104697</v>
      </c>
      <c r="AF7" s="167">
        <f t="shared" si="3"/>
        <v>104697</v>
      </c>
      <c r="AG7" s="167">
        <f t="shared" si="3"/>
        <v>104697</v>
      </c>
      <c r="AH7" s="167">
        <f t="shared" si="3"/>
        <v>104697</v>
      </c>
      <c r="AI7" s="167">
        <f t="shared" si="3"/>
        <v>104697</v>
      </c>
      <c r="AJ7" s="167">
        <f t="shared" si="3"/>
        <v>104697</v>
      </c>
      <c r="AK7" s="167">
        <f t="shared" si="3"/>
        <v>104697</v>
      </c>
      <c r="AL7" s="167">
        <f t="shared" si="3"/>
        <v>104697</v>
      </c>
      <c r="AM7" s="167">
        <f t="shared" si="3"/>
        <v>104697</v>
      </c>
      <c r="AN7" s="167">
        <f t="shared" si="3"/>
        <v>104697</v>
      </c>
      <c r="AO7" s="167">
        <f t="shared" si="3"/>
        <v>104697</v>
      </c>
      <c r="AP7" s="1439">
        <f t="shared" si="3"/>
        <v>104697</v>
      </c>
      <c r="AQ7" s="1446">
        <f t="shared" si="3"/>
        <v>104697</v>
      </c>
      <c r="AR7" s="167">
        <f t="shared" si="3"/>
        <v>104697</v>
      </c>
      <c r="AS7" s="167">
        <f t="shared" si="3"/>
        <v>104697</v>
      </c>
      <c r="AT7" s="167">
        <f t="shared" si="3"/>
        <v>104697</v>
      </c>
      <c r="AU7" s="167">
        <f t="shared" si="3"/>
        <v>104697</v>
      </c>
      <c r="AV7" s="167">
        <f t="shared" si="3"/>
        <v>104697</v>
      </c>
      <c r="AW7" s="167">
        <f t="shared" si="3"/>
        <v>104697</v>
      </c>
      <c r="AX7" s="167">
        <f t="shared" si="3"/>
        <v>104697</v>
      </c>
      <c r="AY7" s="167">
        <f t="shared" si="3"/>
        <v>104697</v>
      </c>
      <c r="AZ7" s="167">
        <f t="shared" si="3"/>
        <v>104697</v>
      </c>
      <c r="BA7" s="167">
        <f t="shared" si="3"/>
        <v>104697</v>
      </c>
      <c r="BB7" s="1439">
        <f t="shared" si="3"/>
        <v>104697</v>
      </c>
      <c r="BC7" s="1446">
        <f t="shared" si="3"/>
        <v>104697</v>
      </c>
      <c r="BD7" s="167">
        <f t="shared" si="3"/>
        <v>104697</v>
      </c>
      <c r="BE7" s="167">
        <f t="shared" si="3"/>
        <v>104697</v>
      </c>
      <c r="BF7" s="167">
        <f t="shared" si="3"/>
        <v>104697</v>
      </c>
      <c r="BG7" s="167">
        <f t="shared" si="3"/>
        <v>104697</v>
      </c>
      <c r="BH7" s="167">
        <f t="shared" si="3"/>
        <v>104697</v>
      </c>
      <c r="BI7" s="167">
        <f t="shared" si="3"/>
        <v>104697</v>
      </c>
      <c r="BJ7" s="167">
        <f t="shared" si="3"/>
        <v>104697</v>
      </c>
      <c r="BK7" s="167">
        <f t="shared" si="3"/>
        <v>104697</v>
      </c>
      <c r="BL7" s="167">
        <f t="shared" si="3"/>
        <v>104697</v>
      </c>
      <c r="BM7" s="167">
        <f t="shared" si="3"/>
        <v>104697</v>
      </c>
      <c r="BN7" s="1439">
        <f t="shared" si="3"/>
        <v>104697</v>
      </c>
      <c r="BO7" s="1448">
        <f>ROUND($C7/$E7,0)/2+2</f>
        <v>52350.5</v>
      </c>
      <c r="BP7" s="1035">
        <f>C7-SUM(G7:BO7)</f>
        <v>0</v>
      </c>
    </row>
    <row r="8" spans="1:68" x14ac:dyDescent="0.3">
      <c r="A8" s="1278"/>
      <c r="B8" s="1287"/>
      <c r="C8" s="1289"/>
      <c r="D8" s="967"/>
      <c r="E8" s="792">
        <f t="shared" ref="E8:E10" si="4">D8*12</f>
        <v>0</v>
      </c>
      <c r="G8" s="1440"/>
      <c r="S8" s="1440"/>
      <c r="AD8" s="1441"/>
      <c r="AE8" s="1440"/>
      <c r="AP8" s="1441"/>
      <c r="AQ8" s="1440"/>
      <c r="BB8" s="1441"/>
      <c r="BC8" s="1440"/>
      <c r="BN8" s="1441"/>
      <c r="BO8" s="1449"/>
    </row>
    <row r="9" spans="1:68" x14ac:dyDescent="0.3">
      <c r="A9" s="1278"/>
      <c r="B9" s="1287"/>
      <c r="C9" s="1289"/>
      <c r="D9" s="967"/>
      <c r="E9" s="792">
        <f t="shared" si="4"/>
        <v>0</v>
      </c>
      <c r="G9" s="1440"/>
      <c r="S9" s="1440"/>
      <c r="AD9" s="1441"/>
      <c r="AE9" s="1440"/>
      <c r="AP9" s="1441"/>
      <c r="AQ9" s="1440"/>
      <c r="BB9" s="1441"/>
      <c r="BC9" s="1440"/>
      <c r="BN9" s="1441"/>
      <c r="BO9" s="1449"/>
    </row>
    <row r="10" spans="1:68" ht="15" thickBot="1" x14ac:dyDescent="0.35">
      <c r="A10" s="1285"/>
      <c r="B10" s="1288"/>
      <c r="C10" s="1290"/>
      <c r="D10" s="1280"/>
      <c r="E10" s="1281">
        <f t="shared" si="4"/>
        <v>0</v>
      </c>
      <c r="F10" s="1282"/>
      <c r="G10" s="1442"/>
      <c r="H10" s="1282"/>
      <c r="I10" s="1282"/>
      <c r="J10" s="1282"/>
      <c r="K10" s="1282"/>
      <c r="L10" s="1282"/>
      <c r="M10" s="1282"/>
      <c r="N10" s="1282"/>
      <c r="O10" s="1282"/>
      <c r="P10" s="1282"/>
      <c r="Q10" s="1282"/>
      <c r="R10" s="1282"/>
      <c r="S10" s="1442"/>
      <c r="T10" s="1282"/>
      <c r="U10" s="1282"/>
      <c r="V10" s="1282"/>
      <c r="W10" s="1282"/>
      <c r="X10" s="1282"/>
      <c r="Y10" s="1282"/>
      <c r="Z10" s="1282"/>
      <c r="AA10" s="1282"/>
      <c r="AB10" s="1282"/>
      <c r="AC10" s="1282"/>
      <c r="AD10" s="1443"/>
      <c r="AE10" s="1442"/>
      <c r="AF10" s="1282"/>
      <c r="AG10" s="1282"/>
      <c r="AH10" s="1282"/>
      <c r="AI10" s="1282"/>
      <c r="AJ10" s="1282"/>
      <c r="AK10" s="1282"/>
      <c r="AL10" s="1282"/>
      <c r="AM10" s="1282"/>
      <c r="AN10" s="1282"/>
      <c r="AO10" s="1282"/>
      <c r="AP10" s="1443"/>
      <c r="AQ10" s="1442"/>
      <c r="AR10" s="1282"/>
      <c r="AS10" s="1282"/>
      <c r="AT10" s="1282"/>
      <c r="AU10" s="1282"/>
      <c r="AV10" s="1282"/>
      <c r="AW10" s="1282"/>
      <c r="AX10" s="1282"/>
      <c r="AY10" s="1282"/>
      <c r="AZ10" s="1282"/>
      <c r="BA10" s="1282"/>
      <c r="BB10" s="1443"/>
      <c r="BC10" s="1442"/>
      <c r="BD10" s="1282"/>
      <c r="BE10" s="1282"/>
      <c r="BF10" s="1282"/>
      <c r="BG10" s="1282"/>
      <c r="BH10" s="1282"/>
      <c r="BI10" s="1282"/>
      <c r="BJ10" s="1282"/>
      <c r="BK10" s="1282"/>
      <c r="BL10" s="1282"/>
      <c r="BM10" s="1282"/>
      <c r="BN10" s="1443"/>
      <c r="BO10" s="1450"/>
    </row>
    <row r="11" spans="1:68" ht="15" thickBot="1" x14ac:dyDescent="0.35">
      <c r="E11" s="274" t="s">
        <v>1836</v>
      </c>
      <c r="G11" s="1444">
        <f>ROUND(SUM(G7:G10),0)</f>
        <v>52349</v>
      </c>
      <c r="H11" s="1283">
        <f t="shared" ref="H11:BO11" si="5">ROUND(SUM(H7:H10),0)</f>
        <v>104697</v>
      </c>
      <c r="I11" s="1283">
        <f t="shared" si="5"/>
        <v>104697</v>
      </c>
      <c r="J11" s="1283">
        <f t="shared" si="5"/>
        <v>104697</v>
      </c>
      <c r="K11" s="1283">
        <f t="shared" si="5"/>
        <v>104697</v>
      </c>
      <c r="L11" s="1283">
        <f t="shared" si="5"/>
        <v>104697</v>
      </c>
      <c r="M11" s="1283">
        <f t="shared" si="5"/>
        <v>104697</v>
      </c>
      <c r="N11" s="1283">
        <f t="shared" si="5"/>
        <v>104697</v>
      </c>
      <c r="O11" s="1283">
        <f t="shared" si="5"/>
        <v>104697</v>
      </c>
      <c r="P11" s="1283">
        <f t="shared" si="5"/>
        <v>104697</v>
      </c>
      <c r="Q11" s="1283">
        <f t="shared" si="5"/>
        <v>104697</v>
      </c>
      <c r="R11" s="1445">
        <f t="shared" si="5"/>
        <v>104697</v>
      </c>
      <c r="S11" s="1444">
        <f t="shared" si="5"/>
        <v>104697</v>
      </c>
      <c r="T11" s="1283">
        <f t="shared" si="5"/>
        <v>104697</v>
      </c>
      <c r="U11" s="1283">
        <f t="shared" si="5"/>
        <v>104697</v>
      </c>
      <c r="V11" s="1283">
        <f t="shared" si="5"/>
        <v>104697</v>
      </c>
      <c r="W11" s="1283">
        <f t="shared" si="5"/>
        <v>104697</v>
      </c>
      <c r="X11" s="1283">
        <f t="shared" si="5"/>
        <v>104697</v>
      </c>
      <c r="Y11" s="1283">
        <f t="shared" si="5"/>
        <v>104697</v>
      </c>
      <c r="Z11" s="1283">
        <f t="shared" si="5"/>
        <v>104697</v>
      </c>
      <c r="AA11" s="1283">
        <f t="shared" si="5"/>
        <v>104697</v>
      </c>
      <c r="AB11" s="1283">
        <f t="shared" si="5"/>
        <v>104697</v>
      </c>
      <c r="AC11" s="1283">
        <f t="shared" si="5"/>
        <v>104697</v>
      </c>
      <c r="AD11" s="1445">
        <f t="shared" si="5"/>
        <v>104697</v>
      </c>
      <c r="AE11" s="1444">
        <f t="shared" si="5"/>
        <v>104697</v>
      </c>
      <c r="AF11" s="1283">
        <f t="shared" si="5"/>
        <v>104697</v>
      </c>
      <c r="AG11" s="1283">
        <f t="shared" si="5"/>
        <v>104697</v>
      </c>
      <c r="AH11" s="1283">
        <f t="shared" si="5"/>
        <v>104697</v>
      </c>
      <c r="AI11" s="1283">
        <f t="shared" si="5"/>
        <v>104697</v>
      </c>
      <c r="AJ11" s="1283">
        <f t="shared" si="5"/>
        <v>104697</v>
      </c>
      <c r="AK11" s="1283">
        <f t="shared" si="5"/>
        <v>104697</v>
      </c>
      <c r="AL11" s="1283">
        <f t="shared" si="5"/>
        <v>104697</v>
      </c>
      <c r="AM11" s="1283">
        <f t="shared" si="5"/>
        <v>104697</v>
      </c>
      <c r="AN11" s="1283">
        <f t="shared" si="5"/>
        <v>104697</v>
      </c>
      <c r="AO11" s="1283">
        <f t="shared" si="5"/>
        <v>104697</v>
      </c>
      <c r="AP11" s="1445">
        <f t="shared" si="5"/>
        <v>104697</v>
      </c>
      <c r="AQ11" s="1444">
        <f t="shared" si="5"/>
        <v>104697</v>
      </c>
      <c r="AR11" s="1283">
        <f t="shared" si="5"/>
        <v>104697</v>
      </c>
      <c r="AS11" s="1283">
        <f t="shared" si="5"/>
        <v>104697</v>
      </c>
      <c r="AT11" s="1283">
        <f t="shared" si="5"/>
        <v>104697</v>
      </c>
      <c r="AU11" s="1283">
        <f t="shared" si="5"/>
        <v>104697</v>
      </c>
      <c r="AV11" s="1283">
        <f t="shared" si="5"/>
        <v>104697</v>
      </c>
      <c r="AW11" s="1283">
        <f t="shared" si="5"/>
        <v>104697</v>
      </c>
      <c r="AX11" s="1283">
        <f t="shared" si="5"/>
        <v>104697</v>
      </c>
      <c r="AY11" s="1283">
        <f t="shared" si="5"/>
        <v>104697</v>
      </c>
      <c r="AZ11" s="1283">
        <f t="shared" si="5"/>
        <v>104697</v>
      </c>
      <c r="BA11" s="1283">
        <f t="shared" si="5"/>
        <v>104697</v>
      </c>
      <c r="BB11" s="1445">
        <f t="shared" si="5"/>
        <v>104697</v>
      </c>
      <c r="BC11" s="1444">
        <f t="shared" si="5"/>
        <v>104697</v>
      </c>
      <c r="BD11" s="1283">
        <f t="shared" si="5"/>
        <v>104697</v>
      </c>
      <c r="BE11" s="1283">
        <f t="shared" si="5"/>
        <v>104697</v>
      </c>
      <c r="BF11" s="1283">
        <f t="shared" si="5"/>
        <v>104697</v>
      </c>
      <c r="BG11" s="1283">
        <f t="shared" si="5"/>
        <v>104697</v>
      </c>
      <c r="BH11" s="1283">
        <f t="shared" si="5"/>
        <v>104697</v>
      </c>
      <c r="BI11" s="1283">
        <f t="shared" si="5"/>
        <v>104697</v>
      </c>
      <c r="BJ11" s="1283">
        <f t="shared" si="5"/>
        <v>104697</v>
      </c>
      <c r="BK11" s="1283">
        <f t="shared" si="5"/>
        <v>104697</v>
      </c>
      <c r="BL11" s="1283">
        <f t="shared" si="5"/>
        <v>104697</v>
      </c>
      <c r="BM11" s="1283">
        <f t="shared" si="5"/>
        <v>104697</v>
      </c>
      <c r="BN11" s="1445">
        <f t="shared" si="5"/>
        <v>104697</v>
      </c>
      <c r="BO11" s="1451">
        <f t="shared" si="5"/>
        <v>52351</v>
      </c>
      <c r="BP11" s="1035"/>
    </row>
    <row r="13" spans="1:68" ht="15" thickBot="1" x14ac:dyDescent="0.35">
      <c r="Q13" s="1452" t="s">
        <v>1995</v>
      </c>
      <c r="R13" s="1453">
        <f>SUM(G11:R11)</f>
        <v>1204016</v>
      </c>
      <c r="AC13" s="1452" t="s">
        <v>2174</v>
      </c>
      <c r="AD13" s="1453">
        <f>SUM(S11:AD11)</f>
        <v>1256364</v>
      </c>
      <c r="AF13" s="1452" t="s">
        <v>2175</v>
      </c>
      <c r="AG13" s="1453">
        <f>SUM(AE11:AG11)</f>
        <v>314091</v>
      </c>
      <c r="AO13" s="1452" t="s">
        <v>2249</v>
      </c>
      <c r="AP13" s="1453">
        <f>SUM(AE11:AP11)</f>
        <v>1256364</v>
      </c>
    </row>
    <row r="14" spans="1:68" ht="15" thickTop="1" x14ac:dyDescent="0.3"/>
    <row r="16" spans="1:68" x14ac:dyDescent="0.3">
      <c r="A16" s="713" t="s">
        <v>1838</v>
      </c>
    </row>
    <row r="18" spans="1:4" x14ac:dyDescent="0.3">
      <c r="A18" s="580" t="s">
        <v>1840</v>
      </c>
      <c r="B18" s="580" t="s">
        <v>1841</v>
      </c>
      <c r="C18" s="582" t="s">
        <v>253</v>
      </c>
    </row>
    <row r="19" spans="1:4" x14ac:dyDescent="0.3">
      <c r="A19" s="1292">
        <v>45108</v>
      </c>
      <c r="B19" s="1292">
        <f>EOMONTH(A19,2)</f>
        <v>45199</v>
      </c>
      <c r="C19" s="1293">
        <f t="shared" ref="C19:C47" si="6">SUMIFS($G$11:$BO$11,$G$6:$BO$6,"&gt;="&amp;A19,$G$6:$BO$6,"&lt;="&amp;B19)</f>
        <v>261743</v>
      </c>
    </row>
    <row r="20" spans="1:4" x14ac:dyDescent="0.3">
      <c r="A20" s="1292">
        <f>B19+1</f>
        <v>45200</v>
      </c>
      <c r="B20" s="1292">
        <f>EOMONTH(A20,2)</f>
        <v>45291</v>
      </c>
      <c r="C20" s="1293">
        <f t="shared" si="6"/>
        <v>314091</v>
      </c>
    </row>
    <row r="21" spans="1:4" x14ac:dyDescent="0.3">
      <c r="A21" s="1292">
        <f t="shared" ref="A21:A47" si="7">B20+1</f>
        <v>45292</v>
      </c>
      <c r="B21" s="1292">
        <f t="shared" ref="B21:B47" si="8">EOMONTH(A21,2)</f>
        <v>45382</v>
      </c>
      <c r="C21" s="1293">
        <f t="shared" si="6"/>
        <v>314091</v>
      </c>
    </row>
    <row r="22" spans="1:4" x14ac:dyDescent="0.3">
      <c r="A22" s="1401">
        <f t="shared" si="7"/>
        <v>45383</v>
      </c>
      <c r="B22" s="1401">
        <f t="shared" si="8"/>
        <v>45473</v>
      </c>
      <c r="C22" s="1402">
        <f t="shared" si="6"/>
        <v>314091</v>
      </c>
      <c r="D22" s="1403">
        <f>SUM(C19:C22)</f>
        <v>1204016</v>
      </c>
    </row>
    <row r="23" spans="1:4" x14ac:dyDescent="0.3">
      <c r="A23" s="1291">
        <f t="shared" si="7"/>
        <v>45474</v>
      </c>
      <c r="B23" s="1291">
        <f t="shared" si="8"/>
        <v>45565</v>
      </c>
      <c r="C23" s="792">
        <f t="shared" si="6"/>
        <v>314091</v>
      </c>
    </row>
    <row r="24" spans="1:4" x14ac:dyDescent="0.3">
      <c r="A24" s="1291">
        <f t="shared" si="7"/>
        <v>45566</v>
      </c>
      <c r="B24" s="1291">
        <f t="shared" si="8"/>
        <v>45657</v>
      </c>
      <c r="C24" s="792">
        <f t="shared" si="6"/>
        <v>314091</v>
      </c>
    </row>
    <row r="25" spans="1:4" x14ac:dyDescent="0.3">
      <c r="A25" s="1291">
        <f t="shared" si="7"/>
        <v>45658</v>
      </c>
      <c r="B25" s="1291">
        <f t="shared" si="8"/>
        <v>45747</v>
      </c>
      <c r="C25" s="792">
        <f t="shared" si="6"/>
        <v>314091</v>
      </c>
    </row>
    <row r="26" spans="1:4" x14ac:dyDescent="0.3">
      <c r="A26" s="1404">
        <f t="shared" si="7"/>
        <v>45748</v>
      </c>
      <c r="B26" s="1404">
        <f t="shared" si="8"/>
        <v>45838</v>
      </c>
      <c r="C26" s="1136">
        <f t="shared" si="6"/>
        <v>314091</v>
      </c>
      <c r="D26" s="1403">
        <f>SUM(C23:C26)</f>
        <v>1256364</v>
      </c>
    </row>
    <row r="27" spans="1:4" x14ac:dyDescent="0.3">
      <c r="A27" s="1291">
        <f t="shared" si="7"/>
        <v>45839</v>
      </c>
      <c r="B27" s="1291">
        <f t="shared" si="8"/>
        <v>45930</v>
      </c>
      <c r="C27" s="792">
        <f t="shared" si="6"/>
        <v>314091</v>
      </c>
    </row>
    <row r="28" spans="1:4" x14ac:dyDescent="0.3">
      <c r="A28" s="1291">
        <f t="shared" si="7"/>
        <v>45931</v>
      </c>
      <c r="B28" s="1291">
        <f t="shared" si="8"/>
        <v>46022</v>
      </c>
      <c r="C28" s="792">
        <f t="shared" si="6"/>
        <v>314091</v>
      </c>
    </row>
    <row r="29" spans="1:4" x14ac:dyDescent="0.3">
      <c r="A29" s="1291">
        <f t="shared" si="7"/>
        <v>46023</v>
      </c>
      <c r="B29" s="1291">
        <f t="shared" si="8"/>
        <v>46112</v>
      </c>
      <c r="C29" s="792">
        <f t="shared" si="6"/>
        <v>314091</v>
      </c>
    </row>
    <row r="30" spans="1:4" x14ac:dyDescent="0.3">
      <c r="A30" s="1404">
        <f t="shared" si="7"/>
        <v>46113</v>
      </c>
      <c r="B30" s="1404">
        <f t="shared" si="8"/>
        <v>46203</v>
      </c>
      <c r="C30" s="1136">
        <f t="shared" si="6"/>
        <v>314091</v>
      </c>
      <c r="D30" s="1403">
        <f>SUM(C27:C30)</f>
        <v>1256364</v>
      </c>
    </row>
    <row r="31" spans="1:4" x14ac:dyDescent="0.3">
      <c r="A31" s="1291">
        <f t="shared" si="7"/>
        <v>46204</v>
      </c>
      <c r="B31" s="1291">
        <f t="shared" si="8"/>
        <v>46295</v>
      </c>
      <c r="C31" s="792">
        <f t="shared" si="6"/>
        <v>314091</v>
      </c>
    </row>
    <row r="32" spans="1:4" x14ac:dyDescent="0.3">
      <c r="A32" s="1291">
        <f t="shared" si="7"/>
        <v>46296</v>
      </c>
      <c r="B32" s="1291">
        <f t="shared" si="8"/>
        <v>46387</v>
      </c>
      <c r="C32" s="792">
        <f t="shared" si="6"/>
        <v>314091</v>
      </c>
    </row>
    <row r="33" spans="1:4" x14ac:dyDescent="0.3">
      <c r="A33" s="1291">
        <f t="shared" si="7"/>
        <v>46388</v>
      </c>
      <c r="B33" s="1291">
        <f t="shared" si="8"/>
        <v>46477</v>
      </c>
      <c r="C33" s="792">
        <f t="shared" si="6"/>
        <v>314091</v>
      </c>
    </row>
    <row r="34" spans="1:4" x14ac:dyDescent="0.3">
      <c r="A34" s="1404">
        <f t="shared" si="7"/>
        <v>46478</v>
      </c>
      <c r="B34" s="1404">
        <f t="shared" si="8"/>
        <v>46568</v>
      </c>
      <c r="C34" s="1136">
        <f t="shared" si="6"/>
        <v>314091</v>
      </c>
      <c r="D34" s="1403">
        <f>SUM(C31:C34)</f>
        <v>1256364</v>
      </c>
    </row>
    <row r="35" spans="1:4" x14ac:dyDescent="0.3">
      <c r="A35" s="1291">
        <f t="shared" si="7"/>
        <v>46569</v>
      </c>
      <c r="B35" s="1291">
        <f t="shared" si="8"/>
        <v>46660</v>
      </c>
      <c r="C35" s="792">
        <f t="shared" si="6"/>
        <v>314091</v>
      </c>
    </row>
    <row r="36" spans="1:4" x14ac:dyDescent="0.3">
      <c r="A36" s="1291">
        <f t="shared" si="7"/>
        <v>46661</v>
      </c>
      <c r="B36" s="1291">
        <f t="shared" si="8"/>
        <v>46752</v>
      </c>
      <c r="C36" s="792">
        <f t="shared" si="6"/>
        <v>314091</v>
      </c>
    </row>
    <row r="37" spans="1:4" x14ac:dyDescent="0.3">
      <c r="A37" s="1291">
        <f t="shared" si="7"/>
        <v>46753</v>
      </c>
      <c r="B37" s="1291">
        <f t="shared" si="8"/>
        <v>46843</v>
      </c>
      <c r="C37" s="792">
        <f t="shared" si="6"/>
        <v>314091</v>
      </c>
    </row>
    <row r="38" spans="1:4" x14ac:dyDescent="0.3">
      <c r="A38" s="1404">
        <f t="shared" si="7"/>
        <v>46844</v>
      </c>
      <c r="B38" s="1404">
        <f t="shared" si="8"/>
        <v>46934</v>
      </c>
      <c r="C38" s="1136">
        <f t="shared" si="6"/>
        <v>314091</v>
      </c>
      <c r="D38" s="1403">
        <f>SUM(C35:C38)</f>
        <v>1256364</v>
      </c>
    </row>
    <row r="39" spans="1:4" x14ac:dyDescent="0.3">
      <c r="A39" s="1291">
        <f t="shared" si="7"/>
        <v>46935</v>
      </c>
      <c r="B39" s="1291">
        <f t="shared" si="8"/>
        <v>47026</v>
      </c>
      <c r="C39" s="792">
        <f t="shared" si="6"/>
        <v>52351</v>
      </c>
    </row>
    <row r="40" spans="1:4" x14ac:dyDescent="0.3">
      <c r="A40" s="1291">
        <f t="shared" si="7"/>
        <v>47027</v>
      </c>
      <c r="B40" s="1291">
        <f t="shared" si="8"/>
        <v>47118</v>
      </c>
      <c r="C40" s="792">
        <f t="shared" si="6"/>
        <v>0</v>
      </c>
    </row>
    <row r="41" spans="1:4" x14ac:dyDescent="0.3">
      <c r="A41" s="1291">
        <f t="shared" si="7"/>
        <v>47119</v>
      </c>
      <c r="B41" s="1291">
        <f t="shared" si="8"/>
        <v>47208</v>
      </c>
      <c r="C41" s="792">
        <f t="shared" si="6"/>
        <v>0</v>
      </c>
    </row>
    <row r="42" spans="1:4" x14ac:dyDescent="0.3">
      <c r="A42" s="1404">
        <f t="shared" si="7"/>
        <v>47209</v>
      </c>
      <c r="B42" s="1404">
        <f t="shared" si="8"/>
        <v>47299</v>
      </c>
      <c r="C42" s="1136">
        <f t="shared" si="6"/>
        <v>0</v>
      </c>
      <c r="D42" s="1403">
        <f>SUM(C39:C42)</f>
        <v>52351</v>
      </c>
    </row>
    <row r="43" spans="1:4" x14ac:dyDescent="0.3">
      <c r="A43" s="1291">
        <f t="shared" si="7"/>
        <v>47300</v>
      </c>
      <c r="B43" s="1291">
        <f t="shared" si="8"/>
        <v>47391</v>
      </c>
      <c r="C43" s="792">
        <f t="shared" si="6"/>
        <v>0</v>
      </c>
    </row>
    <row r="44" spans="1:4" x14ac:dyDescent="0.3">
      <c r="A44" s="1291">
        <f t="shared" si="7"/>
        <v>47392</v>
      </c>
      <c r="B44" s="1291">
        <f t="shared" si="8"/>
        <v>47483</v>
      </c>
      <c r="C44" s="792">
        <f t="shared" si="6"/>
        <v>0</v>
      </c>
    </row>
    <row r="45" spans="1:4" x14ac:dyDescent="0.3">
      <c r="A45" s="1291">
        <f t="shared" si="7"/>
        <v>47484</v>
      </c>
      <c r="B45" s="1291">
        <f t="shared" si="8"/>
        <v>47573</v>
      </c>
      <c r="C45" s="792">
        <f t="shared" si="6"/>
        <v>0</v>
      </c>
    </row>
    <row r="46" spans="1:4" x14ac:dyDescent="0.3">
      <c r="A46" s="1404">
        <f t="shared" si="7"/>
        <v>47574</v>
      </c>
      <c r="B46" s="1404">
        <f t="shared" si="8"/>
        <v>47664</v>
      </c>
      <c r="C46" s="1136">
        <f t="shared" si="6"/>
        <v>0</v>
      </c>
      <c r="D46" s="1403">
        <f>SUM(C43:C46)</f>
        <v>0</v>
      </c>
    </row>
    <row r="47" spans="1:4" x14ac:dyDescent="0.3">
      <c r="A47" s="1291">
        <f t="shared" si="7"/>
        <v>47665</v>
      </c>
      <c r="B47" s="1291">
        <f t="shared" si="8"/>
        <v>47756</v>
      </c>
      <c r="C47" s="792">
        <f t="shared" si="6"/>
        <v>0</v>
      </c>
    </row>
  </sheetData>
  <phoneticPr fontId="42" type="noConversion"/>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519C-C39A-4195-9333-A96F9DD3245D}">
  <sheetPr>
    <tabColor theme="1"/>
  </sheetPr>
  <dimension ref="B2"/>
  <sheetViews>
    <sheetView workbookViewId="0"/>
  </sheetViews>
  <sheetFormatPr defaultColWidth="9.109375" defaultRowHeight="12" x14ac:dyDescent="0.25"/>
  <cols>
    <col min="1" max="16384" width="9.109375" style="140"/>
  </cols>
  <sheetData>
    <row r="2" spans="2:2" x14ac:dyDescent="0.25">
      <c r="B2" s="139" t="s">
        <v>23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4F2E-178E-4430-929D-24C6DD8744BA}">
  <dimension ref="A1:K129"/>
  <sheetViews>
    <sheetView workbookViewId="0"/>
  </sheetViews>
  <sheetFormatPr defaultRowHeight="14.4" outlineLevelRow="1" outlineLevelCol="1" x14ac:dyDescent="0.3"/>
  <cols>
    <col min="1" max="1" width="13" customWidth="1"/>
    <col min="2" max="2" width="9.44140625" customWidth="1"/>
    <col min="3" max="3" width="13.6640625" customWidth="1"/>
    <col min="4" max="4" width="12" customWidth="1"/>
    <col min="5" max="5" width="26.5546875" customWidth="1"/>
    <col min="6" max="6" width="86.88671875" hidden="1" customWidth="1" outlineLevel="1"/>
    <col min="7" max="7" width="10.33203125" customWidth="1" collapsed="1"/>
    <col min="8" max="8" width="9.5546875" hidden="1" customWidth="1" outlineLevel="1"/>
    <col min="9" max="9" width="8.88671875" collapsed="1"/>
    <col min="10" max="10" width="34.109375" bestFit="1" customWidth="1"/>
    <col min="11" max="11" width="17.44140625" customWidth="1"/>
  </cols>
  <sheetData>
    <row r="1" spans="1:8" ht="17.399999999999999" x14ac:dyDescent="0.3">
      <c r="A1" s="412" t="s">
        <v>642</v>
      </c>
      <c r="E1" s="175" t="s">
        <v>1960</v>
      </c>
    </row>
    <row r="2" spans="1:8" ht="17.399999999999999" x14ac:dyDescent="0.3">
      <c r="A2" s="412" t="s">
        <v>864</v>
      </c>
    </row>
    <row r="3" spans="1:8" x14ac:dyDescent="0.3">
      <c r="A3" s="413" t="s">
        <v>1888</v>
      </c>
    </row>
    <row r="5" spans="1:8" ht="24.6" x14ac:dyDescent="0.3">
      <c r="B5" s="414" t="s">
        <v>865</v>
      </c>
      <c r="C5" s="414" t="s">
        <v>866</v>
      </c>
      <c r="D5" s="414" t="s">
        <v>505</v>
      </c>
      <c r="E5" s="414" t="s">
        <v>867</v>
      </c>
      <c r="F5" s="414" t="s">
        <v>868</v>
      </c>
      <c r="G5" s="414" t="s">
        <v>253</v>
      </c>
      <c r="H5" s="414" t="s">
        <v>869</v>
      </c>
    </row>
    <row r="6" spans="1:8" x14ac:dyDescent="0.3">
      <c r="A6" s="964" t="s">
        <v>1047</v>
      </c>
    </row>
    <row r="7" spans="1:8" x14ac:dyDescent="0.3">
      <c r="A7" s="964" t="s">
        <v>1048</v>
      </c>
    </row>
    <row r="8" spans="1:8" hidden="1" outlineLevel="1" x14ac:dyDescent="0.3">
      <c r="B8" s="959" t="s">
        <v>900</v>
      </c>
      <c r="C8" s="959" t="s">
        <v>901</v>
      </c>
      <c r="D8" s="959"/>
      <c r="E8" s="959" t="s">
        <v>902</v>
      </c>
      <c r="F8" s="959" t="s">
        <v>903</v>
      </c>
      <c r="G8" s="716">
        <v>148.41999999999999</v>
      </c>
      <c r="H8" s="716">
        <f>G8</f>
        <v>148.41999999999999</v>
      </c>
    </row>
    <row r="9" spans="1:8" hidden="1" outlineLevel="1" x14ac:dyDescent="0.3">
      <c r="B9" s="959" t="s">
        <v>904</v>
      </c>
      <c r="C9" s="959" t="s">
        <v>901</v>
      </c>
      <c r="D9" s="959"/>
      <c r="E9" s="959" t="s">
        <v>873</v>
      </c>
      <c r="F9" s="959" t="s">
        <v>905</v>
      </c>
      <c r="G9" s="716">
        <v>81.12</v>
      </c>
      <c r="H9" s="716">
        <f>H8+G9</f>
        <v>229.54</v>
      </c>
    </row>
    <row r="10" spans="1:8" hidden="1" outlineLevel="1" x14ac:dyDescent="0.3">
      <c r="B10" s="959" t="s">
        <v>906</v>
      </c>
      <c r="C10" s="959" t="s">
        <v>871</v>
      </c>
      <c r="D10" s="959">
        <v>2766</v>
      </c>
      <c r="E10" s="959" t="s">
        <v>907</v>
      </c>
      <c r="F10" s="959" t="s">
        <v>908</v>
      </c>
      <c r="G10" s="716">
        <v>601.32000000000005</v>
      </c>
      <c r="H10" s="716">
        <f t="shared" ref="H10:H73" si="0">H9+G10</f>
        <v>830.86</v>
      </c>
    </row>
    <row r="11" spans="1:8" hidden="1" outlineLevel="1" x14ac:dyDescent="0.3">
      <c r="B11" s="959" t="s">
        <v>909</v>
      </c>
      <c r="C11" s="959" t="s">
        <v>901</v>
      </c>
      <c r="D11" s="959">
        <v>87043</v>
      </c>
      <c r="E11" s="959" t="s">
        <v>910</v>
      </c>
      <c r="F11" s="959" t="s">
        <v>911</v>
      </c>
      <c r="G11" s="716">
        <v>1253.7</v>
      </c>
      <c r="H11" s="716">
        <f t="shared" si="0"/>
        <v>2084.56</v>
      </c>
    </row>
    <row r="12" spans="1:8" hidden="1" outlineLevel="1" x14ac:dyDescent="0.3">
      <c r="B12" s="959" t="s">
        <v>912</v>
      </c>
      <c r="C12" s="959" t="s">
        <v>871</v>
      </c>
      <c r="D12" s="959" t="s">
        <v>913</v>
      </c>
      <c r="E12" s="959" t="s">
        <v>914</v>
      </c>
      <c r="F12" s="959" t="s">
        <v>915</v>
      </c>
      <c r="G12" s="716">
        <v>44451.82</v>
      </c>
      <c r="H12" s="716">
        <f t="shared" si="0"/>
        <v>46536.38</v>
      </c>
    </row>
    <row r="13" spans="1:8" hidden="1" outlineLevel="1" x14ac:dyDescent="0.3">
      <c r="B13" s="959" t="s">
        <v>916</v>
      </c>
      <c r="C13" s="959" t="s">
        <v>871</v>
      </c>
      <c r="D13" s="959">
        <v>2851</v>
      </c>
      <c r="E13" s="959" t="s">
        <v>907</v>
      </c>
      <c r="F13" s="959" t="s">
        <v>917</v>
      </c>
      <c r="G13" s="716">
        <v>1856.42</v>
      </c>
      <c r="H13" s="716">
        <f t="shared" si="0"/>
        <v>48392.799999999996</v>
      </c>
    </row>
    <row r="14" spans="1:8" hidden="1" outlineLevel="1" x14ac:dyDescent="0.3">
      <c r="B14" s="959" t="s">
        <v>918</v>
      </c>
      <c r="C14" s="959" t="s">
        <v>871</v>
      </c>
      <c r="D14" s="959">
        <v>23347</v>
      </c>
      <c r="E14" s="959" t="s">
        <v>919</v>
      </c>
      <c r="F14" s="959" t="s">
        <v>920</v>
      </c>
      <c r="G14" s="716">
        <v>4068</v>
      </c>
      <c r="H14" s="716">
        <f t="shared" si="0"/>
        <v>52460.799999999996</v>
      </c>
    </row>
    <row r="15" spans="1:8" hidden="1" outlineLevel="1" x14ac:dyDescent="0.3">
      <c r="B15" s="959" t="s">
        <v>921</v>
      </c>
      <c r="C15" s="959" t="s">
        <v>871</v>
      </c>
      <c r="D15" s="959" t="s">
        <v>922</v>
      </c>
      <c r="E15" s="959" t="s">
        <v>923</v>
      </c>
      <c r="F15" s="959" t="s">
        <v>924</v>
      </c>
      <c r="G15" s="716">
        <v>15246.9</v>
      </c>
      <c r="H15" s="716">
        <f t="shared" si="0"/>
        <v>67707.7</v>
      </c>
    </row>
    <row r="16" spans="1:8" hidden="1" outlineLevel="1" x14ac:dyDescent="0.3">
      <c r="B16" s="959" t="s">
        <v>925</v>
      </c>
      <c r="C16" s="959" t="s">
        <v>901</v>
      </c>
      <c r="D16" s="959" t="s">
        <v>926</v>
      </c>
      <c r="E16" s="959" t="s">
        <v>873</v>
      </c>
      <c r="F16" s="959" t="s">
        <v>927</v>
      </c>
      <c r="G16" s="716">
        <v>2724.59</v>
      </c>
      <c r="H16" s="716">
        <f t="shared" si="0"/>
        <v>70432.289999999994</v>
      </c>
    </row>
    <row r="17" spans="2:8" hidden="1" outlineLevel="1" x14ac:dyDescent="0.3">
      <c r="B17" s="959" t="s">
        <v>928</v>
      </c>
      <c r="C17" s="959" t="s">
        <v>871</v>
      </c>
      <c r="D17" s="959">
        <v>368325</v>
      </c>
      <c r="E17" s="959" t="s">
        <v>929</v>
      </c>
      <c r="F17" s="959" t="s">
        <v>930</v>
      </c>
      <c r="G17" s="716">
        <v>5166.2</v>
      </c>
      <c r="H17" s="716">
        <f t="shared" si="0"/>
        <v>75598.489999999991</v>
      </c>
    </row>
    <row r="18" spans="2:8" ht="31.8" hidden="1" outlineLevel="1" x14ac:dyDescent="0.3">
      <c r="B18" s="959" t="s">
        <v>931</v>
      </c>
      <c r="C18" s="959" t="s">
        <v>871</v>
      </c>
      <c r="D18" s="959" t="s">
        <v>932</v>
      </c>
      <c r="E18" s="959" t="s">
        <v>933</v>
      </c>
      <c r="F18" s="959" t="s">
        <v>934</v>
      </c>
      <c r="G18" s="716">
        <v>84000</v>
      </c>
      <c r="H18" s="716">
        <f t="shared" si="0"/>
        <v>159598.49</v>
      </c>
    </row>
    <row r="19" spans="2:8" hidden="1" outlineLevel="1" x14ac:dyDescent="0.3">
      <c r="B19" s="959" t="s">
        <v>935</v>
      </c>
      <c r="C19" s="959" t="s">
        <v>871</v>
      </c>
      <c r="D19" s="959">
        <v>3523</v>
      </c>
      <c r="E19" s="959" t="s">
        <v>936</v>
      </c>
      <c r="F19" s="959" t="s">
        <v>937</v>
      </c>
      <c r="G19" s="716">
        <v>5216.55</v>
      </c>
      <c r="H19" s="716">
        <f t="shared" si="0"/>
        <v>164815.03999999998</v>
      </c>
    </row>
    <row r="20" spans="2:8" ht="21.6" hidden="1" outlineLevel="1" x14ac:dyDescent="0.3">
      <c r="B20" s="959" t="s">
        <v>938</v>
      </c>
      <c r="C20" s="959" t="s">
        <v>871</v>
      </c>
      <c r="D20" s="959" t="s">
        <v>939</v>
      </c>
      <c r="E20" s="959" t="s">
        <v>873</v>
      </c>
      <c r="F20" s="959" t="s">
        <v>940</v>
      </c>
      <c r="G20" s="716">
        <v>4518.78</v>
      </c>
      <c r="H20" s="716">
        <f t="shared" si="0"/>
        <v>169333.81999999998</v>
      </c>
    </row>
    <row r="21" spans="2:8" hidden="1" outlineLevel="1" x14ac:dyDescent="0.3">
      <c r="B21" s="959" t="s">
        <v>938</v>
      </c>
      <c r="C21" s="959" t="s">
        <v>871</v>
      </c>
      <c r="D21" s="959">
        <v>3061</v>
      </c>
      <c r="E21" s="959" t="s">
        <v>907</v>
      </c>
      <c r="F21" s="959" t="s">
        <v>941</v>
      </c>
      <c r="G21" s="716">
        <v>5800.14</v>
      </c>
      <c r="H21" s="716">
        <f t="shared" si="0"/>
        <v>175133.96</v>
      </c>
    </row>
    <row r="22" spans="2:8" hidden="1" outlineLevel="1" x14ac:dyDescent="0.3">
      <c r="B22" s="959" t="s">
        <v>942</v>
      </c>
      <c r="C22" s="959" t="s">
        <v>871</v>
      </c>
      <c r="D22" s="959" t="s">
        <v>943</v>
      </c>
      <c r="E22" s="959" t="s">
        <v>873</v>
      </c>
      <c r="F22" s="959" t="s">
        <v>944</v>
      </c>
      <c r="G22" s="716">
        <v>156.19</v>
      </c>
      <c r="H22" s="716">
        <f t="shared" si="0"/>
        <v>175290.15</v>
      </c>
    </row>
    <row r="23" spans="2:8" ht="21.6" hidden="1" outlineLevel="1" x14ac:dyDescent="0.3">
      <c r="B23" s="959" t="s">
        <v>945</v>
      </c>
      <c r="C23" s="959" t="s">
        <v>871</v>
      </c>
      <c r="D23" s="959">
        <v>3157</v>
      </c>
      <c r="E23" s="959" t="s">
        <v>907</v>
      </c>
      <c r="F23" s="959" t="s">
        <v>946</v>
      </c>
      <c r="G23" s="716">
        <v>456.95</v>
      </c>
      <c r="H23" s="716">
        <f t="shared" si="0"/>
        <v>175747.1</v>
      </c>
    </row>
    <row r="24" spans="2:8" hidden="1" outlineLevel="1" x14ac:dyDescent="0.3">
      <c r="B24" s="959" t="s">
        <v>947</v>
      </c>
      <c r="C24" s="959" t="s">
        <v>871</v>
      </c>
      <c r="D24" s="959" t="s">
        <v>948</v>
      </c>
      <c r="E24" s="959" t="s">
        <v>873</v>
      </c>
      <c r="F24" s="959" t="s">
        <v>949</v>
      </c>
      <c r="G24" s="716">
        <v>3982.41</v>
      </c>
      <c r="H24" s="716">
        <f t="shared" si="0"/>
        <v>179729.51</v>
      </c>
    </row>
    <row r="25" spans="2:8" hidden="1" outlineLevel="1" x14ac:dyDescent="0.3">
      <c r="B25" s="959" t="s">
        <v>950</v>
      </c>
      <c r="C25" s="959" t="s">
        <v>871</v>
      </c>
      <c r="D25" s="959" t="s">
        <v>951</v>
      </c>
      <c r="E25" s="959" t="s">
        <v>952</v>
      </c>
      <c r="F25" s="959" t="s">
        <v>953</v>
      </c>
      <c r="G25" s="716">
        <v>1108.5999999999999</v>
      </c>
      <c r="H25" s="716">
        <f t="shared" si="0"/>
        <v>180838.11000000002</v>
      </c>
    </row>
    <row r="26" spans="2:8" hidden="1" outlineLevel="1" x14ac:dyDescent="0.3">
      <c r="B26" s="959" t="s">
        <v>954</v>
      </c>
      <c r="C26" s="959" t="s">
        <v>875</v>
      </c>
      <c r="D26" s="959" t="s">
        <v>955</v>
      </c>
      <c r="E26" s="959" t="s">
        <v>873</v>
      </c>
      <c r="F26" s="959" t="s">
        <v>956</v>
      </c>
      <c r="G26" s="716">
        <v>-62.51</v>
      </c>
      <c r="H26" s="716">
        <f t="shared" si="0"/>
        <v>180775.6</v>
      </c>
    </row>
    <row r="27" spans="2:8" hidden="1" outlineLevel="1" x14ac:dyDescent="0.3">
      <c r="B27" s="959" t="s">
        <v>954</v>
      </c>
      <c r="C27" s="959" t="s">
        <v>871</v>
      </c>
      <c r="D27" s="959" t="s">
        <v>957</v>
      </c>
      <c r="E27" s="959" t="s">
        <v>873</v>
      </c>
      <c r="F27" s="959" t="s">
        <v>956</v>
      </c>
      <c r="G27" s="716">
        <v>62.51</v>
      </c>
      <c r="H27" s="716">
        <f t="shared" si="0"/>
        <v>180838.11000000002</v>
      </c>
    </row>
    <row r="28" spans="2:8" hidden="1" outlineLevel="1" x14ac:dyDescent="0.3">
      <c r="B28" s="959" t="s">
        <v>958</v>
      </c>
      <c r="C28" s="959" t="s">
        <v>871</v>
      </c>
      <c r="D28" s="959" t="s">
        <v>961</v>
      </c>
      <c r="E28" s="959" t="s">
        <v>873</v>
      </c>
      <c r="F28" s="959" t="s">
        <v>962</v>
      </c>
      <c r="G28" s="716">
        <v>403.49</v>
      </c>
      <c r="H28" s="716">
        <f t="shared" si="0"/>
        <v>181241.60000000001</v>
      </c>
    </row>
    <row r="29" spans="2:8" hidden="1" outlineLevel="1" x14ac:dyDescent="0.3">
      <c r="B29" s="959" t="s">
        <v>958</v>
      </c>
      <c r="C29" s="959" t="s">
        <v>871</v>
      </c>
      <c r="D29" s="959" t="s">
        <v>959</v>
      </c>
      <c r="E29" s="959" t="s">
        <v>873</v>
      </c>
      <c r="F29" s="959" t="s">
        <v>960</v>
      </c>
      <c r="G29" s="716">
        <v>1469.08</v>
      </c>
      <c r="H29" s="716">
        <f t="shared" si="0"/>
        <v>182710.68</v>
      </c>
    </row>
    <row r="30" spans="2:8" hidden="1" outlineLevel="1" x14ac:dyDescent="0.3">
      <c r="B30" s="959" t="s">
        <v>958</v>
      </c>
      <c r="C30" s="959" t="s">
        <v>871</v>
      </c>
      <c r="D30" s="959" t="s">
        <v>963</v>
      </c>
      <c r="E30" s="959" t="s">
        <v>873</v>
      </c>
      <c r="F30" s="959" t="s">
        <v>962</v>
      </c>
      <c r="G30" s="716">
        <v>397.52</v>
      </c>
      <c r="H30" s="716">
        <f t="shared" si="0"/>
        <v>183108.19999999998</v>
      </c>
    </row>
    <row r="31" spans="2:8" hidden="1" outlineLevel="1" x14ac:dyDescent="0.3">
      <c r="B31" s="959" t="s">
        <v>964</v>
      </c>
      <c r="C31" s="959" t="s">
        <v>871</v>
      </c>
      <c r="D31" s="959" t="s">
        <v>965</v>
      </c>
      <c r="E31" s="959" t="s">
        <v>873</v>
      </c>
      <c r="F31" s="959" t="s">
        <v>966</v>
      </c>
      <c r="G31" s="716">
        <v>257.94</v>
      </c>
      <c r="H31" s="716">
        <f t="shared" si="0"/>
        <v>183366.13999999998</v>
      </c>
    </row>
    <row r="32" spans="2:8" hidden="1" outlineLevel="1" x14ac:dyDescent="0.3">
      <c r="B32" s="959" t="s">
        <v>964</v>
      </c>
      <c r="C32" s="959" t="s">
        <v>871</v>
      </c>
      <c r="D32" s="959" t="s">
        <v>973</v>
      </c>
      <c r="E32" s="959" t="s">
        <v>873</v>
      </c>
      <c r="F32" s="959" t="s">
        <v>962</v>
      </c>
      <c r="G32" s="716">
        <v>397.52</v>
      </c>
      <c r="H32" s="716">
        <f t="shared" si="0"/>
        <v>183763.65999999997</v>
      </c>
    </row>
    <row r="33" spans="2:8" hidden="1" outlineLevel="1" x14ac:dyDescent="0.3">
      <c r="B33" s="959" t="s">
        <v>964</v>
      </c>
      <c r="C33" s="959" t="s">
        <v>871</v>
      </c>
      <c r="D33" s="959" t="s">
        <v>969</v>
      </c>
      <c r="E33" s="959" t="s">
        <v>873</v>
      </c>
      <c r="F33" s="959" t="s">
        <v>970</v>
      </c>
      <c r="G33" s="716">
        <v>255.84</v>
      </c>
      <c r="H33" s="716">
        <f t="shared" si="0"/>
        <v>184019.49999999997</v>
      </c>
    </row>
    <row r="34" spans="2:8" hidden="1" outlineLevel="1" x14ac:dyDescent="0.3">
      <c r="B34" s="959" t="s">
        <v>964</v>
      </c>
      <c r="C34" s="959" t="s">
        <v>871</v>
      </c>
      <c r="D34" s="959" t="s">
        <v>971</v>
      </c>
      <c r="E34" s="959" t="s">
        <v>873</v>
      </c>
      <c r="F34" s="959" t="s">
        <v>972</v>
      </c>
      <c r="G34" s="716">
        <v>804.57</v>
      </c>
      <c r="H34" s="716">
        <f t="shared" si="0"/>
        <v>184824.06999999998</v>
      </c>
    </row>
    <row r="35" spans="2:8" hidden="1" outlineLevel="1" x14ac:dyDescent="0.3">
      <c r="B35" s="959" t="s">
        <v>964</v>
      </c>
      <c r="C35" s="959" t="s">
        <v>871</v>
      </c>
      <c r="D35" s="959" t="s">
        <v>967</v>
      </c>
      <c r="E35" s="959" t="s">
        <v>873</v>
      </c>
      <c r="F35" s="959" t="s">
        <v>968</v>
      </c>
      <c r="G35" s="716">
        <v>141.68</v>
      </c>
      <c r="H35" s="716">
        <f t="shared" si="0"/>
        <v>184965.74999999997</v>
      </c>
    </row>
    <row r="36" spans="2:8" hidden="1" outlineLevel="1" x14ac:dyDescent="0.3">
      <c r="B36" s="959" t="s">
        <v>974</v>
      </c>
      <c r="C36" s="959" t="s">
        <v>871</v>
      </c>
      <c r="D36" s="959" t="s">
        <v>975</v>
      </c>
      <c r="E36" s="959" t="s">
        <v>873</v>
      </c>
      <c r="F36" s="959" t="s">
        <v>968</v>
      </c>
      <c r="G36" s="716">
        <v>70.849999999999994</v>
      </c>
      <c r="H36" s="716">
        <f t="shared" si="0"/>
        <v>185036.59999999998</v>
      </c>
    </row>
    <row r="37" spans="2:8" hidden="1" outlineLevel="1" x14ac:dyDescent="0.3">
      <c r="B37" s="959" t="s">
        <v>976</v>
      </c>
      <c r="C37" s="959" t="s">
        <v>871</v>
      </c>
      <c r="D37" s="959" t="s">
        <v>977</v>
      </c>
      <c r="E37" s="959" t="s">
        <v>873</v>
      </c>
      <c r="F37" s="959" t="s">
        <v>970</v>
      </c>
      <c r="G37" s="716">
        <v>511.7</v>
      </c>
      <c r="H37" s="716">
        <f t="shared" si="0"/>
        <v>185548.3</v>
      </c>
    </row>
    <row r="38" spans="2:8" hidden="1" outlineLevel="1" x14ac:dyDescent="0.3">
      <c r="B38" s="959" t="s">
        <v>978</v>
      </c>
      <c r="C38" s="959" t="s">
        <v>875</v>
      </c>
      <c r="D38" s="959"/>
      <c r="E38" s="959" t="s">
        <v>873</v>
      </c>
      <c r="F38" s="959" t="s">
        <v>981</v>
      </c>
      <c r="G38" s="716">
        <v>-61.94</v>
      </c>
      <c r="H38" s="716">
        <f t="shared" si="0"/>
        <v>185486.36</v>
      </c>
    </row>
    <row r="39" spans="2:8" hidden="1" outlineLevel="1" x14ac:dyDescent="0.3">
      <c r="B39" s="959" t="s">
        <v>978</v>
      </c>
      <c r="C39" s="959" t="s">
        <v>871</v>
      </c>
      <c r="D39" s="959" t="s">
        <v>979</v>
      </c>
      <c r="E39" s="959" t="s">
        <v>873</v>
      </c>
      <c r="F39" s="959" t="s">
        <v>980</v>
      </c>
      <c r="G39" s="716">
        <v>910.97</v>
      </c>
      <c r="H39" s="716">
        <f t="shared" si="0"/>
        <v>186397.33</v>
      </c>
    </row>
    <row r="40" spans="2:8" hidden="1" outlineLevel="1" x14ac:dyDescent="0.3">
      <c r="B40" s="959" t="s">
        <v>982</v>
      </c>
      <c r="C40" s="959" t="s">
        <v>871</v>
      </c>
      <c r="D40" s="959">
        <v>23676</v>
      </c>
      <c r="E40" s="959" t="s">
        <v>919</v>
      </c>
      <c r="F40" s="959" t="s">
        <v>984</v>
      </c>
      <c r="G40" s="716">
        <v>1369.8</v>
      </c>
      <c r="H40" s="716">
        <f t="shared" si="0"/>
        <v>187767.12999999998</v>
      </c>
    </row>
    <row r="41" spans="2:8" hidden="1" outlineLevel="1" x14ac:dyDescent="0.3">
      <c r="B41" s="959" t="s">
        <v>982</v>
      </c>
      <c r="C41" s="959" t="s">
        <v>871</v>
      </c>
      <c r="D41" s="959">
        <v>23678</v>
      </c>
      <c r="E41" s="959" t="s">
        <v>919</v>
      </c>
      <c r="F41" s="959" t="s">
        <v>983</v>
      </c>
      <c r="G41" s="716">
        <v>897.96</v>
      </c>
      <c r="H41" s="716">
        <f t="shared" si="0"/>
        <v>188665.08999999997</v>
      </c>
    </row>
    <row r="42" spans="2:8" hidden="1" outlineLevel="1" x14ac:dyDescent="0.3">
      <c r="B42" s="959" t="s">
        <v>985</v>
      </c>
      <c r="C42" s="959" t="s">
        <v>871</v>
      </c>
      <c r="D42" s="959">
        <v>410007283</v>
      </c>
      <c r="E42" s="959" t="s">
        <v>873</v>
      </c>
      <c r="F42" s="959" t="s">
        <v>987</v>
      </c>
      <c r="G42" s="716">
        <v>99.21</v>
      </c>
      <c r="H42" s="716">
        <f t="shared" si="0"/>
        <v>188764.29999999996</v>
      </c>
    </row>
    <row r="43" spans="2:8" hidden="1" outlineLevel="1" x14ac:dyDescent="0.3">
      <c r="B43" s="959" t="s">
        <v>985</v>
      </c>
      <c r="C43" s="959" t="s">
        <v>871</v>
      </c>
      <c r="D43" s="959">
        <v>4111</v>
      </c>
      <c r="E43" s="959" t="s">
        <v>882</v>
      </c>
      <c r="F43" s="959" t="s">
        <v>986</v>
      </c>
      <c r="G43" s="716">
        <v>26423.84</v>
      </c>
      <c r="H43" s="716">
        <f t="shared" si="0"/>
        <v>215188.13999999996</v>
      </c>
    </row>
    <row r="44" spans="2:8" hidden="1" outlineLevel="1" x14ac:dyDescent="0.3">
      <c r="B44" s="959" t="s">
        <v>988</v>
      </c>
      <c r="C44" s="959" t="s">
        <v>871</v>
      </c>
      <c r="D44" s="959">
        <v>4125</v>
      </c>
      <c r="E44" s="959" t="s">
        <v>882</v>
      </c>
      <c r="F44" s="959" t="s">
        <v>989</v>
      </c>
      <c r="G44" s="716">
        <v>1512.72</v>
      </c>
      <c r="H44" s="716">
        <f t="shared" si="0"/>
        <v>216700.85999999996</v>
      </c>
    </row>
    <row r="45" spans="2:8" hidden="1" outlineLevel="1" x14ac:dyDescent="0.3">
      <c r="B45" s="959" t="s">
        <v>990</v>
      </c>
      <c r="C45" s="959" t="s">
        <v>901</v>
      </c>
      <c r="D45" s="959">
        <v>910896</v>
      </c>
      <c r="E45" s="959" t="s">
        <v>991</v>
      </c>
      <c r="F45" s="959" t="s">
        <v>992</v>
      </c>
      <c r="G45" s="716">
        <v>1000</v>
      </c>
      <c r="H45" s="716">
        <f t="shared" si="0"/>
        <v>217700.85999999996</v>
      </c>
    </row>
    <row r="46" spans="2:8" hidden="1" outlineLevel="1" x14ac:dyDescent="0.3">
      <c r="B46" s="959" t="s">
        <v>990</v>
      </c>
      <c r="C46" s="959" t="s">
        <v>871</v>
      </c>
      <c r="D46" s="959">
        <v>4136</v>
      </c>
      <c r="E46" s="959" t="s">
        <v>882</v>
      </c>
      <c r="F46" s="959" t="s">
        <v>993</v>
      </c>
      <c r="G46" s="716">
        <v>1730.1</v>
      </c>
      <c r="H46" s="716">
        <f t="shared" si="0"/>
        <v>219430.95999999996</v>
      </c>
    </row>
    <row r="47" spans="2:8" hidden="1" outlineLevel="1" x14ac:dyDescent="0.3">
      <c r="B47" s="959" t="s">
        <v>994</v>
      </c>
      <c r="C47" s="959" t="s">
        <v>871</v>
      </c>
      <c r="D47" s="959">
        <v>23729</v>
      </c>
      <c r="E47" s="959" t="s">
        <v>919</v>
      </c>
      <c r="F47" s="959" t="s">
        <v>997</v>
      </c>
      <c r="G47" s="716">
        <v>1346.4</v>
      </c>
      <c r="H47" s="716">
        <f t="shared" si="0"/>
        <v>220777.35999999996</v>
      </c>
    </row>
    <row r="48" spans="2:8" hidden="1" outlineLevel="1" x14ac:dyDescent="0.3">
      <c r="B48" s="959" t="s">
        <v>994</v>
      </c>
      <c r="C48" s="959" t="s">
        <v>871</v>
      </c>
      <c r="D48" s="959" t="s">
        <v>995</v>
      </c>
      <c r="E48" s="959" t="s">
        <v>873</v>
      </c>
      <c r="F48" s="959" t="s">
        <v>996</v>
      </c>
      <c r="G48" s="716">
        <v>69.569999999999993</v>
      </c>
      <c r="H48" s="716">
        <f t="shared" si="0"/>
        <v>220846.92999999996</v>
      </c>
    </row>
    <row r="49" spans="2:8" hidden="1" outlineLevel="1" x14ac:dyDescent="0.3">
      <c r="B49" s="959" t="s">
        <v>998</v>
      </c>
      <c r="C49" s="959" t="s">
        <v>871</v>
      </c>
      <c r="D49" s="959">
        <v>402369</v>
      </c>
      <c r="E49" s="959" t="s">
        <v>999</v>
      </c>
      <c r="F49" s="959" t="s">
        <v>1000</v>
      </c>
      <c r="G49" s="716">
        <v>197.42</v>
      </c>
      <c r="H49" s="716">
        <f t="shared" si="0"/>
        <v>221044.34999999998</v>
      </c>
    </row>
    <row r="50" spans="2:8" hidden="1" outlineLevel="1" x14ac:dyDescent="0.3">
      <c r="B50" s="959" t="s">
        <v>1001</v>
      </c>
      <c r="C50" s="959" t="s">
        <v>871</v>
      </c>
      <c r="D50" s="959">
        <v>402403</v>
      </c>
      <c r="E50" s="959" t="s">
        <v>999</v>
      </c>
      <c r="F50" s="959" t="s">
        <v>1007</v>
      </c>
      <c r="G50" s="716">
        <v>55.22</v>
      </c>
      <c r="H50" s="716">
        <f t="shared" si="0"/>
        <v>221099.56999999998</v>
      </c>
    </row>
    <row r="51" spans="2:8" hidden="1" outlineLevel="1" x14ac:dyDescent="0.3">
      <c r="B51" s="959" t="s">
        <v>1001</v>
      </c>
      <c r="C51" s="959" t="s">
        <v>871</v>
      </c>
      <c r="D51" s="959">
        <v>402425</v>
      </c>
      <c r="E51" s="959" t="s">
        <v>999</v>
      </c>
      <c r="F51" s="959" t="s">
        <v>1006</v>
      </c>
      <c r="G51" s="716">
        <v>53.95</v>
      </c>
      <c r="H51" s="716">
        <f t="shared" si="0"/>
        <v>221153.52</v>
      </c>
    </row>
    <row r="52" spans="2:8" hidden="1" outlineLevel="1" x14ac:dyDescent="0.3">
      <c r="B52" s="959" t="s">
        <v>1001</v>
      </c>
      <c r="C52" s="959" t="s">
        <v>871</v>
      </c>
      <c r="D52" s="959">
        <v>402426</v>
      </c>
      <c r="E52" s="959" t="s">
        <v>999</v>
      </c>
      <c r="F52" s="959" t="s">
        <v>1008</v>
      </c>
      <c r="G52" s="716">
        <v>138.96</v>
      </c>
      <c r="H52" s="716">
        <f t="shared" si="0"/>
        <v>221292.47999999998</v>
      </c>
    </row>
    <row r="53" spans="2:8" hidden="1" outlineLevel="1" x14ac:dyDescent="0.3">
      <c r="B53" s="959" t="s">
        <v>1001</v>
      </c>
      <c r="C53" s="959" t="s">
        <v>871</v>
      </c>
      <c r="D53" s="959" t="s">
        <v>1004</v>
      </c>
      <c r="E53" s="959" t="s">
        <v>873</v>
      </c>
      <c r="F53" s="959" t="s">
        <v>1005</v>
      </c>
      <c r="G53" s="716">
        <v>205.59</v>
      </c>
      <c r="H53" s="716">
        <f t="shared" si="0"/>
        <v>221498.06999999998</v>
      </c>
    </row>
    <row r="54" spans="2:8" hidden="1" outlineLevel="1" x14ac:dyDescent="0.3">
      <c r="B54" s="959" t="s">
        <v>1001</v>
      </c>
      <c r="C54" s="959" t="s">
        <v>871</v>
      </c>
      <c r="D54" s="959" t="s">
        <v>1002</v>
      </c>
      <c r="E54" s="959" t="s">
        <v>873</v>
      </c>
      <c r="F54" s="959" t="s">
        <v>1003</v>
      </c>
      <c r="G54" s="716">
        <v>301.91000000000003</v>
      </c>
      <c r="H54" s="716">
        <f t="shared" si="0"/>
        <v>221799.97999999998</v>
      </c>
    </row>
    <row r="55" spans="2:8" hidden="1" outlineLevel="1" x14ac:dyDescent="0.3">
      <c r="B55" s="959" t="s">
        <v>1009</v>
      </c>
      <c r="C55" s="959" t="s">
        <v>871</v>
      </c>
      <c r="D55" s="959" t="s">
        <v>1011</v>
      </c>
      <c r="E55" s="959" t="s">
        <v>873</v>
      </c>
      <c r="F55" s="959" t="s">
        <v>1012</v>
      </c>
      <c r="G55" s="716">
        <v>1739.34</v>
      </c>
      <c r="H55" s="716">
        <f t="shared" si="0"/>
        <v>223539.31999999998</v>
      </c>
    </row>
    <row r="56" spans="2:8" hidden="1" outlineLevel="1" x14ac:dyDescent="0.3">
      <c r="B56" s="959" t="s">
        <v>1009</v>
      </c>
      <c r="C56" s="959" t="s">
        <v>871</v>
      </c>
      <c r="D56" s="959" t="s">
        <v>1015</v>
      </c>
      <c r="E56" s="959" t="s">
        <v>873</v>
      </c>
      <c r="F56" s="959" t="s">
        <v>968</v>
      </c>
      <c r="G56" s="716">
        <v>76.790000000000006</v>
      </c>
      <c r="H56" s="716">
        <f t="shared" si="0"/>
        <v>223616.11</v>
      </c>
    </row>
    <row r="57" spans="2:8" hidden="1" outlineLevel="1" x14ac:dyDescent="0.3">
      <c r="B57" s="959" t="s">
        <v>1009</v>
      </c>
      <c r="C57" s="959" t="s">
        <v>871</v>
      </c>
      <c r="D57" s="959" t="s">
        <v>1013</v>
      </c>
      <c r="E57" s="959" t="s">
        <v>873</v>
      </c>
      <c r="F57" s="959" t="s">
        <v>1014</v>
      </c>
      <c r="G57" s="716">
        <v>13.82</v>
      </c>
      <c r="H57" s="716">
        <f t="shared" si="0"/>
        <v>223629.93</v>
      </c>
    </row>
    <row r="58" spans="2:8" hidden="1" outlineLevel="1" x14ac:dyDescent="0.3">
      <c r="B58" s="959" t="s">
        <v>1009</v>
      </c>
      <c r="C58" s="959" t="s">
        <v>871</v>
      </c>
      <c r="D58" s="959" t="s">
        <v>1010</v>
      </c>
      <c r="E58" s="959" t="s">
        <v>873</v>
      </c>
      <c r="F58" s="959" t="s">
        <v>968</v>
      </c>
      <c r="G58" s="716">
        <v>76.790000000000006</v>
      </c>
      <c r="H58" s="716">
        <f t="shared" si="0"/>
        <v>223706.72</v>
      </c>
    </row>
    <row r="59" spans="2:8" hidden="1" outlineLevel="1" x14ac:dyDescent="0.3">
      <c r="B59" s="959" t="s">
        <v>1016</v>
      </c>
      <c r="C59" s="959" t="s">
        <v>871</v>
      </c>
      <c r="D59" s="959" t="s">
        <v>1017</v>
      </c>
      <c r="E59" s="959" t="s">
        <v>873</v>
      </c>
      <c r="F59" s="959" t="s">
        <v>1014</v>
      </c>
      <c r="G59" s="716">
        <v>27.66</v>
      </c>
      <c r="H59" s="716">
        <f t="shared" si="0"/>
        <v>223734.38</v>
      </c>
    </row>
    <row r="60" spans="2:8" hidden="1" outlineLevel="1" x14ac:dyDescent="0.3">
      <c r="B60" s="959" t="s">
        <v>1018</v>
      </c>
      <c r="C60" s="959" t="s">
        <v>871</v>
      </c>
      <c r="D60" s="959">
        <v>910896</v>
      </c>
      <c r="E60" s="959" t="s">
        <v>991</v>
      </c>
      <c r="F60" s="959" t="s">
        <v>1019</v>
      </c>
      <c r="G60" s="716">
        <v>1169</v>
      </c>
      <c r="H60" s="716">
        <f t="shared" si="0"/>
        <v>224903.38</v>
      </c>
    </row>
    <row r="61" spans="2:8" hidden="1" outlineLevel="1" x14ac:dyDescent="0.3">
      <c r="B61" s="959" t="s">
        <v>1020</v>
      </c>
      <c r="C61" s="959" t="s">
        <v>871</v>
      </c>
      <c r="D61" s="959">
        <v>23750</v>
      </c>
      <c r="E61" s="959" t="s">
        <v>919</v>
      </c>
      <c r="F61" s="959" t="s">
        <v>1021</v>
      </c>
      <c r="G61" s="716">
        <v>384</v>
      </c>
      <c r="H61" s="716">
        <f t="shared" si="0"/>
        <v>225287.38</v>
      </c>
    </row>
    <row r="62" spans="2:8" hidden="1" outlineLevel="1" x14ac:dyDescent="0.3">
      <c r="B62" s="959" t="s">
        <v>1022</v>
      </c>
      <c r="C62" s="959" t="s">
        <v>871</v>
      </c>
      <c r="D62" s="959">
        <v>4171</v>
      </c>
      <c r="E62" s="959" t="s">
        <v>882</v>
      </c>
      <c r="F62" s="959" t="s">
        <v>1023</v>
      </c>
      <c r="G62" s="716">
        <v>710.22</v>
      </c>
      <c r="H62" s="716">
        <f t="shared" si="0"/>
        <v>225997.6</v>
      </c>
    </row>
    <row r="63" spans="2:8" hidden="1" outlineLevel="1" x14ac:dyDescent="0.3">
      <c r="B63" s="959" t="s">
        <v>1024</v>
      </c>
      <c r="C63" s="959" t="s">
        <v>871</v>
      </c>
      <c r="D63" s="959" t="s">
        <v>1025</v>
      </c>
      <c r="E63" s="959" t="s">
        <v>873</v>
      </c>
      <c r="F63" s="959" t="s">
        <v>1026</v>
      </c>
      <c r="G63" s="716">
        <v>163.36000000000001</v>
      </c>
      <c r="H63" s="716">
        <f t="shared" si="0"/>
        <v>226160.96</v>
      </c>
    </row>
    <row r="64" spans="2:8" hidden="1" outlineLevel="1" x14ac:dyDescent="0.3">
      <c r="B64" s="959" t="s">
        <v>1027</v>
      </c>
      <c r="C64" s="959" t="s">
        <v>871</v>
      </c>
      <c r="D64" s="959">
        <v>4197</v>
      </c>
      <c r="E64" s="959" t="s">
        <v>882</v>
      </c>
      <c r="F64" s="959" t="s">
        <v>1028</v>
      </c>
      <c r="G64" s="716">
        <v>6754.43</v>
      </c>
      <c r="H64" s="716">
        <f t="shared" si="0"/>
        <v>232915.38999999998</v>
      </c>
    </row>
    <row r="65" spans="1:11" hidden="1" outlineLevel="1" x14ac:dyDescent="0.3">
      <c r="B65" s="959" t="s">
        <v>1029</v>
      </c>
      <c r="C65" s="959" t="s">
        <v>871</v>
      </c>
      <c r="D65" s="959">
        <v>280917</v>
      </c>
      <c r="E65" s="959" t="s">
        <v>1030</v>
      </c>
      <c r="F65" s="959" t="s">
        <v>1031</v>
      </c>
      <c r="G65" s="716">
        <v>365.9</v>
      </c>
      <c r="H65" s="716">
        <f t="shared" si="0"/>
        <v>233281.28999999998</v>
      </c>
    </row>
    <row r="66" spans="1:11" hidden="1" outlineLevel="1" x14ac:dyDescent="0.3">
      <c r="B66" s="959" t="s">
        <v>1032</v>
      </c>
      <c r="C66" s="959" t="s">
        <v>871</v>
      </c>
      <c r="D66" s="959" t="s">
        <v>1033</v>
      </c>
      <c r="E66" s="959" t="s">
        <v>873</v>
      </c>
      <c r="F66" s="959" t="s">
        <v>1034</v>
      </c>
      <c r="G66" s="716">
        <v>796.32</v>
      </c>
      <c r="H66" s="716">
        <f t="shared" si="0"/>
        <v>234077.61</v>
      </c>
    </row>
    <row r="67" spans="1:11" hidden="1" outlineLevel="1" x14ac:dyDescent="0.3">
      <c r="B67" s="959" t="s">
        <v>1035</v>
      </c>
      <c r="C67" s="959" t="s">
        <v>871</v>
      </c>
      <c r="D67" s="959">
        <v>4229</v>
      </c>
      <c r="E67" s="959" t="s">
        <v>882</v>
      </c>
      <c r="F67" s="959" t="s">
        <v>1036</v>
      </c>
      <c r="G67" s="716">
        <v>13211.92</v>
      </c>
      <c r="H67" s="716">
        <f t="shared" si="0"/>
        <v>247289.53</v>
      </c>
    </row>
    <row r="68" spans="1:11" hidden="1" outlineLevel="1" x14ac:dyDescent="0.3">
      <c r="B68" s="959" t="s">
        <v>1037</v>
      </c>
      <c r="C68" s="959" t="s">
        <v>871</v>
      </c>
      <c r="D68" s="959">
        <v>4257</v>
      </c>
      <c r="E68" s="959" t="s">
        <v>882</v>
      </c>
      <c r="F68" s="959" t="s">
        <v>1038</v>
      </c>
      <c r="G68" s="716">
        <v>1905.78</v>
      </c>
      <c r="H68" s="716">
        <f t="shared" si="0"/>
        <v>249195.31</v>
      </c>
    </row>
    <row r="69" spans="1:11" hidden="1" outlineLevel="1" x14ac:dyDescent="0.3">
      <c r="A69" s="165"/>
      <c r="B69" s="962" t="s">
        <v>1039</v>
      </c>
      <c r="C69" s="962" t="s">
        <v>871</v>
      </c>
      <c r="D69" s="962">
        <v>3849</v>
      </c>
      <c r="E69" s="962" t="s">
        <v>907</v>
      </c>
      <c r="F69" s="962" t="s">
        <v>1040</v>
      </c>
      <c r="G69" s="923">
        <v>2138.64</v>
      </c>
      <c r="H69" s="923">
        <f t="shared" si="0"/>
        <v>251333.95</v>
      </c>
    </row>
    <row r="70" spans="1:11" hidden="1" outlineLevel="1" x14ac:dyDescent="0.3">
      <c r="B70" s="959" t="s">
        <v>1041</v>
      </c>
      <c r="C70" s="959" t="s">
        <v>871</v>
      </c>
      <c r="D70" s="959" t="s">
        <v>1042</v>
      </c>
      <c r="E70" s="959" t="s">
        <v>873</v>
      </c>
      <c r="F70" s="959" t="s">
        <v>1043</v>
      </c>
      <c r="G70" s="716">
        <v>176.82</v>
      </c>
      <c r="H70" s="716">
        <f t="shared" si="0"/>
        <v>251510.77000000002</v>
      </c>
    </row>
    <row r="71" spans="1:11" hidden="1" outlineLevel="1" x14ac:dyDescent="0.3">
      <c r="A71" s="165"/>
      <c r="B71" s="962" t="s">
        <v>1044</v>
      </c>
      <c r="C71" s="962" t="s">
        <v>875</v>
      </c>
      <c r="D71" s="962" t="s">
        <v>1045</v>
      </c>
      <c r="E71" s="962" t="s">
        <v>873</v>
      </c>
      <c r="F71" s="962" t="s">
        <v>1046</v>
      </c>
      <c r="G71" s="923">
        <v>-176.82</v>
      </c>
      <c r="H71" s="923">
        <f t="shared" si="0"/>
        <v>251333.95</v>
      </c>
    </row>
    <row r="72" spans="1:11" hidden="1" outlineLevel="1" x14ac:dyDescent="0.3">
      <c r="B72" s="959" t="s">
        <v>870</v>
      </c>
      <c r="C72" s="959" t="s">
        <v>871</v>
      </c>
      <c r="D72" s="959" t="s">
        <v>872</v>
      </c>
      <c r="E72" s="959" t="s">
        <v>873</v>
      </c>
      <c r="F72" s="959" t="s">
        <v>874</v>
      </c>
      <c r="G72" s="1157">
        <v>283.11</v>
      </c>
      <c r="H72" s="1157">
        <f t="shared" si="0"/>
        <v>251617.06</v>
      </c>
    </row>
    <row r="73" spans="1:11" hidden="1" outlineLevel="1" x14ac:dyDescent="0.3">
      <c r="B73" s="959" t="s">
        <v>870</v>
      </c>
      <c r="C73" s="959" t="s">
        <v>875</v>
      </c>
      <c r="D73" s="959" t="s">
        <v>876</v>
      </c>
      <c r="E73" s="959" t="s">
        <v>873</v>
      </c>
      <c r="F73" s="959" t="s">
        <v>877</v>
      </c>
      <c r="G73" s="1158">
        <v>-61.94</v>
      </c>
      <c r="H73" s="1158">
        <f t="shared" si="0"/>
        <v>251555.12</v>
      </c>
    </row>
    <row r="74" spans="1:11" hidden="1" outlineLevel="1" x14ac:dyDescent="0.3">
      <c r="B74" s="959" t="s">
        <v>878</v>
      </c>
      <c r="C74" s="959" t="s">
        <v>871</v>
      </c>
      <c r="D74" s="959" t="s">
        <v>879</v>
      </c>
      <c r="E74" s="959" t="s">
        <v>873</v>
      </c>
      <c r="F74" s="959" t="s">
        <v>880</v>
      </c>
      <c r="G74" s="1157">
        <v>186.06</v>
      </c>
      <c r="H74" s="1157">
        <f t="shared" ref="H74:H126" si="1">H73+G74</f>
        <v>251741.18</v>
      </c>
    </row>
    <row r="75" spans="1:11" hidden="1" outlineLevel="1" x14ac:dyDescent="0.3">
      <c r="B75" s="959" t="s">
        <v>881</v>
      </c>
      <c r="C75" s="959" t="s">
        <v>871</v>
      </c>
      <c r="D75" s="959">
        <v>4311</v>
      </c>
      <c r="E75" s="959" t="s">
        <v>882</v>
      </c>
      <c r="F75" s="959" t="s">
        <v>884</v>
      </c>
      <c r="G75" s="1157">
        <v>298.88</v>
      </c>
      <c r="H75" s="1157">
        <f t="shared" si="1"/>
        <v>252040.06</v>
      </c>
    </row>
    <row r="76" spans="1:11" hidden="1" outlineLevel="1" x14ac:dyDescent="0.3">
      <c r="B76" s="959" t="s">
        <v>881</v>
      </c>
      <c r="C76" s="959" t="s">
        <v>871</v>
      </c>
      <c r="D76" s="959">
        <v>4312</v>
      </c>
      <c r="E76" s="959" t="s">
        <v>882</v>
      </c>
      <c r="F76" s="959" t="s">
        <v>883</v>
      </c>
      <c r="G76" s="1157">
        <v>512.64</v>
      </c>
      <c r="H76" s="1157">
        <f t="shared" si="1"/>
        <v>252552.7</v>
      </c>
    </row>
    <row r="77" spans="1:11" hidden="1" outlineLevel="1" x14ac:dyDescent="0.3">
      <c r="B77" s="959" t="s">
        <v>885</v>
      </c>
      <c r="C77" s="959" t="s">
        <v>871</v>
      </c>
      <c r="D77" s="959" t="s">
        <v>888</v>
      </c>
      <c r="E77" s="959" t="s">
        <v>873</v>
      </c>
      <c r="F77" s="959" t="s">
        <v>889</v>
      </c>
      <c r="G77" s="1157">
        <v>19.100000000000001</v>
      </c>
      <c r="H77" s="1157">
        <f t="shared" si="1"/>
        <v>252571.80000000002</v>
      </c>
    </row>
    <row r="78" spans="1:11" hidden="1" outlineLevel="1" x14ac:dyDescent="0.3">
      <c r="B78" s="959" t="s">
        <v>885</v>
      </c>
      <c r="C78" s="959" t="s">
        <v>875</v>
      </c>
      <c r="D78" s="959" t="s">
        <v>886</v>
      </c>
      <c r="E78" s="959" t="s">
        <v>873</v>
      </c>
      <c r="F78" s="959" t="s">
        <v>887</v>
      </c>
      <c r="G78" s="1158">
        <v>-3917.66</v>
      </c>
      <c r="H78" s="1158">
        <f t="shared" si="1"/>
        <v>248654.14</v>
      </c>
    </row>
    <row r="79" spans="1:11" hidden="1" outlineLevel="1" x14ac:dyDescent="0.3">
      <c r="B79" s="959" t="s">
        <v>890</v>
      </c>
      <c r="C79" s="959" t="s">
        <v>871</v>
      </c>
      <c r="D79" s="959" t="s">
        <v>891</v>
      </c>
      <c r="E79" s="959" t="s">
        <v>873</v>
      </c>
      <c r="F79" s="959" t="s">
        <v>889</v>
      </c>
      <c r="G79" s="1157">
        <v>77.040000000000006</v>
      </c>
      <c r="H79" s="1157">
        <f t="shared" si="1"/>
        <v>248731.18000000002</v>
      </c>
      <c r="J79" t="s">
        <v>1222</v>
      </c>
      <c r="K79" s="1156">
        <f>SUM(G72,G74:G77,G79)</f>
        <v>1376.83</v>
      </c>
    </row>
    <row r="80" spans="1:11" collapsed="1" x14ac:dyDescent="0.3">
      <c r="A80" s="1350"/>
      <c r="B80" s="1351" t="s">
        <v>890</v>
      </c>
      <c r="C80" s="1351" t="s">
        <v>892</v>
      </c>
      <c r="D80" s="1351" t="s">
        <v>893</v>
      </c>
      <c r="E80" s="1351"/>
      <c r="F80" s="1351" t="s">
        <v>1049</v>
      </c>
      <c r="G80" s="1349">
        <v>-248731.18</v>
      </c>
      <c r="H80" s="1349">
        <f t="shared" si="1"/>
        <v>0</v>
      </c>
    </row>
    <row r="81" spans="2:8" x14ac:dyDescent="0.3">
      <c r="B81" s="959" t="s">
        <v>1050</v>
      </c>
      <c r="C81" s="959" t="s">
        <v>871</v>
      </c>
      <c r="D81" s="959" t="s">
        <v>1051</v>
      </c>
      <c r="E81" s="959" t="s">
        <v>873</v>
      </c>
      <c r="F81" s="959" t="s">
        <v>1052</v>
      </c>
      <c r="G81" s="716">
        <v>61.94</v>
      </c>
      <c r="H81" s="716">
        <f t="shared" si="1"/>
        <v>61.94</v>
      </c>
    </row>
    <row r="82" spans="2:8" x14ac:dyDescent="0.3">
      <c r="B82" s="959" t="s">
        <v>1053</v>
      </c>
      <c r="C82" s="959" t="s">
        <v>901</v>
      </c>
      <c r="D82" s="959"/>
      <c r="E82" s="959" t="s">
        <v>1054</v>
      </c>
      <c r="F82" s="959" t="s">
        <v>1055</v>
      </c>
      <c r="G82" s="716">
        <v>22.22</v>
      </c>
      <c r="H82" s="716">
        <f t="shared" si="1"/>
        <v>84.16</v>
      </c>
    </row>
    <row r="83" spans="2:8" x14ac:dyDescent="0.3">
      <c r="B83" s="959" t="s">
        <v>1056</v>
      </c>
      <c r="C83" s="959" t="s">
        <v>871</v>
      </c>
      <c r="D83" s="959" t="s">
        <v>1057</v>
      </c>
      <c r="E83" s="959" t="s">
        <v>873</v>
      </c>
      <c r="F83" s="959" t="s">
        <v>1058</v>
      </c>
      <c r="G83" s="716">
        <v>154.6</v>
      </c>
      <c r="H83" s="716">
        <f t="shared" si="1"/>
        <v>238.76</v>
      </c>
    </row>
    <row r="84" spans="2:8" x14ac:dyDescent="0.3">
      <c r="B84" s="959" t="s">
        <v>1059</v>
      </c>
      <c r="C84" s="959" t="s">
        <v>871</v>
      </c>
      <c r="D84" s="959" t="s">
        <v>1060</v>
      </c>
      <c r="E84" s="959" t="s">
        <v>933</v>
      </c>
      <c r="F84" s="959" t="s">
        <v>1061</v>
      </c>
      <c r="G84" s="716">
        <v>154.06</v>
      </c>
      <c r="H84" s="716">
        <f t="shared" si="1"/>
        <v>392.82</v>
      </c>
    </row>
    <row r="85" spans="2:8" x14ac:dyDescent="0.3">
      <c r="B85" s="959" t="s">
        <v>1062</v>
      </c>
      <c r="C85" s="959" t="s">
        <v>871</v>
      </c>
      <c r="D85" s="959" t="s">
        <v>1063</v>
      </c>
      <c r="E85" s="959" t="s">
        <v>1064</v>
      </c>
      <c r="F85" s="959" t="s">
        <v>1065</v>
      </c>
      <c r="G85" s="716">
        <v>1346.92</v>
      </c>
      <c r="H85" s="716">
        <f t="shared" si="1"/>
        <v>1739.74</v>
      </c>
    </row>
    <row r="86" spans="2:8" ht="21.6" x14ac:dyDescent="0.3">
      <c r="B86" s="959" t="s">
        <v>1066</v>
      </c>
      <c r="C86" s="959" t="s">
        <v>871</v>
      </c>
      <c r="D86" s="959">
        <v>13799331</v>
      </c>
      <c r="E86" s="959" t="s">
        <v>1067</v>
      </c>
      <c r="F86" s="959" t="s">
        <v>1068</v>
      </c>
      <c r="G86" s="716">
        <v>122.08</v>
      </c>
      <c r="H86" s="716">
        <f t="shared" si="1"/>
        <v>1861.82</v>
      </c>
    </row>
    <row r="87" spans="2:8" ht="21.6" x14ac:dyDescent="0.3">
      <c r="B87" s="959" t="s">
        <v>1069</v>
      </c>
      <c r="C87" s="959" t="s">
        <v>871</v>
      </c>
      <c r="D87" s="959">
        <v>682622</v>
      </c>
      <c r="E87" s="959" t="s">
        <v>1070</v>
      </c>
      <c r="F87" s="959" t="s">
        <v>1071</v>
      </c>
      <c r="G87" s="716">
        <v>64.19</v>
      </c>
      <c r="H87" s="716">
        <f t="shared" si="1"/>
        <v>1926.01</v>
      </c>
    </row>
    <row r="88" spans="2:8" x14ac:dyDescent="0.3">
      <c r="B88" s="959" t="s">
        <v>1069</v>
      </c>
      <c r="C88" s="959" t="s">
        <v>871</v>
      </c>
      <c r="D88" s="959">
        <v>4429</v>
      </c>
      <c r="E88" s="959" t="s">
        <v>882</v>
      </c>
      <c r="F88" s="959" t="s">
        <v>1072</v>
      </c>
      <c r="G88" s="716">
        <v>10385.540000000001</v>
      </c>
      <c r="H88" s="716">
        <f t="shared" si="1"/>
        <v>12311.550000000001</v>
      </c>
    </row>
    <row r="89" spans="2:8" x14ac:dyDescent="0.3">
      <c r="B89" s="959" t="s">
        <v>1069</v>
      </c>
      <c r="C89" s="959" t="s">
        <v>901</v>
      </c>
      <c r="D89" s="959">
        <v>3985025</v>
      </c>
      <c r="E89" s="959" t="s">
        <v>1070</v>
      </c>
      <c r="F89" s="959" t="s">
        <v>1073</v>
      </c>
      <c r="G89" s="716">
        <v>158.05000000000001</v>
      </c>
      <c r="H89" s="716">
        <f t="shared" si="1"/>
        <v>12469.6</v>
      </c>
    </row>
    <row r="90" spans="2:8" x14ac:dyDescent="0.3">
      <c r="B90" s="959" t="s">
        <v>1069</v>
      </c>
      <c r="C90" s="959" t="s">
        <v>901</v>
      </c>
      <c r="D90" s="959"/>
      <c r="E90" s="959" t="s">
        <v>1054</v>
      </c>
      <c r="F90" s="959" t="s">
        <v>1055</v>
      </c>
      <c r="G90" s="716">
        <v>87.98</v>
      </c>
      <c r="H90" s="716">
        <f t="shared" si="1"/>
        <v>12557.58</v>
      </c>
    </row>
    <row r="91" spans="2:8" x14ac:dyDescent="0.3">
      <c r="B91" s="959" t="s">
        <v>1074</v>
      </c>
      <c r="C91" s="959" t="s">
        <v>901</v>
      </c>
      <c r="D91" s="959"/>
      <c r="E91" s="959" t="s">
        <v>1070</v>
      </c>
      <c r="F91" s="959" t="s">
        <v>1075</v>
      </c>
      <c r="G91" s="716">
        <v>376.68</v>
      </c>
      <c r="H91" s="716">
        <f t="shared" si="1"/>
        <v>12934.26</v>
      </c>
    </row>
    <row r="92" spans="2:8" x14ac:dyDescent="0.3">
      <c r="B92" s="959" t="s">
        <v>1076</v>
      </c>
      <c r="C92" s="959" t="s">
        <v>871</v>
      </c>
      <c r="D92" s="959" t="s">
        <v>1077</v>
      </c>
      <c r="E92" s="959" t="s">
        <v>873</v>
      </c>
      <c r="F92" s="959" t="s">
        <v>1078</v>
      </c>
      <c r="G92" s="716">
        <v>37.880000000000003</v>
      </c>
      <c r="H92" s="716">
        <f t="shared" si="1"/>
        <v>12972.14</v>
      </c>
    </row>
    <row r="93" spans="2:8" ht="21.6" x14ac:dyDescent="0.3">
      <c r="B93" s="959" t="s">
        <v>1079</v>
      </c>
      <c r="C93" s="959" t="s">
        <v>901</v>
      </c>
      <c r="D93" s="959"/>
      <c r="E93" s="959" t="s">
        <v>1067</v>
      </c>
      <c r="F93" s="959" t="s">
        <v>1080</v>
      </c>
      <c r="G93" s="716">
        <v>88.96</v>
      </c>
      <c r="H93" s="716">
        <f t="shared" si="1"/>
        <v>13061.099999999999</v>
      </c>
    </row>
    <row r="94" spans="2:8" x14ac:dyDescent="0.3">
      <c r="B94" s="959" t="s">
        <v>1081</v>
      </c>
      <c r="C94" s="959" t="s">
        <v>871</v>
      </c>
      <c r="D94" s="959" t="s">
        <v>1082</v>
      </c>
      <c r="E94" s="959" t="s">
        <v>1064</v>
      </c>
      <c r="F94" s="959" t="s">
        <v>1083</v>
      </c>
      <c r="G94" s="716">
        <v>201.91</v>
      </c>
      <c r="H94" s="716">
        <f t="shared" si="1"/>
        <v>13263.009999999998</v>
      </c>
    </row>
    <row r="95" spans="2:8" x14ac:dyDescent="0.3">
      <c r="B95" s="959" t="s">
        <v>1081</v>
      </c>
      <c r="C95" s="959" t="s">
        <v>871</v>
      </c>
      <c r="D95" s="959" t="s">
        <v>1082</v>
      </c>
      <c r="E95" s="959" t="s">
        <v>1064</v>
      </c>
      <c r="F95" s="959" t="s">
        <v>1084</v>
      </c>
      <c r="G95" s="716">
        <v>12.11</v>
      </c>
      <c r="H95" s="716">
        <f t="shared" si="1"/>
        <v>13275.119999999999</v>
      </c>
    </row>
    <row r="96" spans="2:8" x14ac:dyDescent="0.3">
      <c r="B96" s="959" t="s">
        <v>1085</v>
      </c>
      <c r="C96" s="959" t="s">
        <v>901</v>
      </c>
      <c r="D96" s="959"/>
      <c r="E96" s="959" t="s">
        <v>1070</v>
      </c>
      <c r="F96" s="959" t="s">
        <v>1086</v>
      </c>
      <c r="G96" s="716">
        <v>117.05</v>
      </c>
      <c r="H96" s="716">
        <f t="shared" si="1"/>
        <v>13392.169999999998</v>
      </c>
    </row>
    <row r="97" spans="1:8" x14ac:dyDescent="0.3">
      <c r="B97" s="959" t="s">
        <v>1085</v>
      </c>
      <c r="C97" s="959" t="s">
        <v>901</v>
      </c>
      <c r="D97" s="959"/>
      <c r="E97" s="959" t="s">
        <v>1070</v>
      </c>
      <c r="F97" s="959" t="s">
        <v>1087</v>
      </c>
      <c r="G97" s="716">
        <v>49.16</v>
      </c>
      <c r="H97" s="716">
        <f t="shared" si="1"/>
        <v>13441.329999999998</v>
      </c>
    </row>
    <row r="98" spans="1:8" x14ac:dyDescent="0.3">
      <c r="B98" s="959" t="s">
        <v>1088</v>
      </c>
      <c r="C98" s="959" t="s">
        <v>871</v>
      </c>
      <c r="D98" s="959" t="s">
        <v>1089</v>
      </c>
      <c r="E98" s="959" t="s">
        <v>873</v>
      </c>
      <c r="F98" s="959" t="s">
        <v>1090</v>
      </c>
      <c r="G98" s="716">
        <v>140.80000000000001</v>
      </c>
      <c r="H98" s="716">
        <f t="shared" si="1"/>
        <v>13582.129999999997</v>
      </c>
    </row>
    <row r="99" spans="1:8" x14ac:dyDescent="0.3">
      <c r="A99" s="165"/>
      <c r="B99" s="962" t="s">
        <v>1091</v>
      </c>
      <c r="C99" s="962" t="s">
        <v>871</v>
      </c>
      <c r="D99" s="962" t="s">
        <v>1092</v>
      </c>
      <c r="E99" s="962" t="s">
        <v>873</v>
      </c>
      <c r="F99" s="962" t="s">
        <v>1093</v>
      </c>
      <c r="G99" s="923">
        <v>34.380000000000003</v>
      </c>
      <c r="H99" s="923">
        <f t="shared" si="1"/>
        <v>13616.509999999997</v>
      </c>
    </row>
    <row r="100" spans="1:8" ht="31.8" x14ac:dyDescent="0.3">
      <c r="B100" s="959" t="s">
        <v>1905</v>
      </c>
      <c r="C100" s="959" t="s">
        <v>871</v>
      </c>
      <c r="D100" s="959" t="s">
        <v>1906</v>
      </c>
      <c r="E100" s="959" t="s">
        <v>1070</v>
      </c>
      <c r="F100" s="959" t="s">
        <v>1907</v>
      </c>
      <c r="G100" s="716">
        <v>35.99</v>
      </c>
      <c r="H100" s="716">
        <f t="shared" si="1"/>
        <v>13652.499999999996</v>
      </c>
    </row>
    <row r="101" spans="1:8" ht="42" x14ac:dyDescent="0.3">
      <c r="B101" s="959" t="s">
        <v>1905</v>
      </c>
      <c r="C101" s="959" t="s">
        <v>871</v>
      </c>
      <c r="D101" s="959" t="s">
        <v>1908</v>
      </c>
      <c r="E101" s="959" t="s">
        <v>1070</v>
      </c>
      <c r="F101" s="959" t="s">
        <v>1909</v>
      </c>
      <c r="G101" s="716">
        <v>78.989999999999995</v>
      </c>
      <c r="H101" s="716">
        <f t="shared" si="1"/>
        <v>13731.489999999996</v>
      </c>
    </row>
    <row r="102" spans="1:8" ht="42" x14ac:dyDescent="0.3">
      <c r="B102" s="959" t="s">
        <v>1910</v>
      </c>
      <c r="C102" s="959" t="s">
        <v>871</v>
      </c>
      <c r="D102" s="959" t="s">
        <v>1911</v>
      </c>
      <c r="E102" s="959" t="s">
        <v>1070</v>
      </c>
      <c r="F102" s="959" t="s">
        <v>1912</v>
      </c>
      <c r="G102" s="716">
        <v>13.9</v>
      </c>
      <c r="H102" s="716">
        <f t="shared" si="1"/>
        <v>13745.389999999996</v>
      </c>
    </row>
    <row r="103" spans="1:8" ht="21.6" x14ac:dyDescent="0.3">
      <c r="B103" s="959" t="s">
        <v>1913</v>
      </c>
      <c r="C103" s="959" t="s">
        <v>871</v>
      </c>
      <c r="D103" s="959" t="s">
        <v>1914</v>
      </c>
      <c r="E103" s="959" t="s">
        <v>1070</v>
      </c>
      <c r="F103" s="959" t="s">
        <v>1915</v>
      </c>
      <c r="G103" s="716">
        <v>141.08000000000001</v>
      </c>
      <c r="H103" s="716">
        <f t="shared" si="1"/>
        <v>13886.469999999996</v>
      </c>
    </row>
    <row r="104" spans="1:8" ht="42" x14ac:dyDescent="0.3">
      <c r="B104" s="959" t="s">
        <v>1916</v>
      </c>
      <c r="C104" s="959" t="s">
        <v>871</v>
      </c>
      <c r="D104" s="959" t="s">
        <v>1917</v>
      </c>
      <c r="E104" s="959" t="s">
        <v>1070</v>
      </c>
      <c r="F104" s="959" t="s">
        <v>1918</v>
      </c>
      <c r="G104" s="716">
        <v>65.260000000000005</v>
      </c>
      <c r="H104" s="716">
        <f t="shared" si="1"/>
        <v>13951.729999999996</v>
      </c>
    </row>
    <row r="105" spans="1:8" x14ac:dyDescent="0.3">
      <c r="B105" s="959" t="s">
        <v>1919</v>
      </c>
      <c r="C105" s="959" t="s">
        <v>871</v>
      </c>
      <c r="D105" s="959" t="s">
        <v>1920</v>
      </c>
      <c r="E105" s="959" t="s">
        <v>933</v>
      </c>
      <c r="F105" s="959" t="s">
        <v>1921</v>
      </c>
      <c r="G105" s="716">
        <v>13162.5</v>
      </c>
      <c r="H105" s="716">
        <f t="shared" si="1"/>
        <v>27114.229999999996</v>
      </c>
    </row>
    <row r="106" spans="1:8" x14ac:dyDescent="0.3">
      <c r="B106" s="959" t="s">
        <v>1919</v>
      </c>
      <c r="C106" s="959" t="s">
        <v>871</v>
      </c>
      <c r="D106" s="959" t="s">
        <v>1922</v>
      </c>
      <c r="E106" s="959" t="s">
        <v>933</v>
      </c>
      <c r="F106" s="959" t="s">
        <v>1923</v>
      </c>
      <c r="G106" s="716">
        <v>2300</v>
      </c>
      <c r="H106" s="716">
        <f t="shared" si="1"/>
        <v>29414.229999999996</v>
      </c>
    </row>
    <row r="107" spans="1:8" x14ac:dyDescent="0.3">
      <c r="B107" s="959" t="s">
        <v>1924</v>
      </c>
      <c r="C107" s="959" t="s">
        <v>871</v>
      </c>
      <c r="D107" s="959">
        <v>4565</v>
      </c>
      <c r="E107" s="959" t="s">
        <v>882</v>
      </c>
      <c r="F107" s="959" t="s">
        <v>1925</v>
      </c>
      <c r="G107" s="716">
        <v>143.28</v>
      </c>
      <c r="H107" s="716">
        <f t="shared" si="1"/>
        <v>29557.509999999995</v>
      </c>
    </row>
    <row r="108" spans="1:8" x14ac:dyDescent="0.3">
      <c r="B108" s="959" t="s">
        <v>1926</v>
      </c>
      <c r="C108" s="959" t="s">
        <v>901</v>
      </c>
      <c r="D108" s="959"/>
      <c r="E108" s="959" t="s">
        <v>1927</v>
      </c>
      <c r="F108" s="959" t="s">
        <v>1928</v>
      </c>
      <c r="G108" s="716">
        <v>16.95</v>
      </c>
      <c r="H108" s="716">
        <f t="shared" si="1"/>
        <v>29574.459999999995</v>
      </c>
    </row>
    <row r="109" spans="1:8" x14ac:dyDescent="0.3">
      <c r="B109" s="959" t="s">
        <v>1929</v>
      </c>
      <c r="C109" s="959" t="s">
        <v>871</v>
      </c>
      <c r="D109" s="959" t="s">
        <v>1930</v>
      </c>
      <c r="E109" s="959" t="s">
        <v>873</v>
      </c>
      <c r="F109" s="959" t="s">
        <v>1931</v>
      </c>
      <c r="G109" s="716">
        <v>24.01</v>
      </c>
      <c r="H109" s="716">
        <f t="shared" si="1"/>
        <v>29598.469999999994</v>
      </c>
    </row>
    <row r="110" spans="1:8" ht="31.8" x14ac:dyDescent="0.3">
      <c r="B110" s="959" t="s">
        <v>1932</v>
      </c>
      <c r="C110" s="959" t="s">
        <v>871</v>
      </c>
      <c r="D110" s="959" t="s">
        <v>1933</v>
      </c>
      <c r="E110" s="959" t="s">
        <v>1070</v>
      </c>
      <c r="F110" s="959" t="s">
        <v>1934</v>
      </c>
      <c r="G110" s="716">
        <v>22.2</v>
      </c>
      <c r="H110" s="716">
        <f t="shared" si="1"/>
        <v>29620.669999999995</v>
      </c>
    </row>
    <row r="111" spans="1:8" x14ac:dyDescent="0.3">
      <c r="B111" s="959" t="s">
        <v>1935</v>
      </c>
      <c r="C111" s="959" t="s">
        <v>901</v>
      </c>
      <c r="D111" s="959"/>
      <c r="E111" s="959" t="s">
        <v>873</v>
      </c>
      <c r="F111" s="959" t="s">
        <v>1936</v>
      </c>
      <c r="G111" s="716">
        <v>4.72</v>
      </c>
      <c r="H111" s="716">
        <f t="shared" si="1"/>
        <v>29625.389999999996</v>
      </c>
    </row>
    <row r="112" spans="1:8" ht="21.6" x14ac:dyDescent="0.3">
      <c r="B112" s="959" t="s">
        <v>1935</v>
      </c>
      <c r="C112" s="959" t="s">
        <v>901</v>
      </c>
      <c r="D112" s="959"/>
      <c r="E112" s="959" t="s">
        <v>873</v>
      </c>
      <c r="F112" s="959" t="s">
        <v>1937</v>
      </c>
      <c r="G112" s="716">
        <v>22.82</v>
      </c>
      <c r="H112" s="716">
        <f t="shared" si="1"/>
        <v>29648.209999999995</v>
      </c>
    </row>
    <row r="113" spans="1:8" x14ac:dyDescent="0.3">
      <c r="B113" s="959" t="s">
        <v>1935</v>
      </c>
      <c r="C113" s="959" t="s">
        <v>901</v>
      </c>
      <c r="D113" s="959"/>
      <c r="E113" s="959" t="s">
        <v>1938</v>
      </c>
      <c r="F113" s="959" t="s">
        <v>1939</v>
      </c>
      <c r="G113" s="716">
        <v>10.74</v>
      </c>
      <c r="H113" s="716">
        <f t="shared" si="1"/>
        <v>29658.949999999997</v>
      </c>
    </row>
    <row r="114" spans="1:8" x14ac:dyDescent="0.3">
      <c r="B114" s="959" t="s">
        <v>1892</v>
      </c>
      <c r="C114" s="959" t="s">
        <v>871</v>
      </c>
      <c r="D114" s="959" t="s">
        <v>1940</v>
      </c>
      <c r="E114" s="959" t="s">
        <v>933</v>
      </c>
      <c r="F114" s="959" t="s">
        <v>1941</v>
      </c>
      <c r="G114" s="716">
        <v>481.5</v>
      </c>
      <c r="H114" s="716">
        <f t="shared" si="1"/>
        <v>30140.449999999997</v>
      </c>
    </row>
    <row r="115" spans="1:8" x14ac:dyDescent="0.3">
      <c r="B115" s="959" t="s">
        <v>1892</v>
      </c>
      <c r="C115" s="959" t="s">
        <v>871</v>
      </c>
      <c r="D115" s="959" t="s">
        <v>1893</v>
      </c>
      <c r="E115" s="959" t="s">
        <v>933</v>
      </c>
      <c r="F115" s="959" t="s">
        <v>1942</v>
      </c>
      <c r="G115" s="716">
        <v>239.94</v>
      </c>
      <c r="H115" s="716">
        <f t="shared" si="1"/>
        <v>30380.389999999996</v>
      </c>
    </row>
    <row r="116" spans="1:8" x14ac:dyDescent="0.3">
      <c r="B116" s="959" t="s">
        <v>1892</v>
      </c>
      <c r="C116" s="959" t="s">
        <v>871</v>
      </c>
      <c r="D116" s="959" t="s">
        <v>1893</v>
      </c>
      <c r="E116" s="959" t="s">
        <v>933</v>
      </c>
      <c r="F116" s="959" t="s">
        <v>1943</v>
      </c>
      <c r="G116" s="716">
        <v>445</v>
      </c>
      <c r="H116" s="716">
        <f t="shared" si="1"/>
        <v>30825.389999999996</v>
      </c>
    </row>
    <row r="117" spans="1:8" x14ac:dyDescent="0.3">
      <c r="B117" s="959" t="s">
        <v>1892</v>
      </c>
      <c r="C117" s="959" t="s">
        <v>871</v>
      </c>
      <c r="D117" s="959" t="s">
        <v>1940</v>
      </c>
      <c r="E117" s="959" t="s">
        <v>933</v>
      </c>
      <c r="F117" s="959" t="s">
        <v>1944</v>
      </c>
      <c r="G117" s="716">
        <v>374.5</v>
      </c>
      <c r="H117" s="716">
        <f t="shared" si="1"/>
        <v>31199.889999999996</v>
      </c>
    </row>
    <row r="118" spans="1:8" x14ac:dyDescent="0.3">
      <c r="B118" s="959" t="s">
        <v>1892</v>
      </c>
      <c r="C118" s="959" t="s">
        <v>871</v>
      </c>
      <c r="D118" s="959" t="s">
        <v>1940</v>
      </c>
      <c r="E118" s="959" t="s">
        <v>933</v>
      </c>
      <c r="F118" s="959" t="s">
        <v>1941</v>
      </c>
      <c r="G118" s="716">
        <v>481.5</v>
      </c>
      <c r="H118" s="716">
        <f t="shared" si="1"/>
        <v>31681.389999999996</v>
      </c>
    </row>
    <row r="119" spans="1:8" x14ac:dyDescent="0.3">
      <c r="B119" s="959" t="s">
        <v>1892</v>
      </c>
      <c r="C119" s="959" t="s">
        <v>871</v>
      </c>
      <c r="D119" s="959" t="s">
        <v>1940</v>
      </c>
      <c r="E119" s="959" t="s">
        <v>933</v>
      </c>
      <c r="F119" s="959" t="s">
        <v>1941</v>
      </c>
      <c r="G119" s="716">
        <v>481.5</v>
      </c>
      <c r="H119" s="716">
        <f t="shared" si="1"/>
        <v>32162.889999999996</v>
      </c>
    </row>
    <row r="120" spans="1:8" x14ac:dyDescent="0.3">
      <c r="B120" s="959" t="s">
        <v>1892</v>
      </c>
      <c r="C120" s="959" t="s">
        <v>871</v>
      </c>
      <c r="D120" s="959" t="s">
        <v>1893</v>
      </c>
      <c r="E120" s="959" t="s">
        <v>933</v>
      </c>
      <c r="F120" s="959" t="s">
        <v>1945</v>
      </c>
      <c r="G120" s="716">
        <v>913.66</v>
      </c>
      <c r="H120" s="716">
        <f t="shared" si="1"/>
        <v>33076.549999999996</v>
      </c>
    </row>
    <row r="121" spans="1:8" x14ac:dyDescent="0.3">
      <c r="B121" s="959"/>
      <c r="C121" s="959"/>
      <c r="D121" s="959"/>
      <c r="E121" s="959"/>
      <c r="F121" s="959"/>
      <c r="G121" s="978">
        <v>179.2</v>
      </c>
      <c r="H121" s="716">
        <f t="shared" si="1"/>
        <v>33255.749999999993</v>
      </c>
    </row>
    <row r="122" spans="1:8" x14ac:dyDescent="0.3">
      <c r="B122" s="959"/>
      <c r="C122" s="959"/>
      <c r="D122" s="959"/>
      <c r="E122" s="959"/>
      <c r="F122" s="959"/>
      <c r="G122" s="978">
        <v>1884</v>
      </c>
      <c r="H122" s="716">
        <f t="shared" si="1"/>
        <v>35139.749999999993</v>
      </c>
    </row>
    <row r="123" spans="1:8" x14ac:dyDescent="0.3">
      <c r="B123" s="959"/>
      <c r="C123" s="959"/>
      <c r="D123" s="959"/>
      <c r="E123" s="959"/>
      <c r="F123" s="959"/>
      <c r="G123" s="978">
        <v>1068</v>
      </c>
      <c r="H123" s="716">
        <f t="shared" si="1"/>
        <v>36207.749999999993</v>
      </c>
    </row>
    <row r="124" spans="1:8" x14ac:dyDescent="0.3">
      <c r="B124" s="959"/>
      <c r="C124" s="959"/>
      <c r="D124" s="959"/>
      <c r="E124" s="959"/>
      <c r="F124" s="959"/>
      <c r="G124" s="716"/>
      <c r="H124" s="716">
        <f t="shared" si="1"/>
        <v>36207.749999999993</v>
      </c>
    </row>
    <row r="125" spans="1:8" x14ac:dyDescent="0.3">
      <c r="B125" s="959"/>
      <c r="C125" s="959"/>
      <c r="D125" s="959"/>
      <c r="E125" s="959"/>
      <c r="F125" s="959"/>
      <c r="G125" s="716"/>
      <c r="H125" s="716">
        <f t="shared" si="1"/>
        <v>36207.749999999993</v>
      </c>
    </row>
    <row r="126" spans="1:8" x14ac:dyDescent="0.3">
      <c r="B126" s="959"/>
      <c r="C126" s="959"/>
      <c r="D126" s="959"/>
      <c r="E126" s="959"/>
      <c r="F126" s="959"/>
      <c r="G126" s="716"/>
      <c r="H126" s="716">
        <f t="shared" si="1"/>
        <v>36207.749999999993</v>
      </c>
    </row>
    <row r="127" spans="1:8" x14ac:dyDescent="0.3">
      <c r="A127" s="964" t="s">
        <v>1094</v>
      </c>
      <c r="G127" s="929">
        <f>SUM(G81:G126)</f>
        <v>36207.749999999993</v>
      </c>
      <c r="H127" s="792"/>
    </row>
    <row r="128" spans="1:8" x14ac:dyDescent="0.3">
      <c r="A128" s="964" t="s">
        <v>1095</v>
      </c>
      <c r="G128" s="929">
        <f>G127</f>
        <v>36207.749999999993</v>
      </c>
      <c r="H128" s="792"/>
    </row>
    <row r="129" spans="1:8" x14ac:dyDescent="0.3">
      <c r="A129" s="964" t="s">
        <v>0</v>
      </c>
      <c r="G129" s="929">
        <f>G128</f>
        <v>36207.749999999993</v>
      </c>
      <c r="H129" s="792"/>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9820-8298-47C4-972B-4DB6D9CD1421}">
  <dimension ref="A1:J11"/>
  <sheetViews>
    <sheetView workbookViewId="0"/>
  </sheetViews>
  <sheetFormatPr defaultRowHeight="14.4" outlineLevelCol="1" x14ac:dyDescent="0.3"/>
  <cols>
    <col min="1" max="1" width="12.33203125" customWidth="1"/>
    <col min="2" max="2" width="9.44140625" customWidth="1"/>
    <col min="3" max="3" width="12" customWidth="1"/>
    <col min="4" max="4" width="23.6640625" customWidth="1"/>
    <col min="5" max="5" width="7.6640625" customWidth="1"/>
    <col min="6" max="6" width="23.33203125" bestFit="1" customWidth="1"/>
    <col min="7" max="7" width="55" customWidth="1"/>
    <col min="8" max="8" width="29.33203125" hidden="1" customWidth="1" outlineLevel="1"/>
    <col min="9" max="9" width="7.6640625" customWidth="1" collapsed="1"/>
    <col min="10" max="10" width="7.6640625" customWidth="1"/>
  </cols>
  <sheetData>
    <row r="1" spans="1:10" ht="17.399999999999999" x14ac:dyDescent="0.3">
      <c r="A1" s="412" t="s">
        <v>642</v>
      </c>
      <c r="D1" s="175" t="s">
        <v>1960</v>
      </c>
    </row>
    <row r="2" spans="1:10" ht="17.399999999999999" x14ac:dyDescent="0.3">
      <c r="A2" s="412" t="s">
        <v>864</v>
      </c>
    </row>
    <row r="3" spans="1:10" x14ac:dyDescent="0.3">
      <c r="A3" s="413" t="s">
        <v>1888</v>
      </c>
    </row>
    <row r="5" spans="1:10" ht="24.6" x14ac:dyDescent="0.3">
      <c r="B5" s="414" t="s">
        <v>865</v>
      </c>
      <c r="C5" s="414" t="s">
        <v>866</v>
      </c>
      <c r="D5" s="414" t="s">
        <v>505</v>
      </c>
      <c r="E5" s="414" t="s">
        <v>861</v>
      </c>
      <c r="F5" s="414" t="s">
        <v>867</v>
      </c>
      <c r="G5" s="414" t="s">
        <v>868</v>
      </c>
      <c r="H5" s="414" t="s">
        <v>894</v>
      </c>
      <c r="I5" s="414" t="s">
        <v>253</v>
      </c>
      <c r="J5" s="414" t="s">
        <v>869</v>
      </c>
    </row>
    <row r="6" spans="1:10" x14ac:dyDescent="0.3">
      <c r="A6" s="964" t="s">
        <v>1096</v>
      </c>
    </row>
    <row r="7" spans="1:10" x14ac:dyDescent="0.3">
      <c r="B7" s="959" t="s">
        <v>1097</v>
      </c>
      <c r="C7" s="959" t="s">
        <v>871</v>
      </c>
      <c r="D7" s="959">
        <v>12194</v>
      </c>
      <c r="E7" s="959" t="s">
        <v>896</v>
      </c>
      <c r="F7" s="959" t="s">
        <v>1098</v>
      </c>
      <c r="G7" s="959" t="s">
        <v>1099</v>
      </c>
      <c r="H7" s="959" t="s">
        <v>584</v>
      </c>
      <c r="I7" s="716">
        <v>107.75</v>
      </c>
      <c r="J7" s="716">
        <v>107.75</v>
      </c>
    </row>
    <row r="8" spans="1:10" x14ac:dyDescent="0.3">
      <c r="B8" s="959" t="s">
        <v>1100</v>
      </c>
      <c r="C8" s="959" t="s">
        <v>901</v>
      </c>
      <c r="D8" s="959" t="s">
        <v>1101</v>
      </c>
      <c r="E8" s="959" t="s">
        <v>896</v>
      </c>
      <c r="F8" s="959" t="s">
        <v>873</v>
      </c>
      <c r="G8" s="959" t="s">
        <v>1102</v>
      </c>
      <c r="H8" s="959" t="s">
        <v>584</v>
      </c>
      <c r="I8" s="716">
        <v>55.16</v>
      </c>
      <c r="J8" s="716">
        <v>162.91</v>
      </c>
    </row>
    <row r="9" spans="1:10" x14ac:dyDescent="0.3">
      <c r="B9" s="959" t="s">
        <v>890</v>
      </c>
      <c r="C9" s="959" t="s">
        <v>892</v>
      </c>
      <c r="D9" s="959" t="s">
        <v>893</v>
      </c>
      <c r="E9" s="959" t="s">
        <v>896</v>
      </c>
      <c r="F9" s="959"/>
      <c r="G9" s="959" t="s">
        <v>1049</v>
      </c>
      <c r="H9" s="959" t="s">
        <v>584</v>
      </c>
      <c r="I9" s="716">
        <v>-162.91</v>
      </c>
      <c r="J9" s="716">
        <v>0</v>
      </c>
    </row>
    <row r="10" spans="1:10" x14ac:dyDescent="0.3">
      <c r="A10" s="964" t="s">
        <v>1103</v>
      </c>
      <c r="I10" s="929">
        <v>0</v>
      </c>
      <c r="J10" s="792"/>
    </row>
    <row r="11" spans="1:10" x14ac:dyDescent="0.3">
      <c r="A11" s="964" t="s">
        <v>0</v>
      </c>
      <c r="I11" s="929">
        <v>0</v>
      </c>
      <c r="J11" s="792"/>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B820-3CE4-4121-BF38-F49271524F28}">
  <dimension ref="A1:J30"/>
  <sheetViews>
    <sheetView workbookViewId="0"/>
  </sheetViews>
  <sheetFormatPr defaultRowHeight="14.4" outlineLevelRow="1" outlineLevelCol="1" x14ac:dyDescent="0.3"/>
  <cols>
    <col min="1" max="1" width="12.33203125" customWidth="1"/>
    <col min="2" max="2" width="9.44140625" customWidth="1"/>
    <col min="3" max="3" width="12" customWidth="1"/>
    <col min="4" max="4" width="9.44140625" customWidth="1"/>
    <col min="5" max="5" width="7.6640625" customWidth="1"/>
    <col min="6" max="6" width="25.6640625" customWidth="1"/>
    <col min="7" max="7" width="68.33203125" bestFit="1" customWidth="1"/>
    <col min="8" max="8" width="37" customWidth="1" outlineLevel="1"/>
    <col min="9" max="9" width="9.44140625" customWidth="1"/>
    <col min="10" max="10" width="8.6640625" bestFit="1" customWidth="1"/>
  </cols>
  <sheetData>
    <row r="1" spans="1:10" ht="17.399999999999999" x14ac:dyDescent="0.3">
      <c r="A1" s="412" t="s">
        <v>642</v>
      </c>
      <c r="D1" s="175" t="s">
        <v>1960</v>
      </c>
    </row>
    <row r="2" spans="1:10" ht="17.399999999999999" x14ac:dyDescent="0.3">
      <c r="A2" s="412" t="s">
        <v>864</v>
      </c>
    </row>
    <row r="3" spans="1:10" x14ac:dyDescent="0.3">
      <c r="A3" s="413" t="s">
        <v>1880</v>
      </c>
    </row>
    <row r="5" spans="1:10" ht="24.6" x14ac:dyDescent="0.3">
      <c r="B5" s="414" t="s">
        <v>865</v>
      </c>
      <c r="C5" s="414" t="s">
        <v>866</v>
      </c>
      <c r="D5" s="414" t="s">
        <v>505</v>
      </c>
      <c r="E5" s="414" t="s">
        <v>861</v>
      </c>
      <c r="F5" s="414" t="s">
        <v>867</v>
      </c>
      <c r="G5" s="414" t="s">
        <v>868</v>
      </c>
      <c r="H5" s="414" t="s">
        <v>894</v>
      </c>
      <c r="I5" s="414" t="s">
        <v>253</v>
      </c>
      <c r="J5" s="414" t="s">
        <v>869</v>
      </c>
    </row>
    <row r="6" spans="1:10" x14ac:dyDescent="0.3">
      <c r="A6" s="964" t="s">
        <v>1047</v>
      </c>
    </row>
    <row r="7" spans="1:10" x14ac:dyDescent="0.3">
      <c r="A7" s="964" t="s">
        <v>1129</v>
      </c>
      <c r="I7" s="792"/>
      <c r="J7" s="792"/>
    </row>
    <row r="8" spans="1:10" hidden="1" outlineLevel="1" x14ac:dyDescent="0.3">
      <c r="B8" s="959" t="s">
        <v>1130</v>
      </c>
      <c r="C8" s="959" t="s">
        <v>871</v>
      </c>
      <c r="D8" s="959" t="s">
        <v>1131</v>
      </c>
      <c r="E8" s="959" t="s">
        <v>896</v>
      </c>
      <c r="F8" s="959" t="s">
        <v>1132</v>
      </c>
      <c r="G8" s="959" t="s">
        <v>1133</v>
      </c>
      <c r="H8" s="959" t="s">
        <v>577</v>
      </c>
      <c r="I8" s="716">
        <v>1583.75</v>
      </c>
      <c r="J8" s="716">
        <f>I8</f>
        <v>1583.75</v>
      </c>
    </row>
    <row r="9" spans="1:10" hidden="1" outlineLevel="1" x14ac:dyDescent="0.3">
      <c r="B9" s="959" t="s">
        <v>1134</v>
      </c>
      <c r="C9" s="959" t="s">
        <v>901</v>
      </c>
      <c r="D9" s="959">
        <v>630868</v>
      </c>
      <c r="E9" s="959" t="s">
        <v>896</v>
      </c>
      <c r="F9" s="959" t="s">
        <v>1135</v>
      </c>
      <c r="G9" s="959" t="s">
        <v>1136</v>
      </c>
      <c r="H9" s="959" t="s">
        <v>577</v>
      </c>
      <c r="I9" s="716">
        <v>214.95</v>
      </c>
      <c r="J9" s="716">
        <f>J8+I9</f>
        <v>1798.7</v>
      </c>
    </row>
    <row r="10" spans="1:10" hidden="1" outlineLevel="1" x14ac:dyDescent="0.3">
      <c r="B10" s="959" t="s">
        <v>1137</v>
      </c>
      <c r="C10" s="959" t="s">
        <v>871</v>
      </c>
      <c r="D10" s="959" t="s">
        <v>1138</v>
      </c>
      <c r="E10" s="959" t="s">
        <v>896</v>
      </c>
      <c r="F10" s="959" t="s">
        <v>1132</v>
      </c>
      <c r="G10" s="959" t="s">
        <v>1139</v>
      </c>
      <c r="H10" s="959" t="s">
        <v>577</v>
      </c>
      <c r="I10" s="716">
        <v>4292.03</v>
      </c>
      <c r="J10" s="716">
        <f t="shared" ref="J10:J24" si="0">J9+I10</f>
        <v>6090.73</v>
      </c>
    </row>
    <row r="11" spans="1:10" hidden="1" outlineLevel="1" x14ac:dyDescent="0.3">
      <c r="B11" s="959" t="s">
        <v>1140</v>
      </c>
      <c r="C11" s="959" t="s">
        <v>871</v>
      </c>
      <c r="D11" s="959" t="s">
        <v>1141</v>
      </c>
      <c r="E11" s="959" t="s">
        <v>896</v>
      </c>
      <c r="F11" s="959" t="s">
        <v>1132</v>
      </c>
      <c r="G11" s="959" t="s">
        <v>1142</v>
      </c>
      <c r="H11" s="959" t="s">
        <v>577</v>
      </c>
      <c r="I11" s="716">
        <v>1973.28</v>
      </c>
      <c r="J11" s="716">
        <f t="shared" si="0"/>
        <v>8064.0099999999993</v>
      </c>
    </row>
    <row r="12" spans="1:10" hidden="1" outlineLevel="1" x14ac:dyDescent="0.3">
      <c r="B12" s="959" t="s">
        <v>1143</v>
      </c>
      <c r="C12" s="959" t="s">
        <v>871</v>
      </c>
      <c r="D12" s="959" t="s">
        <v>1144</v>
      </c>
      <c r="E12" s="959" t="s">
        <v>896</v>
      </c>
      <c r="F12" s="959" t="s">
        <v>1132</v>
      </c>
      <c r="G12" s="959" t="s">
        <v>1145</v>
      </c>
      <c r="H12" s="959" t="s">
        <v>577</v>
      </c>
      <c r="I12" s="716">
        <v>1714.13</v>
      </c>
      <c r="J12" s="716">
        <f t="shared" si="0"/>
        <v>9778.14</v>
      </c>
    </row>
    <row r="13" spans="1:10" hidden="1" outlineLevel="1" x14ac:dyDescent="0.3">
      <c r="B13" s="959" t="s">
        <v>950</v>
      </c>
      <c r="C13" s="959" t="s">
        <v>871</v>
      </c>
      <c r="D13" s="959" t="s">
        <v>1146</v>
      </c>
      <c r="E13" s="959" t="s">
        <v>896</v>
      </c>
      <c r="F13" s="959" t="s">
        <v>1132</v>
      </c>
      <c r="G13" s="959" t="s">
        <v>1147</v>
      </c>
      <c r="H13" s="959" t="s">
        <v>577</v>
      </c>
      <c r="I13" s="716">
        <v>2607.5</v>
      </c>
      <c r="J13" s="716">
        <f t="shared" si="0"/>
        <v>12385.64</v>
      </c>
    </row>
    <row r="14" spans="1:10" hidden="1" outlineLevel="1" x14ac:dyDescent="0.3">
      <c r="B14" s="959" t="s">
        <v>1148</v>
      </c>
      <c r="C14" s="959" t="s">
        <v>871</v>
      </c>
      <c r="D14" s="959" t="s">
        <v>1149</v>
      </c>
      <c r="E14" s="959" t="s">
        <v>896</v>
      </c>
      <c r="F14" s="959" t="s">
        <v>1132</v>
      </c>
      <c r="G14" s="959" t="s">
        <v>1150</v>
      </c>
      <c r="H14" s="959" t="s">
        <v>577</v>
      </c>
      <c r="I14" s="716">
        <v>1075</v>
      </c>
      <c r="J14" s="716">
        <f t="shared" si="0"/>
        <v>13460.64</v>
      </c>
    </row>
    <row r="15" spans="1:10" hidden="1" outlineLevel="1" x14ac:dyDescent="0.3">
      <c r="B15" s="959" t="s">
        <v>1151</v>
      </c>
      <c r="C15" s="959" t="s">
        <v>871</v>
      </c>
      <c r="D15" s="959" t="s">
        <v>1152</v>
      </c>
      <c r="E15" s="959" t="s">
        <v>896</v>
      </c>
      <c r="F15" s="959" t="s">
        <v>1132</v>
      </c>
      <c r="G15" s="959" t="s">
        <v>1153</v>
      </c>
      <c r="H15" s="959" t="s">
        <v>577</v>
      </c>
      <c r="I15" s="716">
        <v>1678.57</v>
      </c>
      <c r="J15" s="716">
        <f t="shared" si="0"/>
        <v>15139.21</v>
      </c>
    </row>
    <row r="16" spans="1:10" hidden="1" outlineLevel="1" x14ac:dyDescent="0.3">
      <c r="A16" s="165"/>
      <c r="B16" s="962" t="s">
        <v>1039</v>
      </c>
      <c r="C16" s="962" t="s">
        <v>871</v>
      </c>
      <c r="D16" s="962" t="s">
        <v>1154</v>
      </c>
      <c r="E16" s="962" t="s">
        <v>896</v>
      </c>
      <c r="F16" s="962" t="s">
        <v>1132</v>
      </c>
      <c r="G16" s="962" t="s">
        <v>1153</v>
      </c>
      <c r="H16" s="962" t="s">
        <v>577</v>
      </c>
      <c r="I16" s="923">
        <v>321.25</v>
      </c>
      <c r="J16" s="716">
        <f t="shared" si="0"/>
        <v>15460.46</v>
      </c>
    </row>
    <row r="17" spans="1:10" collapsed="1" x14ac:dyDescent="0.3">
      <c r="A17" s="1350"/>
      <c r="B17" s="1351" t="s">
        <v>890</v>
      </c>
      <c r="C17" s="1351" t="s">
        <v>892</v>
      </c>
      <c r="D17" s="1351" t="s">
        <v>893</v>
      </c>
      <c r="E17" s="1351" t="s">
        <v>896</v>
      </c>
      <c r="F17" s="1351"/>
      <c r="G17" s="1351" t="s">
        <v>1049</v>
      </c>
      <c r="H17" s="1351" t="s">
        <v>577</v>
      </c>
      <c r="I17" s="1349">
        <v>-15460.46</v>
      </c>
      <c r="J17" s="1349">
        <f t="shared" si="0"/>
        <v>0</v>
      </c>
    </row>
    <row r="18" spans="1:10" x14ac:dyDescent="0.3">
      <c r="B18" s="959" t="s">
        <v>1155</v>
      </c>
      <c r="C18" s="959" t="s">
        <v>871</v>
      </c>
      <c r="D18" s="959" t="s">
        <v>1156</v>
      </c>
      <c r="E18" s="959" t="s">
        <v>896</v>
      </c>
      <c r="F18" s="959" t="s">
        <v>1132</v>
      </c>
      <c r="G18" s="959" t="s">
        <v>1150</v>
      </c>
      <c r="H18" s="959" t="s">
        <v>577</v>
      </c>
      <c r="I18" s="716">
        <v>4806.49</v>
      </c>
      <c r="J18" s="716">
        <f t="shared" si="0"/>
        <v>4806.49</v>
      </c>
    </row>
    <row r="19" spans="1:10" x14ac:dyDescent="0.3">
      <c r="B19" s="962" t="s">
        <v>1157</v>
      </c>
      <c r="C19" s="962" t="s">
        <v>871</v>
      </c>
      <c r="D19" s="962" t="s">
        <v>1158</v>
      </c>
      <c r="E19" s="962" t="s">
        <v>896</v>
      </c>
      <c r="F19" s="962" t="s">
        <v>1132</v>
      </c>
      <c r="G19" s="962" t="s">
        <v>1159</v>
      </c>
      <c r="H19" s="962" t="s">
        <v>577</v>
      </c>
      <c r="I19" s="923">
        <v>759.35</v>
      </c>
      <c r="J19" s="923">
        <f t="shared" si="0"/>
        <v>5565.84</v>
      </c>
    </row>
    <row r="20" spans="1:10" x14ac:dyDescent="0.3">
      <c r="B20" s="959" t="s">
        <v>1896</v>
      </c>
      <c r="C20" s="959" t="s">
        <v>871</v>
      </c>
      <c r="D20" s="959" t="s">
        <v>1897</v>
      </c>
      <c r="E20" s="959" t="s">
        <v>896</v>
      </c>
      <c r="F20" s="959" t="s">
        <v>1132</v>
      </c>
      <c r="G20" s="959" t="s">
        <v>1898</v>
      </c>
      <c r="H20" s="959" t="s">
        <v>577</v>
      </c>
      <c r="I20" s="918">
        <v>5516</v>
      </c>
      <c r="J20" s="716">
        <f t="shared" si="0"/>
        <v>11081.84</v>
      </c>
    </row>
    <row r="21" spans="1:10" x14ac:dyDescent="0.3">
      <c r="B21" s="959" t="s">
        <v>1899</v>
      </c>
      <c r="C21" s="959" t="s">
        <v>871</v>
      </c>
      <c r="D21" s="959" t="s">
        <v>1900</v>
      </c>
      <c r="E21" s="959" t="s">
        <v>896</v>
      </c>
      <c r="F21" s="959" t="s">
        <v>1132</v>
      </c>
      <c r="G21" s="959" t="s">
        <v>1901</v>
      </c>
      <c r="H21" s="959" t="s">
        <v>577</v>
      </c>
      <c r="I21" s="918">
        <v>637.47</v>
      </c>
      <c r="J21" s="716">
        <f t="shared" si="0"/>
        <v>11719.31</v>
      </c>
    </row>
    <row r="22" spans="1:10" x14ac:dyDescent="0.3">
      <c r="B22" s="959" t="s">
        <v>1887</v>
      </c>
      <c r="C22" s="959" t="s">
        <v>871</v>
      </c>
      <c r="D22" s="959" t="s">
        <v>1902</v>
      </c>
      <c r="E22" s="959" t="s">
        <v>896</v>
      </c>
      <c r="F22" s="959" t="s">
        <v>1132</v>
      </c>
      <c r="G22" s="959" t="s">
        <v>1898</v>
      </c>
      <c r="H22" s="959" t="s">
        <v>577</v>
      </c>
      <c r="I22" s="918">
        <v>2068</v>
      </c>
      <c r="J22" s="716">
        <f t="shared" si="0"/>
        <v>13787.31</v>
      </c>
    </row>
    <row r="23" spans="1:10" x14ac:dyDescent="0.3">
      <c r="B23" s="959" t="s">
        <v>1903</v>
      </c>
      <c r="C23" s="959" t="s">
        <v>871</v>
      </c>
      <c r="D23" s="959" t="s">
        <v>1904</v>
      </c>
      <c r="E23" s="959" t="s">
        <v>896</v>
      </c>
      <c r="F23" s="959" t="s">
        <v>1132</v>
      </c>
      <c r="G23" s="959" t="s">
        <v>1898</v>
      </c>
      <c r="H23" s="959" t="s">
        <v>577</v>
      </c>
      <c r="I23" s="918">
        <v>788</v>
      </c>
      <c r="J23" s="716">
        <f t="shared" si="0"/>
        <v>14575.31</v>
      </c>
    </row>
    <row r="24" spans="1:10" x14ac:dyDescent="0.3">
      <c r="B24" s="959"/>
      <c r="C24" s="959"/>
      <c r="D24" s="959"/>
      <c r="E24" s="959"/>
      <c r="F24" s="959"/>
      <c r="G24" s="959"/>
      <c r="H24" s="959"/>
      <c r="I24" s="978">
        <v>247.87</v>
      </c>
      <c r="J24" s="716">
        <f t="shared" si="0"/>
        <v>14823.18</v>
      </c>
    </row>
    <row r="25" spans="1:10" x14ac:dyDescent="0.3">
      <c r="A25" s="964" t="s">
        <v>1160</v>
      </c>
      <c r="I25" s="929">
        <f>SUM(I18:I24)</f>
        <v>14823.18</v>
      </c>
      <c r="J25" s="792"/>
    </row>
    <row r="26" spans="1:10" x14ac:dyDescent="0.3">
      <c r="A26" s="964" t="s">
        <v>1095</v>
      </c>
      <c r="I26" s="929">
        <f>I25</f>
        <v>14823.18</v>
      </c>
      <c r="J26" s="792"/>
    </row>
    <row r="27" spans="1:10" x14ac:dyDescent="0.3">
      <c r="A27" s="964" t="s">
        <v>0</v>
      </c>
      <c r="I27" s="929">
        <f>I26</f>
        <v>14823.18</v>
      </c>
      <c r="J27" s="792"/>
    </row>
    <row r="30" spans="1:10" x14ac:dyDescent="0.3">
      <c r="A30" s="965" t="s">
        <v>1161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C7B9-BCE1-4489-8FFD-B14A74F099F7}">
  <dimension ref="A1:J27"/>
  <sheetViews>
    <sheetView workbookViewId="0"/>
  </sheetViews>
  <sheetFormatPr defaultRowHeight="14.4" outlineLevelRow="1" outlineLevelCol="1" x14ac:dyDescent="0.3"/>
  <cols>
    <col min="1" max="1" width="15.109375" customWidth="1"/>
    <col min="2" max="2" width="9.44140625" customWidth="1"/>
    <col min="3" max="3" width="12" customWidth="1"/>
    <col min="4" max="4" width="10.88671875" bestFit="1" customWidth="1"/>
    <col min="5" max="5" width="7.6640625" customWidth="1"/>
    <col min="6" max="6" width="26.5546875" customWidth="1"/>
    <col min="7" max="7" width="79.109375" customWidth="1" outlineLevel="1"/>
    <col min="8" max="8" width="39.5546875" customWidth="1" outlineLevel="1"/>
    <col min="9" max="9" width="10.33203125" style="792" customWidth="1"/>
    <col min="10" max="10" width="8.6640625" customWidth="1" outlineLevel="1"/>
  </cols>
  <sheetData>
    <row r="1" spans="1:10" ht="17.399999999999999" x14ac:dyDescent="0.3">
      <c r="A1" s="412" t="s">
        <v>642</v>
      </c>
      <c r="D1" s="175" t="s">
        <v>1960</v>
      </c>
    </row>
    <row r="2" spans="1:10" ht="17.399999999999999" x14ac:dyDescent="0.3">
      <c r="A2" s="412" t="s">
        <v>864</v>
      </c>
    </row>
    <row r="3" spans="1:10" x14ac:dyDescent="0.3">
      <c r="A3" s="413" t="s">
        <v>1880</v>
      </c>
    </row>
    <row r="5" spans="1:10" ht="24.6" x14ac:dyDescent="0.3">
      <c r="B5" s="414" t="s">
        <v>865</v>
      </c>
      <c r="C5" s="414" t="s">
        <v>866</v>
      </c>
      <c r="D5" s="414" t="s">
        <v>505</v>
      </c>
      <c r="E5" s="414" t="s">
        <v>861</v>
      </c>
      <c r="F5" s="414" t="s">
        <v>867</v>
      </c>
      <c r="G5" s="414" t="s">
        <v>868</v>
      </c>
      <c r="H5" s="414" t="s">
        <v>894</v>
      </c>
      <c r="I5" s="1342" t="s">
        <v>253</v>
      </c>
      <c r="J5" s="414" t="s">
        <v>869</v>
      </c>
    </row>
    <row r="6" spans="1:10" x14ac:dyDescent="0.3">
      <c r="A6" s="964" t="s">
        <v>1047</v>
      </c>
    </row>
    <row r="7" spans="1:10" x14ac:dyDescent="0.3">
      <c r="A7" s="964" t="s">
        <v>1104</v>
      </c>
    </row>
    <row r="8" spans="1:10" outlineLevel="1" x14ac:dyDescent="0.3">
      <c r="B8" s="959" t="s">
        <v>1105</v>
      </c>
      <c r="C8" s="959" t="s">
        <v>871</v>
      </c>
      <c r="D8" s="959" t="s">
        <v>1106</v>
      </c>
      <c r="E8" s="959" t="s">
        <v>896</v>
      </c>
      <c r="F8" s="959" t="s">
        <v>1064</v>
      </c>
      <c r="G8" s="959" t="s">
        <v>1107</v>
      </c>
      <c r="H8" s="959" t="s">
        <v>578</v>
      </c>
      <c r="I8" s="716">
        <v>190.67</v>
      </c>
      <c r="J8" s="257">
        <f>I8</f>
        <v>190.67</v>
      </c>
    </row>
    <row r="9" spans="1:10" outlineLevel="1" x14ac:dyDescent="0.3">
      <c r="B9" s="959" t="s">
        <v>1108</v>
      </c>
      <c r="C9" s="959" t="s">
        <v>871</v>
      </c>
      <c r="D9" s="959" t="s">
        <v>1109</v>
      </c>
      <c r="E9" s="959" t="s">
        <v>896</v>
      </c>
      <c r="F9" s="959" t="s">
        <v>1064</v>
      </c>
      <c r="G9" s="959" t="s">
        <v>1110</v>
      </c>
      <c r="H9" s="959" t="s">
        <v>578</v>
      </c>
      <c r="I9" s="716">
        <v>3353.87</v>
      </c>
      <c r="J9" s="257">
        <f>J8+I9</f>
        <v>3544.54</v>
      </c>
    </row>
    <row r="10" spans="1:10" outlineLevel="1" x14ac:dyDescent="0.3">
      <c r="B10" s="959" t="s">
        <v>1111</v>
      </c>
      <c r="C10" s="959" t="s">
        <v>871</v>
      </c>
      <c r="D10" s="959">
        <v>23841</v>
      </c>
      <c r="E10" s="959" t="s">
        <v>896</v>
      </c>
      <c r="F10" s="959" t="s">
        <v>1112</v>
      </c>
      <c r="G10" s="959" t="s">
        <v>1113</v>
      </c>
      <c r="H10" s="959" t="s">
        <v>578</v>
      </c>
      <c r="I10" s="716">
        <v>7088.6</v>
      </c>
      <c r="J10" s="257">
        <f t="shared" ref="J10:J21" si="0">J9+I10</f>
        <v>10633.14</v>
      </c>
    </row>
    <row r="11" spans="1:10" outlineLevel="1" x14ac:dyDescent="0.3">
      <c r="A11" s="165"/>
      <c r="B11" s="962" t="s">
        <v>1114</v>
      </c>
      <c r="C11" s="962" t="s">
        <v>871</v>
      </c>
      <c r="D11" s="962">
        <v>55</v>
      </c>
      <c r="E11" s="962" t="s">
        <v>896</v>
      </c>
      <c r="F11" s="962" t="s">
        <v>1115</v>
      </c>
      <c r="G11" s="962" t="s">
        <v>1116</v>
      </c>
      <c r="H11" s="962" t="s">
        <v>578</v>
      </c>
      <c r="I11" s="923">
        <v>200</v>
      </c>
      <c r="J11" s="257">
        <f t="shared" si="0"/>
        <v>10833.14</v>
      </c>
    </row>
    <row r="12" spans="1:10" x14ac:dyDescent="0.3">
      <c r="A12" s="1350"/>
      <c r="B12" s="1351" t="s">
        <v>890</v>
      </c>
      <c r="C12" s="1351" t="s">
        <v>892</v>
      </c>
      <c r="D12" s="1351" t="s">
        <v>893</v>
      </c>
      <c r="E12" s="1351" t="s">
        <v>896</v>
      </c>
      <c r="F12" s="1351"/>
      <c r="G12" s="1351" t="s">
        <v>1049</v>
      </c>
      <c r="H12" s="1351" t="s">
        <v>578</v>
      </c>
      <c r="I12" s="1349">
        <v>-10642.47</v>
      </c>
      <c r="J12" s="1348">
        <f t="shared" si="0"/>
        <v>190.67000000000007</v>
      </c>
    </row>
    <row r="13" spans="1:10" x14ac:dyDescent="0.3">
      <c r="B13" s="959" t="s">
        <v>1117</v>
      </c>
      <c r="C13" s="959" t="s">
        <v>871</v>
      </c>
      <c r="D13" s="959" t="s">
        <v>1118</v>
      </c>
      <c r="E13" s="959" t="s">
        <v>896</v>
      </c>
      <c r="F13" s="959" t="s">
        <v>1119</v>
      </c>
      <c r="G13" s="959" t="s">
        <v>1120</v>
      </c>
      <c r="H13" s="959" t="s">
        <v>578</v>
      </c>
      <c r="I13" s="716">
        <v>1500</v>
      </c>
      <c r="J13" s="257">
        <f t="shared" si="0"/>
        <v>1690.67</v>
      </c>
    </row>
    <row r="14" spans="1:10" x14ac:dyDescent="0.3">
      <c r="B14" s="959" t="s">
        <v>1059</v>
      </c>
      <c r="C14" s="959" t="s">
        <v>871</v>
      </c>
      <c r="D14" s="959" t="s">
        <v>1060</v>
      </c>
      <c r="E14" s="959" t="s">
        <v>896</v>
      </c>
      <c r="F14" s="959" t="s">
        <v>933</v>
      </c>
      <c r="G14" s="959" t="s">
        <v>1121</v>
      </c>
      <c r="H14" s="959" t="s">
        <v>578</v>
      </c>
      <c r="I14" s="716">
        <v>49.33</v>
      </c>
      <c r="J14" s="257">
        <f t="shared" si="0"/>
        <v>1740</v>
      </c>
    </row>
    <row r="15" spans="1:10" x14ac:dyDescent="0.3">
      <c r="B15" s="959" t="s">
        <v>1059</v>
      </c>
      <c r="C15" s="959" t="s">
        <v>871</v>
      </c>
      <c r="D15" s="959" t="s">
        <v>1122</v>
      </c>
      <c r="E15" s="959" t="s">
        <v>896</v>
      </c>
      <c r="F15" s="959" t="s">
        <v>933</v>
      </c>
      <c r="G15" s="959" t="s">
        <v>1123</v>
      </c>
      <c r="H15" s="959" t="s">
        <v>578</v>
      </c>
      <c r="I15" s="716">
        <v>163.97</v>
      </c>
      <c r="J15" s="257">
        <f t="shared" si="0"/>
        <v>1903.97</v>
      </c>
    </row>
    <row r="16" spans="1:10" x14ac:dyDescent="0.3">
      <c r="A16" s="165"/>
      <c r="B16" s="962" t="s">
        <v>1124</v>
      </c>
      <c r="C16" s="962" t="s">
        <v>871</v>
      </c>
      <c r="D16" s="962">
        <v>26397</v>
      </c>
      <c r="E16" s="962" t="s">
        <v>896</v>
      </c>
      <c r="F16" s="962" t="s">
        <v>1125</v>
      </c>
      <c r="G16" s="962" t="s">
        <v>1126</v>
      </c>
      <c r="H16" s="962" t="s">
        <v>578</v>
      </c>
      <c r="I16" s="923">
        <v>1069.8</v>
      </c>
      <c r="J16" s="963">
        <f t="shared" si="0"/>
        <v>2973.77</v>
      </c>
    </row>
    <row r="17" spans="1:10" ht="52.2" x14ac:dyDescent="0.3">
      <c r="B17" s="959" t="s">
        <v>1889</v>
      </c>
      <c r="C17" s="959" t="s">
        <v>871</v>
      </c>
      <c r="D17" s="959" t="s">
        <v>1890</v>
      </c>
      <c r="E17" s="959" t="s">
        <v>896</v>
      </c>
      <c r="F17" s="959" t="s">
        <v>933</v>
      </c>
      <c r="G17" s="959" t="s">
        <v>1891</v>
      </c>
      <c r="H17" s="959" t="s">
        <v>578</v>
      </c>
      <c r="I17" s="716">
        <v>3555.18</v>
      </c>
      <c r="J17" s="257">
        <f t="shared" si="0"/>
        <v>6528.95</v>
      </c>
    </row>
    <row r="18" spans="1:10" x14ac:dyDescent="0.3">
      <c r="B18" s="959" t="s">
        <v>1892</v>
      </c>
      <c r="C18" s="959" t="s">
        <v>871</v>
      </c>
      <c r="D18" s="959" t="s">
        <v>1893</v>
      </c>
      <c r="E18" s="959" t="s">
        <v>896</v>
      </c>
      <c r="F18" s="959" t="s">
        <v>933</v>
      </c>
      <c r="G18" s="959" t="s">
        <v>1894</v>
      </c>
      <c r="H18" s="959" t="s">
        <v>578</v>
      </c>
      <c r="I18" s="716">
        <v>100</v>
      </c>
      <c r="J18" s="257">
        <f t="shared" si="0"/>
        <v>6628.95</v>
      </c>
    </row>
    <row r="19" spans="1:10" x14ac:dyDescent="0.3">
      <c r="B19" s="959" t="s">
        <v>1892</v>
      </c>
      <c r="C19" s="959" t="s">
        <v>871</v>
      </c>
      <c r="D19" s="959" t="s">
        <v>1893</v>
      </c>
      <c r="E19" s="959" t="s">
        <v>896</v>
      </c>
      <c r="F19" s="959" t="s">
        <v>933</v>
      </c>
      <c r="G19" s="959" t="s">
        <v>1895</v>
      </c>
      <c r="H19" s="959" t="s">
        <v>578</v>
      </c>
      <c r="I19" s="716">
        <v>65</v>
      </c>
      <c r="J19" s="257">
        <f t="shared" si="0"/>
        <v>6693.95</v>
      </c>
    </row>
    <row r="20" spans="1:10" x14ac:dyDescent="0.3">
      <c r="B20" s="959"/>
      <c r="C20" s="959"/>
      <c r="D20" s="959"/>
      <c r="E20" s="959"/>
      <c r="F20" s="959"/>
      <c r="G20" s="959"/>
      <c r="H20" s="959"/>
      <c r="I20" s="716"/>
      <c r="J20" s="257">
        <f t="shared" si="0"/>
        <v>6693.95</v>
      </c>
    </row>
    <row r="21" spans="1:10" x14ac:dyDescent="0.3">
      <c r="B21" s="959"/>
      <c r="C21" s="959"/>
      <c r="D21" s="959"/>
      <c r="E21" s="959"/>
      <c r="F21" s="959"/>
      <c r="G21" s="959"/>
      <c r="H21" s="959"/>
      <c r="I21" s="716"/>
      <c r="J21" s="257">
        <f t="shared" si="0"/>
        <v>6693.95</v>
      </c>
    </row>
    <row r="22" spans="1:10" x14ac:dyDescent="0.3">
      <c r="A22" s="964" t="s">
        <v>1127</v>
      </c>
      <c r="I22" s="929">
        <f>SUM(I13:I21)</f>
        <v>6503.28</v>
      </c>
    </row>
    <row r="23" spans="1:10" x14ac:dyDescent="0.3">
      <c r="A23" s="964" t="s">
        <v>1095</v>
      </c>
      <c r="I23" s="929">
        <f>I22</f>
        <v>6503.28</v>
      </c>
    </row>
    <row r="24" spans="1:10" x14ac:dyDescent="0.3">
      <c r="A24" s="964" t="s">
        <v>0</v>
      </c>
      <c r="I24" s="929">
        <f>I23</f>
        <v>6503.28</v>
      </c>
    </row>
    <row r="27" spans="1:10" x14ac:dyDescent="0.3">
      <c r="A27" s="965" t="s">
        <v>1128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028-FA16-4ECE-9F76-FB6EBA248C6D}">
  <dimension ref="A1:I35"/>
  <sheetViews>
    <sheetView workbookViewId="0"/>
  </sheetViews>
  <sheetFormatPr defaultColWidth="9.109375" defaultRowHeight="14.4" outlineLevelRow="1" outlineLevelCol="1" x14ac:dyDescent="0.3"/>
  <cols>
    <col min="1" max="1" width="13.6640625" style="474" customWidth="1"/>
    <col min="2" max="2" width="9.44140625" style="474" customWidth="1"/>
    <col min="3" max="3" width="12" style="474" customWidth="1"/>
    <col min="4" max="4" width="17.109375" style="474" customWidth="1"/>
    <col min="5" max="5" width="14.5546875" style="474" customWidth="1"/>
    <col min="6" max="6" width="72.109375" style="474" customWidth="1"/>
    <col min="7" max="7" width="20.5546875" style="474" customWidth="1" outlineLevel="1"/>
    <col min="8" max="8" width="10.33203125" style="474" customWidth="1"/>
    <col min="9" max="9" width="9.5546875" style="474" bestFit="1" customWidth="1"/>
    <col min="10" max="16384" width="9.109375" style="474"/>
  </cols>
  <sheetData>
    <row r="1" spans="1:9" ht="17.399999999999999" x14ac:dyDescent="0.3">
      <c r="A1" s="473" t="s">
        <v>642</v>
      </c>
      <c r="D1" s="175" t="s">
        <v>1960</v>
      </c>
    </row>
    <row r="2" spans="1:9" ht="17.399999999999999" x14ac:dyDescent="0.3">
      <c r="A2" s="473" t="s">
        <v>864</v>
      </c>
    </row>
    <row r="3" spans="1:9" x14ac:dyDescent="0.3">
      <c r="A3" s="475" t="s">
        <v>1888</v>
      </c>
    </row>
    <row r="5" spans="1:9" ht="24.6" x14ac:dyDescent="0.3">
      <c r="B5" s="477" t="s">
        <v>865</v>
      </c>
      <c r="C5" s="477" t="s">
        <v>866</v>
      </c>
      <c r="D5" s="477" t="s">
        <v>505</v>
      </c>
      <c r="E5" s="477" t="s">
        <v>867</v>
      </c>
      <c r="F5" s="477" t="s">
        <v>868</v>
      </c>
      <c r="G5" s="477" t="s">
        <v>894</v>
      </c>
      <c r="H5" s="477" t="s">
        <v>253</v>
      </c>
      <c r="I5" s="477" t="s">
        <v>869</v>
      </c>
    </row>
    <row r="6" spans="1:9" x14ac:dyDescent="0.3">
      <c r="A6" s="970" t="s">
        <v>1162</v>
      </c>
    </row>
    <row r="7" spans="1:9" hidden="1" outlineLevel="1" x14ac:dyDescent="0.3">
      <c r="B7" s="968" t="s">
        <v>1163</v>
      </c>
      <c r="C7" s="968" t="s">
        <v>871</v>
      </c>
      <c r="D7" s="968">
        <v>1</v>
      </c>
      <c r="E7" s="968" t="s">
        <v>1164</v>
      </c>
      <c r="F7" s="968" t="s">
        <v>1165</v>
      </c>
      <c r="G7" s="968" t="s">
        <v>595</v>
      </c>
      <c r="H7" s="716">
        <v>20000</v>
      </c>
      <c r="I7" s="716">
        <f>H7</f>
        <v>20000</v>
      </c>
    </row>
    <row r="8" spans="1:9" hidden="1" outlineLevel="1" x14ac:dyDescent="0.3">
      <c r="B8" s="968" t="s">
        <v>1163</v>
      </c>
      <c r="C8" s="968" t="s">
        <v>871</v>
      </c>
      <c r="D8" s="968">
        <v>1</v>
      </c>
      <c r="E8" s="968" t="s">
        <v>1166</v>
      </c>
      <c r="F8" s="968" t="s">
        <v>1167</v>
      </c>
      <c r="G8" s="968" t="s">
        <v>595</v>
      </c>
      <c r="H8" s="716">
        <v>20000</v>
      </c>
      <c r="I8" s="716">
        <f>I7+H8</f>
        <v>40000</v>
      </c>
    </row>
    <row r="9" spans="1:9" hidden="1" outlineLevel="1" x14ac:dyDescent="0.3">
      <c r="B9" s="968" t="s">
        <v>1168</v>
      </c>
      <c r="C9" s="968" t="s">
        <v>871</v>
      </c>
      <c r="D9" s="968">
        <v>2</v>
      </c>
      <c r="E9" s="968" t="s">
        <v>1166</v>
      </c>
      <c r="F9" s="968" t="s">
        <v>1169</v>
      </c>
      <c r="G9" s="968" t="s">
        <v>595</v>
      </c>
      <c r="H9" s="716">
        <v>10000</v>
      </c>
      <c r="I9" s="716">
        <f t="shared" ref="I9:I33" si="0">I8+H9</f>
        <v>50000</v>
      </c>
    </row>
    <row r="10" spans="1:9" hidden="1" outlineLevel="1" x14ac:dyDescent="0.3">
      <c r="B10" s="968" t="s">
        <v>1168</v>
      </c>
      <c r="C10" s="968" t="s">
        <v>871</v>
      </c>
      <c r="D10" s="968">
        <v>3</v>
      </c>
      <c r="E10" s="968" t="s">
        <v>1164</v>
      </c>
      <c r="F10" s="968" t="s">
        <v>1170</v>
      </c>
      <c r="G10" s="968" t="s">
        <v>595</v>
      </c>
      <c r="H10" s="716">
        <v>10000</v>
      </c>
      <c r="I10" s="716">
        <f t="shared" si="0"/>
        <v>60000</v>
      </c>
    </row>
    <row r="11" spans="1:9" hidden="1" outlineLevel="1" x14ac:dyDescent="0.3">
      <c r="B11" s="968" t="s">
        <v>1171</v>
      </c>
      <c r="C11" s="968" t="s">
        <v>871</v>
      </c>
      <c r="D11" s="968">
        <v>1011122022</v>
      </c>
      <c r="E11" s="968" t="s">
        <v>1172</v>
      </c>
      <c r="F11" s="968" t="s">
        <v>1173</v>
      </c>
      <c r="G11" s="968" t="s">
        <v>595</v>
      </c>
      <c r="H11" s="716">
        <v>22500</v>
      </c>
      <c r="I11" s="716">
        <f t="shared" si="0"/>
        <v>82500</v>
      </c>
    </row>
    <row r="12" spans="1:9" hidden="1" outlineLevel="1" x14ac:dyDescent="0.3">
      <c r="B12" s="968" t="s">
        <v>1174</v>
      </c>
      <c r="C12" s="968" t="s">
        <v>871</v>
      </c>
      <c r="D12" s="968">
        <v>2301</v>
      </c>
      <c r="E12" s="968" t="s">
        <v>1166</v>
      </c>
      <c r="F12" s="968" t="s">
        <v>1175</v>
      </c>
      <c r="G12" s="968" t="s">
        <v>595</v>
      </c>
      <c r="H12" s="716">
        <v>10000</v>
      </c>
      <c r="I12" s="716">
        <f t="shared" si="0"/>
        <v>92500</v>
      </c>
    </row>
    <row r="13" spans="1:9" hidden="1" outlineLevel="1" x14ac:dyDescent="0.3">
      <c r="B13" s="968" t="s">
        <v>1176</v>
      </c>
      <c r="C13" s="968" t="s">
        <v>871</v>
      </c>
      <c r="D13" s="968">
        <v>4</v>
      </c>
      <c r="E13" s="968" t="s">
        <v>1164</v>
      </c>
      <c r="F13" s="968" t="s">
        <v>1170</v>
      </c>
      <c r="G13" s="968" t="s">
        <v>595</v>
      </c>
      <c r="H13" s="716">
        <v>10000</v>
      </c>
      <c r="I13" s="716">
        <f t="shared" si="0"/>
        <v>102500</v>
      </c>
    </row>
    <row r="14" spans="1:9" hidden="1" outlineLevel="1" x14ac:dyDescent="0.3">
      <c r="B14" s="968" t="s">
        <v>1140</v>
      </c>
      <c r="C14" s="968" t="s">
        <v>871</v>
      </c>
      <c r="D14" s="968">
        <v>1312023</v>
      </c>
      <c r="E14" s="968" t="s">
        <v>1172</v>
      </c>
      <c r="F14" s="968" t="s">
        <v>1177</v>
      </c>
      <c r="G14" s="968" t="s">
        <v>595</v>
      </c>
      <c r="H14" s="716">
        <v>10000</v>
      </c>
      <c r="I14" s="716">
        <f t="shared" si="0"/>
        <v>112500</v>
      </c>
    </row>
    <row r="15" spans="1:9" hidden="1" outlineLevel="1" x14ac:dyDescent="0.3">
      <c r="B15" s="968" t="s">
        <v>1178</v>
      </c>
      <c r="C15" s="968" t="s">
        <v>871</v>
      </c>
      <c r="D15" s="968">
        <v>2302</v>
      </c>
      <c r="E15" s="968" t="s">
        <v>1166</v>
      </c>
      <c r="F15" s="968" t="s">
        <v>1179</v>
      </c>
      <c r="G15" s="968" t="s">
        <v>595</v>
      </c>
      <c r="H15" s="716">
        <v>10000</v>
      </c>
      <c r="I15" s="716">
        <f t="shared" si="0"/>
        <v>122500</v>
      </c>
    </row>
    <row r="16" spans="1:9" hidden="1" outlineLevel="1" x14ac:dyDescent="0.3">
      <c r="B16" s="968" t="s">
        <v>1178</v>
      </c>
      <c r="C16" s="968" t="s">
        <v>871</v>
      </c>
      <c r="D16" s="968">
        <v>5</v>
      </c>
      <c r="E16" s="968" t="s">
        <v>1164</v>
      </c>
      <c r="F16" s="968" t="s">
        <v>1170</v>
      </c>
      <c r="G16" s="968" t="s">
        <v>595</v>
      </c>
      <c r="H16" s="716">
        <v>10000</v>
      </c>
      <c r="I16" s="716">
        <f t="shared" si="0"/>
        <v>132500</v>
      </c>
    </row>
    <row r="17" spans="1:9" hidden="1" outlineLevel="1" x14ac:dyDescent="0.3">
      <c r="B17" s="968" t="s">
        <v>1180</v>
      </c>
      <c r="C17" s="968" t="s">
        <v>871</v>
      </c>
      <c r="D17" s="968">
        <v>2282023</v>
      </c>
      <c r="E17" s="968" t="s">
        <v>1172</v>
      </c>
      <c r="F17" s="968" t="s">
        <v>1181</v>
      </c>
      <c r="G17" s="968" t="s">
        <v>595</v>
      </c>
      <c r="H17" s="716">
        <v>10000</v>
      </c>
      <c r="I17" s="716">
        <f t="shared" si="0"/>
        <v>142500</v>
      </c>
    </row>
    <row r="18" spans="1:9" hidden="1" outlineLevel="1" x14ac:dyDescent="0.3">
      <c r="B18" s="968" t="s">
        <v>1182</v>
      </c>
      <c r="C18" s="968" t="s">
        <v>871</v>
      </c>
      <c r="D18" s="968">
        <v>6</v>
      </c>
      <c r="E18" s="968" t="s">
        <v>1164</v>
      </c>
      <c r="F18" s="968" t="s">
        <v>1170</v>
      </c>
      <c r="G18" s="968" t="s">
        <v>595</v>
      </c>
      <c r="H18" s="716">
        <v>10000</v>
      </c>
      <c r="I18" s="716">
        <f t="shared" si="0"/>
        <v>152500</v>
      </c>
    </row>
    <row r="19" spans="1:9" hidden="1" outlineLevel="1" x14ac:dyDescent="0.3">
      <c r="B19" s="968" t="s">
        <v>1183</v>
      </c>
      <c r="C19" s="968" t="s">
        <v>871</v>
      </c>
      <c r="D19" s="968">
        <v>2303</v>
      </c>
      <c r="E19" s="968" t="s">
        <v>1166</v>
      </c>
      <c r="F19" s="968" t="s">
        <v>1184</v>
      </c>
      <c r="G19" s="968" t="s">
        <v>595</v>
      </c>
      <c r="H19" s="716">
        <v>10000</v>
      </c>
      <c r="I19" s="716">
        <f t="shared" si="0"/>
        <v>162500</v>
      </c>
    </row>
    <row r="20" spans="1:9" hidden="1" outlineLevel="1" x14ac:dyDescent="0.3">
      <c r="B20" s="968" t="s">
        <v>947</v>
      </c>
      <c r="C20" s="968" t="s">
        <v>871</v>
      </c>
      <c r="D20" s="968">
        <v>3312023</v>
      </c>
      <c r="E20" s="968" t="s">
        <v>1172</v>
      </c>
      <c r="F20" s="968" t="s">
        <v>1172</v>
      </c>
      <c r="G20" s="968" t="s">
        <v>595</v>
      </c>
      <c r="H20" s="716">
        <v>10000</v>
      </c>
      <c r="I20" s="716">
        <f t="shared" si="0"/>
        <v>172500</v>
      </c>
    </row>
    <row r="21" spans="1:9" hidden="1" outlineLevel="1" x14ac:dyDescent="0.3">
      <c r="B21" s="968" t="s">
        <v>976</v>
      </c>
      <c r="C21" s="968" t="s">
        <v>871</v>
      </c>
      <c r="D21" s="968">
        <v>7</v>
      </c>
      <c r="E21" s="968" t="s">
        <v>1164</v>
      </c>
      <c r="F21" s="968" t="s">
        <v>1170</v>
      </c>
      <c r="G21" s="968" t="s">
        <v>595</v>
      </c>
      <c r="H21" s="716">
        <v>10000</v>
      </c>
      <c r="I21" s="716">
        <f t="shared" si="0"/>
        <v>182500</v>
      </c>
    </row>
    <row r="22" spans="1:9" hidden="1" outlineLevel="1" x14ac:dyDescent="0.3">
      <c r="B22" s="968" t="s">
        <v>1185</v>
      </c>
      <c r="C22" s="968" t="s">
        <v>871</v>
      </c>
      <c r="D22" s="968" t="s">
        <v>1186</v>
      </c>
      <c r="E22" s="968" t="s">
        <v>1172</v>
      </c>
      <c r="F22" s="968" t="s">
        <v>1172</v>
      </c>
      <c r="G22" s="968" t="s">
        <v>595</v>
      </c>
      <c r="H22" s="716">
        <v>10000</v>
      </c>
      <c r="I22" s="716">
        <f t="shared" si="0"/>
        <v>192500</v>
      </c>
    </row>
    <row r="23" spans="1:9" hidden="1" outlineLevel="1" x14ac:dyDescent="0.3">
      <c r="B23" s="968" t="s">
        <v>1185</v>
      </c>
      <c r="C23" s="968" t="s">
        <v>871</v>
      </c>
      <c r="D23" s="968" t="s">
        <v>1186</v>
      </c>
      <c r="E23" s="968" t="s">
        <v>1166</v>
      </c>
      <c r="F23" s="968" t="s">
        <v>1184</v>
      </c>
      <c r="G23" s="968" t="s">
        <v>595</v>
      </c>
      <c r="H23" s="716">
        <v>10000</v>
      </c>
      <c r="I23" s="716">
        <f t="shared" si="0"/>
        <v>202500</v>
      </c>
    </row>
    <row r="24" spans="1:9" hidden="1" outlineLevel="1" x14ac:dyDescent="0.3">
      <c r="B24" s="968" t="s">
        <v>1151</v>
      </c>
      <c r="C24" s="968" t="s">
        <v>892</v>
      </c>
      <c r="D24" s="968" t="s">
        <v>1187</v>
      </c>
      <c r="E24" s="968"/>
      <c r="F24" s="968" t="s">
        <v>1188</v>
      </c>
      <c r="G24" s="968" t="s">
        <v>595</v>
      </c>
      <c r="H24" s="716">
        <v>30000</v>
      </c>
      <c r="I24" s="716">
        <f t="shared" si="0"/>
        <v>232500</v>
      </c>
    </row>
    <row r="25" spans="1:9" hidden="1" outlineLevel="1" x14ac:dyDescent="0.3">
      <c r="B25" s="969" t="s">
        <v>1039</v>
      </c>
      <c r="C25" s="969" t="s">
        <v>892</v>
      </c>
      <c r="D25" s="969" t="s">
        <v>1189</v>
      </c>
      <c r="E25" s="969"/>
      <c r="F25" s="969" t="s">
        <v>1188</v>
      </c>
      <c r="G25" s="969" t="s">
        <v>595</v>
      </c>
      <c r="H25" s="923">
        <v>30000</v>
      </c>
      <c r="I25" s="716">
        <f t="shared" si="0"/>
        <v>262500</v>
      </c>
    </row>
    <row r="26" spans="1:9" collapsed="1" x14ac:dyDescent="0.3">
      <c r="A26" s="1352"/>
      <c r="B26" s="969" t="s">
        <v>890</v>
      </c>
      <c r="C26" s="969" t="s">
        <v>892</v>
      </c>
      <c r="D26" s="969" t="s">
        <v>1190</v>
      </c>
      <c r="E26" s="969"/>
      <c r="F26" s="969" t="s">
        <v>1191</v>
      </c>
      <c r="G26" s="969" t="s">
        <v>595</v>
      </c>
      <c r="H26" s="923">
        <v>-80000</v>
      </c>
      <c r="I26" s="1349">
        <f t="shared" si="0"/>
        <v>182500</v>
      </c>
    </row>
    <row r="27" spans="1:9" x14ac:dyDescent="0.3">
      <c r="A27" s="1352"/>
      <c r="B27" s="1353" t="s">
        <v>1059</v>
      </c>
      <c r="C27" s="1353" t="s">
        <v>871</v>
      </c>
      <c r="D27" s="1353">
        <v>2305</v>
      </c>
      <c r="E27" s="1353" t="s">
        <v>1166</v>
      </c>
      <c r="F27" s="1353" t="s">
        <v>1192</v>
      </c>
      <c r="G27" s="1353" t="s">
        <v>595</v>
      </c>
      <c r="H27" s="1349">
        <v>5000</v>
      </c>
      <c r="I27" s="1349">
        <f t="shared" si="0"/>
        <v>187500</v>
      </c>
    </row>
    <row r="28" spans="1:9" x14ac:dyDescent="0.3">
      <c r="B28" s="959" t="s">
        <v>1884</v>
      </c>
      <c r="C28" s="959" t="s">
        <v>871</v>
      </c>
      <c r="D28" s="959">
        <v>2306</v>
      </c>
      <c r="E28" s="959" t="s">
        <v>1166</v>
      </c>
      <c r="F28" s="959" t="s">
        <v>1885</v>
      </c>
      <c r="G28" s="959" t="s">
        <v>595</v>
      </c>
      <c r="H28" s="918">
        <v>5000</v>
      </c>
      <c r="I28" s="716">
        <f t="shared" si="0"/>
        <v>192500</v>
      </c>
    </row>
    <row r="29" spans="1:9" x14ac:dyDescent="0.3">
      <c r="B29" s="959" t="s">
        <v>1886</v>
      </c>
      <c r="C29" s="959" t="s">
        <v>871</v>
      </c>
      <c r="D29" s="959">
        <v>2307</v>
      </c>
      <c r="E29" s="959" t="s">
        <v>1166</v>
      </c>
      <c r="F29" s="959" t="s">
        <v>1170</v>
      </c>
      <c r="G29" s="959" t="s">
        <v>595</v>
      </c>
      <c r="H29" s="918">
        <v>5000</v>
      </c>
      <c r="I29" s="716">
        <f t="shared" si="0"/>
        <v>197500</v>
      </c>
    </row>
    <row r="30" spans="1:9" x14ac:dyDescent="0.3">
      <c r="B30" s="959" t="s">
        <v>1887</v>
      </c>
      <c r="C30" s="959" t="s">
        <v>871</v>
      </c>
      <c r="D30" s="959">
        <v>2309</v>
      </c>
      <c r="E30" s="959" t="s">
        <v>1166</v>
      </c>
      <c r="F30" s="959" t="s">
        <v>1170</v>
      </c>
      <c r="G30" s="959" t="s">
        <v>595</v>
      </c>
      <c r="H30" s="918">
        <v>5000</v>
      </c>
      <c r="I30" s="716">
        <f t="shared" si="0"/>
        <v>202500</v>
      </c>
    </row>
    <row r="31" spans="1:9" x14ac:dyDescent="0.3">
      <c r="B31" s="968"/>
      <c r="C31" s="968"/>
      <c r="D31" s="968"/>
      <c r="E31" s="968"/>
      <c r="F31" s="968"/>
      <c r="G31" s="968"/>
      <c r="H31" s="716"/>
      <c r="I31" s="716">
        <f t="shared" si="0"/>
        <v>202500</v>
      </c>
    </row>
    <row r="32" spans="1:9" x14ac:dyDescent="0.3">
      <c r="B32" s="968"/>
      <c r="C32" s="968"/>
      <c r="D32" s="968"/>
      <c r="E32" s="968"/>
      <c r="F32" s="968"/>
      <c r="G32" s="968"/>
      <c r="H32" s="716"/>
      <c r="I32" s="716">
        <f t="shared" si="0"/>
        <v>202500</v>
      </c>
    </row>
    <row r="33" spans="1:9" x14ac:dyDescent="0.3">
      <c r="B33" s="968"/>
      <c r="C33" s="968"/>
      <c r="D33" s="968"/>
      <c r="E33" s="968"/>
      <c r="F33" s="968"/>
      <c r="G33" s="968"/>
      <c r="H33" s="716"/>
      <c r="I33" s="716">
        <f t="shared" si="0"/>
        <v>202500</v>
      </c>
    </row>
    <row r="34" spans="1:9" x14ac:dyDescent="0.3">
      <c r="A34" s="970" t="s">
        <v>1193</v>
      </c>
      <c r="H34" s="929">
        <f>SUM(H27:H33)</f>
        <v>20000</v>
      </c>
      <c r="I34" s="957"/>
    </row>
    <row r="35" spans="1:9" x14ac:dyDescent="0.3">
      <c r="A35" s="970" t="s">
        <v>0</v>
      </c>
      <c r="H35" s="929">
        <f>H34</f>
        <v>20000</v>
      </c>
      <c r="I35" s="957"/>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21042-8A8C-444F-A5F7-9BBF322C008C}">
  <dimension ref="A1:J33"/>
  <sheetViews>
    <sheetView workbookViewId="0"/>
  </sheetViews>
  <sheetFormatPr defaultColWidth="9.109375" defaultRowHeight="14.4" outlineLevelRow="1" outlineLevelCol="1" x14ac:dyDescent="0.3"/>
  <cols>
    <col min="1" max="1" width="7.33203125" style="474" customWidth="1"/>
    <col min="2" max="2" width="9.44140625" style="474" customWidth="1"/>
    <col min="3" max="4" width="12" style="474" customWidth="1"/>
    <col min="5" max="5" width="7.6640625" style="474" hidden="1" customWidth="1" outlineLevel="1"/>
    <col min="6" max="6" width="26" style="474" customWidth="1" collapsed="1"/>
    <col min="7" max="7" width="62.88671875" style="474" customWidth="1"/>
    <col min="8" max="8" width="27.44140625" style="474" hidden="1" customWidth="1" outlineLevel="1"/>
    <col min="9" max="9" width="10.33203125" style="1019" customWidth="1" collapsed="1"/>
    <col min="10" max="10" width="9.5546875" style="1019" bestFit="1" customWidth="1"/>
    <col min="11" max="16384" width="9.109375" style="474"/>
  </cols>
  <sheetData>
    <row r="1" spans="1:10" ht="17.399999999999999" x14ac:dyDescent="0.3">
      <c r="A1" s="473" t="s">
        <v>642</v>
      </c>
      <c r="I1" s="1017"/>
      <c r="J1" s="1017"/>
    </row>
    <row r="2" spans="1:10" ht="17.399999999999999" x14ac:dyDescent="0.3">
      <c r="A2" s="473" t="s">
        <v>864</v>
      </c>
      <c r="I2" s="1017"/>
      <c r="J2" s="1017"/>
    </row>
    <row r="3" spans="1:10" x14ac:dyDescent="0.3">
      <c r="A3" s="475" t="s">
        <v>1223</v>
      </c>
      <c r="I3" s="1017"/>
      <c r="J3" s="1017"/>
    </row>
    <row r="5" spans="1:10" ht="24.6" x14ac:dyDescent="0.3">
      <c r="B5" s="477" t="s">
        <v>865</v>
      </c>
      <c r="C5" s="477" t="s">
        <v>866</v>
      </c>
      <c r="D5" s="477" t="s">
        <v>505</v>
      </c>
      <c r="E5" s="477" t="s">
        <v>861</v>
      </c>
      <c r="F5" s="477" t="s">
        <v>867</v>
      </c>
      <c r="G5" s="477" t="s">
        <v>868</v>
      </c>
      <c r="H5" s="477" t="s">
        <v>894</v>
      </c>
      <c r="I5" s="1018" t="s">
        <v>253</v>
      </c>
      <c r="J5" s="1018" t="s">
        <v>869</v>
      </c>
    </row>
    <row r="6" spans="1:10" x14ac:dyDescent="0.3">
      <c r="A6" s="970" t="s">
        <v>1224</v>
      </c>
    </row>
    <row r="7" spans="1:10" hidden="1" outlineLevel="1" x14ac:dyDescent="0.3">
      <c r="B7" s="968" t="s">
        <v>1225</v>
      </c>
      <c r="C7" s="968" t="s">
        <v>892</v>
      </c>
      <c r="D7" s="968" t="s">
        <v>1226</v>
      </c>
      <c r="E7" s="968" t="s">
        <v>896</v>
      </c>
      <c r="F7" s="968"/>
      <c r="G7" s="968" t="s">
        <v>1227</v>
      </c>
      <c r="H7" s="968" t="s">
        <v>523</v>
      </c>
      <c r="I7" s="1020">
        <v>-72011.94</v>
      </c>
      <c r="J7" s="1020">
        <f>I7</f>
        <v>-72011.94</v>
      </c>
    </row>
    <row r="8" spans="1:10" ht="21.6" hidden="1" outlineLevel="1" x14ac:dyDescent="0.3">
      <c r="B8" s="968" t="s">
        <v>1225</v>
      </c>
      <c r="C8" s="968" t="s">
        <v>892</v>
      </c>
      <c r="D8" s="968" t="s">
        <v>1228</v>
      </c>
      <c r="E8" s="968" t="s">
        <v>896</v>
      </c>
      <c r="F8" s="968"/>
      <c r="G8" s="968" t="s">
        <v>1229</v>
      </c>
      <c r="H8" s="968" t="s">
        <v>523</v>
      </c>
      <c r="I8" s="1020">
        <v>72011.94</v>
      </c>
      <c r="J8" s="1020">
        <f>J7+I8</f>
        <v>0</v>
      </c>
    </row>
    <row r="9" spans="1:10" hidden="1" outlineLevel="1" x14ac:dyDescent="0.3">
      <c r="B9" s="968" t="s">
        <v>1230</v>
      </c>
      <c r="C9" s="968" t="s">
        <v>892</v>
      </c>
      <c r="D9" s="968" t="s">
        <v>1231</v>
      </c>
      <c r="E9" s="968" t="s">
        <v>896</v>
      </c>
      <c r="F9" s="968"/>
      <c r="G9" s="968" t="s">
        <v>1232</v>
      </c>
      <c r="H9" s="968" t="s">
        <v>523</v>
      </c>
      <c r="I9" s="1020">
        <v>-36006</v>
      </c>
      <c r="J9" s="1020">
        <f t="shared" ref="J9:J28" si="0">J8+I9</f>
        <v>-36006</v>
      </c>
    </row>
    <row r="10" spans="1:10" hidden="1" outlineLevel="1" x14ac:dyDescent="0.3">
      <c r="B10" s="968" t="s">
        <v>1230</v>
      </c>
      <c r="C10" s="968" t="s">
        <v>892</v>
      </c>
      <c r="D10" s="968" t="s">
        <v>1233</v>
      </c>
      <c r="E10" s="968" t="s">
        <v>896</v>
      </c>
      <c r="F10" s="968"/>
      <c r="G10" s="968" t="s">
        <v>1234</v>
      </c>
      <c r="H10" s="968" t="s">
        <v>523</v>
      </c>
      <c r="I10" s="1020">
        <v>36006</v>
      </c>
      <c r="J10" s="1020">
        <f t="shared" si="0"/>
        <v>0</v>
      </c>
    </row>
    <row r="11" spans="1:10" hidden="1" outlineLevel="1" x14ac:dyDescent="0.3">
      <c r="B11" s="968" t="s">
        <v>1235</v>
      </c>
      <c r="C11" s="968" t="s">
        <v>892</v>
      </c>
      <c r="D11" s="968" t="s">
        <v>1236</v>
      </c>
      <c r="E11" s="968" t="s">
        <v>896</v>
      </c>
      <c r="F11" s="968"/>
      <c r="G11" s="968" t="s">
        <v>1237</v>
      </c>
      <c r="H11" s="968" t="s">
        <v>523</v>
      </c>
      <c r="I11" s="1020">
        <v>23219.71</v>
      </c>
      <c r="J11" s="1020">
        <f t="shared" si="0"/>
        <v>23219.71</v>
      </c>
    </row>
    <row r="12" spans="1:10" hidden="1" outlineLevel="1" x14ac:dyDescent="0.3">
      <c r="A12" s="1022"/>
      <c r="B12" s="969" t="s">
        <v>1238</v>
      </c>
      <c r="C12" s="969" t="s">
        <v>892</v>
      </c>
      <c r="D12" s="969" t="s">
        <v>1239</v>
      </c>
      <c r="E12" s="969" t="s">
        <v>896</v>
      </c>
      <c r="F12" s="969"/>
      <c r="G12" s="969" t="s">
        <v>1240</v>
      </c>
      <c r="H12" s="969" t="s">
        <v>523</v>
      </c>
      <c r="I12" s="1023">
        <v>-23219.71</v>
      </c>
      <c r="J12" s="1023">
        <f t="shared" si="0"/>
        <v>0</v>
      </c>
    </row>
    <row r="13" spans="1:10" hidden="1" outlineLevel="1" x14ac:dyDescent="0.3">
      <c r="B13" s="968" t="s">
        <v>1241</v>
      </c>
      <c r="C13" s="968" t="s">
        <v>871</v>
      </c>
      <c r="D13" s="968">
        <v>12612</v>
      </c>
      <c r="E13" s="968" t="s">
        <v>896</v>
      </c>
      <c r="F13" s="968" t="s">
        <v>1098</v>
      </c>
      <c r="G13" s="968" t="s">
        <v>1242</v>
      </c>
      <c r="H13" s="968" t="s">
        <v>523</v>
      </c>
      <c r="I13" s="1020">
        <v>7905.27</v>
      </c>
      <c r="J13" s="1020">
        <f t="shared" si="0"/>
        <v>7905.27</v>
      </c>
    </row>
    <row r="14" spans="1:10" hidden="1" outlineLevel="1" x14ac:dyDescent="0.3">
      <c r="B14" s="968" t="s">
        <v>1241</v>
      </c>
      <c r="C14" s="968" t="s">
        <v>871</v>
      </c>
      <c r="D14" s="968">
        <v>12613</v>
      </c>
      <c r="E14" s="968" t="s">
        <v>896</v>
      </c>
      <c r="F14" s="968" t="s">
        <v>1098</v>
      </c>
      <c r="G14" s="968" t="s">
        <v>1243</v>
      </c>
      <c r="H14" s="968" t="s">
        <v>523</v>
      </c>
      <c r="I14" s="1020">
        <v>18483.59</v>
      </c>
      <c r="J14" s="1020">
        <f t="shared" si="0"/>
        <v>26388.86</v>
      </c>
    </row>
    <row r="15" spans="1:10" hidden="1" outlineLevel="1" x14ac:dyDescent="0.3">
      <c r="B15" s="968" t="s">
        <v>1244</v>
      </c>
      <c r="C15" s="968" t="s">
        <v>871</v>
      </c>
      <c r="D15" s="968">
        <v>291354206</v>
      </c>
      <c r="E15" s="968" t="s">
        <v>896</v>
      </c>
      <c r="F15" s="968" t="s">
        <v>1245</v>
      </c>
      <c r="G15" s="968" t="s">
        <v>1246</v>
      </c>
      <c r="H15" s="968" t="s">
        <v>523</v>
      </c>
      <c r="I15" s="1020">
        <v>879.88</v>
      </c>
      <c r="J15" s="1020">
        <f t="shared" si="0"/>
        <v>27268.74</v>
      </c>
    </row>
    <row r="16" spans="1:10" hidden="1" outlineLevel="1" x14ac:dyDescent="0.3">
      <c r="B16" s="968" t="s">
        <v>1016</v>
      </c>
      <c r="C16" s="968" t="s">
        <v>901</v>
      </c>
      <c r="D16" s="968">
        <v>73048</v>
      </c>
      <c r="E16" s="968" t="s">
        <v>896</v>
      </c>
      <c r="F16" s="968" t="s">
        <v>1247</v>
      </c>
      <c r="G16" s="968" t="s">
        <v>1248</v>
      </c>
      <c r="H16" s="968" t="s">
        <v>523</v>
      </c>
      <c r="I16" s="1020">
        <v>126.82</v>
      </c>
      <c r="J16" s="1020">
        <f t="shared" si="0"/>
        <v>27395.56</v>
      </c>
    </row>
    <row r="17" spans="1:10" hidden="1" outlineLevel="1" x14ac:dyDescent="0.3">
      <c r="B17" s="968" t="s">
        <v>1018</v>
      </c>
      <c r="C17" s="968" t="s">
        <v>871</v>
      </c>
      <c r="D17" s="968">
        <v>279747</v>
      </c>
      <c r="E17" s="968" t="s">
        <v>896</v>
      </c>
      <c r="F17" s="968" t="s">
        <v>1030</v>
      </c>
      <c r="G17" s="968" t="s">
        <v>1249</v>
      </c>
      <c r="H17" s="968" t="s">
        <v>523</v>
      </c>
      <c r="I17" s="1020">
        <v>418.23</v>
      </c>
      <c r="J17" s="1020">
        <f t="shared" si="0"/>
        <v>27813.79</v>
      </c>
    </row>
    <row r="18" spans="1:10" hidden="1" outlineLevel="1" x14ac:dyDescent="0.3">
      <c r="B18" s="968" t="s">
        <v>1018</v>
      </c>
      <c r="C18" s="968" t="s">
        <v>871</v>
      </c>
      <c r="D18" s="968">
        <v>279750</v>
      </c>
      <c r="E18" s="968" t="s">
        <v>896</v>
      </c>
      <c r="F18" s="968" t="s">
        <v>1030</v>
      </c>
      <c r="G18" s="968" t="s">
        <v>1250</v>
      </c>
      <c r="H18" s="968" t="s">
        <v>523</v>
      </c>
      <c r="I18" s="1020">
        <v>367.34</v>
      </c>
      <c r="J18" s="1020">
        <f t="shared" si="0"/>
        <v>28181.13</v>
      </c>
    </row>
    <row r="19" spans="1:10" hidden="1" outlineLevel="1" x14ac:dyDescent="0.3">
      <c r="B19" s="968" t="s">
        <v>1020</v>
      </c>
      <c r="C19" s="968" t="s">
        <v>871</v>
      </c>
      <c r="D19" s="968">
        <v>279836</v>
      </c>
      <c r="E19" s="968" t="s">
        <v>896</v>
      </c>
      <c r="F19" s="968" t="s">
        <v>1030</v>
      </c>
      <c r="G19" s="968" t="s">
        <v>1251</v>
      </c>
      <c r="H19" s="968" t="s">
        <v>523</v>
      </c>
      <c r="I19" s="1020">
        <v>32.75</v>
      </c>
      <c r="J19" s="1020">
        <f t="shared" si="0"/>
        <v>28213.88</v>
      </c>
    </row>
    <row r="20" spans="1:10" hidden="1" outlineLevel="1" x14ac:dyDescent="0.3">
      <c r="B20" s="968" t="s">
        <v>1020</v>
      </c>
      <c r="C20" s="968" t="s">
        <v>871</v>
      </c>
      <c r="D20" s="968">
        <v>279838</v>
      </c>
      <c r="E20" s="968" t="s">
        <v>896</v>
      </c>
      <c r="F20" s="968" t="s">
        <v>1030</v>
      </c>
      <c r="G20" s="968" t="s">
        <v>1251</v>
      </c>
      <c r="H20" s="968" t="s">
        <v>523</v>
      </c>
      <c r="I20" s="1020">
        <v>5.3</v>
      </c>
      <c r="J20" s="1020">
        <f t="shared" si="0"/>
        <v>28219.18</v>
      </c>
    </row>
    <row r="21" spans="1:10" hidden="1" outlineLevel="1" x14ac:dyDescent="0.3">
      <c r="B21" s="968" t="s">
        <v>1252</v>
      </c>
      <c r="C21" s="968" t="s">
        <v>871</v>
      </c>
      <c r="D21" s="968">
        <v>13021</v>
      </c>
      <c r="E21" s="968" t="s">
        <v>896</v>
      </c>
      <c r="F21" s="968" t="s">
        <v>1098</v>
      </c>
      <c r="G21" s="968" t="s">
        <v>1253</v>
      </c>
      <c r="H21" s="968" t="s">
        <v>523</v>
      </c>
      <c r="I21" s="1020">
        <v>7152.62</v>
      </c>
      <c r="J21" s="1020">
        <f t="shared" si="0"/>
        <v>35371.800000000003</v>
      </c>
    </row>
    <row r="22" spans="1:10" hidden="1" outlineLevel="1" x14ac:dyDescent="0.3">
      <c r="B22" s="968" t="s">
        <v>1039</v>
      </c>
      <c r="C22" s="968" t="s">
        <v>871</v>
      </c>
      <c r="D22" s="968">
        <v>3848</v>
      </c>
      <c r="E22" s="968" t="s">
        <v>896</v>
      </c>
      <c r="F22" s="968" t="s">
        <v>907</v>
      </c>
      <c r="G22" s="968" t="s">
        <v>1254</v>
      </c>
      <c r="H22" s="968" t="s">
        <v>523</v>
      </c>
      <c r="I22" s="1020">
        <v>2032.96</v>
      </c>
      <c r="J22" s="1020">
        <f t="shared" si="0"/>
        <v>37404.76</v>
      </c>
    </row>
    <row r="23" spans="1:10" hidden="1" outlineLevel="1" x14ac:dyDescent="0.3">
      <c r="B23" s="968" t="s">
        <v>1039</v>
      </c>
      <c r="C23" s="968" t="s">
        <v>871</v>
      </c>
      <c r="D23" s="968">
        <v>3850</v>
      </c>
      <c r="E23" s="968" t="s">
        <v>896</v>
      </c>
      <c r="F23" s="968" t="s">
        <v>907</v>
      </c>
      <c r="G23" s="968" t="s">
        <v>1255</v>
      </c>
      <c r="H23" s="968" t="s">
        <v>523</v>
      </c>
      <c r="I23" s="1020">
        <v>1997.52</v>
      </c>
      <c r="J23" s="1020">
        <f t="shared" si="0"/>
        <v>39402.28</v>
      </c>
    </row>
    <row r="24" spans="1:10" hidden="1" outlineLevel="1" x14ac:dyDescent="0.3">
      <c r="A24" s="1022"/>
      <c r="B24" s="969" t="s">
        <v>1041</v>
      </c>
      <c r="C24" s="969" t="s">
        <v>871</v>
      </c>
      <c r="D24" s="969" t="s">
        <v>1256</v>
      </c>
      <c r="E24" s="969" t="s">
        <v>896</v>
      </c>
      <c r="F24" s="969" t="s">
        <v>873</v>
      </c>
      <c r="G24" s="969" t="s">
        <v>1257</v>
      </c>
      <c r="H24" s="969" t="s">
        <v>523</v>
      </c>
      <c r="I24" s="1023">
        <v>256.8</v>
      </c>
      <c r="J24" s="1023">
        <f t="shared" si="0"/>
        <v>39659.08</v>
      </c>
    </row>
    <row r="25" spans="1:10" hidden="1" outlineLevel="1" x14ac:dyDescent="0.3">
      <c r="B25" s="968" t="s">
        <v>890</v>
      </c>
      <c r="C25" s="968" t="s">
        <v>892</v>
      </c>
      <c r="D25" s="968" t="s">
        <v>893</v>
      </c>
      <c r="E25" s="968" t="s">
        <v>896</v>
      </c>
      <c r="F25" s="968"/>
      <c r="G25" s="968" t="s">
        <v>1049</v>
      </c>
      <c r="H25" s="968" t="s">
        <v>523</v>
      </c>
      <c r="I25" s="1020">
        <v>274997.02</v>
      </c>
      <c r="J25" s="1020">
        <f t="shared" si="0"/>
        <v>314656.10000000003</v>
      </c>
    </row>
    <row r="26" spans="1:10" hidden="1" outlineLevel="1" x14ac:dyDescent="0.3">
      <c r="B26" s="968" t="s">
        <v>890</v>
      </c>
      <c r="C26" s="968" t="s">
        <v>892</v>
      </c>
      <c r="D26" s="968" t="s">
        <v>1258</v>
      </c>
      <c r="E26" s="968" t="s">
        <v>896</v>
      </c>
      <c r="F26" s="968"/>
      <c r="G26" s="968" t="s">
        <v>1259</v>
      </c>
      <c r="H26" s="968" t="s">
        <v>523</v>
      </c>
      <c r="I26" s="1020">
        <v>5047</v>
      </c>
      <c r="J26" s="1020">
        <f t="shared" si="0"/>
        <v>319703.10000000003</v>
      </c>
    </row>
    <row r="27" spans="1:10" collapsed="1" x14ac:dyDescent="0.3">
      <c r="A27" s="1352"/>
      <c r="B27" s="1353" t="s">
        <v>890</v>
      </c>
      <c r="C27" s="1353" t="s">
        <v>892</v>
      </c>
      <c r="D27" s="1353" t="s">
        <v>1190</v>
      </c>
      <c r="E27" s="1353" t="s">
        <v>896</v>
      </c>
      <c r="F27" s="1353"/>
      <c r="G27" s="1353" t="s">
        <v>1191</v>
      </c>
      <c r="H27" s="1353" t="s">
        <v>523</v>
      </c>
      <c r="I27" s="1354">
        <v>80000</v>
      </c>
      <c r="J27" s="1354">
        <f t="shared" si="0"/>
        <v>399703.10000000003</v>
      </c>
    </row>
    <row r="28" spans="1:10" x14ac:dyDescent="0.3">
      <c r="B28" s="968" t="s">
        <v>1155</v>
      </c>
      <c r="C28" s="968" t="s">
        <v>892</v>
      </c>
      <c r="D28" s="968" t="s">
        <v>1260</v>
      </c>
      <c r="E28" s="968" t="s">
        <v>896</v>
      </c>
      <c r="F28" s="968"/>
      <c r="G28" s="968" t="s">
        <v>1259</v>
      </c>
      <c r="H28" s="968" t="s">
        <v>523</v>
      </c>
      <c r="I28" s="1020">
        <v>-5047</v>
      </c>
      <c r="J28" s="1020">
        <f t="shared" si="0"/>
        <v>394656.10000000003</v>
      </c>
    </row>
    <row r="29" spans="1:10" x14ac:dyDescent="0.3">
      <c r="A29" s="970" t="s">
        <v>1261</v>
      </c>
      <c r="I29" s="1021">
        <f>I28</f>
        <v>-5047</v>
      </c>
    </row>
    <row r="30" spans="1:10" x14ac:dyDescent="0.3">
      <c r="A30" s="970" t="s">
        <v>0</v>
      </c>
      <c r="I30" s="1021">
        <f>I29</f>
        <v>-5047</v>
      </c>
    </row>
    <row r="33" spans="1:10" x14ac:dyDescent="0.3">
      <c r="A33" s="971" t="s">
        <v>1262</v>
      </c>
      <c r="I33" s="1017"/>
      <c r="J33" s="1017"/>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37E3-C9DA-4D53-B6E9-EA74B94A1754}">
  <dimension ref="A1:J11"/>
  <sheetViews>
    <sheetView workbookViewId="0"/>
  </sheetViews>
  <sheetFormatPr defaultColWidth="9.109375" defaultRowHeight="14.4" outlineLevelCol="1" x14ac:dyDescent="0.3"/>
  <cols>
    <col min="1" max="1" width="7.6640625" style="474" customWidth="1"/>
    <col min="2" max="2" width="9.44140625" style="474" customWidth="1"/>
    <col min="3" max="3" width="12" style="474" customWidth="1"/>
    <col min="4" max="4" width="18" style="474" customWidth="1"/>
    <col min="5" max="5" width="7.6640625" style="1167" customWidth="1"/>
    <col min="6" max="6" width="17.6640625" style="474" customWidth="1"/>
    <col min="7" max="7" width="50.88671875" style="474" bestFit="1" customWidth="1"/>
    <col min="8" max="8" width="18.88671875" style="474" hidden="1" customWidth="1" outlineLevel="1"/>
    <col min="9" max="9" width="8.5546875" style="474" bestFit="1" customWidth="1" collapsed="1"/>
    <col min="10" max="10" width="8.5546875" style="474" bestFit="1" customWidth="1"/>
    <col min="11" max="16384" width="9.109375" style="474"/>
  </cols>
  <sheetData>
    <row r="1" spans="1:10" ht="17.399999999999999" x14ac:dyDescent="0.3">
      <c r="A1" s="950" t="s">
        <v>642</v>
      </c>
    </row>
    <row r="2" spans="1:10" ht="17.399999999999999" x14ac:dyDescent="0.3">
      <c r="A2" s="950" t="s">
        <v>864</v>
      </c>
    </row>
    <row r="3" spans="1:10" x14ac:dyDescent="0.3">
      <c r="A3" s="475" t="s">
        <v>1851</v>
      </c>
    </row>
    <row r="5" spans="1:10" ht="24.6" x14ac:dyDescent="0.3">
      <c r="B5" s="951" t="s">
        <v>865</v>
      </c>
      <c r="C5" s="951" t="s">
        <v>866</v>
      </c>
      <c r="D5" s="951" t="s">
        <v>505</v>
      </c>
      <c r="E5" s="951" t="s">
        <v>861</v>
      </c>
      <c r="F5" s="951" t="s">
        <v>867</v>
      </c>
      <c r="G5" s="951" t="s">
        <v>868</v>
      </c>
      <c r="H5" s="951" t="s">
        <v>894</v>
      </c>
      <c r="I5" s="951" t="s">
        <v>253</v>
      </c>
      <c r="J5" s="951" t="s">
        <v>869</v>
      </c>
    </row>
    <row r="6" spans="1:10" x14ac:dyDescent="0.3">
      <c r="B6" s="1360" t="s">
        <v>890</v>
      </c>
      <c r="C6" s="1360" t="s">
        <v>892</v>
      </c>
      <c r="D6" s="1360" t="s">
        <v>897</v>
      </c>
      <c r="E6" s="1361" t="s">
        <v>896</v>
      </c>
      <c r="F6" s="1360"/>
      <c r="G6" s="1360" t="s">
        <v>898</v>
      </c>
      <c r="H6" s="1360" t="s">
        <v>474</v>
      </c>
      <c r="I6" s="1362">
        <v>-5200</v>
      </c>
      <c r="J6" s="1362">
        <v>-5200</v>
      </c>
    </row>
    <row r="7" spans="1:10" x14ac:dyDescent="0.3">
      <c r="B7" s="1346">
        <v>45200</v>
      </c>
      <c r="C7" s="968" t="s">
        <v>871</v>
      </c>
      <c r="D7" s="952">
        <v>196843</v>
      </c>
      <c r="E7" s="1347" t="s">
        <v>896</v>
      </c>
      <c r="F7" s="968" t="s">
        <v>1882</v>
      </c>
      <c r="G7" s="968" t="s">
        <v>1883</v>
      </c>
      <c r="H7" s="952" t="s">
        <v>474</v>
      </c>
      <c r="I7" s="955">
        <v>4.7699999999999996</v>
      </c>
      <c r="J7" s="955">
        <f>J6+I7</f>
        <v>-5195.2299999999996</v>
      </c>
    </row>
    <row r="8" spans="1:10" x14ac:dyDescent="0.3">
      <c r="A8" s="953" t="s">
        <v>0</v>
      </c>
      <c r="I8" s="956">
        <f>SUM(I6:I7)</f>
        <v>-5195.2299999999996</v>
      </c>
      <c r="J8" s="957"/>
    </row>
    <row r="11" spans="1:10" x14ac:dyDescent="0.3">
      <c r="A11" s="954" t="s">
        <v>899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23E0-5B2C-4CCE-8306-8E6B6C10C979}">
  <sheetPr>
    <tabColor theme="1"/>
  </sheetPr>
  <dimension ref="B2"/>
  <sheetViews>
    <sheetView workbookViewId="0"/>
  </sheetViews>
  <sheetFormatPr defaultColWidth="9.109375" defaultRowHeight="14.4" x14ac:dyDescent="0.3"/>
  <cols>
    <col min="1" max="16384" width="9.109375" style="1"/>
  </cols>
  <sheetData>
    <row r="2" spans="2:2" x14ac:dyDescent="0.3">
      <c r="B2" s="138" t="s">
        <v>23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B675-A91F-40BF-80F4-7C105E064439}">
  <sheetPr>
    <tabColor theme="7" tint="0.79998168889431442"/>
  </sheetPr>
  <dimension ref="A1:B24"/>
  <sheetViews>
    <sheetView workbookViewId="0">
      <selection activeCell="L41" sqref="L41"/>
    </sheetView>
  </sheetViews>
  <sheetFormatPr defaultColWidth="9.109375" defaultRowHeight="12" outlineLevelRow="1" x14ac:dyDescent="0.25"/>
  <cols>
    <col min="1" max="1" width="37.44140625" style="3" customWidth="1"/>
    <col min="2" max="2" width="39" style="3" bestFit="1" customWidth="1"/>
    <col min="3" max="16384" width="9.109375" style="3"/>
  </cols>
  <sheetData>
    <row r="1" spans="1:2" x14ac:dyDescent="0.25">
      <c r="A1" s="6" t="s">
        <v>397</v>
      </c>
    </row>
    <row r="3" spans="1:2" x14ac:dyDescent="0.25">
      <c r="A3" s="6" t="s">
        <v>396</v>
      </c>
      <c r="B3" s="539" t="s">
        <v>370</v>
      </c>
    </row>
    <row r="5" spans="1:2" ht="12.6" thickBot="1" x14ac:dyDescent="0.3">
      <c r="A5" s="13" t="s">
        <v>224</v>
      </c>
      <c r="B5" s="13" t="s">
        <v>41</v>
      </c>
    </row>
    <row r="6" spans="1:2" ht="12.6" thickBot="1" x14ac:dyDescent="0.3">
      <c r="A6" s="151" t="s">
        <v>25</v>
      </c>
      <c r="B6" s="255" t="s">
        <v>863</v>
      </c>
    </row>
    <row r="7" spans="1:2" ht="12.6" thickBot="1" x14ac:dyDescent="0.3">
      <c r="A7" s="151" t="s">
        <v>85</v>
      </c>
      <c r="B7" s="278">
        <v>45838</v>
      </c>
    </row>
    <row r="8" spans="1:2" ht="12.6" thickBot="1" x14ac:dyDescent="0.3">
      <c r="A8" s="151" t="s">
        <v>225</v>
      </c>
      <c r="B8" s="278">
        <f>EDATE(currentperiod_end_date, -12)</f>
        <v>45473</v>
      </c>
    </row>
    <row r="9" spans="1:2" ht="12.6" thickBot="1" x14ac:dyDescent="0.3">
      <c r="A9" s="151" t="s">
        <v>226</v>
      </c>
      <c r="B9" s="278">
        <f>EDATE(currentperiod_end_date, -24)</f>
        <v>45107</v>
      </c>
    </row>
    <row r="10" spans="1:2" ht="12.6" thickBot="1" x14ac:dyDescent="0.3">
      <c r="A10" s="151" t="s">
        <v>641</v>
      </c>
      <c r="B10" s="278">
        <v>45930</v>
      </c>
    </row>
    <row r="11" spans="1:2" ht="12.6" thickBot="1" x14ac:dyDescent="0.3">
      <c r="A11" s="151" t="s">
        <v>227</v>
      </c>
      <c r="B11" s="255" t="s">
        <v>366</v>
      </c>
    </row>
    <row r="12" spans="1:2" ht="12.6" thickBot="1" x14ac:dyDescent="0.3">
      <c r="A12" s="152" t="s">
        <v>300</v>
      </c>
      <c r="B12" s="279" t="s">
        <v>304</v>
      </c>
    </row>
    <row r="13" spans="1:2" ht="12.6" thickBot="1" x14ac:dyDescent="0.3">
      <c r="A13" s="152" t="s">
        <v>301</v>
      </c>
      <c r="B13" s="255" t="s">
        <v>305</v>
      </c>
    </row>
    <row r="14" spans="1:2" ht="12.6" thickBot="1" x14ac:dyDescent="0.3">
      <c r="A14" s="152" t="s">
        <v>303</v>
      </c>
      <c r="B14" s="255" t="s">
        <v>306</v>
      </c>
    </row>
    <row r="15" spans="1:2" ht="12.6" thickBot="1" x14ac:dyDescent="0.3">
      <c r="A15" s="152" t="s">
        <v>302</v>
      </c>
      <c r="B15" s="255" t="s">
        <v>307</v>
      </c>
    </row>
    <row r="16" spans="1:2" ht="12.6" thickBot="1" x14ac:dyDescent="0.3">
      <c r="A16" s="152" t="s">
        <v>367</v>
      </c>
      <c r="B16" s="255" t="s">
        <v>334</v>
      </c>
    </row>
    <row r="17" spans="1:2" ht="12.6" thickBot="1" x14ac:dyDescent="0.3">
      <c r="A17" s="152" t="s">
        <v>368</v>
      </c>
      <c r="B17" s="255" t="s">
        <v>336</v>
      </c>
    </row>
    <row r="18" spans="1:2" ht="12.6" thickBot="1" x14ac:dyDescent="0.3">
      <c r="A18" s="152" t="s">
        <v>369</v>
      </c>
      <c r="B18" s="255" t="s">
        <v>335</v>
      </c>
    </row>
    <row r="19" spans="1:2" ht="12.6" thickBot="1" x14ac:dyDescent="0.3">
      <c r="A19" s="152" t="s">
        <v>370</v>
      </c>
      <c r="B19" s="255" t="s">
        <v>371</v>
      </c>
    </row>
    <row r="20" spans="1:2" ht="12.6" hidden="1" outlineLevel="1" thickBot="1" x14ac:dyDescent="0.3">
      <c r="A20" s="152" t="s">
        <v>39</v>
      </c>
      <c r="B20" s="255"/>
    </row>
    <row r="21" spans="1:2" ht="12.6" hidden="1" outlineLevel="1" thickBot="1" x14ac:dyDescent="0.3">
      <c r="A21" s="152" t="s">
        <v>39</v>
      </c>
      <c r="B21" s="255"/>
    </row>
    <row r="22" spans="1:2" ht="12.6" hidden="1" outlineLevel="1" thickBot="1" x14ac:dyDescent="0.3">
      <c r="A22" s="152" t="s">
        <v>39</v>
      </c>
      <c r="B22" s="255"/>
    </row>
    <row r="23" spans="1:2" ht="12.6" hidden="1" outlineLevel="1" thickBot="1" x14ac:dyDescent="0.3">
      <c r="A23" s="152" t="s">
        <v>39</v>
      </c>
      <c r="B23" s="255"/>
    </row>
    <row r="24" spans="1:2" collapsed="1" x14ac:dyDescent="0.25"/>
  </sheetData>
  <dataValidations disablePrompts="1" count="1">
    <dataValidation type="list" allowBlank="1" showInputMessage="1" showErrorMessage="1" sqref="B3" xr:uid="{95097564-565F-493E-A2CA-1671A3B779EE}">
      <formula1>$A$16:$A$19</formula1>
    </dataValidation>
  </dataValidation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513F-5B22-4A62-B918-E89A3C3429BD}">
  <sheetPr>
    <tabColor theme="7" tint="0.79998168889431442"/>
  </sheetPr>
  <dimension ref="A1:H186"/>
  <sheetViews>
    <sheetView workbookViewId="0"/>
  </sheetViews>
  <sheetFormatPr defaultColWidth="9.109375" defaultRowHeight="12" x14ac:dyDescent="0.25"/>
  <cols>
    <col min="1" max="1" width="14.44140625" style="3" bestFit="1" customWidth="1"/>
    <col min="2" max="2" width="56.109375" style="3" bestFit="1" customWidth="1"/>
    <col min="3" max="3" width="36" style="3" bestFit="1" customWidth="1"/>
    <col min="4" max="4" width="33.88671875" style="3" bestFit="1" customWidth="1"/>
    <col min="5" max="5" width="36.109375" style="3" bestFit="1" customWidth="1"/>
    <col min="6" max="6" width="9.109375" style="3"/>
    <col min="7" max="7" width="37.109375" style="3" bestFit="1" customWidth="1"/>
    <col min="8" max="8" width="35.33203125" style="3" bestFit="1" customWidth="1"/>
    <col min="9" max="16384" width="9.109375" style="3"/>
  </cols>
  <sheetData>
    <row r="1" spans="1:8" ht="18" x14ac:dyDescent="0.35">
      <c r="A1" s="154" t="s">
        <v>249</v>
      </c>
      <c r="B1" s="14"/>
    </row>
    <row r="3" spans="1:8" ht="12.6" thickBot="1" x14ac:dyDescent="0.3">
      <c r="A3" s="79" t="s">
        <v>298</v>
      </c>
      <c r="B3" s="79" t="s">
        <v>28</v>
      </c>
      <c r="C3" s="79" t="s">
        <v>232</v>
      </c>
      <c r="D3" s="79" t="s">
        <v>231</v>
      </c>
      <c r="E3" s="79" t="s">
        <v>45</v>
      </c>
      <c r="G3" s="6" t="str">
        <f>C3</f>
        <v>FS Face Statement Classification</v>
      </c>
      <c r="H3" s="6" t="str">
        <f>D3</f>
        <v xml:space="preserve">FS Note Classification </v>
      </c>
    </row>
    <row r="4" spans="1:8" ht="14.4" x14ac:dyDescent="0.3">
      <c r="A4" s="1568" t="s">
        <v>2048</v>
      </c>
      <c r="B4" s="276" t="s">
        <v>2279</v>
      </c>
      <c r="C4" s="1464" t="s">
        <v>451</v>
      </c>
      <c r="D4" s="1464" t="str">
        <f t="shared" ref="D4" si="0">C4</f>
        <v>Cash</v>
      </c>
      <c r="E4" s="1464" t="str">
        <f t="shared" ref="E4" si="1">C4</f>
        <v>Cash</v>
      </c>
    </row>
    <row r="5" spans="1:8" ht="14.4" x14ac:dyDescent="0.3">
      <c r="A5" s="277">
        <v>1000</v>
      </c>
      <c r="B5" s="276" t="s">
        <v>453</v>
      </c>
      <c r="C5" s="1464" t="s">
        <v>451</v>
      </c>
      <c r="D5" s="1464" t="str">
        <f t="shared" ref="D5:D21" si="2">C5</f>
        <v>Cash</v>
      </c>
      <c r="E5" s="1464" t="str">
        <f t="shared" ref="E5:E21" si="3">C5</f>
        <v>Cash</v>
      </c>
      <c r="G5" s="3" t="s">
        <v>451</v>
      </c>
      <c r="H5" s="3" t="str">
        <f>G5</f>
        <v>Cash</v>
      </c>
    </row>
    <row r="6" spans="1:8" ht="14.4" x14ac:dyDescent="0.3">
      <c r="A6" s="277">
        <v>1000</v>
      </c>
      <c r="B6" s="276" t="s">
        <v>521</v>
      </c>
      <c r="C6" s="1464" t="s">
        <v>451</v>
      </c>
      <c r="D6" s="1464" t="str">
        <f t="shared" si="2"/>
        <v>Cash</v>
      </c>
      <c r="E6" s="1464" t="str">
        <f t="shared" si="3"/>
        <v>Cash</v>
      </c>
      <c r="G6" s="3" t="s">
        <v>22</v>
      </c>
      <c r="H6" s="3" t="str">
        <f t="shared" ref="H6:H12" si="4">G6</f>
        <v>Receivables</v>
      </c>
    </row>
    <row r="7" spans="1:8" ht="14.4" x14ac:dyDescent="0.3">
      <c r="A7" s="277">
        <v>1001</v>
      </c>
      <c r="B7" s="276" t="s">
        <v>515</v>
      </c>
      <c r="C7" s="1464" t="s">
        <v>451</v>
      </c>
      <c r="D7" s="1464" t="str">
        <f t="shared" si="2"/>
        <v>Cash</v>
      </c>
      <c r="E7" s="1464" t="str">
        <f t="shared" si="3"/>
        <v>Cash</v>
      </c>
      <c r="G7" s="3" t="s">
        <v>29</v>
      </c>
      <c r="H7" s="3" t="str">
        <f t="shared" si="4"/>
        <v>Inventory</v>
      </c>
    </row>
    <row r="8" spans="1:8" ht="14.4" x14ac:dyDescent="0.3">
      <c r="A8" s="277">
        <v>1002</v>
      </c>
      <c r="B8" s="276" t="s">
        <v>516</v>
      </c>
      <c r="C8" s="1464" t="s">
        <v>451</v>
      </c>
      <c r="D8" s="1464" t="str">
        <f t="shared" si="2"/>
        <v>Cash</v>
      </c>
      <c r="E8" s="1464" t="str">
        <f t="shared" si="3"/>
        <v>Cash</v>
      </c>
      <c r="G8" s="3" t="s">
        <v>3</v>
      </c>
      <c r="H8" s="3" t="str">
        <f t="shared" si="4"/>
        <v>Prepaid expenses</v>
      </c>
    </row>
    <row r="9" spans="1:8" ht="14.4" x14ac:dyDescent="0.3">
      <c r="A9" s="277">
        <v>1003</v>
      </c>
      <c r="B9" s="276" t="s">
        <v>517</v>
      </c>
      <c r="C9" s="1464" t="s">
        <v>451</v>
      </c>
      <c r="D9" s="1464" t="str">
        <f t="shared" si="2"/>
        <v>Cash</v>
      </c>
      <c r="E9" s="1464" t="str">
        <f t="shared" si="3"/>
        <v>Cash</v>
      </c>
      <c r="G9" s="3" t="s">
        <v>502</v>
      </c>
      <c r="H9" s="3" t="str">
        <f t="shared" si="4"/>
        <v>Current portion of loan receivable</v>
      </c>
    </row>
    <row r="10" spans="1:8" ht="14.4" x14ac:dyDescent="0.3">
      <c r="A10" s="277">
        <v>1004</v>
      </c>
      <c r="B10" s="276" t="s">
        <v>532</v>
      </c>
      <c r="C10" s="1464" t="s">
        <v>451</v>
      </c>
      <c r="D10" s="1464" t="str">
        <f t="shared" si="2"/>
        <v>Cash</v>
      </c>
      <c r="E10" s="1464" t="str">
        <f t="shared" si="3"/>
        <v>Cash</v>
      </c>
      <c r="G10" s="3" t="s">
        <v>94</v>
      </c>
      <c r="H10" s="3" t="str">
        <f t="shared" si="4"/>
        <v>Property and equipment</v>
      </c>
    </row>
    <row r="11" spans="1:8" ht="14.4" x14ac:dyDescent="0.3">
      <c r="A11" s="277">
        <v>1005</v>
      </c>
      <c r="B11" s="276" t="s">
        <v>323</v>
      </c>
      <c r="C11" s="1464" t="s">
        <v>451</v>
      </c>
      <c r="D11" s="1464" t="str">
        <f t="shared" ref="D11" si="5">C11</f>
        <v>Cash</v>
      </c>
      <c r="E11" s="1464" t="str">
        <f t="shared" ref="E11" si="6">C11</f>
        <v>Cash</v>
      </c>
      <c r="G11" s="3" t="s">
        <v>287</v>
      </c>
      <c r="H11" s="3" t="str">
        <f t="shared" si="4"/>
        <v>Other current assets</v>
      </c>
    </row>
    <row r="12" spans="1:8" ht="14.4" x14ac:dyDescent="0.3">
      <c r="A12" s="277">
        <v>1005</v>
      </c>
      <c r="B12" s="276" t="s">
        <v>518</v>
      </c>
      <c r="C12" s="1464" t="s">
        <v>451</v>
      </c>
      <c r="D12" s="1464" t="str">
        <f t="shared" si="2"/>
        <v>Cash</v>
      </c>
      <c r="E12" s="1464" t="str">
        <f t="shared" si="3"/>
        <v>Cash</v>
      </c>
      <c r="G12" s="3" t="s">
        <v>688</v>
      </c>
      <c r="H12" s="3" t="str">
        <f t="shared" si="4"/>
        <v>Investment in subsidiary</v>
      </c>
    </row>
    <row r="13" spans="1:8" ht="14.4" x14ac:dyDescent="0.3">
      <c r="A13" s="277">
        <v>1006</v>
      </c>
      <c r="B13" s="276" t="s">
        <v>519</v>
      </c>
      <c r="C13" s="1464" t="s">
        <v>451</v>
      </c>
      <c r="D13" s="1464" t="str">
        <f t="shared" si="2"/>
        <v>Cash</v>
      </c>
      <c r="E13" s="1464" t="str">
        <f t="shared" si="3"/>
        <v>Cash</v>
      </c>
      <c r="G13" s="3" t="s">
        <v>732</v>
      </c>
      <c r="H13" s="3" t="str">
        <f>G13</f>
        <v>Intangible assets</v>
      </c>
    </row>
    <row r="14" spans="1:8" ht="14.4" x14ac:dyDescent="0.3">
      <c r="A14" s="277">
        <v>1010</v>
      </c>
      <c r="B14" s="276" t="s">
        <v>522</v>
      </c>
      <c r="C14" s="1464" t="s">
        <v>451</v>
      </c>
      <c r="D14" s="1464" t="str">
        <f t="shared" si="2"/>
        <v>Cash</v>
      </c>
      <c r="E14" s="1464" t="str">
        <f t="shared" si="3"/>
        <v>Cash</v>
      </c>
      <c r="G14" s="3" t="s">
        <v>185</v>
      </c>
      <c r="H14" s="3" t="str">
        <f>G14</f>
        <v>Due from related parties</v>
      </c>
    </row>
    <row r="15" spans="1:8" ht="14.4" x14ac:dyDescent="0.3">
      <c r="A15" s="277">
        <v>1100</v>
      </c>
      <c r="B15" s="276" t="s">
        <v>322</v>
      </c>
      <c r="C15" s="1464" t="s">
        <v>22</v>
      </c>
      <c r="D15" s="1464" t="str">
        <f t="shared" si="2"/>
        <v>Receivables</v>
      </c>
      <c r="E15" s="1464" t="str">
        <f t="shared" si="3"/>
        <v>Receivables</v>
      </c>
      <c r="G15" s="3" t="s">
        <v>183</v>
      </c>
      <c r="H15" s="3" t="str">
        <f>G15</f>
        <v>Deferred tax asset</v>
      </c>
    </row>
    <row r="16" spans="1:8" ht="14.4" x14ac:dyDescent="0.3">
      <c r="A16" s="277">
        <v>1100</v>
      </c>
      <c r="B16" s="276" t="s">
        <v>520</v>
      </c>
      <c r="C16" s="1464" t="s">
        <v>22</v>
      </c>
      <c r="D16" s="1464" t="str">
        <f t="shared" si="2"/>
        <v>Receivables</v>
      </c>
      <c r="E16" s="1464" t="str">
        <f t="shared" si="3"/>
        <v>Receivables</v>
      </c>
      <c r="G16" s="3" t="s">
        <v>15</v>
      </c>
      <c r="H16" s="3" t="str">
        <f>G16</f>
        <v>Bank indebtedness</v>
      </c>
    </row>
    <row r="17" spans="1:8" ht="14.4" x14ac:dyDescent="0.3">
      <c r="A17" s="277">
        <v>1120</v>
      </c>
      <c r="B17" s="276" t="s">
        <v>523</v>
      </c>
      <c r="C17" s="1464" t="s">
        <v>29</v>
      </c>
      <c r="D17" s="1464" t="str">
        <f t="shared" si="2"/>
        <v>Inventory</v>
      </c>
      <c r="E17" s="1464" t="str">
        <f t="shared" si="3"/>
        <v>Inventory</v>
      </c>
      <c r="G17" s="3" t="s">
        <v>308</v>
      </c>
      <c r="H17" s="3" t="str">
        <f>G17</f>
        <v>Accounts payables and accrued liabilities</v>
      </c>
    </row>
    <row r="18" spans="1:8" ht="14.4" x14ac:dyDescent="0.3">
      <c r="A18" s="277">
        <v>1020</v>
      </c>
      <c r="B18" s="276" t="s">
        <v>680</v>
      </c>
      <c r="C18" s="1464" t="s">
        <v>3</v>
      </c>
      <c r="D18" s="1464" t="str">
        <f t="shared" ref="D18" si="7">C18</f>
        <v>Prepaid expenses</v>
      </c>
      <c r="E18" s="1464" t="str">
        <f t="shared" ref="E18" si="8">C18</f>
        <v>Prepaid expenses</v>
      </c>
      <c r="G18" s="3" t="s">
        <v>100</v>
      </c>
      <c r="H18" s="3" t="str">
        <f t="shared" ref="H18:H21" si="9">G18</f>
        <v>Due to related parties</v>
      </c>
    </row>
    <row r="19" spans="1:8" ht="14.4" x14ac:dyDescent="0.3">
      <c r="A19" s="277">
        <v>1200</v>
      </c>
      <c r="B19" s="276" t="s">
        <v>319</v>
      </c>
      <c r="C19" s="1464" t="s">
        <v>3</v>
      </c>
      <c r="D19" s="1464" t="str">
        <f t="shared" si="2"/>
        <v>Prepaid expenses</v>
      </c>
      <c r="E19" s="1464" t="str">
        <f t="shared" si="3"/>
        <v>Prepaid expenses</v>
      </c>
      <c r="G19" s="3" t="s">
        <v>228</v>
      </c>
      <c r="H19" s="3" t="str">
        <f t="shared" si="9"/>
        <v>Current portion of lease liabilities</v>
      </c>
    </row>
    <row r="20" spans="1:8" ht="14.4" x14ac:dyDescent="0.3">
      <c r="A20" s="277">
        <v>1300</v>
      </c>
      <c r="B20" s="276" t="s">
        <v>730</v>
      </c>
      <c r="C20" s="1464" t="s">
        <v>502</v>
      </c>
      <c r="D20" s="1464" t="str">
        <f t="shared" si="2"/>
        <v>Current portion of loan receivable</v>
      </c>
      <c r="E20" s="1464" t="str">
        <f t="shared" si="3"/>
        <v>Current portion of loan receivable</v>
      </c>
      <c r="G20" s="3" t="s">
        <v>229</v>
      </c>
      <c r="H20" s="3" t="str">
        <f t="shared" si="9"/>
        <v xml:space="preserve">Current portion of loans and borrowings </v>
      </c>
    </row>
    <row r="21" spans="1:8" ht="14.4" x14ac:dyDescent="0.3">
      <c r="A21" s="277">
        <v>1400</v>
      </c>
      <c r="B21" s="276" t="s">
        <v>324</v>
      </c>
      <c r="C21" s="1464" t="s">
        <v>287</v>
      </c>
      <c r="D21" s="1464" t="str">
        <f t="shared" si="2"/>
        <v>Other current assets</v>
      </c>
      <c r="E21" s="1464" t="str">
        <f t="shared" si="3"/>
        <v>Other current assets</v>
      </c>
      <c r="G21" s="3" t="s">
        <v>2288</v>
      </c>
      <c r="H21" s="3" t="str">
        <f t="shared" si="9"/>
        <v>Accrued Warranty Liability</v>
      </c>
    </row>
    <row r="22" spans="1:8" ht="14.4" x14ac:dyDescent="0.3">
      <c r="A22" s="277">
        <v>1420</v>
      </c>
      <c r="B22" s="276" t="s">
        <v>2170</v>
      </c>
      <c r="C22" s="1464" t="s">
        <v>732</v>
      </c>
      <c r="D22" s="1464" t="str">
        <f t="shared" ref="D22" si="10">C22</f>
        <v>Intangible assets</v>
      </c>
      <c r="E22" s="1464" t="str">
        <f t="shared" ref="E22" si="11">C22</f>
        <v>Intangible assets</v>
      </c>
      <c r="G22" s="3" t="s">
        <v>510</v>
      </c>
      <c r="H22" s="3" t="str">
        <f t="shared" ref="H22:H28" si="12">G22</f>
        <v>Share subscription payable</v>
      </c>
    </row>
    <row r="23" spans="1:8" ht="14.4" x14ac:dyDescent="0.3">
      <c r="A23" s="277">
        <v>1421</v>
      </c>
      <c r="B23" s="276" t="s">
        <v>2171</v>
      </c>
      <c r="C23" s="1464" t="s">
        <v>732</v>
      </c>
      <c r="D23" s="1464" t="str">
        <f t="shared" ref="D23" si="13">C23</f>
        <v>Intangible assets</v>
      </c>
      <c r="E23" s="1464" t="str">
        <f t="shared" ref="E23" si="14">C23</f>
        <v>Intangible assets</v>
      </c>
      <c r="G23" s="3" t="s">
        <v>644</v>
      </c>
      <c r="H23" s="3" t="str">
        <f t="shared" si="12"/>
        <v>Intercompany</v>
      </c>
    </row>
    <row r="24" spans="1:8" ht="14.4" x14ac:dyDescent="0.3">
      <c r="A24" s="277">
        <v>1500</v>
      </c>
      <c r="B24" s="276" t="s">
        <v>524</v>
      </c>
      <c r="C24" s="1464" t="s">
        <v>22</v>
      </c>
      <c r="D24" s="1464" t="str">
        <f>C24</f>
        <v>Receivables</v>
      </c>
      <c r="E24" s="1464" t="str">
        <f>C24</f>
        <v>Receivables</v>
      </c>
      <c r="G24" s="3" t="s">
        <v>30</v>
      </c>
      <c r="H24" s="3" t="str">
        <f t="shared" si="12"/>
        <v>Loans and borrowings</v>
      </c>
    </row>
    <row r="25" spans="1:8" ht="14.4" x14ac:dyDescent="0.3">
      <c r="A25" s="277">
        <v>1500</v>
      </c>
      <c r="B25" s="276" t="s">
        <v>706</v>
      </c>
      <c r="C25" s="1464" t="s">
        <v>644</v>
      </c>
      <c r="D25" s="1464" t="str">
        <f>C25</f>
        <v>Intercompany</v>
      </c>
      <c r="E25" s="1464" t="str">
        <f>C25</f>
        <v>Intercompany</v>
      </c>
      <c r="G25" s="3" t="s">
        <v>239</v>
      </c>
      <c r="H25" s="3" t="str">
        <f t="shared" si="12"/>
        <v>Sales tax payable</v>
      </c>
    </row>
    <row r="26" spans="1:8" ht="14.4" x14ac:dyDescent="0.3">
      <c r="A26" s="277">
        <v>1600</v>
      </c>
      <c r="B26" s="276" t="s">
        <v>687</v>
      </c>
      <c r="C26" s="1464" t="s">
        <v>688</v>
      </c>
      <c r="D26" s="1464" t="str">
        <f t="shared" ref="D26" si="15">C26</f>
        <v>Investment in subsidiary</v>
      </c>
      <c r="E26" s="1464" t="str">
        <f t="shared" ref="E26" si="16">C26</f>
        <v>Investment in subsidiary</v>
      </c>
      <c r="G26" s="3" t="s">
        <v>192</v>
      </c>
      <c r="H26" s="3" t="str">
        <f t="shared" si="12"/>
        <v>Income tax payable</v>
      </c>
    </row>
    <row r="27" spans="1:8" ht="14.4" x14ac:dyDescent="0.3">
      <c r="A27" s="277">
        <v>1800</v>
      </c>
      <c r="B27" s="276" t="s">
        <v>525</v>
      </c>
      <c r="C27" s="1464" t="s">
        <v>616</v>
      </c>
      <c r="D27" s="1464" t="str">
        <f t="shared" ref="D27:D44" si="17">C27</f>
        <v>Equipment</v>
      </c>
      <c r="E27" s="1464" t="str">
        <f t="shared" ref="E27:E43" si="18">C27</f>
        <v>Equipment</v>
      </c>
      <c r="G27" s="3" t="s">
        <v>685</v>
      </c>
      <c r="H27" s="3" t="str">
        <f t="shared" si="12"/>
        <v>Current portion - convertible debt</v>
      </c>
    </row>
    <row r="28" spans="1:8" ht="14.4" x14ac:dyDescent="0.3">
      <c r="A28" s="277">
        <v>1801</v>
      </c>
      <c r="B28" s="276" t="s">
        <v>526</v>
      </c>
      <c r="C28" s="1464" t="s">
        <v>616</v>
      </c>
      <c r="D28" s="1464" t="str">
        <f t="shared" si="17"/>
        <v>Equipment</v>
      </c>
      <c r="E28" s="1464" t="str">
        <f t="shared" si="18"/>
        <v>Equipment</v>
      </c>
      <c r="G28" s="3" t="s">
        <v>677</v>
      </c>
      <c r="H28" s="3" t="str">
        <f t="shared" si="12"/>
        <v>Convertible debt</v>
      </c>
    </row>
    <row r="29" spans="1:8" ht="14.4" x14ac:dyDescent="0.3">
      <c r="A29" s="277">
        <v>1810</v>
      </c>
      <c r="B29" s="276" t="s">
        <v>527</v>
      </c>
      <c r="C29" s="1464" t="s">
        <v>616</v>
      </c>
      <c r="D29" s="1464" t="str">
        <f t="shared" si="17"/>
        <v>Equipment</v>
      </c>
      <c r="E29" s="1464" t="str">
        <f t="shared" si="18"/>
        <v>Equipment</v>
      </c>
      <c r="G29" s="3" t="s">
        <v>191</v>
      </c>
      <c r="H29" s="3" t="str">
        <f t="shared" ref="H29:H31" si="19">G29</f>
        <v>Payroll liabilities</v>
      </c>
    </row>
    <row r="30" spans="1:8" ht="14.4" x14ac:dyDescent="0.3">
      <c r="A30" s="277">
        <v>1811</v>
      </c>
      <c r="B30" s="276" t="s">
        <v>528</v>
      </c>
      <c r="C30" s="1464" t="s">
        <v>616</v>
      </c>
      <c r="D30" s="1464" t="str">
        <f t="shared" si="17"/>
        <v>Equipment</v>
      </c>
      <c r="E30" s="1464" t="str">
        <f t="shared" si="18"/>
        <v>Equipment</v>
      </c>
      <c r="G30" s="3" t="s">
        <v>686</v>
      </c>
      <c r="H30" s="3" t="str">
        <f t="shared" si="19"/>
        <v>Derivative liability</v>
      </c>
    </row>
    <row r="31" spans="1:8" ht="14.4" x14ac:dyDescent="0.3">
      <c r="A31" s="277">
        <v>1900</v>
      </c>
      <c r="B31" s="276" t="s">
        <v>529</v>
      </c>
      <c r="C31" s="1464" t="s">
        <v>616</v>
      </c>
      <c r="D31" s="1464" t="str">
        <f t="shared" si="17"/>
        <v>Equipment</v>
      </c>
      <c r="E31" s="1464" t="str">
        <f t="shared" si="18"/>
        <v>Equipment</v>
      </c>
      <c r="G31" s="3" t="s">
        <v>196</v>
      </c>
      <c r="H31" s="3" t="str">
        <f t="shared" si="19"/>
        <v>Due to shareholders</v>
      </c>
    </row>
    <row r="32" spans="1:8" ht="14.4" x14ac:dyDescent="0.3">
      <c r="A32" s="277">
        <v>1901</v>
      </c>
      <c r="B32" s="276" t="s">
        <v>530</v>
      </c>
      <c r="C32" s="1464" t="s">
        <v>616</v>
      </c>
      <c r="D32" s="1464" t="str">
        <f t="shared" si="17"/>
        <v>Equipment</v>
      </c>
      <c r="E32" s="1464" t="str">
        <f t="shared" si="18"/>
        <v>Equipment</v>
      </c>
      <c r="G32" s="3" t="s">
        <v>26</v>
      </c>
      <c r="H32" s="3" t="str">
        <f>G32</f>
        <v>Interest expense</v>
      </c>
    </row>
    <row r="33" spans="1:8" ht="14.4" x14ac:dyDescent="0.3">
      <c r="A33" s="277">
        <v>1999</v>
      </c>
      <c r="B33" s="276" t="s">
        <v>454</v>
      </c>
      <c r="C33" s="1464" t="s">
        <v>287</v>
      </c>
      <c r="D33" s="1464" t="str">
        <f t="shared" si="17"/>
        <v>Other current assets</v>
      </c>
      <c r="E33" s="1464" t="str">
        <f t="shared" si="18"/>
        <v>Other current assets</v>
      </c>
      <c r="G33" s="3" t="s">
        <v>5</v>
      </c>
      <c r="H33" s="3" t="str">
        <f>G33</f>
        <v>Share capital</v>
      </c>
    </row>
    <row r="34" spans="1:8" ht="14.4" x14ac:dyDescent="0.3">
      <c r="A34" s="277">
        <v>2000</v>
      </c>
      <c r="B34" s="276" t="s">
        <v>320</v>
      </c>
      <c r="C34" s="1464" t="s">
        <v>308</v>
      </c>
      <c r="D34" s="1464" t="str">
        <f t="shared" si="17"/>
        <v>Accounts payables and accrued liabilities</v>
      </c>
      <c r="E34" s="1464" t="str">
        <f t="shared" si="18"/>
        <v>Accounts payables and accrued liabilities</v>
      </c>
      <c r="G34" s="3" t="s">
        <v>6</v>
      </c>
      <c r="H34" s="3" t="str">
        <f>G34</f>
        <v>Contributed surplus</v>
      </c>
    </row>
    <row r="35" spans="1:8" ht="14.4" x14ac:dyDescent="0.3">
      <c r="A35" s="277">
        <v>2000</v>
      </c>
      <c r="B35" s="276" t="s">
        <v>500</v>
      </c>
      <c r="C35" s="1464" t="s">
        <v>308</v>
      </c>
      <c r="D35" s="1464" t="str">
        <f t="shared" si="17"/>
        <v>Accounts payables and accrued liabilities</v>
      </c>
      <c r="E35" s="1464" t="str">
        <f t="shared" si="18"/>
        <v>Accounts payables and accrued liabilities</v>
      </c>
      <c r="G35" s="3" t="s">
        <v>230</v>
      </c>
      <c r="H35" s="3" t="str">
        <f>G35</f>
        <v>Accumulated other comprehensive income</v>
      </c>
    </row>
    <row r="36" spans="1:8" ht="14.4" x14ac:dyDescent="0.3">
      <c r="A36" s="277">
        <v>2001</v>
      </c>
      <c r="B36" s="276" t="s">
        <v>531</v>
      </c>
      <c r="C36" s="1464" t="s">
        <v>308</v>
      </c>
      <c r="D36" s="1464" t="str">
        <f t="shared" si="17"/>
        <v>Accounts payables and accrued liabilities</v>
      </c>
      <c r="E36" s="1464" t="str">
        <f t="shared" si="18"/>
        <v>Accounts payables and accrued liabilities</v>
      </c>
      <c r="G36" s="3" t="s">
        <v>403</v>
      </c>
      <c r="H36" s="3" t="s">
        <v>403</v>
      </c>
    </row>
    <row r="37" spans="1:8" ht="14.4" x14ac:dyDescent="0.3">
      <c r="A37" s="277">
        <v>2010</v>
      </c>
      <c r="B37" s="276" t="s">
        <v>533</v>
      </c>
      <c r="C37" s="1464" t="s">
        <v>308</v>
      </c>
      <c r="D37" s="1464" t="str">
        <f t="shared" si="17"/>
        <v>Accounts payables and accrued liabilities</v>
      </c>
      <c r="E37" s="1464" t="str">
        <f t="shared" si="18"/>
        <v>Accounts payables and accrued liabilities</v>
      </c>
      <c r="G37" s="3" t="s">
        <v>189</v>
      </c>
      <c r="H37" s="3" t="s">
        <v>189</v>
      </c>
    </row>
    <row r="38" spans="1:8" ht="14.4" x14ac:dyDescent="0.3">
      <c r="A38" s="277">
        <v>2030</v>
      </c>
      <c r="B38" s="276" t="s">
        <v>535</v>
      </c>
      <c r="C38" s="1464" t="s">
        <v>99</v>
      </c>
      <c r="D38" s="1464" t="str">
        <f t="shared" si="17"/>
        <v>Deferred revenue</v>
      </c>
      <c r="E38" s="1464" t="str">
        <f t="shared" si="18"/>
        <v>Deferred revenue</v>
      </c>
      <c r="G38" s="3" t="s">
        <v>44</v>
      </c>
      <c r="H38" s="3" t="s">
        <v>194</v>
      </c>
    </row>
    <row r="39" spans="1:8" ht="14.4" x14ac:dyDescent="0.3">
      <c r="A39" s="277">
        <v>2063</v>
      </c>
      <c r="B39" s="276" t="s">
        <v>2281</v>
      </c>
      <c r="C39" s="1464" t="s">
        <v>100</v>
      </c>
      <c r="D39" s="1464" t="str">
        <f t="shared" ref="D39" si="20">C39</f>
        <v>Due to related parties</v>
      </c>
      <c r="E39" s="1464" t="str">
        <f t="shared" ref="E39" si="21">C39</f>
        <v>Due to related parties</v>
      </c>
    </row>
    <row r="40" spans="1:8" ht="14.4" x14ac:dyDescent="0.3">
      <c r="A40" s="277">
        <v>2050</v>
      </c>
      <c r="B40" s="276" t="s">
        <v>2280</v>
      </c>
      <c r="C40" s="1464" t="s">
        <v>99</v>
      </c>
      <c r="D40" s="1464" t="str">
        <f t="shared" ref="D40" si="22">C40</f>
        <v>Deferred revenue</v>
      </c>
      <c r="E40" s="1464" t="str">
        <f t="shared" ref="E40" si="23">C40</f>
        <v>Deferred revenue</v>
      </c>
    </row>
    <row r="41" spans="1:8" ht="14.4" x14ac:dyDescent="0.3">
      <c r="A41" s="277">
        <v>2100</v>
      </c>
      <c r="B41" s="276" t="s">
        <v>321</v>
      </c>
      <c r="C41" s="1464" t="s">
        <v>308</v>
      </c>
      <c r="D41" s="1464" t="str">
        <f t="shared" si="17"/>
        <v>Accounts payables and accrued liabilities</v>
      </c>
      <c r="E41" s="1464" t="str">
        <f t="shared" si="18"/>
        <v>Accounts payables and accrued liabilities</v>
      </c>
      <c r="G41" s="3" t="s">
        <v>235</v>
      </c>
      <c r="H41" s="3" t="s">
        <v>37</v>
      </c>
    </row>
    <row r="42" spans="1:8" ht="14.4" x14ac:dyDescent="0.3">
      <c r="A42" s="277">
        <v>2100</v>
      </c>
      <c r="B42" s="276" t="s">
        <v>536</v>
      </c>
      <c r="C42" s="1464" t="s">
        <v>191</v>
      </c>
      <c r="D42" s="1464" t="str">
        <f t="shared" si="17"/>
        <v>Payroll liabilities</v>
      </c>
      <c r="E42" s="1464" t="str">
        <f t="shared" si="18"/>
        <v>Payroll liabilities</v>
      </c>
      <c r="G42" s="3" t="s">
        <v>36</v>
      </c>
      <c r="H42" s="3" t="s">
        <v>188</v>
      </c>
    </row>
    <row r="43" spans="1:8" ht="14.4" x14ac:dyDescent="0.3">
      <c r="A43" s="277">
        <v>2110</v>
      </c>
      <c r="B43" s="276" t="s">
        <v>537</v>
      </c>
      <c r="C43" s="1464" t="s">
        <v>191</v>
      </c>
      <c r="D43" s="1464" t="str">
        <f t="shared" si="17"/>
        <v>Payroll liabilities</v>
      </c>
      <c r="E43" s="1464" t="str">
        <f t="shared" si="18"/>
        <v>Payroll liabilities</v>
      </c>
      <c r="G43" s="3" t="s">
        <v>35</v>
      </c>
      <c r="H43" s="3" t="s">
        <v>244</v>
      </c>
    </row>
    <row r="44" spans="1:8" ht="14.4" x14ac:dyDescent="0.3">
      <c r="A44" s="277">
        <v>2120</v>
      </c>
      <c r="B44" s="276" t="s">
        <v>538</v>
      </c>
      <c r="C44" s="1464" t="s">
        <v>191</v>
      </c>
      <c r="D44" s="1464" t="str">
        <f t="shared" si="17"/>
        <v>Payroll liabilities</v>
      </c>
      <c r="E44" s="1464" t="str">
        <f t="shared" ref="E44:E76" si="24">C44</f>
        <v>Payroll liabilities</v>
      </c>
      <c r="G44" s="3" t="s">
        <v>234</v>
      </c>
      <c r="H44" s="3" t="s">
        <v>238</v>
      </c>
    </row>
    <row r="45" spans="1:8" ht="14.4" x14ac:dyDescent="0.3">
      <c r="A45" s="277">
        <v>2130</v>
      </c>
      <c r="B45" s="276" t="s">
        <v>539</v>
      </c>
      <c r="C45" s="1464" t="s">
        <v>191</v>
      </c>
      <c r="D45" s="1464" t="s">
        <v>618</v>
      </c>
      <c r="E45" s="1464" t="str">
        <f t="shared" si="24"/>
        <v>Payroll liabilities</v>
      </c>
      <c r="G45" s="3" t="s">
        <v>233</v>
      </c>
      <c r="H45" s="3" t="s">
        <v>494</v>
      </c>
    </row>
    <row r="46" spans="1:8" ht="14.4" x14ac:dyDescent="0.3">
      <c r="A46" s="277">
        <v>2140</v>
      </c>
      <c r="B46" s="276" t="s">
        <v>540</v>
      </c>
      <c r="C46" s="1464" t="s">
        <v>191</v>
      </c>
      <c r="D46" s="1464" t="s">
        <v>618</v>
      </c>
      <c r="E46" s="1464" t="str">
        <f t="shared" si="24"/>
        <v>Payroll liabilities</v>
      </c>
      <c r="G46" s="3" t="s">
        <v>37</v>
      </c>
      <c r="H46" s="3" t="s">
        <v>200</v>
      </c>
    </row>
    <row r="47" spans="1:8" ht="14.4" x14ac:dyDescent="0.3">
      <c r="A47" s="277">
        <v>2200</v>
      </c>
      <c r="B47" s="276" t="s">
        <v>455</v>
      </c>
      <c r="C47" s="1464" t="s">
        <v>239</v>
      </c>
      <c r="D47" s="1464" t="str">
        <f>C47</f>
        <v>Sales tax payable</v>
      </c>
      <c r="E47" s="1464" t="str">
        <f t="shared" si="24"/>
        <v>Sales tax payable</v>
      </c>
      <c r="G47" s="3" t="s">
        <v>188</v>
      </c>
      <c r="H47" s="3" t="s">
        <v>26</v>
      </c>
    </row>
    <row r="48" spans="1:8" ht="14.4" x14ac:dyDescent="0.3">
      <c r="A48" s="277">
        <v>2200</v>
      </c>
      <c r="B48" s="276" t="s">
        <v>541</v>
      </c>
      <c r="C48" s="1464" t="s">
        <v>618</v>
      </c>
      <c r="D48" s="1464" t="s">
        <v>618</v>
      </c>
      <c r="E48" s="1464" t="str">
        <f t="shared" si="24"/>
        <v>Sales tax receivable</v>
      </c>
      <c r="G48" s="3" t="s">
        <v>108</v>
      </c>
      <c r="H48" s="3" t="s">
        <v>240</v>
      </c>
    </row>
    <row r="49" spans="1:8" ht="14.4" x14ac:dyDescent="0.3">
      <c r="A49" s="277">
        <v>2201</v>
      </c>
      <c r="B49" s="276" t="s">
        <v>456</v>
      </c>
      <c r="C49" s="1464" t="s">
        <v>239</v>
      </c>
      <c r="D49" s="1464" t="str">
        <f>C49</f>
        <v>Sales tax payable</v>
      </c>
      <c r="E49" s="1464" t="str">
        <f t="shared" si="24"/>
        <v>Sales tax payable</v>
      </c>
      <c r="G49" s="3" t="s">
        <v>109</v>
      </c>
      <c r="H49" s="3" t="s">
        <v>290</v>
      </c>
    </row>
    <row r="50" spans="1:8" ht="14.4" x14ac:dyDescent="0.3">
      <c r="A50" s="277">
        <v>2201</v>
      </c>
      <c r="B50" s="276" t="s">
        <v>542</v>
      </c>
      <c r="C50" s="1464" t="s">
        <v>618</v>
      </c>
      <c r="D50" s="1464" t="s">
        <v>618</v>
      </c>
      <c r="E50" s="1464" t="str">
        <f t="shared" si="24"/>
        <v>Sales tax receivable</v>
      </c>
      <c r="G50" s="3" t="s">
        <v>245</v>
      </c>
      <c r="H50" s="3" t="s">
        <v>241</v>
      </c>
    </row>
    <row r="51" spans="1:8" ht="14.4" x14ac:dyDescent="0.3">
      <c r="A51" s="277">
        <v>2202</v>
      </c>
      <c r="B51" s="276" t="s">
        <v>543</v>
      </c>
      <c r="C51" s="1464" t="s">
        <v>618</v>
      </c>
      <c r="D51" s="1464" t="s">
        <v>618</v>
      </c>
      <c r="E51" s="1464" t="str">
        <f t="shared" si="24"/>
        <v>Sales tax receivable</v>
      </c>
      <c r="G51" s="3" t="s">
        <v>1369</v>
      </c>
      <c r="H51" s="3" t="s">
        <v>299</v>
      </c>
    </row>
    <row r="52" spans="1:8" ht="14.4" x14ac:dyDescent="0.3">
      <c r="A52" s="277">
        <v>2210</v>
      </c>
      <c r="B52" s="276" t="s">
        <v>457</v>
      </c>
      <c r="C52" s="1464" t="s">
        <v>239</v>
      </c>
      <c r="D52" s="1464" t="str">
        <f t="shared" ref="D52:D76" si="25">C52</f>
        <v>Sales tax payable</v>
      </c>
      <c r="E52" s="1464" t="str">
        <f t="shared" si="24"/>
        <v>Sales tax payable</v>
      </c>
      <c r="G52" s="3" t="s">
        <v>2284</v>
      </c>
      <c r="H52" s="3" t="s">
        <v>318</v>
      </c>
    </row>
    <row r="53" spans="1:8" ht="14.4" x14ac:dyDescent="0.3">
      <c r="A53" s="277">
        <v>2210</v>
      </c>
      <c r="B53" s="276" t="s">
        <v>544</v>
      </c>
      <c r="C53" s="1464" t="s">
        <v>618</v>
      </c>
      <c r="D53" s="1464" t="str">
        <f t="shared" si="25"/>
        <v>Sales tax receivable</v>
      </c>
      <c r="E53" s="1464" t="str">
        <f t="shared" si="24"/>
        <v>Sales tax receivable</v>
      </c>
      <c r="G53" s="3" t="s">
        <v>2285</v>
      </c>
      <c r="H53" s="3" t="s">
        <v>242</v>
      </c>
    </row>
    <row r="54" spans="1:8" ht="14.4" x14ac:dyDescent="0.3">
      <c r="A54" s="277">
        <v>2211</v>
      </c>
      <c r="B54" s="276" t="s">
        <v>458</v>
      </c>
      <c r="C54" s="1464" t="s">
        <v>239</v>
      </c>
      <c r="D54" s="1464" t="str">
        <f t="shared" si="25"/>
        <v>Sales tax payable</v>
      </c>
      <c r="E54" s="1464" t="str">
        <f t="shared" si="24"/>
        <v>Sales tax payable</v>
      </c>
      <c r="H54" s="3" t="s">
        <v>813</v>
      </c>
    </row>
    <row r="55" spans="1:8" ht="14.4" x14ac:dyDescent="0.3">
      <c r="A55" s="277">
        <v>2220</v>
      </c>
      <c r="B55" s="276" t="s">
        <v>545</v>
      </c>
      <c r="C55" s="1464" t="s">
        <v>618</v>
      </c>
      <c r="D55" s="1464" t="str">
        <f t="shared" si="25"/>
        <v>Sales tax receivable</v>
      </c>
      <c r="E55" s="1464" t="str">
        <f t="shared" si="24"/>
        <v>Sales tax receivable</v>
      </c>
      <c r="H55" s="3" t="s">
        <v>27</v>
      </c>
    </row>
    <row r="56" spans="1:8" ht="14.4" x14ac:dyDescent="0.3">
      <c r="A56" s="277">
        <v>2230</v>
      </c>
      <c r="B56" s="276" t="s">
        <v>546</v>
      </c>
      <c r="C56" s="1464" t="s">
        <v>618</v>
      </c>
      <c r="D56" s="1464" t="str">
        <f t="shared" si="25"/>
        <v>Sales tax receivable</v>
      </c>
      <c r="E56" s="1464" t="str">
        <f t="shared" si="24"/>
        <v>Sales tax receivable</v>
      </c>
      <c r="H56" s="3" t="s">
        <v>236</v>
      </c>
    </row>
    <row r="57" spans="1:8" ht="14.4" x14ac:dyDescent="0.3">
      <c r="A57" s="277">
        <v>2240</v>
      </c>
      <c r="B57" s="276" t="s">
        <v>547</v>
      </c>
      <c r="C57" s="1464" t="s">
        <v>239</v>
      </c>
      <c r="D57" s="1464" t="str">
        <f t="shared" si="25"/>
        <v>Sales tax payable</v>
      </c>
      <c r="E57" s="1464" t="str">
        <f t="shared" si="24"/>
        <v>Sales tax payable</v>
      </c>
      <c r="H57" s="3" t="s">
        <v>514</v>
      </c>
    </row>
    <row r="58" spans="1:8" ht="14.4" x14ac:dyDescent="0.3">
      <c r="A58" s="277">
        <v>2245</v>
      </c>
      <c r="B58" s="276" t="s">
        <v>548</v>
      </c>
      <c r="C58" s="1464" t="s">
        <v>239</v>
      </c>
      <c r="D58" s="1464" t="str">
        <f t="shared" si="25"/>
        <v>Sales tax payable</v>
      </c>
      <c r="E58" s="1464" t="str">
        <f t="shared" si="24"/>
        <v>Sales tax payable</v>
      </c>
      <c r="H58" s="3" t="s">
        <v>316</v>
      </c>
    </row>
    <row r="59" spans="1:8" ht="14.4" x14ac:dyDescent="0.3">
      <c r="A59" s="277">
        <v>2280</v>
      </c>
      <c r="B59" s="276" t="s">
        <v>549</v>
      </c>
      <c r="C59" s="1464" t="s">
        <v>239</v>
      </c>
      <c r="D59" s="1464" t="str">
        <f t="shared" si="25"/>
        <v>Sales tax payable</v>
      </c>
      <c r="E59" s="1464" t="str">
        <f t="shared" si="24"/>
        <v>Sales tax payable</v>
      </c>
      <c r="H59" s="3" t="s">
        <v>243</v>
      </c>
    </row>
    <row r="60" spans="1:8" ht="14.4" x14ac:dyDescent="0.3">
      <c r="A60" s="277">
        <v>2300</v>
      </c>
      <c r="B60" s="276" t="s">
        <v>550</v>
      </c>
      <c r="C60" s="1464" t="s">
        <v>192</v>
      </c>
      <c r="D60" s="1464" t="str">
        <f t="shared" si="25"/>
        <v>Income tax payable</v>
      </c>
      <c r="E60" s="1464" t="str">
        <f t="shared" si="24"/>
        <v>Income tax payable</v>
      </c>
      <c r="H60" s="3" t="s">
        <v>43</v>
      </c>
    </row>
    <row r="61" spans="1:8" ht="14.4" x14ac:dyDescent="0.3">
      <c r="A61" s="277">
        <v>2500</v>
      </c>
      <c r="B61" s="276" t="s">
        <v>459</v>
      </c>
      <c r="C61" s="1464" t="s">
        <v>185</v>
      </c>
      <c r="D61" s="1464" t="str">
        <f t="shared" si="25"/>
        <v>Due from related parties</v>
      </c>
      <c r="E61" s="1464" t="str">
        <f t="shared" si="24"/>
        <v>Due from related parties</v>
      </c>
      <c r="H61" s="3" t="s">
        <v>289</v>
      </c>
    </row>
    <row r="62" spans="1:8" ht="14.4" x14ac:dyDescent="0.3">
      <c r="A62" s="277">
        <v>2501</v>
      </c>
      <c r="B62" s="276" t="s">
        <v>460</v>
      </c>
      <c r="C62" s="1464" t="s">
        <v>185</v>
      </c>
      <c r="D62" s="1464" t="str">
        <f t="shared" si="25"/>
        <v>Due from related parties</v>
      </c>
      <c r="E62" s="1464" t="str">
        <f t="shared" si="24"/>
        <v>Due from related parties</v>
      </c>
      <c r="H62" s="3" t="s">
        <v>495</v>
      </c>
    </row>
    <row r="63" spans="1:8" ht="14.4" x14ac:dyDescent="0.3">
      <c r="A63" s="277">
        <v>2502</v>
      </c>
      <c r="B63" s="276" t="s">
        <v>461</v>
      </c>
      <c r="C63" s="1464" t="s">
        <v>185</v>
      </c>
      <c r="D63" s="1464" t="str">
        <f t="shared" si="25"/>
        <v>Due from related parties</v>
      </c>
      <c r="E63" s="1464" t="str">
        <f t="shared" si="24"/>
        <v>Due from related parties</v>
      </c>
      <c r="H63" s="3" t="s">
        <v>246</v>
      </c>
    </row>
    <row r="64" spans="1:8" ht="14.4" x14ac:dyDescent="0.3">
      <c r="A64" s="277">
        <v>2503</v>
      </c>
      <c r="B64" s="276" t="s">
        <v>462</v>
      </c>
      <c r="C64" s="1464" t="s">
        <v>185</v>
      </c>
      <c r="D64" s="1464" t="str">
        <f t="shared" si="25"/>
        <v>Due from related parties</v>
      </c>
      <c r="E64" s="1464" t="str">
        <f t="shared" si="24"/>
        <v>Due from related parties</v>
      </c>
      <c r="H64" s="3" t="s">
        <v>247</v>
      </c>
    </row>
    <row r="65" spans="1:8" ht="14.4" x14ac:dyDescent="0.3">
      <c r="A65" s="277">
        <v>2504</v>
      </c>
      <c r="B65" s="276" t="s">
        <v>463</v>
      </c>
      <c r="C65" s="1464" t="s">
        <v>185</v>
      </c>
      <c r="D65" s="1464" t="str">
        <f t="shared" si="25"/>
        <v>Due from related parties</v>
      </c>
      <c r="E65" s="1464" t="str">
        <f t="shared" si="24"/>
        <v>Due from related parties</v>
      </c>
      <c r="H65" s="3" t="s">
        <v>498</v>
      </c>
    </row>
    <row r="66" spans="1:8" ht="14.4" x14ac:dyDescent="0.3">
      <c r="A66" s="277">
        <v>2600</v>
      </c>
      <c r="B66" s="276" t="s">
        <v>464</v>
      </c>
      <c r="C66" s="1464" t="s">
        <v>229</v>
      </c>
      <c r="D66" s="1464" t="str">
        <f t="shared" si="25"/>
        <v xml:space="preserve">Current portion of loans and borrowings </v>
      </c>
      <c r="E66" s="1464" t="str">
        <f t="shared" si="24"/>
        <v xml:space="preserve">Current portion of loans and borrowings </v>
      </c>
      <c r="H66" s="3" t="s">
        <v>186</v>
      </c>
    </row>
    <row r="67" spans="1:8" ht="14.4" x14ac:dyDescent="0.3">
      <c r="A67" s="277">
        <v>2600</v>
      </c>
      <c r="B67" s="276" t="s">
        <v>551</v>
      </c>
      <c r="C67" s="1464" t="s">
        <v>100</v>
      </c>
      <c r="D67" s="1464" t="str">
        <f t="shared" si="25"/>
        <v>Due to related parties</v>
      </c>
      <c r="E67" s="1464" t="str">
        <f t="shared" si="24"/>
        <v>Due to related parties</v>
      </c>
      <c r="H67" s="3" t="s">
        <v>248</v>
      </c>
    </row>
    <row r="68" spans="1:8" ht="14.4" x14ac:dyDescent="0.3">
      <c r="A68" s="277">
        <v>2601</v>
      </c>
      <c r="B68" s="276" t="s">
        <v>552</v>
      </c>
      <c r="C68" s="1464" t="s">
        <v>100</v>
      </c>
      <c r="D68" s="1464" t="str">
        <f t="shared" si="25"/>
        <v>Due to related parties</v>
      </c>
      <c r="E68" s="1464" t="str">
        <f t="shared" si="24"/>
        <v>Due to related parties</v>
      </c>
      <c r="H68" s="3" t="s">
        <v>108</v>
      </c>
    </row>
    <row r="69" spans="1:8" ht="14.4" x14ac:dyDescent="0.3">
      <c r="A69" s="277">
        <v>2602</v>
      </c>
      <c r="B69" s="276" t="s">
        <v>553</v>
      </c>
      <c r="C69" s="1464" t="s">
        <v>100</v>
      </c>
      <c r="D69" s="1464" t="str">
        <f t="shared" si="25"/>
        <v>Due to related parties</v>
      </c>
      <c r="E69" s="1464" t="str">
        <f t="shared" si="24"/>
        <v>Due to related parties</v>
      </c>
      <c r="H69" s="3" t="s">
        <v>704</v>
      </c>
    </row>
    <row r="70" spans="1:8" ht="14.4" x14ac:dyDescent="0.3">
      <c r="A70" s="277">
        <v>2650</v>
      </c>
      <c r="B70" s="276" t="s">
        <v>465</v>
      </c>
      <c r="C70" s="1464" t="s">
        <v>30</v>
      </c>
      <c r="D70" s="1464" t="str">
        <f t="shared" si="25"/>
        <v>Loans and borrowings</v>
      </c>
      <c r="E70" s="1464" t="str">
        <f t="shared" si="24"/>
        <v>Loans and borrowings</v>
      </c>
      <c r="H70" s="3" t="s">
        <v>1369</v>
      </c>
    </row>
    <row r="71" spans="1:8" ht="14.4" x14ac:dyDescent="0.3">
      <c r="A71" s="277">
        <v>2650</v>
      </c>
      <c r="B71" s="276" t="s">
        <v>554</v>
      </c>
      <c r="C71" s="1464" t="s">
        <v>30</v>
      </c>
      <c r="D71" s="1464" t="str">
        <f t="shared" si="25"/>
        <v>Loans and borrowings</v>
      </c>
      <c r="E71" s="1464" t="str">
        <f t="shared" si="24"/>
        <v>Loans and borrowings</v>
      </c>
      <c r="H71" s="3" t="s">
        <v>233</v>
      </c>
    </row>
    <row r="72" spans="1:8" ht="14.4" x14ac:dyDescent="0.3">
      <c r="A72" s="277">
        <v>2651</v>
      </c>
      <c r="B72" s="276" t="s">
        <v>555</v>
      </c>
      <c r="C72" s="1464" t="s">
        <v>30</v>
      </c>
      <c r="D72" s="1464" t="str">
        <f t="shared" si="25"/>
        <v>Loans and borrowings</v>
      </c>
      <c r="E72" s="1464" t="str">
        <f t="shared" si="24"/>
        <v>Loans and borrowings</v>
      </c>
    </row>
    <row r="73" spans="1:8" ht="14.4" x14ac:dyDescent="0.3">
      <c r="A73" s="277">
        <v>2700</v>
      </c>
      <c r="B73" s="276" t="s">
        <v>511</v>
      </c>
      <c r="C73" s="1464" t="s">
        <v>510</v>
      </c>
      <c r="D73" s="1464" t="str">
        <f t="shared" si="25"/>
        <v>Share subscription payable</v>
      </c>
      <c r="E73" s="1464" t="str">
        <f t="shared" si="24"/>
        <v>Share subscription payable</v>
      </c>
    </row>
    <row r="74" spans="1:8" ht="14.4" x14ac:dyDescent="0.3">
      <c r="A74" s="277">
        <v>2700</v>
      </c>
      <c r="B74" s="276" t="s">
        <v>556</v>
      </c>
      <c r="C74" s="1464" t="s">
        <v>100</v>
      </c>
      <c r="D74" s="1464" t="str">
        <f t="shared" si="25"/>
        <v>Due to related parties</v>
      </c>
      <c r="E74" s="1464" t="str">
        <f t="shared" si="24"/>
        <v>Due to related parties</v>
      </c>
    </row>
    <row r="75" spans="1:8" ht="14.4" x14ac:dyDescent="0.3">
      <c r="A75" s="277">
        <v>2705</v>
      </c>
      <c r="B75" s="276" t="s">
        <v>557</v>
      </c>
      <c r="C75" s="1464" t="s">
        <v>100</v>
      </c>
      <c r="D75" s="1464" t="str">
        <f t="shared" si="25"/>
        <v>Due to related parties</v>
      </c>
      <c r="E75" s="1464" t="str">
        <f t="shared" si="24"/>
        <v>Due to related parties</v>
      </c>
    </row>
    <row r="76" spans="1:8" ht="14.4" x14ac:dyDescent="0.3">
      <c r="A76" s="277">
        <v>2706</v>
      </c>
      <c r="B76" s="276" t="s">
        <v>558</v>
      </c>
      <c r="C76" s="1464" t="s">
        <v>100</v>
      </c>
      <c r="D76" s="1464" t="str">
        <f t="shared" si="25"/>
        <v>Due to related parties</v>
      </c>
      <c r="E76" s="1464" t="str">
        <f t="shared" si="24"/>
        <v>Due to related parties</v>
      </c>
    </row>
    <row r="77" spans="1:8" ht="14.4" x14ac:dyDescent="0.3">
      <c r="A77" s="277">
        <v>2800</v>
      </c>
      <c r="B77" s="276" t="s">
        <v>682</v>
      </c>
      <c r="C77" s="1464" t="s">
        <v>677</v>
      </c>
      <c r="D77" s="1464" t="str">
        <f t="shared" ref="D77:D78" si="26">C77</f>
        <v>Convertible debt</v>
      </c>
      <c r="E77" s="1464" t="str">
        <f t="shared" ref="E77" si="27">C77</f>
        <v>Convertible debt</v>
      </c>
    </row>
    <row r="78" spans="1:8" ht="14.4" x14ac:dyDescent="0.3">
      <c r="A78" s="277">
        <v>2801</v>
      </c>
      <c r="B78" s="276" t="s">
        <v>681</v>
      </c>
      <c r="C78" s="1464" t="s">
        <v>677</v>
      </c>
      <c r="D78" s="1464" t="str">
        <f t="shared" si="26"/>
        <v>Convertible debt</v>
      </c>
      <c r="E78" s="1464" t="str">
        <f t="shared" ref="E78" si="28">C78</f>
        <v>Convertible debt</v>
      </c>
    </row>
    <row r="79" spans="1:8" ht="14.4" x14ac:dyDescent="0.3">
      <c r="A79" s="277">
        <v>2802</v>
      </c>
      <c r="B79" s="276" t="s">
        <v>683</v>
      </c>
      <c r="C79" s="1464" t="s">
        <v>686</v>
      </c>
      <c r="D79" s="1464" t="str">
        <f t="shared" ref="D79" si="29">C79</f>
        <v>Derivative liability</v>
      </c>
      <c r="E79" s="1464" t="str">
        <f t="shared" ref="E79" si="30">C79</f>
        <v>Derivative liability</v>
      </c>
    </row>
    <row r="80" spans="1:8" ht="14.4" x14ac:dyDescent="0.3">
      <c r="A80" s="277">
        <v>2803</v>
      </c>
      <c r="B80" s="3" t="s">
        <v>2172</v>
      </c>
      <c r="C80" s="1464" t="s">
        <v>677</v>
      </c>
      <c r="D80" s="1464" t="str">
        <f t="shared" ref="D80" si="31">C80</f>
        <v>Convertible debt</v>
      </c>
      <c r="E80" s="1464" t="str">
        <f t="shared" ref="E80" si="32">C80</f>
        <v>Convertible debt</v>
      </c>
    </row>
    <row r="81" spans="1:5" ht="14.4" x14ac:dyDescent="0.3">
      <c r="A81" s="277">
        <v>2900</v>
      </c>
      <c r="B81" s="276" t="s">
        <v>684</v>
      </c>
      <c r="C81" s="1464" t="s">
        <v>644</v>
      </c>
      <c r="D81" s="1464" t="str">
        <f t="shared" ref="D81" si="33">C81</f>
        <v>Intercompany</v>
      </c>
      <c r="E81" s="1464" t="str">
        <f t="shared" ref="E81" si="34">C81</f>
        <v>Intercompany</v>
      </c>
    </row>
    <row r="82" spans="1:5" ht="14.4" x14ac:dyDescent="0.3">
      <c r="A82" s="277">
        <v>3000</v>
      </c>
      <c r="B82" s="276" t="s">
        <v>325</v>
      </c>
      <c r="C82" s="1464" t="s">
        <v>5</v>
      </c>
      <c r="D82" s="1464" t="str">
        <f t="shared" ref="D82:D95" si="35">C82</f>
        <v>Share capital</v>
      </c>
      <c r="E82" s="1464" t="str">
        <f>C82</f>
        <v>Share capital</v>
      </c>
    </row>
    <row r="83" spans="1:5" ht="14.4" x14ac:dyDescent="0.3">
      <c r="A83" s="277">
        <v>3000</v>
      </c>
      <c r="B83" s="276" t="s">
        <v>559</v>
      </c>
      <c r="C83" s="1465" t="s">
        <v>403</v>
      </c>
      <c r="D83" s="1464" t="str">
        <f t="shared" si="35"/>
        <v>Accumulated deficit</v>
      </c>
      <c r="E83" s="1464" t="s">
        <v>403</v>
      </c>
    </row>
    <row r="84" spans="1:5" ht="14.4" x14ac:dyDescent="0.3">
      <c r="A84" s="277">
        <v>3001</v>
      </c>
      <c r="B84" s="276" t="s">
        <v>466</v>
      </c>
      <c r="C84" s="1464" t="s">
        <v>5</v>
      </c>
      <c r="D84" s="1464" t="str">
        <f t="shared" si="35"/>
        <v>Share capital</v>
      </c>
      <c r="E84" s="1464" t="str">
        <f t="shared" ref="E84:E91" si="36">C84</f>
        <v>Share capital</v>
      </c>
    </row>
    <row r="85" spans="1:5" ht="14.4" x14ac:dyDescent="0.3">
      <c r="A85" s="277">
        <v>3010</v>
      </c>
      <c r="B85" s="276" t="s">
        <v>467</v>
      </c>
      <c r="C85" s="1464" t="s">
        <v>5</v>
      </c>
      <c r="D85" s="1464" t="str">
        <f t="shared" si="35"/>
        <v>Share capital</v>
      </c>
      <c r="E85" s="1464" t="str">
        <f t="shared" si="36"/>
        <v>Share capital</v>
      </c>
    </row>
    <row r="86" spans="1:5" ht="14.4" x14ac:dyDescent="0.3">
      <c r="A86" s="277">
        <v>3100</v>
      </c>
      <c r="B86" s="276" t="s">
        <v>468</v>
      </c>
      <c r="C86" s="1464" t="s">
        <v>6</v>
      </c>
      <c r="D86" s="1464" t="str">
        <f t="shared" si="35"/>
        <v>Contributed surplus</v>
      </c>
      <c r="E86" s="1464" t="str">
        <f t="shared" si="36"/>
        <v>Contributed surplus</v>
      </c>
    </row>
    <row r="87" spans="1:5" ht="14.4" x14ac:dyDescent="0.3">
      <c r="A87" s="277">
        <v>3100</v>
      </c>
      <c r="B87" s="276" t="s">
        <v>560</v>
      </c>
      <c r="C87" s="1464" t="s">
        <v>5</v>
      </c>
      <c r="D87" s="1464" t="str">
        <f t="shared" si="35"/>
        <v>Share capital</v>
      </c>
      <c r="E87" s="1464" t="str">
        <f t="shared" si="36"/>
        <v>Share capital</v>
      </c>
    </row>
    <row r="88" spans="1:5" ht="14.4" x14ac:dyDescent="0.3">
      <c r="A88" s="277">
        <v>3105</v>
      </c>
      <c r="B88" s="276" t="s">
        <v>561</v>
      </c>
      <c r="C88" s="1464" t="s">
        <v>5</v>
      </c>
      <c r="D88" s="1464" t="str">
        <f t="shared" si="35"/>
        <v>Share capital</v>
      </c>
      <c r="E88" s="1464" t="str">
        <f t="shared" si="36"/>
        <v>Share capital</v>
      </c>
    </row>
    <row r="89" spans="1:5" ht="14.4" x14ac:dyDescent="0.3">
      <c r="A89" s="277">
        <v>3110</v>
      </c>
      <c r="B89" s="276" t="s">
        <v>562</v>
      </c>
      <c r="C89" s="1464" t="s">
        <v>5</v>
      </c>
      <c r="D89" s="1464" t="str">
        <f t="shared" si="35"/>
        <v>Share capital</v>
      </c>
      <c r="E89" s="1464" t="str">
        <f t="shared" si="36"/>
        <v>Share capital</v>
      </c>
    </row>
    <row r="90" spans="1:5" ht="14.4" x14ac:dyDescent="0.3">
      <c r="A90" s="277">
        <v>3115</v>
      </c>
      <c r="B90" s="276" t="s">
        <v>563</v>
      </c>
      <c r="C90" s="1464" t="s">
        <v>5</v>
      </c>
      <c r="D90" s="1464" t="str">
        <f t="shared" si="35"/>
        <v>Share capital</v>
      </c>
      <c r="E90" s="1464" t="str">
        <f t="shared" si="36"/>
        <v>Share capital</v>
      </c>
    </row>
    <row r="91" spans="1:5" ht="14.4" x14ac:dyDescent="0.3">
      <c r="A91" s="277">
        <v>3200</v>
      </c>
      <c r="B91" s="276" t="s">
        <v>564</v>
      </c>
      <c r="C91" s="1464" t="s">
        <v>6</v>
      </c>
      <c r="D91" s="1464" t="str">
        <f t="shared" si="35"/>
        <v>Contributed surplus</v>
      </c>
      <c r="E91" s="1464" t="str">
        <f t="shared" si="36"/>
        <v>Contributed surplus</v>
      </c>
    </row>
    <row r="92" spans="1:5" ht="14.4" x14ac:dyDescent="0.3">
      <c r="A92" s="277">
        <v>3500</v>
      </c>
      <c r="B92" s="276" t="s">
        <v>326</v>
      </c>
      <c r="C92" s="1464" t="s">
        <v>403</v>
      </c>
      <c r="D92" s="1464" t="str">
        <f t="shared" si="35"/>
        <v>Accumulated deficit</v>
      </c>
      <c r="E92" s="1464" t="s">
        <v>403</v>
      </c>
    </row>
    <row r="93" spans="1:5" ht="14.4" x14ac:dyDescent="0.3">
      <c r="A93" s="277">
        <v>3500</v>
      </c>
      <c r="B93" s="276" t="s">
        <v>2283</v>
      </c>
      <c r="C93" s="1464" t="s">
        <v>6</v>
      </c>
      <c r="D93" s="1464" t="str">
        <f t="shared" ref="D93" si="37">C93</f>
        <v>Contributed surplus</v>
      </c>
      <c r="E93" s="1464" t="str">
        <f t="shared" ref="E93" si="38">C93</f>
        <v>Contributed surplus</v>
      </c>
    </row>
    <row r="94" spans="1:5" ht="14.4" x14ac:dyDescent="0.3">
      <c r="A94" s="277">
        <v>3501</v>
      </c>
      <c r="B94" s="276" t="s">
        <v>469</v>
      </c>
      <c r="C94" s="1464" t="s">
        <v>403</v>
      </c>
      <c r="D94" s="1464" t="str">
        <f t="shared" si="35"/>
        <v>Accumulated deficit</v>
      </c>
      <c r="E94" s="1464" t="s">
        <v>403</v>
      </c>
    </row>
    <row r="95" spans="1:5" ht="14.4" x14ac:dyDescent="0.3">
      <c r="A95" s="731">
        <v>3900</v>
      </c>
      <c r="B95" s="732" t="s">
        <v>565</v>
      </c>
      <c r="C95" s="1465" t="s">
        <v>403</v>
      </c>
      <c r="D95" s="1465" t="str">
        <f t="shared" si="35"/>
        <v>Accumulated deficit</v>
      </c>
      <c r="E95" s="1465" t="s">
        <v>403</v>
      </c>
    </row>
    <row r="96" spans="1:5" ht="14.4" x14ac:dyDescent="0.3">
      <c r="A96" s="277">
        <v>5000</v>
      </c>
      <c r="B96" s="276" t="s">
        <v>470</v>
      </c>
      <c r="C96" s="1464" t="s">
        <v>189</v>
      </c>
      <c r="D96" s="1464" t="s">
        <v>189</v>
      </c>
      <c r="E96" s="1464" t="s">
        <v>403</v>
      </c>
    </row>
    <row r="97" spans="1:5" ht="14.4" x14ac:dyDescent="0.3">
      <c r="A97" s="277">
        <v>5000</v>
      </c>
      <c r="B97" s="276" t="s">
        <v>566</v>
      </c>
      <c r="C97" s="1464" t="s">
        <v>189</v>
      </c>
      <c r="D97" s="1464" t="s">
        <v>620</v>
      </c>
      <c r="E97" s="1464" t="s">
        <v>403</v>
      </c>
    </row>
    <row r="98" spans="1:5" ht="14.4" x14ac:dyDescent="0.3">
      <c r="A98" s="277">
        <v>5001</v>
      </c>
      <c r="B98" s="276" t="s">
        <v>567</v>
      </c>
      <c r="C98" s="1464" t="s">
        <v>189</v>
      </c>
      <c r="D98" s="1464" t="s">
        <v>621</v>
      </c>
      <c r="E98" s="1464" t="s">
        <v>403</v>
      </c>
    </row>
    <row r="99" spans="1:5" ht="14.4" x14ac:dyDescent="0.3">
      <c r="A99" s="277">
        <v>5002</v>
      </c>
      <c r="B99" s="276" t="s">
        <v>568</v>
      </c>
      <c r="C99" s="1464" t="s">
        <v>189</v>
      </c>
      <c r="D99" s="1464" t="s">
        <v>622</v>
      </c>
      <c r="E99" s="1464" t="s">
        <v>403</v>
      </c>
    </row>
    <row r="100" spans="1:5" ht="14.4" x14ac:dyDescent="0.3">
      <c r="A100" s="277">
        <v>5003</v>
      </c>
      <c r="B100" s="276" t="s">
        <v>569</v>
      </c>
      <c r="C100" s="1464" t="s">
        <v>189</v>
      </c>
      <c r="D100" s="1464" t="s">
        <v>621</v>
      </c>
      <c r="E100" s="1464" t="s">
        <v>403</v>
      </c>
    </row>
    <row r="101" spans="1:5" ht="14.4" x14ac:dyDescent="0.3">
      <c r="A101" s="277">
        <v>5004</v>
      </c>
      <c r="B101" s="276" t="s">
        <v>570</v>
      </c>
      <c r="C101" s="1464" t="s">
        <v>189</v>
      </c>
      <c r="D101" s="1464" t="s">
        <v>622</v>
      </c>
      <c r="E101" s="1464" t="s">
        <v>403</v>
      </c>
    </row>
    <row r="102" spans="1:5" ht="14.4" x14ac:dyDescent="0.3">
      <c r="A102" s="277">
        <v>5006</v>
      </c>
      <c r="B102" t="s">
        <v>571</v>
      </c>
      <c r="C102" s="1464" t="s">
        <v>189</v>
      </c>
      <c r="D102" s="1464" t="s">
        <v>622</v>
      </c>
      <c r="E102" s="1464" t="s">
        <v>403</v>
      </c>
    </row>
    <row r="103" spans="1:5" ht="14.4" x14ac:dyDescent="0.3">
      <c r="A103" s="277">
        <v>5400</v>
      </c>
      <c r="B103" t="s">
        <v>2282</v>
      </c>
      <c r="C103" s="1464" t="s">
        <v>235</v>
      </c>
      <c r="D103" s="1464" t="s">
        <v>235</v>
      </c>
      <c r="E103" s="1464" t="s">
        <v>403</v>
      </c>
    </row>
    <row r="104" spans="1:5" ht="14.4" x14ac:dyDescent="0.3">
      <c r="A104" s="277">
        <v>5498</v>
      </c>
      <c r="B104" s="276" t="s">
        <v>490</v>
      </c>
      <c r="C104" s="1464" t="s">
        <v>37</v>
      </c>
      <c r="D104" s="1464" t="s">
        <v>37</v>
      </c>
      <c r="E104" s="1464" t="s">
        <v>403</v>
      </c>
    </row>
    <row r="105" spans="1:5" ht="14.4" x14ac:dyDescent="0.3">
      <c r="A105" s="277">
        <v>5499</v>
      </c>
      <c r="B105" s="276" t="s">
        <v>572</v>
      </c>
      <c r="C105" s="1464" t="s">
        <v>235</v>
      </c>
      <c r="D105" s="1464" t="s">
        <v>235</v>
      </c>
      <c r="E105" s="1464" t="s">
        <v>403</v>
      </c>
    </row>
    <row r="106" spans="1:5" ht="14.4" x14ac:dyDescent="0.3">
      <c r="A106" s="277">
        <v>5500</v>
      </c>
      <c r="B106" s="276" t="s">
        <v>575</v>
      </c>
      <c r="C106" s="1464" t="s">
        <v>244</v>
      </c>
      <c r="D106" s="1464" t="s">
        <v>244</v>
      </c>
      <c r="E106" s="1464" t="s">
        <v>403</v>
      </c>
    </row>
    <row r="107" spans="1:5" ht="14.4" x14ac:dyDescent="0.3">
      <c r="A107" s="277">
        <v>5510</v>
      </c>
      <c r="B107" s="276" t="s">
        <v>576</v>
      </c>
      <c r="C107" s="1464" t="s">
        <v>244</v>
      </c>
      <c r="D107" s="1464" t="s">
        <v>244</v>
      </c>
      <c r="E107" s="1464" t="s">
        <v>403</v>
      </c>
    </row>
    <row r="108" spans="1:5" ht="14.4" x14ac:dyDescent="0.3">
      <c r="A108" s="277">
        <v>5511</v>
      </c>
      <c r="B108" s="276" t="s">
        <v>577</v>
      </c>
      <c r="C108" s="1464" t="s">
        <v>244</v>
      </c>
      <c r="D108" s="1464" t="s">
        <v>244</v>
      </c>
      <c r="E108" s="1464" t="s">
        <v>403</v>
      </c>
    </row>
    <row r="109" spans="1:5" ht="14.4" x14ac:dyDescent="0.3">
      <c r="A109" s="277">
        <v>5515</v>
      </c>
      <c r="B109" t="s">
        <v>578</v>
      </c>
      <c r="C109" s="1464" t="s">
        <v>244</v>
      </c>
      <c r="D109" s="1464" t="s">
        <v>244</v>
      </c>
      <c r="E109" s="1464" t="s">
        <v>403</v>
      </c>
    </row>
    <row r="110" spans="1:5" ht="14.4" x14ac:dyDescent="0.3">
      <c r="A110" s="277">
        <v>5520</v>
      </c>
      <c r="B110" t="s">
        <v>579</v>
      </c>
      <c r="C110" s="1464" t="s">
        <v>244</v>
      </c>
      <c r="D110" s="1464" t="s">
        <v>244</v>
      </c>
      <c r="E110" s="1464" t="s">
        <v>403</v>
      </c>
    </row>
    <row r="111" spans="1:5" ht="14.4" x14ac:dyDescent="0.3">
      <c r="A111" s="277">
        <v>5525</v>
      </c>
      <c r="B111" s="276" t="s">
        <v>580</v>
      </c>
      <c r="C111" s="1464" t="s">
        <v>244</v>
      </c>
      <c r="D111" s="1464" t="s">
        <v>244</v>
      </c>
      <c r="E111" s="1464" t="s">
        <v>403</v>
      </c>
    </row>
    <row r="112" spans="1:5" ht="14.4" x14ac:dyDescent="0.3">
      <c r="A112" s="277">
        <v>5530</v>
      </c>
      <c r="B112" t="s">
        <v>581</v>
      </c>
      <c r="C112" s="1464" t="s">
        <v>244</v>
      </c>
      <c r="D112" s="1464" t="s">
        <v>244</v>
      </c>
      <c r="E112" s="1464" t="s">
        <v>403</v>
      </c>
    </row>
    <row r="113" spans="1:5" ht="14.4" x14ac:dyDescent="0.3">
      <c r="A113" s="277">
        <v>5535</v>
      </c>
      <c r="B113" t="s">
        <v>582</v>
      </c>
      <c r="C113" s="1464" t="s">
        <v>244</v>
      </c>
      <c r="D113" s="1464" t="s">
        <v>244</v>
      </c>
      <c r="E113" s="1464" t="s">
        <v>403</v>
      </c>
    </row>
    <row r="114" spans="1:5" ht="14.4" x14ac:dyDescent="0.3">
      <c r="A114" s="277">
        <v>5540</v>
      </c>
      <c r="B114" t="s">
        <v>583</v>
      </c>
      <c r="C114" s="1464" t="s">
        <v>244</v>
      </c>
      <c r="D114" s="1464" t="s">
        <v>244</v>
      </c>
      <c r="E114" s="1464" t="s">
        <v>403</v>
      </c>
    </row>
    <row r="115" spans="1:5" ht="14.4" x14ac:dyDescent="0.3">
      <c r="A115" s="277">
        <v>5545</v>
      </c>
      <c r="B115" t="s">
        <v>584</v>
      </c>
      <c r="C115" s="1464" t="s">
        <v>244</v>
      </c>
      <c r="D115" s="1464" t="s">
        <v>244</v>
      </c>
      <c r="E115" s="1464" t="s">
        <v>403</v>
      </c>
    </row>
    <row r="116" spans="1:5" ht="14.4" x14ac:dyDescent="0.3">
      <c r="A116" s="277">
        <v>5998</v>
      </c>
      <c r="B116" s="276" t="s">
        <v>573</v>
      </c>
      <c r="C116" s="1464" t="s">
        <v>235</v>
      </c>
      <c r="D116" s="1464" t="s">
        <v>235</v>
      </c>
      <c r="E116" s="1464" t="s">
        <v>403</v>
      </c>
    </row>
    <row r="117" spans="1:5" ht="14.4" x14ac:dyDescent="0.3">
      <c r="A117" s="277">
        <v>5999</v>
      </c>
      <c r="B117" s="276" t="s">
        <v>471</v>
      </c>
      <c r="C117" s="1464" t="s">
        <v>189</v>
      </c>
      <c r="D117" s="1464" t="s">
        <v>189</v>
      </c>
      <c r="E117" s="1464" t="s">
        <v>403</v>
      </c>
    </row>
    <row r="118" spans="1:5" ht="14.4" x14ac:dyDescent="0.3">
      <c r="A118" s="277">
        <v>5999</v>
      </c>
      <c r="B118" s="276" t="s">
        <v>574</v>
      </c>
      <c r="C118" s="1464" t="s">
        <v>235</v>
      </c>
      <c r="D118" s="1464" t="s">
        <v>235</v>
      </c>
      <c r="E118" s="1464" t="s">
        <v>403</v>
      </c>
    </row>
    <row r="119" spans="1:5" ht="14.4" x14ac:dyDescent="0.3">
      <c r="A119" s="277">
        <v>6000</v>
      </c>
      <c r="B119" t="s">
        <v>585</v>
      </c>
      <c r="C119" s="1464" t="s">
        <v>35</v>
      </c>
      <c r="D119" s="1464" t="s">
        <v>623</v>
      </c>
      <c r="E119" s="1464" t="s">
        <v>403</v>
      </c>
    </row>
    <row r="120" spans="1:5" ht="14.4" x14ac:dyDescent="0.3">
      <c r="A120" s="277">
        <v>6001</v>
      </c>
      <c r="B120" t="s">
        <v>586</v>
      </c>
      <c r="C120" s="1464" t="s">
        <v>35</v>
      </c>
      <c r="D120" s="1464" t="s">
        <v>623</v>
      </c>
      <c r="E120" s="1464" t="s">
        <v>403</v>
      </c>
    </row>
    <row r="121" spans="1:5" ht="14.4" x14ac:dyDescent="0.3">
      <c r="A121" s="277">
        <v>6002</v>
      </c>
      <c r="B121" t="s">
        <v>587</v>
      </c>
      <c r="C121" s="1464" t="s">
        <v>35</v>
      </c>
      <c r="D121" s="1464" t="s">
        <v>623</v>
      </c>
      <c r="E121" s="1464" t="s">
        <v>403</v>
      </c>
    </row>
    <row r="122" spans="1:5" ht="14.4" x14ac:dyDescent="0.3">
      <c r="A122" s="277">
        <v>6003</v>
      </c>
      <c r="B122" t="s">
        <v>588</v>
      </c>
      <c r="C122" s="1464" t="s">
        <v>35</v>
      </c>
      <c r="D122" s="1464" t="s">
        <v>623</v>
      </c>
      <c r="E122" s="1464" t="s">
        <v>403</v>
      </c>
    </row>
    <row r="123" spans="1:5" ht="14.4" x14ac:dyDescent="0.3">
      <c r="A123" s="277">
        <v>6004</v>
      </c>
      <c r="B123" t="s">
        <v>589</v>
      </c>
      <c r="C123" s="1464" t="s">
        <v>35</v>
      </c>
      <c r="D123" s="1464" t="s">
        <v>623</v>
      </c>
      <c r="E123" s="1464" t="s">
        <v>403</v>
      </c>
    </row>
    <row r="124" spans="1:5" ht="14.4" x14ac:dyDescent="0.3">
      <c r="A124" s="277">
        <v>6005</v>
      </c>
      <c r="B124" t="s">
        <v>590</v>
      </c>
      <c r="C124" s="1464" t="s">
        <v>35</v>
      </c>
      <c r="D124" s="1464" t="s">
        <v>623</v>
      </c>
      <c r="E124" s="1464" t="s">
        <v>403</v>
      </c>
    </row>
    <row r="125" spans="1:5" ht="14.4" x14ac:dyDescent="0.3">
      <c r="A125" s="277">
        <v>6010</v>
      </c>
      <c r="B125" t="s">
        <v>591</v>
      </c>
      <c r="C125" s="1464" t="s">
        <v>35</v>
      </c>
      <c r="D125" s="1464" t="s">
        <v>200</v>
      </c>
      <c r="E125" s="1464" t="s">
        <v>403</v>
      </c>
    </row>
    <row r="126" spans="1:5" ht="14.4" x14ac:dyDescent="0.3">
      <c r="A126" s="277">
        <v>6011</v>
      </c>
      <c r="B126" s="276" t="s">
        <v>472</v>
      </c>
      <c r="C126" s="1464" t="s">
        <v>35</v>
      </c>
      <c r="D126" s="1464" t="s">
        <v>240</v>
      </c>
      <c r="E126" s="1464" t="s">
        <v>403</v>
      </c>
    </row>
    <row r="127" spans="1:5" ht="14.4" x14ac:dyDescent="0.3">
      <c r="A127" s="277">
        <v>6012</v>
      </c>
      <c r="B127" s="276" t="s">
        <v>473</v>
      </c>
      <c r="C127" s="1464" t="s">
        <v>35</v>
      </c>
      <c r="D127" s="1464" t="s">
        <v>290</v>
      </c>
      <c r="E127" s="1464" t="s">
        <v>403</v>
      </c>
    </row>
    <row r="128" spans="1:5" ht="14.4" x14ac:dyDescent="0.3">
      <c r="A128" s="277">
        <v>6012</v>
      </c>
      <c r="B128" t="s">
        <v>593</v>
      </c>
      <c r="C128" s="1464" t="s">
        <v>35</v>
      </c>
      <c r="D128" s="1464" t="s">
        <v>290</v>
      </c>
      <c r="E128" s="1464" t="s">
        <v>403</v>
      </c>
    </row>
    <row r="129" spans="1:5" ht="14.4" x14ac:dyDescent="0.3">
      <c r="A129" s="277">
        <v>6013</v>
      </c>
      <c r="B129" s="276" t="s">
        <v>474</v>
      </c>
      <c r="C129" s="1464" t="s">
        <v>26</v>
      </c>
      <c r="D129" s="1464" t="s">
        <v>26</v>
      </c>
      <c r="E129" s="1464" t="s">
        <v>403</v>
      </c>
    </row>
    <row r="130" spans="1:5" ht="14.4" x14ac:dyDescent="0.3">
      <c r="A130" s="277">
        <v>6015</v>
      </c>
      <c r="B130" s="276" t="s">
        <v>475</v>
      </c>
      <c r="C130" s="1464" t="s">
        <v>35</v>
      </c>
      <c r="D130" s="1464" t="s">
        <v>236</v>
      </c>
      <c r="E130" s="1464" t="s">
        <v>403</v>
      </c>
    </row>
    <row r="131" spans="1:5" ht="14.4" x14ac:dyDescent="0.3">
      <c r="A131" s="277">
        <v>6015</v>
      </c>
      <c r="B131" t="s">
        <v>594</v>
      </c>
      <c r="C131" s="1464" t="s">
        <v>35</v>
      </c>
      <c r="D131" s="1464" t="s">
        <v>236</v>
      </c>
      <c r="E131" s="1464" t="s">
        <v>403</v>
      </c>
    </row>
    <row r="132" spans="1:5" ht="14.4" x14ac:dyDescent="0.3">
      <c r="A132" s="277">
        <v>6016</v>
      </c>
      <c r="B132" s="276" t="s">
        <v>476</v>
      </c>
      <c r="C132" s="1464" t="s">
        <v>35</v>
      </c>
      <c r="D132" s="1464" t="s">
        <v>236</v>
      </c>
      <c r="E132" s="1464" t="s">
        <v>403</v>
      </c>
    </row>
    <row r="133" spans="1:5" ht="14.4" x14ac:dyDescent="0.3">
      <c r="A133" s="277">
        <v>6016</v>
      </c>
      <c r="B133" t="s">
        <v>595</v>
      </c>
      <c r="C133" s="1464" t="s">
        <v>35</v>
      </c>
      <c r="D133" s="1464" t="s">
        <v>514</v>
      </c>
      <c r="E133" s="1464" t="s">
        <v>403</v>
      </c>
    </row>
    <row r="134" spans="1:5" ht="14.4" x14ac:dyDescent="0.3">
      <c r="A134" s="277">
        <v>6017</v>
      </c>
      <c r="B134" s="276" t="s">
        <v>477</v>
      </c>
      <c r="C134" s="1464" t="s">
        <v>35</v>
      </c>
      <c r="D134" s="1464" t="s">
        <v>514</v>
      </c>
      <c r="E134" s="1464" t="s">
        <v>403</v>
      </c>
    </row>
    <row r="135" spans="1:5" ht="14.4" x14ac:dyDescent="0.3">
      <c r="A135" s="277">
        <v>6018</v>
      </c>
      <c r="B135" s="276" t="s">
        <v>1850</v>
      </c>
      <c r="C135" s="1464" t="s">
        <v>35</v>
      </c>
      <c r="D135" s="1464" t="s">
        <v>243</v>
      </c>
      <c r="E135" s="1464" t="s">
        <v>403</v>
      </c>
    </row>
    <row r="136" spans="1:5" ht="14.4" x14ac:dyDescent="0.3">
      <c r="A136" s="277">
        <v>6020</v>
      </c>
      <c r="B136" s="276" t="s">
        <v>478</v>
      </c>
      <c r="C136" s="1464" t="s">
        <v>36</v>
      </c>
      <c r="D136" s="1464" t="s">
        <v>238</v>
      </c>
      <c r="E136" s="1464" t="s">
        <v>403</v>
      </c>
    </row>
    <row r="137" spans="1:5" ht="14.4" x14ac:dyDescent="0.3">
      <c r="A137" s="277">
        <v>6021</v>
      </c>
      <c r="B137" t="s">
        <v>596</v>
      </c>
      <c r="C137" s="1464" t="s">
        <v>36</v>
      </c>
      <c r="D137" s="1464" t="s">
        <v>238</v>
      </c>
      <c r="E137" s="1464" t="s">
        <v>403</v>
      </c>
    </row>
    <row r="138" spans="1:5" ht="14.4" x14ac:dyDescent="0.3">
      <c r="A138" s="277">
        <v>6025</v>
      </c>
      <c r="B138" s="276" t="s">
        <v>479</v>
      </c>
      <c r="C138" s="1464" t="s">
        <v>35</v>
      </c>
      <c r="D138" s="1464" t="s">
        <v>243</v>
      </c>
      <c r="E138" s="1464" t="s">
        <v>403</v>
      </c>
    </row>
    <row r="139" spans="1:5" ht="14.4" x14ac:dyDescent="0.3">
      <c r="A139" s="277">
        <v>6025</v>
      </c>
      <c r="B139" t="s">
        <v>597</v>
      </c>
      <c r="C139" s="1464" t="s">
        <v>35</v>
      </c>
      <c r="D139" s="1464" t="s">
        <v>247</v>
      </c>
      <c r="E139" s="1464" t="s">
        <v>403</v>
      </c>
    </row>
    <row r="140" spans="1:5" ht="14.4" x14ac:dyDescent="0.3">
      <c r="A140" s="277">
        <v>6026</v>
      </c>
      <c r="B140" t="s">
        <v>598</v>
      </c>
      <c r="C140" s="1464" t="s">
        <v>35</v>
      </c>
      <c r="D140" s="1464" t="s">
        <v>247</v>
      </c>
      <c r="E140" s="1464" t="s">
        <v>403</v>
      </c>
    </row>
    <row r="141" spans="1:5" ht="14.4" x14ac:dyDescent="0.3">
      <c r="A141" s="277">
        <v>6030</v>
      </c>
      <c r="B141" t="s">
        <v>599</v>
      </c>
      <c r="C141" s="1464" t="s">
        <v>35</v>
      </c>
      <c r="D141" s="1464" t="s">
        <v>624</v>
      </c>
      <c r="E141" s="1464" t="s">
        <v>403</v>
      </c>
    </row>
    <row r="142" spans="1:5" ht="14.4" x14ac:dyDescent="0.3">
      <c r="A142" s="277">
        <v>6031</v>
      </c>
      <c r="B142" t="s">
        <v>600</v>
      </c>
      <c r="C142" s="1464" t="s">
        <v>35</v>
      </c>
      <c r="D142" s="1464" t="s">
        <v>200</v>
      </c>
      <c r="E142" s="1464" t="s">
        <v>403</v>
      </c>
    </row>
    <row r="143" spans="1:5" ht="14.4" x14ac:dyDescent="0.3">
      <c r="A143" s="277">
        <v>6040</v>
      </c>
      <c r="B143" s="276" t="s">
        <v>480</v>
      </c>
      <c r="C143" s="1464" t="s">
        <v>35</v>
      </c>
      <c r="D143" s="1464" t="s">
        <v>27</v>
      </c>
      <c r="E143" s="1464" t="s">
        <v>403</v>
      </c>
    </row>
    <row r="144" spans="1:5" ht="14.4" x14ac:dyDescent="0.3">
      <c r="A144" s="277">
        <v>6041</v>
      </c>
      <c r="B144" t="s">
        <v>602</v>
      </c>
      <c r="C144" s="1464" t="s">
        <v>35</v>
      </c>
      <c r="D144" s="1464" t="s">
        <v>242</v>
      </c>
      <c r="E144" s="1464" t="s">
        <v>403</v>
      </c>
    </row>
    <row r="145" spans="1:5" ht="14.4" x14ac:dyDescent="0.3">
      <c r="A145" s="277">
        <v>6042</v>
      </c>
      <c r="B145" s="276" t="s">
        <v>481</v>
      </c>
      <c r="C145" s="1464" t="s">
        <v>35</v>
      </c>
      <c r="D145" s="1464" t="s">
        <v>242</v>
      </c>
      <c r="E145" s="1464" t="s">
        <v>403</v>
      </c>
    </row>
    <row r="146" spans="1:5" ht="14.4" x14ac:dyDescent="0.3">
      <c r="A146" s="277">
        <v>6043</v>
      </c>
      <c r="B146" s="276" t="s">
        <v>812</v>
      </c>
      <c r="C146" s="1464" t="s">
        <v>35</v>
      </c>
      <c r="D146" s="1464" t="s">
        <v>813</v>
      </c>
      <c r="E146" s="1464" t="s">
        <v>403</v>
      </c>
    </row>
    <row r="147" spans="1:5" ht="14.4" x14ac:dyDescent="0.3">
      <c r="A147" s="277">
        <v>6050</v>
      </c>
      <c r="B147" s="276" t="s">
        <v>482</v>
      </c>
      <c r="C147" s="1464" t="s">
        <v>35</v>
      </c>
      <c r="D147" s="1464" t="s">
        <v>494</v>
      </c>
      <c r="E147" s="1464" t="s">
        <v>403</v>
      </c>
    </row>
    <row r="148" spans="1:5" ht="14.4" x14ac:dyDescent="0.3">
      <c r="A148" s="277">
        <v>6060</v>
      </c>
      <c r="B148" s="276" t="s">
        <v>483</v>
      </c>
      <c r="C148" s="1464" t="s">
        <v>35</v>
      </c>
      <c r="D148" s="1464" t="s">
        <v>200</v>
      </c>
      <c r="E148" s="1464" t="s">
        <v>403</v>
      </c>
    </row>
    <row r="149" spans="1:5" ht="14.4" x14ac:dyDescent="0.3">
      <c r="A149" s="277">
        <v>6060</v>
      </c>
      <c r="B149" t="s">
        <v>603</v>
      </c>
      <c r="C149" s="1464" t="s">
        <v>35</v>
      </c>
      <c r="D149" s="1464" t="s">
        <v>625</v>
      </c>
      <c r="E149" s="1464" t="s">
        <v>403</v>
      </c>
    </row>
    <row r="150" spans="1:5" ht="14.4" x14ac:dyDescent="0.3">
      <c r="A150" s="277">
        <v>6061</v>
      </c>
      <c r="B150" s="276" t="s">
        <v>484</v>
      </c>
      <c r="C150" s="1464" t="s">
        <v>35</v>
      </c>
      <c r="D150" s="1464" t="s">
        <v>247</v>
      </c>
      <c r="E150" s="1464" t="s">
        <v>403</v>
      </c>
    </row>
    <row r="151" spans="1:5" ht="14.4" x14ac:dyDescent="0.3">
      <c r="A151" s="277">
        <v>6065</v>
      </c>
      <c r="B151" s="276" t="s">
        <v>485</v>
      </c>
      <c r="C151" s="1464" t="s">
        <v>35</v>
      </c>
      <c r="D151" s="1464" t="s">
        <v>495</v>
      </c>
      <c r="E151" s="1464" t="s">
        <v>403</v>
      </c>
    </row>
    <row r="152" spans="1:5" ht="14.4" x14ac:dyDescent="0.3">
      <c r="A152" s="277">
        <v>6066</v>
      </c>
      <c r="B152" t="s">
        <v>604</v>
      </c>
      <c r="C152" s="1464" t="s">
        <v>35</v>
      </c>
      <c r="D152" s="1464" t="s">
        <v>626</v>
      </c>
      <c r="E152" s="1464" t="s">
        <v>403</v>
      </c>
    </row>
    <row r="153" spans="1:5" ht="14.4" x14ac:dyDescent="0.3">
      <c r="A153" s="277">
        <v>6068</v>
      </c>
      <c r="B153" t="s">
        <v>605</v>
      </c>
      <c r="C153" s="1464" t="s">
        <v>35</v>
      </c>
      <c r="D153" s="1464" t="s">
        <v>627</v>
      </c>
      <c r="E153" s="1464" t="s">
        <v>403</v>
      </c>
    </row>
    <row r="154" spans="1:5" ht="14.4" x14ac:dyDescent="0.3">
      <c r="A154" s="277">
        <v>6070</v>
      </c>
      <c r="B154" s="276" t="s">
        <v>486</v>
      </c>
      <c r="C154" s="1464" t="s">
        <v>35</v>
      </c>
      <c r="D154" s="1464" t="s">
        <v>200</v>
      </c>
      <c r="E154" s="1464" t="s">
        <v>403</v>
      </c>
    </row>
    <row r="155" spans="1:5" ht="14.4" x14ac:dyDescent="0.3">
      <c r="A155" s="277">
        <v>6075</v>
      </c>
      <c r="B155" t="s">
        <v>606</v>
      </c>
      <c r="C155" s="1464" t="s">
        <v>35</v>
      </c>
      <c r="D155" s="1464" t="s">
        <v>628</v>
      </c>
      <c r="E155" s="1464" t="s">
        <v>403</v>
      </c>
    </row>
    <row r="156" spans="1:5" ht="14.4" x14ac:dyDescent="0.3">
      <c r="A156" s="277">
        <v>6076</v>
      </c>
      <c r="B156" t="s">
        <v>607</v>
      </c>
      <c r="C156" s="1464" t="s">
        <v>35</v>
      </c>
      <c r="D156" s="1464" t="s">
        <v>247</v>
      </c>
      <c r="E156" s="1464" t="s">
        <v>403</v>
      </c>
    </row>
    <row r="157" spans="1:5" ht="14.4" x14ac:dyDescent="0.3">
      <c r="A157" s="277">
        <v>6080</v>
      </c>
      <c r="B157" s="276" t="s">
        <v>487</v>
      </c>
      <c r="C157" s="1464" t="s">
        <v>35</v>
      </c>
      <c r="D157" s="1464" t="s">
        <v>318</v>
      </c>
      <c r="E157" s="1464" t="s">
        <v>403</v>
      </c>
    </row>
    <row r="158" spans="1:5" ht="14.4" x14ac:dyDescent="0.3">
      <c r="A158" s="277">
        <v>6080</v>
      </c>
      <c r="B158" t="s">
        <v>608</v>
      </c>
      <c r="C158" s="1464" t="s">
        <v>35</v>
      </c>
      <c r="D158" s="1464" t="s">
        <v>628</v>
      </c>
      <c r="E158" s="1464" t="s">
        <v>403</v>
      </c>
    </row>
    <row r="159" spans="1:5" ht="14.4" x14ac:dyDescent="0.3">
      <c r="A159" s="277">
        <v>6085</v>
      </c>
      <c r="B159" t="s">
        <v>610</v>
      </c>
      <c r="C159" s="1464" t="s">
        <v>35</v>
      </c>
      <c r="D159" s="1464" t="s">
        <v>43</v>
      </c>
      <c r="E159" s="1464" t="s">
        <v>403</v>
      </c>
    </row>
    <row r="160" spans="1:5" ht="14.4" x14ac:dyDescent="0.3">
      <c r="A160" s="277">
        <v>6090</v>
      </c>
      <c r="B160" s="276" t="s">
        <v>488</v>
      </c>
      <c r="C160" s="1464" t="s">
        <v>35</v>
      </c>
      <c r="D160" s="1464" t="s">
        <v>108</v>
      </c>
      <c r="E160" s="1464" t="s">
        <v>403</v>
      </c>
    </row>
    <row r="161" spans="1:5" ht="14.4" x14ac:dyDescent="0.3">
      <c r="A161" s="277">
        <v>6092</v>
      </c>
      <c r="B161" s="276" t="s">
        <v>491</v>
      </c>
      <c r="C161" s="1464" t="s">
        <v>35</v>
      </c>
      <c r="D161" s="1464" t="s">
        <v>26</v>
      </c>
      <c r="E161" s="1464" t="s">
        <v>403</v>
      </c>
    </row>
    <row r="162" spans="1:5" ht="14.4" x14ac:dyDescent="0.3">
      <c r="A162" s="277">
        <v>6092</v>
      </c>
      <c r="B162" t="s">
        <v>611</v>
      </c>
      <c r="C162" s="1464" t="s">
        <v>35</v>
      </c>
      <c r="D162" s="1464" t="s">
        <v>248</v>
      </c>
      <c r="E162" s="1464" t="s">
        <v>403</v>
      </c>
    </row>
    <row r="163" spans="1:5" ht="14.4" x14ac:dyDescent="0.3">
      <c r="A163" s="277">
        <v>6100</v>
      </c>
      <c r="B163" s="276" t="s">
        <v>497</v>
      </c>
      <c r="C163" s="1464" t="s">
        <v>35</v>
      </c>
      <c r="D163" s="1464" t="s">
        <v>498</v>
      </c>
      <c r="E163" s="1464" t="s">
        <v>403</v>
      </c>
    </row>
    <row r="164" spans="1:5" ht="14.4" x14ac:dyDescent="0.3">
      <c r="A164" s="277">
        <v>6300</v>
      </c>
      <c r="B164" s="276" t="s">
        <v>327</v>
      </c>
      <c r="C164" s="1464" t="s">
        <v>35</v>
      </c>
      <c r="D164" s="1464" t="s">
        <v>247</v>
      </c>
      <c r="E164" s="1464" t="s">
        <v>403</v>
      </c>
    </row>
    <row r="165" spans="1:5" ht="14.4" x14ac:dyDescent="0.3">
      <c r="A165" s="277">
        <v>6300</v>
      </c>
      <c r="B165" s="276" t="s">
        <v>1989</v>
      </c>
      <c r="C165" s="1464" t="s">
        <v>35</v>
      </c>
      <c r="D165" s="1464" t="s">
        <v>247</v>
      </c>
      <c r="E165" s="1464" t="s">
        <v>403</v>
      </c>
    </row>
    <row r="166" spans="1:5" ht="14.4" x14ac:dyDescent="0.3">
      <c r="A166" s="277">
        <v>6350</v>
      </c>
      <c r="B166" s="276" t="s">
        <v>1990</v>
      </c>
      <c r="C166" s="1464" t="s">
        <v>35</v>
      </c>
      <c r="D166" s="1464" t="s">
        <v>247</v>
      </c>
      <c r="E166" s="1464" t="s">
        <v>403</v>
      </c>
    </row>
    <row r="167" spans="1:5" ht="14.4" x14ac:dyDescent="0.3">
      <c r="A167" s="277">
        <v>6997</v>
      </c>
      <c r="B167" t="s">
        <v>609</v>
      </c>
      <c r="C167" s="1464" t="s">
        <v>188</v>
      </c>
      <c r="D167" s="1464" t="s">
        <v>247</v>
      </c>
      <c r="E167" s="1464" t="s">
        <v>403</v>
      </c>
    </row>
    <row r="168" spans="1:5" ht="14.4" x14ac:dyDescent="0.3">
      <c r="A168" s="277">
        <v>6998</v>
      </c>
      <c r="B168" s="276" t="s">
        <v>489</v>
      </c>
      <c r="C168" s="1464" t="s">
        <v>35</v>
      </c>
      <c r="D168" s="1464" t="s">
        <v>247</v>
      </c>
      <c r="E168" s="1464" t="s">
        <v>403</v>
      </c>
    </row>
    <row r="169" spans="1:5" ht="14.4" x14ac:dyDescent="0.3">
      <c r="A169" s="277">
        <v>6999</v>
      </c>
      <c r="B169" s="276" t="s">
        <v>492</v>
      </c>
      <c r="C169" s="1464" t="s">
        <v>35</v>
      </c>
      <c r="D169" s="1464" t="s">
        <v>247</v>
      </c>
      <c r="E169" s="1464" t="s">
        <v>403</v>
      </c>
    </row>
    <row r="170" spans="1:5" ht="14.4" x14ac:dyDescent="0.3">
      <c r="A170" s="277">
        <v>7000</v>
      </c>
      <c r="B170" s="276" t="s">
        <v>493</v>
      </c>
      <c r="C170" s="1464" t="s">
        <v>35</v>
      </c>
      <c r="D170" s="1464" t="s">
        <v>247</v>
      </c>
      <c r="E170" s="1464" t="s">
        <v>403</v>
      </c>
    </row>
    <row r="171" spans="1:5" ht="14.4" x14ac:dyDescent="0.3">
      <c r="A171" s="277">
        <v>8000</v>
      </c>
      <c r="B171" t="s">
        <v>612</v>
      </c>
      <c r="C171" s="1464" t="s">
        <v>35</v>
      </c>
      <c r="D171" s="1464" t="s">
        <v>629</v>
      </c>
      <c r="E171" s="1464" t="s">
        <v>403</v>
      </c>
    </row>
    <row r="172" spans="1:5" ht="14.4" x14ac:dyDescent="0.3">
      <c r="A172" s="277" t="s">
        <v>633</v>
      </c>
      <c r="B172" t="s">
        <v>613</v>
      </c>
      <c r="C172" s="1464" t="s">
        <v>35</v>
      </c>
      <c r="D172" s="1464" t="s">
        <v>630</v>
      </c>
      <c r="E172" s="1464" t="s">
        <v>403</v>
      </c>
    </row>
    <row r="173" spans="1:5" ht="14.4" x14ac:dyDescent="0.3">
      <c r="A173" s="277" t="s">
        <v>634</v>
      </c>
      <c r="B173" t="s">
        <v>614</v>
      </c>
      <c r="C173" s="1464" t="s">
        <v>35</v>
      </c>
      <c r="D173" s="1464" t="s">
        <v>631</v>
      </c>
      <c r="E173" s="1464" t="s">
        <v>403</v>
      </c>
    </row>
    <row r="174" spans="1:5" ht="14.4" x14ac:dyDescent="0.3">
      <c r="A174" s="277" t="s">
        <v>635</v>
      </c>
      <c r="B174" t="s">
        <v>615</v>
      </c>
      <c r="C174" s="1464" t="s">
        <v>244</v>
      </c>
      <c r="D174" s="1464" t="s">
        <v>244</v>
      </c>
      <c r="E174" s="1464" t="s">
        <v>403</v>
      </c>
    </row>
    <row r="175" spans="1:5" ht="14.4" x14ac:dyDescent="0.3">
      <c r="A175" s="277" t="s">
        <v>632</v>
      </c>
      <c r="B175" s="276" t="s">
        <v>534</v>
      </c>
      <c r="C175" s="1464" t="s">
        <v>617</v>
      </c>
      <c r="D175" s="1464" t="s">
        <v>617</v>
      </c>
      <c r="E175" s="1464" t="str">
        <f>C175</f>
        <v>Warranty liability</v>
      </c>
    </row>
    <row r="176" spans="1:5" ht="14.4" x14ac:dyDescent="0.3">
      <c r="A176" s="277" t="s">
        <v>636</v>
      </c>
      <c r="B176" t="s">
        <v>2286</v>
      </c>
      <c r="C176" s="1464" t="s">
        <v>35</v>
      </c>
      <c r="D176" s="1464" t="s">
        <v>188</v>
      </c>
      <c r="E176" s="1464" t="s">
        <v>403</v>
      </c>
    </row>
    <row r="177" spans="1:5" ht="14.4" x14ac:dyDescent="0.3">
      <c r="A177" s="277" t="s">
        <v>703</v>
      </c>
      <c r="B177" t="s">
        <v>713</v>
      </c>
      <c r="C177" s="1464" t="s">
        <v>35</v>
      </c>
      <c r="D177" s="1393" t="s">
        <v>704</v>
      </c>
      <c r="E177" s="1464" t="s">
        <v>403</v>
      </c>
    </row>
    <row r="178" spans="1:5" ht="14.4" x14ac:dyDescent="0.3">
      <c r="A178" s="277" t="s">
        <v>743</v>
      </c>
      <c r="B178" t="s">
        <v>744</v>
      </c>
      <c r="C178" s="1464" t="s">
        <v>35</v>
      </c>
      <c r="D178" s="1393" t="s">
        <v>316</v>
      </c>
      <c r="E178" s="1464" t="s">
        <v>403</v>
      </c>
    </row>
    <row r="179" spans="1:5" ht="14.4" x14ac:dyDescent="0.3">
      <c r="A179" s="277">
        <v>6200</v>
      </c>
      <c r="B179" t="s">
        <v>2167</v>
      </c>
      <c r="C179" s="1464" t="s">
        <v>233</v>
      </c>
      <c r="D179" s="1464" t="s">
        <v>233</v>
      </c>
      <c r="E179" s="1464" t="s">
        <v>403</v>
      </c>
    </row>
    <row r="180" spans="1:5" ht="14.4" x14ac:dyDescent="0.3">
      <c r="A180" s="277">
        <v>6250</v>
      </c>
      <c r="B180" t="s">
        <v>2168</v>
      </c>
      <c r="C180" s="1464" t="s">
        <v>233</v>
      </c>
      <c r="D180" s="1464" t="s">
        <v>233</v>
      </c>
      <c r="E180" s="1464" t="s">
        <v>403</v>
      </c>
    </row>
    <row r="181" spans="1:5" ht="14.4" x14ac:dyDescent="0.3">
      <c r="A181" s="277">
        <v>6086</v>
      </c>
      <c r="B181" t="s">
        <v>2278</v>
      </c>
      <c r="C181" s="1464" t="s">
        <v>2284</v>
      </c>
      <c r="D181" s="1464" t="str">
        <f>C181</f>
        <v>Amortization expense</v>
      </c>
      <c r="E181" s="1464" t="s">
        <v>403</v>
      </c>
    </row>
    <row r="182" spans="1:5" ht="14.4" x14ac:dyDescent="0.3">
      <c r="A182" s="277"/>
      <c r="B182"/>
      <c r="C182" s="1464"/>
      <c r="D182" s="1464"/>
      <c r="E182" s="1464"/>
    </row>
    <row r="183" spans="1:5" ht="14.4" x14ac:dyDescent="0.3">
      <c r="A183" s="277"/>
      <c r="B183"/>
      <c r="C183" s="1464"/>
      <c r="D183" s="1464"/>
      <c r="E183" s="1464"/>
    </row>
    <row r="184" spans="1:5" ht="14.4" x14ac:dyDescent="0.3">
      <c r="A184" s="277"/>
      <c r="B184"/>
      <c r="C184" s="1464"/>
      <c r="D184" s="1464"/>
      <c r="E184" s="1464"/>
    </row>
    <row r="185" spans="1:5" ht="14.4" x14ac:dyDescent="0.3">
      <c r="A185" s="277"/>
      <c r="B185"/>
      <c r="C185" s="1464"/>
      <c r="D185" s="1464"/>
      <c r="E185" s="1464"/>
    </row>
    <row r="186" spans="1:5" ht="14.4" x14ac:dyDescent="0.3">
      <c r="A186" s="277"/>
      <c r="B186"/>
      <c r="C186" s="1464"/>
      <c r="D186" s="1464"/>
      <c r="E186" s="1464"/>
    </row>
  </sheetData>
  <autoFilter ref="B3:E179" xr:uid="{0A6E513F-5B22-4A62-B918-E89A3C3429BD}"/>
  <sortState xmlns:xlrd2="http://schemas.microsoft.com/office/spreadsheetml/2017/richdata2" ref="A5:E176">
    <sortCondition ref="A5:A176"/>
  </sortState>
  <conditionalFormatting sqref="B65:B79 B81:B178">
    <cfRule type="duplicateValues" dxfId="2" priority="84"/>
  </conditionalFormatting>
  <conditionalFormatting sqref="B81:B178 B1:B79">
    <cfRule type="duplicateValues" dxfId="1" priority="86"/>
  </conditionalFormatting>
  <dataValidations count="3">
    <dataValidation type="list" allowBlank="1" showInputMessage="1" showErrorMessage="1" sqref="C4:C24 C27:C64" xr:uid="{4EC9E85E-21DB-4A9A-B256-3A5C3B16DF4B}">
      <formula1>$G$5:$G$49</formula1>
    </dataValidation>
    <dataValidation type="list" allowBlank="1" showInputMessage="1" showErrorMessage="1" sqref="E83 C25:C26 D180:E181 E176:E179 D179 E92 E94:E174 C65:C181" xr:uid="{92636974-D36F-45C6-B145-C84938F20885}">
      <formula1>$G$5:$G$90</formula1>
    </dataValidation>
    <dataValidation type="list" allowBlank="1" showInputMessage="1" showErrorMessage="1" sqref="D25:D26 D37:D178" xr:uid="{DC721AC3-7C4F-421F-8098-EBD87D8AC62F}">
      <formula1>$H:$H</formula1>
    </dataValidation>
  </dataValidation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B80C7-84C9-47A8-973F-5139A9B1B437}">
  <sheetPr>
    <tabColor rgb="FF00FFCC"/>
  </sheetPr>
  <dimension ref="A1:Q101"/>
  <sheetViews>
    <sheetView workbookViewId="0"/>
  </sheetViews>
  <sheetFormatPr defaultRowHeight="14.4" x14ac:dyDescent="0.3"/>
  <cols>
    <col min="1" max="1" width="49.33203125" customWidth="1"/>
    <col min="2" max="5" width="13" customWidth="1"/>
    <col min="6" max="6" width="3.21875" customWidth="1"/>
    <col min="7" max="7" width="49.77734375" bestFit="1" customWidth="1"/>
    <col min="8" max="8" width="16.5546875" bestFit="1" customWidth="1"/>
    <col min="9" max="9" width="13.109375" bestFit="1" customWidth="1"/>
    <col min="10" max="10" width="14.109375" customWidth="1"/>
    <col min="11" max="11" width="13.109375" bestFit="1" customWidth="1"/>
    <col min="13" max="13" width="49.77734375" bestFit="1" customWidth="1"/>
    <col min="14" max="14" width="16.5546875" bestFit="1" customWidth="1"/>
    <col min="15" max="15" width="13.109375" bestFit="1" customWidth="1"/>
    <col min="16" max="16" width="14.109375" customWidth="1"/>
    <col min="17" max="17" width="14.109375" bestFit="1" customWidth="1"/>
  </cols>
  <sheetData>
    <row r="1" spans="1:17" x14ac:dyDescent="0.3">
      <c r="A1" s="175" t="s">
        <v>1998</v>
      </c>
    </row>
    <row r="2" spans="1:17" x14ac:dyDescent="0.3">
      <c r="A2" s="713" t="s">
        <v>1999</v>
      </c>
      <c r="B2" s="1407">
        <f>SUM(B6:B1048576)</f>
        <v>9200201.1699999999</v>
      </c>
      <c r="C2" s="1407">
        <f>SUM(C6:C1048576)</f>
        <v>9200201.1699999999</v>
      </c>
      <c r="D2" s="1407">
        <f>SUM(D6:D1048576)</f>
        <v>1328991.7499999998</v>
      </c>
      <c r="E2" s="1407">
        <f>SUM(E6:E1048576)</f>
        <v>1328991.75</v>
      </c>
      <c r="H2" s="1407">
        <f>SUM(H6:H1048576)</f>
        <v>9023174.1399999987</v>
      </c>
      <c r="I2" s="1407">
        <f>SUM(I6:I1048576)</f>
        <v>9023174.1400000006</v>
      </c>
      <c r="J2" s="1407">
        <f>SUM(J6:J1048576)</f>
        <v>1326592.1800000002</v>
      </c>
      <c r="K2" s="1407">
        <f>SUM(K6:K1048576)</f>
        <v>1326592.1800000004</v>
      </c>
      <c r="N2" s="1407">
        <f>SUM(N6:N1048576)</f>
        <v>9235794.2899999991</v>
      </c>
      <c r="O2" s="1407">
        <f>SUM(O6:O1048576)</f>
        <v>9235794.2899999991</v>
      </c>
      <c r="P2" s="1407">
        <f>SUM(P6:P1048576)</f>
        <v>10757979.120000001</v>
      </c>
      <c r="Q2" s="1407">
        <f>SUM(Q6:Q1048576)</f>
        <v>10757979.120000001</v>
      </c>
    </row>
    <row r="3" spans="1:17" x14ac:dyDescent="0.3">
      <c r="A3" s="1408">
        <v>45931</v>
      </c>
      <c r="B3" s="792"/>
      <c r="C3" s="315">
        <f>C2-B2</f>
        <v>0</v>
      </c>
      <c r="D3" s="792"/>
      <c r="E3" s="315">
        <f>E2-D2</f>
        <v>0</v>
      </c>
      <c r="H3" s="792"/>
      <c r="I3" s="315">
        <f>I2-H2</f>
        <v>0</v>
      </c>
      <c r="J3" s="792"/>
      <c r="K3" s="315">
        <f>K2-J2</f>
        <v>0</v>
      </c>
      <c r="N3" s="792"/>
      <c r="O3" s="315">
        <f>O2-N2</f>
        <v>0</v>
      </c>
      <c r="P3" s="792"/>
      <c r="Q3" s="315">
        <f>Q2-P2</f>
        <v>0</v>
      </c>
    </row>
    <row r="4" spans="1:17" x14ac:dyDescent="0.3">
      <c r="A4" s="792"/>
      <c r="B4" s="1459" t="str">
        <f>'QBO.S-TB25'!H3</f>
        <v>Jul 1 2024 - Jun 30 2025</v>
      </c>
      <c r="C4" s="1456"/>
      <c r="D4" s="1456"/>
      <c r="E4" s="1456"/>
      <c r="H4" s="1458" t="str">
        <f>'QBO.S-TB24'!D3</f>
        <v>Jul 1 2023 - Jun 30 2024</v>
      </c>
      <c r="I4" s="1458"/>
      <c r="J4" s="1458"/>
      <c r="K4" s="1458"/>
      <c r="N4" s="1459" t="str">
        <f>'QBO.S-TB26'!D3</f>
        <v>Jul 1 2025 - Jun 30 2026</v>
      </c>
      <c r="O4" s="1458"/>
      <c r="P4" s="1458"/>
      <c r="Q4" s="1458"/>
    </row>
    <row r="5" spans="1:17" ht="38.25" customHeight="1" x14ac:dyDescent="0.3">
      <c r="A5" s="1273" t="s">
        <v>2000</v>
      </c>
      <c r="B5" s="1409" t="str">
        <f>'QBO.S-TB25'!D2</f>
        <v>Hallor Group Inc.</v>
      </c>
      <c r="C5" s="648"/>
      <c r="D5" s="1409" t="str">
        <f>'QBO.S-TB25'!F2</f>
        <v>Hallor Industries Inc.</v>
      </c>
      <c r="E5" s="648"/>
      <c r="G5" s="1273" t="s">
        <v>2000</v>
      </c>
      <c r="H5" s="1457" t="str">
        <f>'QBO.S-TB24'!D2</f>
        <v>Hallor Group Inc.</v>
      </c>
      <c r="I5" s="648"/>
      <c r="J5" s="1457" t="str">
        <f>'QBO.S-TB24'!F2</f>
        <v>Hallor Industries Inc.</v>
      </c>
      <c r="K5" s="648"/>
      <c r="M5" s="1273" t="s">
        <v>2000</v>
      </c>
      <c r="N5" s="1409" t="str">
        <f>'QBO.S-TB26'!D2</f>
        <v>Hallor Group Inc.</v>
      </c>
      <c r="O5" s="648"/>
      <c r="P5" s="1409" t="str">
        <f>'QBO.S-TB26'!F2</f>
        <v>Hallor Industries Inc.</v>
      </c>
      <c r="Q5" s="648"/>
    </row>
    <row r="6" spans="1:17" x14ac:dyDescent="0.3">
      <c r="A6" t="str">
        <f>IF('QBO.S-TB25'!A5&lt;&gt;"",'QBO.S-TB25'!A5&amp;" "&amp;'QBO.S-TB25'!B5,'QBO.S-TB25'!B5)</f>
        <v>6015 Accounting &amp; Legal</v>
      </c>
      <c r="B6" s="792">
        <f>'QBO.S-TB25'!D5</f>
        <v>0</v>
      </c>
      <c r="C6" s="792">
        <f>'QBO.S-TB25'!E5</f>
        <v>0</v>
      </c>
      <c r="D6" s="792">
        <f>'QBO.S-TB25'!F5</f>
        <v>449.4</v>
      </c>
      <c r="E6" s="792">
        <f>'QBO.S-TB25'!G5</f>
        <v>0</v>
      </c>
      <c r="G6" t="str">
        <f>IF('QBO.S-TB24'!A5&lt;&gt;"",'QBO.S-TB24'!A5&amp;" "&amp;'QBO.S-TB24'!B5,'QBO.S-TB24'!B5)</f>
        <v>6015 Accounting &amp; Legal</v>
      </c>
      <c r="H6" s="167">
        <f>'QBO.S-TB24'!D5</f>
        <v>0</v>
      </c>
      <c r="I6" s="167">
        <f>'QBO.S-TB24'!E5</f>
        <v>0</v>
      </c>
      <c r="J6" s="167">
        <f>'QBO.S-TB24'!F5</f>
        <v>91764.9</v>
      </c>
      <c r="K6" s="167">
        <f>'QBO.S-TB24'!G5</f>
        <v>0</v>
      </c>
      <c r="M6" t="str">
        <f>IF('QBO.S-TB26'!A5&lt;&gt;"",'QBO.S-TB26'!A5&amp;" "&amp;'QBO.S-TB26'!B5,'QBO.S-TB26'!B5)</f>
        <v>6015 Accounting &amp; Legal</v>
      </c>
      <c r="N6" s="167">
        <f>'QBO.S-TB26'!D5</f>
        <v>0</v>
      </c>
      <c r="O6" s="167">
        <f>'QBO.S-TB26'!E5</f>
        <v>0</v>
      </c>
      <c r="P6" s="167">
        <f>'QBO.S-TB26'!F5</f>
        <v>1500</v>
      </c>
      <c r="Q6" s="167">
        <f>'QBO.S-TB26'!G5</f>
        <v>0</v>
      </c>
    </row>
    <row r="7" spans="1:17" x14ac:dyDescent="0.3">
      <c r="A7" t="str">
        <f>IF('QBO.S-TB25'!A6&lt;&gt;"",'QBO.S-TB25'!A6&amp;" "&amp;'QBO.S-TB25'!B6,'QBO.S-TB25'!B6)</f>
        <v>2000 Accounts Payable</v>
      </c>
      <c r="B7" s="792">
        <f>'QBO.S-TB25'!D6</f>
        <v>0</v>
      </c>
      <c r="C7" s="792">
        <f>'QBO.S-TB25'!E6</f>
        <v>0</v>
      </c>
      <c r="D7" s="792">
        <f>'QBO.S-TB25'!F6</f>
        <v>0</v>
      </c>
      <c r="E7" s="792">
        <f>'QBO.S-TB25'!G6</f>
        <v>175040.55</v>
      </c>
      <c r="G7" t="str">
        <f>IF('QBO.S-TB24'!A6&lt;&gt;"",'QBO.S-TB24'!A6&amp;" "&amp;'QBO.S-TB24'!B6,'QBO.S-TB24'!B6)</f>
        <v>6015 Accounting Fees</v>
      </c>
      <c r="H7" s="167">
        <f>'QBO.S-TB24'!D6</f>
        <v>27477.5</v>
      </c>
      <c r="I7" s="167">
        <f>'QBO.S-TB24'!E6</f>
        <v>0</v>
      </c>
      <c r="J7" s="167">
        <f>'QBO.S-TB24'!F6</f>
        <v>0</v>
      </c>
      <c r="K7" s="167">
        <f>'QBO.S-TB24'!G6</f>
        <v>0</v>
      </c>
      <c r="M7" t="str">
        <f>IF('QBO.S-TB26'!A6&lt;&gt;"",'QBO.S-TB26'!A6&amp;" "&amp;'QBO.S-TB26'!B6,'QBO.S-TB26'!B6)</f>
        <v>2000 Accounts Payable</v>
      </c>
      <c r="N7" s="167">
        <f>'QBO.S-TB26'!D6</f>
        <v>0</v>
      </c>
      <c r="O7" s="167">
        <f>'QBO.S-TB26'!E6</f>
        <v>0</v>
      </c>
      <c r="P7" s="167">
        <f>'QBO.S-TB26'!F6</f>
        <v>0</v>
      </c>
      <c r="Q7" s="167">
        <f>'QBO.S-TB26'!G6</f>
        <v>340678.05</v>
      </c>
    </row>
    <row r="8" spans="1:17" x14ac:dyDescent="0.3">
      <c r="A8" t="str">
        <f>IF('QBO.S-TB25'!A7&lt;&gt;"",'QBO.S-TB25'!A7&amp;" "&amp;'QBO.S-TB25'!B7,'QBO.S-TB25'!B7)</f>
        <v>2000 Accounts Payable (A/P)</v>
      </c>
      <c r="B8" s="792">
        <f>'QBO.S-TB25'!D7</f>
        <v>0</v>
      </c>
      <c r="C8" s="792">
        <f>'QBO.S-TB25'!E7</f>
        <v>307036.95</v>
      </c>
      <c r="D8" s="792">
        <f>'QBO.S-TB25'!F7</f>
        <v>0</v>
      </c>
      <c r="E8" s="792">
        <f>'QBO.S-TB25'!G7</f>
        <v>0</v>
      </c>
      <c r="G8" t="str">
        <f>IF('QBO.S-TB24'!A7&lt;&gt;"",'QBO.S-TB24'!A7&amp;" "&amp;'QBO.S-TB24'!B7,'QBO.S-TB24'!B7)</f>
        <v>2000 Accounts Payable</v>
      </c>
      <c r="H8" s="167">
        <f>'QBO.S-TB24'!D7</f>
        <v>0</v>
      </c>
      <c r="I8" s="167">
        <f>'QBO.S-TB24'!E7</f>
        <v>0</v>
      </c>
      <c r="J8" s="167">
        <f>'QBO.S-TB24'!F7</f>
        <v>0</v>
      </c>
      <c r="K8" s="167">
        <f>'QBO.S-TB24'!G7</f>
        <v>108032.58</v>
      </c>
      <c r="M8" t="str">
        <f>IF('QBO.S-TB26'!A7&lt;&gt;"",'QBO.S-TB26'!A7&amp;" "&amp;'QBO.S-TB26'!B7,'QBO.S-TB26'!B7)</f>
        <v>2000 Accounts Payable (A/P)</v>
      </c>
      <c r="N8" s="167">
        <f>'QBO.S-TB26'!D7</f>
        <v>0</v>
      </c>
      <c r="O8" s="167">
        <f>'QBO.S-TB26'!E7</f>
        <v>308086.95</v>
      </c>
      <c r="P8" s="167">
        <f>'QBO.S-TB26'!F7</f>
        <v>0</v>
      </c>
      <c r="Q8" s="167">
        <f>'QBO.S-TB26'!G7</f>
        <v>0</v>
      </c>
    </row>
    <row r="9" spans="1:17" x14ac:dyDescent="0.3">
      <c r="A9" t="str">
        <f>IF('QBO.S-TB25'!A8&lt;&gt;"",'QBO.S-TB25'!A8&amp;" "&amp;'QBO.S-TB25'!B8,'QBO.S-TB25'!B8)</f>
        <v>2001 Accounts Payable (A/P) - USD</v>
      </c>
      <c r="B9" s="792">
        <f>'QBO.S-TB25'!D8</f>
        <v>0</v>
      </c>
      <c r="C9" s="792">
        <f>'QBO.S-TB25'!E8</f>
        <v>0</v>
      </c>
      <c r="D9" s="792">
        <f>'QBO.S-TB25'!F8</f>
        <v>0</v>
      </c>
      <c r="E9" s="792">
        <f>'QBO.S-TB25'!G8</f>
        <v>373.45</v>
      </c>
      <c r="G9" t="str">
        <f>IF('QBO.S-TB24'!A8&lt;&gt;"",'QBO.S-TB24'!A8&amp;" "&amp;'QBO.S-TB24'!B8,'QBO.S-TB24'!B8)</f>
        <v>2000 Accounts Payable (A/P)</v>
      </c>
      <c r="H9" s="167">
        <f>'QBO.S-TB24'!D8</f>
        <v>0</v>
      </c>
      <c r="I9" s="167">
        <f>'QBO.S-TB24'!E8</f>
        <v>128133.35</v>
      </c>
      <c r="J9" s="167">
        <f>'QBO.S-TB24'!F8</f>
        <v>0</v>
      </c>
      <c r="K9" s="167">
        <f>'QBO.S-TB24'!G8</f>
        <v>0</v>
      </c>
      <c r="M9" t="str">
        <f>IF('QBO.S-TB26'!A8&lt;&gt;"",'QBO.S-TB26'!A8&amp;" "&amp;'QBO.S-TB26'!B8,'QBO.S-TB26'!B8)</f>
        <v>2001 Accounts Payable (A/P) - USD</v>
      </c>
      <c r="N9" s="167">
        <f>'QBO.S-TB26'!D8</f>
        <v>0</v>
      </c>
      <c r="O9" s="167">
        <f>'QBO.S-TB26'!E8</f>
        <v>0</v>
      </c>
      <c r="P9" s="167">
        <f>'QBO.S-TB26'!F8</f>
        <v>0</v>
      </c>
      <c r="Q9" s="167">
        <f>'QBO.S-TB26'!G8</f>
        <v>85.95</v>
      </c>
    </row>
    <row r="10" spans="1:17" x14ac:dyDescent="0.3">
      <c r="A10" t="str">
        <f>IF('QBO.S-TB25'!A9&lt;&gt;"",'QBO.S-TB25'!A9&amp;" "&amp;'QBO.S-TB25'!B9,'QBO.S-TB25'!B9)</f>
        <v>1100 Accounts Receivable</v>
      </c>
      <c r="B10" s="792">
        <f>'QBO.S-TB25'!D9</f>
        <v>0</v>
      </c>
      <c r="C10" s="792">
        <f>'QBO.S-TB25'!E9</f>
        <v>0</v>
      </c>
      <c r="D10" s="792">
        <f>'QBO.S-TB25'!F9</f>
        <v>0</v>
      </c>
      <c r="E10" s="792">
        <f>'QBO.S-TB25'!G9</f>
        <v>0</v>
      </c>
      <c r="G10" t="str">
        <f>IF('QBO.S-TB24'!A9&lt;&gt;"",'QBO.S-TB24'!A9&amp;" "&amp;'QBO.S-TB24'!B9,'QBO.S-TB24'!B9)</f>
        <v>2001 Accounts Payable (A/P) - USD</v>
      </c>
      <c r="H10" s="167">
        <f>'QBO.S-TB24'!D9</f>
        <v>0</v>
      </c>
      <c r="I10" s="167">
        <f>'QBO.S-TB24'!E9</f>
        <v>0</v>
      </c>
      <c r="J10" s="167">
        <f>'QBO.S-TB24'!F9</f>
        <v>0</v>
      </c>
      <c r="K10" s="167">
        <f>'QBO.S-TB24'!G9</f>
        <v>0.01</v>
      </c>
      <c r="M10" t="str">
        <f>IF('QBO.S-TB26'!A9&lt;&gt;"",'QBO.S-TB26'!A9&amp;" "&amp;'QBO.S-TB26'!B9,'QBO.S-TB26'!B9)</f>
        <v>1100 Accounts Receivable</v>
      </c>
      <c r="N10" s="167">
        <f>'QBO.S-TB26'!D9</f>
        <v>0</v>
      </c>
      <c r="O10" s="167">
        <f>'QBO.S-TB26'!E9</f>
        <v>0</v>
      </c>
      <c r="P10" s="167">
        <f>'QBO.S-TB26'!F9</f>
        <v>17.5</v>
      </c>
      <c r="Q10" s="167">
        <f>'QBO.S-TB26'!G9</f>
        <v>0</v>
      </c>
    </row>
    <row r="11" spans="1:17" x14ac:dyDescent="0.3">
      <c r="A11" t="str">
        <f>IF('QBO.S-TB25'!A10&lt;&gt;"",'QBO.S-TB25'!A10&amp;" "&amp;'QBO.S-TB25'!B10,'QBO.S-TB25'!B10)</f>
        <v>6200 Accretion expense</v>
      </c>
      <c r="B11" s="792">
        <f>'QBO.S-TB25'!D10</f>
        <v>31956.79</v>
      </c>
      <c r="C11" s="792">
        <f>'QBO.S-TB25'!E10</f>
        <v>0</v>
      </c>
      <c r="D11" s="792">
        <f>'QBO.S-TB25'!F10</f>
        <v>0</v>
      </c>
      <c r="E11" s="792">
        <f>'QBO.S-TB25'!G10</f>
        <v>0</v>
      </c>
      <c r="G11" t="str">
        <f>IF('QBO.S-TB24'!A10&lt;&gt;"",'QBO.S-TB24'!A10&amp;" "&amp;'QBO.S-TB24'!B10,'QBO.S-TB24'!B10)</f>
        <v>1100 Accounts Receivable</v>
      </c>
      <c r="H11" s="167">
        <f>'QBO.S-TB24'!D10</f>
        <v>0</v>
      </c>
      <c r="I11" s="167">
        <f>'QBO.S-TB24'!E10</f>
        <v>0</v>
      </c>
      <c r="J11" s="167">
        <f>'QBO.S-TB24'!F10</f>
        <v>0</v>
      </c>
      <c r="K11" s="167">
        <f>'QBO.S-TB24'!G10</f>
        <v>0</v>
      </c>
      <c r="M11" t="str">
        <f>IF('QBO.S-TB26'!A10&lt;&gt;"",'QBO.S-TB26'!A10&amp;" "&amp;'QBO.S-TB26'!B10,'QBO.S-TB26'!B10)</f>
        <v>6200 Accretion expense</v>
      </c>
      <c r="N11" s="167">
        <f>'QBO.S-TB26'!D10</f>
        <v>18105.07</v>
      </c>
      <c r="O11" s="167">
        <f>'QBO.S-TB26'!E10</f>
        <v>0</v>
      </c>
      <c r="P11" s="167">
        <f>'QBO.S-TB26'!F10</f>
        <v>0</v>
      </c>
      <c r="Q11" s="167">
        <f>'QBO.S-TB26'!G10</f>
        <v>0</v>
      </c>
    </row>
    <row r="12" spans="1:17" x14ac:dyDescent="0.3">
      <c r="A12" t="str">
        <f>IF('QBO.S-TB25'!A11&lt;&gt;"",'QBO.S-TB25'!A11&amp;" "&amp;'QBO.S-TB25'!B11,'QBO.S-TB25'!B11)</f>
        <v>2100 Accrued Liabilities</v>
      </c>
      <c r="B12" s="792">
        <f>'QBO.S-TB25'!D11</f>
        <v>0</v>
      </c>
      <c r="C12" s="792">
        <f>'QBO.S-TB25'!E11</f>
        <v>53625</v>
      </c>
      <c r="D12" s="792">
        <f>'QBO.S-TB25'!F11</f>
        <v>0</v>
      </c>
      <c r="E12" s="792">
        <f>'QBO.S-TB25'!G11</f>
        <v>0</v>
      </c>
      <c r="G12" t="str">
        <f>IF('QBO.S-TB24'!A11&lt;&gt;"",'QBO.S-TB24'!A11&amp;" "&amp;'QBO.S-TB24'!B11,'QBO.S-TB24'!B11)</f>
        <v>6200 Accretion expense</v>
      </c>
      <c r="H12" s="167">
        <f>'QBO.S-TB24'!D11</f>
        <v>24938.14</v>
      </c>
      <c r="I12" s="167">
        <f>'QBO.S-TB24'!E11</f>
        <v>0</v>
      </c>
      <c r="J12" s="167">
        <f>'QBO.S-TB24'!F11</f>
        <v>0</v>
      </c>
      <c r="K12" s="167">
        <f>'QBO.S-TB24'!G11</f>
        <v>0</v>
      </c>
      <c r="M12" t="str">
        <f>IF('QBO.S-TB26'!A11&lt;&gt;"",'QBO.S-TB26'!A11&amp;" "&amp;'QBO.S-TB26'!B11,'QBO.S-TB26'!B11)</f>
        <v>2100 Accrued Liabilities</v>
      </c>
      <c r="N12" s="167">
        <f>'QBO.S-TB26'!D11</f>
        <v>0</v>
      </c>
      <c r="O12" s="167">
        <f>'QBO.S-TB26'!E11</f>
        <v>53625</v>
      </c>
      <c r="P12" s="167">
        <f>'QBO.S-TB26'!F11</f>
        <v>0</v>
      </c>
      <c r="Q12" s="167">
        <f>'QBO.S-TB26'!G11</f>
        <v>0</v>
      </c>
    </row>
    <row r="13" spans="1:17" x14ac:dyDescent="0.3">
      <c r="A13" t="str">
        <f>IF('QBO.S-TB25'!A12&lt;&gt;"",'QBO.S-TB25'!A12&amp;" "&amp;'QBO.S-TB25'!B12,'QBO.S-TB25'!B12)</f>
        <v>2010 Accrued Liabilities</v>
      </c>
      <c r="B13" s="792">
        <f>'QBO.S-TB25'!D12</f>
        <v>0</v>
      </c>
      <c r="C13" s="792">
        <f>'QBO.S-TB25'!E12</f>
        <v>0</v>
      </c>
      <c r="D13" s="792">
        <f>'QBO.S-TB25'!F12</f>
        <v>0</v>
      </c>
      <c r="E13" s="792">
        <f>'QBO.S-TB25'!G12</f>
        <v>60000</v>
      </c>
      <c r="G13" t="str">
        <f>IF('QBO.S-TB24'!A12&lt;&gt;"",'QBO.S-TB24'!A12&amp;" "&amp;'QBO.S-TB24'!B12,'QBO.S-TB24'!B12)</f>
        <v>2100 Accrued Liabilities</v>
      </c>
      <c r="H13" s="167">
        <f>'QBO.S-TB24'!D12</f>
        <v>0</v>
      </c>
      <c r="I13" s="167">
        <f>'QBO.S-TB24'!E12</f>
        <v>53625</v>
      </c>
      <c r="J13" s="167">
        <f>'QBO.S-TB24'!F12</f>
        <v>0</v>
      </c>
      <c r="K13" s="167">
        <f>'QBO.S-TB24'!G12</f>
        <v>0</v>
      </c>
      <c r="M13" t="str">
        <f>IF('QBO.S-TB26'!A12&lt;&gt;"",'QBO.S-TB26'!A12&amp;" "&amp;'QBO.S-TB26'!B12,'QBO.S-TB26'!B12)</f>
        <v>2010 Accrued Liabilities</v>
      </c>
      <c r="N13" s="167">
        <f>'QBO.S-TB26'!D12</f>
        <v>0</v>
      </c>
      <c r="O13" s="167">
        <f>'QBO.S-TB26'!E12</f>
        <v>0</v>
      </c>
      <c r="P13" s="167">
        <f>'QBO.S-TB26'!F12</f>
        <v>0</v>
      </c>
      <c r="Q13" s="167">
        <f>'QBO.S-TB26'!G12</f>
        <v>54750</v>
      </c>
    </row>
    <row r="14" spans="1:17" x14ac:dyDescent="0.3">
      <c r="A14" t="str">
        <f>IF('QBO.S-TB25'!A13&lt;&gt;"",'QBO.S-TB25'!A13&amp;" "&amp;'QBO.S-TB25'!B13,'QBO.S-TB25'!B13)</f>
        <v>2803 Accrued loan interest</v>
      </c>
      <c r="B14" s="792">
        <f>'QBO.S-TB25'!D13</f>
        <v>0</v>
      </c>
      <c r="C14" s="792">
        <f>'QBO.S-TB25'!E13</f>
        <v>67204</v>
      </c>
      <c r="D14" s="792">
        <f>'QBO.S-TB25'!F13</f>
        <v>0</v>
      </c>
      <c r="E14" s="792">
        <f>'QBO.S-TB25'!G13</f>
        <v>0</v>
      </c>
      <c r="G14" t="str">
        <f>IF('QBO.S-TB24'!A13&lt;&gt;"",'QBO.S-TB24'!A13&amp;" "&amp;'QBO.S-TB24'!B13,'QBO.S-TB24'!B13)</f>
        <v>2010 Accrued Liabilities</v>
      </c>
      <c r="H14" s="167">
        <f>'QBO.S-TB24'!D13</f>
        <v>0</v>
      </c>
      <c r="I14" s="167">
        <f>'QBO.S-TB24'!E13</f>
        <v>0</v>
      </c>
      <c r="J14" s="167">
        <f>'QBO.S-TB24'!F13</f>
        <v>0</v>
      </c>
      <c r="K14" s="167">
        <f>'QBO.S-TB24'!G13</f>
        <v>60000</v>
      </c>
      <c r="M14" t="str">
        <f>IF('QBO.S-TB26'!A13&lt;&gt;"",'QBO.S-TB26'!A13&amp;" "&amp;'QBO.S-TB26'!B13,'QBO.S-TB26'!B13)</f>
        <v>2803 Accrued loan interest</v>
      </c>
      <c r="N14" s="167">
        <f>'QBO.S-TB26'!D13</f>
        <v>0</v>
      </c>
      <c r="O14" s="167">
        <f>'QBO.S-TB26'!E13</f>
        <v>88016</v>
      </c>
      <c r="P14" s="167">
        <f>'QBO.S-TB26'!F13</f>
        <v>0</v>
      </c>
      <c r="Q14" s="167">
        <f>'QBO.S-TB26'!G13</f>
        <v>0</v>
      </c>
    </row>
    <row r="15" spans="1:17" x14ac:dyDescent="0.3">
      <c r="A15" t="str">
        <f>IF('QBO.S-TB25'!A14&lt;&gt;"",'QBO.S-TB25'!A14&amp;" "&amp;'QBO.S-TB25'!B14,'QBO.S-TB25'!B14)</f>
        <v>6020 Advertising &amp; Promotion</v>
      </c>
      <c r="B15" s="792">
        <f>'QBO.S-TB25'!D14</f>
        <v>0</v>
      </c>
      <c r="C15" s="792">
        <f>'QBO.S-TB25'!E14</f>
        <v>0</v>
      </c>
      <c r="D15" s="792">
        <f>'QBO.S-TB25'!F14</f>
        <v>65281.8</v>
      </c>
      <c r="E15" s="792">
        <f>'QBO.S-TB25'!G14</f>
        <v>0</v>
      </c>
      <c r="G15" t="str">
        <f>IF('QBO.S-TB24'!A14&lt;&gt;"",'QBO.S-TB24'!A14&amp;" "&amp;'QBO.S-TB24'!B14,'QBO.S-TB24'!B14)</f>
        <v>2803 Accrued loan interest</v>
      </c>
      <c r="H15" s="167">
        <f>'QBO.S-TB24'!D14</f>
        <v>0</v>
      </c>
      <c r="I15" s="167">
        <f>'QBO.S-TB24'!E14</f>
        <v>29639</v>
      </c>
      <c r="J15" s="167">
        <f>'QBO.S-TB24'!F14</f>
        <v>0</v>
      </c>
      <c r="K15" s="167">
        <f>'QBO.S-TB24'!G14</f>
        <v>0</v>
      </c>
      <c r="M15" t="str">
        <f>IF('QBO.S-TB26'!A14&lt;&gt;"",'QBO.S-TB26'!A14&amp;" "&amp;'QBO.S-TB26'!B14,'QBO.S-TB26'!B14)</f>
        <v>1421 Accumulated amortization</v>
      </c>
      <c r="N15" s="167">
        <f>'QBO.S-TB26'!D14</f>
        <v>0</v>
      </c>
      <c r="O15" s="167">
        <f>'QBO.S-TB26'!E14</f>
        <v>0</v>
      </c>
      <c r="P15" s="167">
        <f>'QBO.S-TB26'!F14</f>
        <v>0</v>
      </c>
      <c r="Q15" s="167">
        <f>'QBO.S-TB26'!G14</f>
        <v>2774471</v>
      </c>
    </row>
    <row r="16" spans="1:17" x14ac:dyDescent="0.3">
      <c r="A16" t="str">
        <f>IF('QBO.S-TB25'!A15&lt;&gt;"",'QBO.S-TB25'!A15&amp;" "&amp;'QBO.S-TB25'!B15,'QBO.S-TB25'!B15)</f>
        <v>1010 Bank - suspense</v>
      </c>
      <c r="B16" s="792">
        <f>'QBO.S-TB25'!D15</f>
        <v>0</v>
      </c>
      <c r="C16" s="792">
        <f>'QBO.S-TB25'!E15</f>
        <v>0</v>
      </c>
      <c r="D16" s="792">
        <f>'QBO.S-TB25'!F15</f>
        <v>0</v>
      </c>
      <c r="E16" s="792">
        <f>'QBO.S-TB25'!G15</f>
        <v>5.5</v>
      </c>
      <c r="G16" t="str">
        <f>IF('QBO.S-TB24'!A15&lt;&gt;"",'QBO.S-TB24'!A15&amp;" "&amp;'QBO.S-TB24'!B15,'QBO.S-TB24'!B15)</f>
        <v>6020 Advertising &amp; Promotion</v>
      </c>
      <c r="H16" s="167">
        <f>'QBO.S-TB24'!D15</f>
        <v>10306.75</v>
      </c>
      <c r="I16" s="167">
        <f>'QBO.S-TB24'!E15</f>
        <v>0</v>
      </c>
      <c r="J16" s="167">
        <f>'QBO.S-TB24'!F15</f>
        <v>9487.5499999999993</v>
      </c>
      <c r="K16" s="167">
        <f>'QBO.S-TB24'!G15</f>
        <v>0</v>
      </c>
      <c r="M16" t="str">
        <f>IF('QBO.S-TB26'!A15&lt;&gt;"",'QBO.S-TB26'!A15&amp;" "&amp;'QBO.S-TB26'!B15,'QBO.S-TB26'!B15)</f>
        <v>6020 Advertising &amp; Promotion</v>
      </c>
      <c r="N16" s="167">
        <f>'QBO.S-TB26'!D15</f>
        <v>0</v>
      </c>
      <c r="O16" s="167">
        <f>'QBO.S-TB26'!E15</f>
        <v>0</v>
      </c>
      <c r="P16" s="167">
        <f>'QBO.S-TB26'!F15</f>
        <v>39640.050000000003</v>
      </c>
      <c r="Q16" s="167">
        <f>'QBO.S-TB26'!G15</f>
        <v>0</v>
      </c>
    </row>
    <row r="17" spans="1:17" x14ac:dyDescent="0.3">
      <c r="A17" t="str">
        <f>IF('QBO.S-TB25'!A16&lt;&gt;"",'QBO.S-TB25'!A16&amp;" "&amp;'QBO.S-TB25'!B16,'QBO.S-TB25'!B16)</f>
        <v>6011 Bank charges</v>
      </c>
      <c r="B17" s="792">
        <f>'QBO.S-TB25'!D16</f>
        <v>1602.05</v>
      </c>
      <c r="C17" s="792">
        <f>'QBO.S-TB25'!E16</f>
        <v>0</v>
      </c>
      <c r="D17" s="792">
        <f>'QBO.S-TB25'!F16</f>
        <v>678.5</v>
      </c>
      <c r="E17" s="792">
        <f>'QBO.S-TB25'!G16</f>
        <v>0</v>
      </c>
      <c r="G17" t="str">
        <f>IF('QBO.S-TB24'!A16&lt;&gt;"",'QBO.S-TB24'!A16&amp;" "&amp;'QBO.S-TB24'!B16,'QBO.S-TB24'!B16)</f>
        <v>1010 Bank - suspense</v>
      </c>
      <c r="H17" s="167">
        <f>'QBO.S-TB24'!D16</f>
        <v>0</v>
      </c>
      <c r="I17" s="167">
        <f>'QBO.S-TB24'!E16</f>
        <v>0</v>
      </c>
      <c r="J17" s="167">
        <f>'QBO.S-TB24'!F16</f>
        <v>0</v>
      </c>
      <c r="K17" s="167">
        <f>'QBO.S-TB24'!G16</f>
        <v>5.5</v>
      </c>
      <c r="M17" t="str">
        <f>IF('QBO.S-TB26'!A16&lt;&gt;"",'QBO.S-TB26'!A16&amp;" "&amp;'QBO.S-TB26'!B16,'QBO.S-TB26'!B16)</f>
        <v>6086 Amortization</v>
      </c>
      <c r="N17" s="167">
        <f>'QBO.S-TB26'!D16</f>
        <v>0</v>
      </c>
      <c r="O17" s="167">
        <f>'QBO.S-TB26'!E16</f>
        <v>0</v>
      </c>
      <c r="P17" s="167">
        <f>'QBO.S-TB26'!F16</f>
        <v>314091</v>
      </c>
      <c r="Q17" s="167">
        <f>'QBO.S-TB26'!G16</f>
        <v>0</v>
      </c>
    </row>
    <row r="18" spans="1:17" x14ac:dyDescent="0.3">
      <c r="A18" t="str">
        <f>IF('QBO.S-TB25'!A17&lt;&gt;"",'QBO.S-TB25'!A17&amp;" "&amp;'QBO.S-TB25'!B17,'QBO.S-TB25'!B17)</f>
        <v>0001 Bank suspense</v>
      </c>
      <c r="B18" s="792">
        <f>'QBO.S-TB25'!D17</f>
        <v>0</v>
      </c>
      <c r="C18" s="792">
        <f>'QBO.S-TB25'!E17</f>
        <v>0</v>
      </c>
      <c r="D18" s="792">
        <f>'QBO.S-TB25'!F17</f>
        <v>0</v>
      </c>
      <c r="E18" s="792">
        <f>'QBO.S-TB25'!G17</f>
        <v>0</v>
      </c>
      <c r="G18" t="str">
        <f>IF('QBO.S-TB24'!A17&lt;&gt;"",'QBO.S-TB24'!A17&amp;" "&amp;'QBO.S-TB24'!B17,'QBO.S-TB24'!B17)</f>
        <v>6011 Bank charges</v>
      </c>
      <c r="H18" s="167">
        <f>'QBO.S-TB24'!D17</f>
        <v>1600</v>
      </c>
      <c r="I18" s="167">
        <f>'QBO.S-TB24'!E17</f>
        <v>0</v>
      </c>
      <c r="J18" s="167">
        <f>'QBO.S-TB24'!F17</f>
        <v>683.5</v>
      </c>
      <c r="K18" s="167">
        <f>'QBO.S-TB24'!G17</f>
        <v>0</v>
      </c>
      <c r="M18" t="str">
        <f>IF('QBO.S-TB26'!A17&lt;&gt;"",'QBO.S-TB26'!A17&amp;" "&amp;'QBO.S-TB26'!B17,'QBO.S-TB26'!B17)</f>
        <v>1010 Bank - suspense</v>
      </c>
      <c r="N18" s="167">
        <f>'QBO.S-TB26'!D17</f>
        <v>0</v>
      </c>
      <c r="O18" s="167">
        <f>'QBO.S-TB26'!E17</f>
        <v>0</v>
      </c>
      <c r="P18" s="167">
        <f>'QBO.S-TB26'!F17</f>
        <v>0</v>
      </c>
      <c r="Q18" s="167">
        <f>'QBO.S-TB26'!G17</f>
        <v>5.5</v>
      </c>
    </row>
    <row r="19" spans="1:17" x14ac:dyDescent="0.3">
      <c r="A19" t="str">
        <f>IF('QBO.S-TB25'!A18&lt;&gt;"",'QBO.S-TB25'!A18&amp;" "&amp;'QBO.S-TB25'!B18,'QBO.S-TB25'!B18)</f>
        <v>3200 Capital contribution</v>
      </c>
      <c r="B19" s="792">
        <f>'QBO.S-TB25'!D18</f>
        <v>0</v>
      </c>
      <c r="C19" s="792">
        <f>'QBO.S-TB25'!E18</f>
        <v>0</v>
      </c>
      <c r="D19" s="792">
        <f>'QBO.S-TB25'!F18</f>
        <v>0</v>
      </c>
      <c r="E19" s="792">
        <f>'QBO.S-TB25'!G18</f>
        <v>59349.72</v>
      </c>
      <c r="G19" t="str">
        <f>IF('QBO.S-TB24'!A18&lt;&gt;"",'QBO.S-TB24'!A18&amp;" "&amp;'QBO.S-TB24'!B18,'QBO.S-TB24'!B18)</f>
        <v>3200 Capital contribution</v>
      </c>
      <c r="H19" s="167">
        <f>'QBO.S-TB24'!D18</f>
        <v>0</v>
      </c>
      <c r="I19" s="167">
        <f>'QBO.S-TB24'!E18</f>
        <v>0</v>
      </c>
      <c r="J19" s="167">
        <f>'QBO.S-TB24'!F18</f>
        <v>0</v>
      </c>
      <c r="K19" s="167">
        <f>'QBO.S-TB24'!G18</f>
        <v>59349.72</v>
      </c>
      <c r="M19" t="str">
        <f>IF('QBO.S-TB26'!A18&lt;&gt;"",'QBO.S-TB26'!A18&amp;" "&amp;'QBO.S-TB26'!B18,'QBO.S-TB26'!B18)</f>
        <v>6011 Bank charges</v>
      </c>
      <c r="N19" s="167">
        <f>'QBO.S-TB26'!D18</f>
        <v>563.70000000000005</v>
      </c>
      <c r="O19" s="167">
        <f>'QBO.S-TB26'!E18</f>
        <v>0</v>
      </c>
      <c r="P19" s="167">
        <f>'QBO.S-TB26'!F18</f>
        <v>313.16000000000003</v>
      </c>
      <c r="Q19" s="167">
        <f>'QBO.S-TB26'!G18</f>
        <v>0</v>
      </c>
    </row>
    <row r="20" spans="1:17" x14ac:dyDescent="0.3">
      <c r="A20" t="str">
        <f>IF('QBO.S-TB25'!A19&lt;&gt;"",'QBO.S-TB25'!A19&amp;" "&amp;'QBO.S-TB25'!B19,'QBO.S-TB25'!B19)</f>
        <v>1000 Chequing - 5002829</v>
      </c>
      <c r="B20" s="792">
        <f>'QBO.S-TB25'!D19</f>
        <v>0</v>
      </c>
      <c r="C20" s="792">
        <f>'QBO.S-TB25'!E19</f>
        <v>101.64</v>
      </c>
      <c r="D20" s="792">
        <f>'QBO.S-TB25'!F19</f>
        <v>0</v>
      </c>
      <c r="E20" s="792">
        <f>'QBO.S-TB25'!G19</f>
        <v>0</v>
      </c>
      <c r="G20" t="str">
        <f>IF('QBO.S-TB24'!A19&lt;&gt;"",'QBO.S-TB24'!A19&amp;" "&amp;'QBO.S-TB24'!B19,'QBO.S-TB24'!B19)</f>
        <v>1000 Chequing - 5002829</v>
      </c>
      <c r="H20" s="167">
        <f>'QBO.S-TB24'!D19</f>
        <v>1444.77</v>
      </c>
      <c r="I20" s="167">
        <f>'QBO.S-TB24'!E19</f>
        <v>0</v>
      </c>
      <c r="J20" s="167">
        <f>'QBO.S-TB24'!F19</f>
        <v>0</v>
      </c>
      <c r="K20" s="167">
        <f>'QBO.S-TB24'!G19</f>
        <v>0</v>
      </c>
      <c r="M20" t="str">
        <f>IF('QBO.S-TB26'!A19&lt;&gt;"",'QBO.S-TB26'!A19&amp;" "&amp;'QBO.S-TB26'!B19,'QBO.S-TB26'!B19)</f>
        <v>0001 Bank suspense</v>
      </c>
      <c r="N20" s="167">
        <f>'QBO.S-TB26'!D19</f>
        <v>0</v>
      </c>
      <c r="O20" s="167">
        <f>'QBO.S-TB26'!E19</f>
        <v>0</v>
      </c>
      <c r="P20" s="167">
        <f>'QBO.S-TB26'!F19</f>
        <v>0</v>
      </c>
      <c r="Q20" s="167">
        <f>'QBO.S-TB26'!G19</f>
        <v>0</v>
      </c>
    </row>
    <row r="21" spans="1:17" x14ac:dyDescent="0.3">
      <c r="A21" t="str">
        <f>IF('QBO.S-TB25'!A20&lt;&gt;"",'QBO.S-TB25'!A20&amp;" "&amp;'QBO.S-TB25'!B20,'QBO.S-TB25'!B20)</f>
        <v>3105 Common Shares:Class A Shares</v>
      </c>
      <c r="B21" s="792">
        <f>'QBO.S-TB25'!D20</f>
        <v>0</v>
      </c>
      <c r="C21" s="792">
        <f>'QBO.S-TB25'!E20</f>
        <v>0</v>
      </c>
      <c r="D21" s="792">
        <f>'QBO.S-TB25'!F20</f>
        <v>0</v>
      </c>
      <c r="E21" s="792">
        <f>'QBO.S-TB25'!G20</f>
        <v>24</v>
      </c>
      <c r="G21" t="str">
        <f>IF('QBO.S-TB24'!A20&lt;&gt;"",'QBO.S-TB24'!A20&amp;" "&amp;'QBO.S-TB24'!B20,'QBO.S-TB24'!B20)</f>
        <v>3105 Common Shares:Class A Shares</v>
      </c>
      <c r="H21" s="167">
        <f>'QBO.S-TB24'!D20</f>
        <v>0</v>
      </c>
      <c r="I21" s="167">
        <f>'QBO.S-TB24'!E20</f>
        <v>0</v>
      </c>
      <c r="J21" s="167">
        <f>'QBO.S-TB24'!F20</f>
        <v>0</v>
      </c>
      <c r="K21" s="167">
        <f>'QBO.S-TB24'!G20</f>
        <v>24</v>
      </c>
      <c r="M21" t="str">
        <f>IF('QBO.S-TB26'!A20&lt;&gt;"",'QBO.S-TB26'!A20&amp;" "&amp;'QBO.S-TB26'!B20,'QBO.S-TB26'!B20)</f>
        <v>3200 Capital contribution</v>
      </c>
      <c r="N21" s="167">
        <f>'QBO.S-TB26'!D20</f>
        <v>0</v>
      </c>
      <c r="O21" s="167">
        <f>'QBO.S-TB26'!E20</f>
        <v>0</v>
      </c>
      <c r="P21" s="167">
        <f>'QBO.S-TB26'!F20</f>
        <v>0</v>
      </c>
      <c r="Q21" s="167">
        <f>'QBO.S-TB26'!G20</f>
        <v>59349.72</v>
      </c>
    </row>
    <row r="22" spans="1:17" x14ac:dyDescent="0.3">
      <c r="A22" t="str">
        <f>IF('QBO.S-TB25'!A21&lt;&gt;"",'QBO.S-TB25'!A21&amp;" "&amp;'QBO.S-TB25'!B21,'QBO.S-TB25'!B21)</f>
        <v>3110 Common Shares:Class B Shares</v>
      </c>
      <c r="B22" s="792">
        <f>'QBO.S-TB25'!D21</f>
        <v>0</v>
      </c>
      <c r="C22" s="792">
        <f>'QBO.S-TB25'!E21</f>
        <v>0</v>
      </c>
      <c r="D22" s="792">
        <f>'QBO.S-TB25'!F21</f>
        <v>0</v>
      </c>
      <c r="E22" s="792">
        <f>'QBO.S-TB25'!G21</f>
        <v>12</v>
      </c>
      <c r="G22" t="str">
        <f>IF('QBO.S-TB24'!A21&lt;&gt;"",'QBO.S-TB24'!A21&amp;" "&amp;'QBO.S-TB24'!B21,'QBO.S-TB24'!B21)</f>
        <v>3110 Common Shares:Class B Shares</v>
      </c>
      <c r="H22" s="167">
        <f>'QBO.S-TB24'!D21</f>
        <v>0</v>
      </c>
      <c r="I22" s="167">
        <f>'QBO.S-TB24'!E21</f>
        <v>0</v>
      </c>
      <c r="J22" s="167">
        <f>'QBO.S-TB24'!F21</f>
        <v>0</v>
      </c>
      <c r="K22" s="167">
        <f>'QBO.S-TB24'!G21</f>
        <v>12</v>
      </c>
      <c r="M22" t="str">
        <f>IF('QBO.S-TB26'!A21&lt;&gt;"",'QBO.S-TB26'!A21&amp;" "&amp;'QBO.S-TB26'!B21,'QBO.S-TB26'!B21)</f>
        <v>1000 Chequing - 5002829</v>
      </c>
      <c r="N22" s="167">
        <f>'QBO.S-TB26'!D21</f>
        <v>0</v>
      </c>
      <c r="O22" s="167">
        <f>'QBO.S-TB26'!E21</f>
        <v>165.34</v>
      </c>
      <c r="P22" s="167">
        <f>'QBO.S-TB26'!F21</f>
        <v>0</v>
      </c>
      <c r="Q22" s="167">
        <f>'QBO.S-TB26'!G21</f>
        <v>0</v>
      </c>
    </row>
    <row r="23" spans="1:17" x14ac:dyDescent="0.3">
      <c r="A23" t="str">
        <f>IF('QBO.S-TB25'!A22&lt;&gt;"",'QBO.S-TB25'!A22&amp;" "&amp;'QBO.S-TB25'!B22,'QBO.S-TB25'!B22)</f>
        <v>3115 Common Shares:Class C Shares</v>
      </c>
      <c r="B23" s="792">
        <f>'QBO.S-TB25'!D22</f>
        <v>0</v>
      </c>
      <c r="C23" s="792">
        <f>'QBO.S-TB25'!E22</f>
        <v>0</v>
      </c>
      <c r="D23" s="792">
        <f>'QBO.S-TB25'!F22</f>
        <v>0</v>
      </c>
      <c r="E23" s="792">
        <f>'QBO.S-TB25'!G22</f>
        <v>12</v>
      </c>
      <c r="G23" t="str">
        <f>IF('QBO.S-TB24'!A22&lt;&gt;"",'QBO.S-TB24'!A22&amp;" "&amp;'QBO.S-TB24'!B22,'QBO.S-TB24'!B22)</f>
        <v>3115 Common Shares:Class C Shares</v>
      </c>
      <c r="H23" s="167">
        <f>'QBO.S-TB24'!D22</f>
        <v>0</v>
      </c>
      <c r="I23" s="167">
        <f>'QBO.S-TB24'!E22</f>
        <v>0</v>
      </c>
      <c r="J23" s="167">
        <f>'QBO.S-TB24'!F22</f>
        <v>0</v>
      </c>
      <c r="K23" s="167">
        <f>'QBO.S-TB24'!G22</f>
        <v>12</v>
      </c>
      <c r="M23" t="str">
        <f>IF('QBO.S-TB26'!A22&lt;&gt;"",'QBO.S-TB26'!A22&amp;" "&amp;'QBO.S-TB26'!B22,'QBO.S-TB26'!B22)</f>
        <v>3105 Common Shares:Class A Shares</v>
      </c>
      <c r="N23" s="167">
        <f>'QBO.S-TB26'!D22</f>
        <v>0</v>
      </c>
      <c r="O23" s="167">
        <f>'QBO.S-TB26'!E22</f>
        <v>0</v>
      </c>
      <c r="P23" s="167">
        <f>'QBO.S-TB26'!F22</f>
        <v>0</v>
      </c>
      <c r="Q23" s="167">
        <f>'QBO.S-TB26'!G22</f>
        <v>24</v>
      </c>
    </row>
    <row r="24" spans="1:17" x14ac:dyDescent="0.3">
      <c r="A24" t="str">
        <f>IF('QBO.S-TB25'!A23&lt;&gt;"",'QBO.S-TB25'!A23&amp;" "&amp;'QBO.S-TB25'!B23,'QBO.S-TB25'!B23)</f>
        <v>6016 Consulting Expense</v>
      </c>
      <c r="B24" s="792">
        <f>'QBO.S-TB25'!D23</f>
        <v>0</v>
      </c>
      <c r="C24" s="792">
        <f>'QBO.S-TB25'!E23</f>
        <v>0</v>
      </c>
      <c r="D24" s="792">
        <f>'QBO.S-TB25'!F23</f>
        <v>225291.05</v>
      </c>
      <c r="E24" s="792">
        <f>'QBO.S-TB25'!G23</f>
        <v>0</v>
      </c>
      <c r="G24" t="str">
        <f>IF('QBO.S-TB24'!A23&lt;&gt;"",'QBO.S-TB24'!A23&amp;" "&amp;'QBO.S-TB24'!B23,'QBO.S-TB24'!B23)</f>
        <v>6016 Consulting Expense</v>
      </c>
      <c r="H24" s="167">
        <f>'QBO.S-TB24'!D23</f>
        <v>0</v>
      </c>
      <c r="I24" s="167">
        <f>'QBO.S-TB24'!E23</f>
        <v>0</v>
      </c>
      <c r="J24" s="167">
        <f>'QBO.S-TB24'!F23</f>
        <v>0</v>
      </c>
      <c r="K24" s="167">
        <f>'QBO.S-TB24'!G23</f>
        <v>60000</v>
      </c>
      <c r="M24" t="str">
        <f>IF('QBO.S-TB26'!A23&lt;&gt;"",'QBO.S-TB26'!A23&amp;" "&amp;'QBO.S-TB26'!B23,'QBO.S-TB26'!B23)</f>
        <v>3110 Common Shares:Class B Shares</v>
      </c>
      <c r="N24" s="167">
        <f>'QBO.S-TB26'!D23</f>
        <v>0</v>
      </c>
      <c r="O24" s="167">
        <f>'QBO.S-TB26'!E23</f>
        <v>0</v>
      </c>
      <c r="P24" s="167">
        <f>'QBO.S-TB26'!F23</f>
        <v>0</v>
      </c>
      <c r="Q24" s="167">
        <f>'QBO.S-TB26'!G23</f>
        <v>12</v>
      </c>
    </row>
    <row r="25" spans="1:17" x14ac:dyDescent="0.3">
      <c r="A25" t="str">
        <f>IF('QBO.S-TB25'!A24&lt;&gt;"",'QBO.S-TB25'!A24&amp;" "&amp;'QBO.S-TB25'!B24,'QBO.S-TB25'!B24)</f>
        <v>6017 Consulting Fees</v>
      </c>
      <c r="B25" s="792">
        <f>'QBO.S-TB25'!D24</f>
        <v>93000</v>
      </c>
      <c r="C25" s="792">
        <f>'QBO.S-TB25'!E24</f>
        <v>0</v>
      </c>
      <c r="D25" s="792">
        <f>'QBO.S-TB25'!F24</f>
        <v>0</v>
      </c>
      <c r="E25" s="792">
        <f>'QBO.S-TB25'!G24</f>
        <v>0</v>
      </c>
      <c r="G25" t="str">
        <f>IF('QBO.S-TB24'!A24&lt;&gt;"",'QBO.S-TB24'!A24&amp;" "&amp;'QBO.S-TB24'!B24,'QBO.S-TB24'!B24)</f>
        <v>6017 Consulting Fees</v>
      </c>
      <c r="H25" s="167">
        <f>'QBO.S-TB24'!D24</f>
        <v>114140</v>
      </c>
      <c r="I25" s="167">
        <f>'QBO.S-TB24'!E24</f>
        <v>0</v>
      </c>
      <c r="J25" s="167">
        <f>'QBO.S-TB24'!F24</f>
        <v>0</v>
      </c>
      <c r="K25" s="167">
        <f>'QBO.S-TB24'!G24</f>
        <v>0</v>
      </c>
      <c r="M25" t="str">
        <f>IF('QBO.S-TB26'!A24&lt;&gt;"",'QBO.S-TB26'!A24&amp;" "&amp;'QBO.S-TB26'!B24,'QBO.S-TB26'!B24)</f>
        <v>3115 Common Shares:Class C Shares</v>
      </c>
      <c r="N25" s="167">
        <f>'QBO.S-TB26'!D24</f>
        <v>0</v>
      </c>
      <c r="O25" s="167">
        <f>'QBO.S-TB26'!E24</f>
        <v>0</v>
      </c>
      <c r="P25" s="167">
        <f>'QBO.S-TB26'!F24</f>
        <v>0</v>
      </c>
      <c r="Q25" s="167">
        <f>'QBO.S-TB26'!G24</f>
        <v>12</v>
      </c>
    </row>
    <row r="26" spans="1:17" x14ac:dyDescent="0.3">
      <c r="A26" t="str">
        <f>IF('QBO.S-TB25'!A25&lt;&gt;"",'QBO.S-TB25'!A25&amp;" "&amp;'QBO.S-TB25'!B25,'QBO.S-TB25'!B25)</f>
        <v>2300 Corporate Tax Payable</v>
      </c>
      <c r="B26" s="792">
        <f>'QBO.S-TB25'!D25</f>
        <v>0</v>
      </c>
      <c r="C26" s="792">
        <f>'QBO.S-TB25'!E25</f>
        <v>0</v>
      </c>
      <c r="D26" s="792">
        <f>'QBO.S-TB25'!F25</f>
        <v>0</v>
      </c>
      <c r="E26" s="792">
        <f>'QBO.S-TB25'!G25</f>
        <v>98.09</v>
      </c>
      <c r="G26" t="str">
        <f>IF('QBO.S-TB24'!A25&lt;&gt;"",'QBO.S-TB24'!A25&amp;" "&amp;'QBO.S-TB24'!B25,'QBO.S-TB24'!B25)</f>
        <v>2300 Corporate Tax Payable</v>
      </c>
      <c r="H26" s="167">
        <f>'QBO.S-TB24'!D25</f>
        <v>0</v>
      </c>
      <c r="I26" s="167">
        <f>'QBO.S-TB24'!E25</f>
        <v>0</v>
      </c>
      <c r="J26" s="167">
        <f>'QBO.S-TB24'!F25</f>
        <v>0</v>
      </c>
      <c r="K26" s="167">
        <f>'QBO.S-TB24'!G25</f>
        <v>98.09</v>
      </c>
      <c r="M26" t="str">
        <f>IF('QBO.S-TB26'!A25&lt;&gt;"",'QBO.S-TB26'!A25&amp;" "&amp;'QBO.S-TB26'!B25,'QBO.S-TB26'!B25)</f>
        <v>6016 Consulting Expense</v>
      </c>
      <c r="N26" s="167">
        <f>'QBO.S-TB26'!D25</f>
        <v>0</v>
      </c>
      <c r="O26" s="167">
        <f>'QBO.S-TB26'!E25</f>
        <v>0</v>
      </c>
      <c r="P26" s="167">
        <f>'QBO.S-TB26'!F25</f>
        <v>149417</v>
      </c>
      <c r="Q26" s="167">
        <f>'QBO.S-TB26'!G25</f>
        <v>0</v>
      </c>
    </row>
    <row r="27" spans="1:17" x14ac:dyDescent="0.3">
      <c r="A27" t="str">
        <f>IF('QBO.S-TB25'!A26&lt;&gt;"",'QBO.S-TB25'!A26&amp;" "&amp;'QBO.S-TB25'!B26,'QBO.S-TB25'!B26)</f>
        <v>5500 Cost of Goods Sold</v>
      </c>
      <c r="B27" s="792">
        <f>'QBO.S-TB25'!D26</f>
        <v>0</v>
      </c>
      <c r="C27" s="792">
        <f>'QBO.S-TB25'!E26</f>
        <v>0</v>
      </c>
      <c r="D27" s="792">
        <f>'QBO.S-TB25'!F26</f>
        <v>322512.24</v>
      </c>
      <c r="E27" s="792">
        <f>'QBO.S-TB25'!G26</f>
        <v>0</v>
      </c>
      <c r="G27" t="str">
        <f>IF('QBO.S-TB24'!A26&lt;&gt;"",'QBO.S-TB24'!A26&amp;" "&amp;'QBO.S-TB24'!B26,'QBO.S-TB24'!B26)</f>
        <v>5500 Cost of Goods Sold</v>
      </c>
      <c r="H27" s="167">
        <f>'QBO.S-TB24'!D26</f>
        <v>0</v>
      </c>
      <c r="I27" s="167">
        <f>'QBO.S-TB24'!E26</f>
        <v>0</v>
      </c>
      <c r="J27" s="167">
        <f>'QBO.S-TB24'!F26</f>
        <v>90</v>
      </c>
      <c r="K27" s="167">
        <f>'QBO.S-TB24'!G26</f>
        <v>0</v>
      </c>
      <c r="M27" t="str">
        <f>IF('QBO.S-TB26'!A26&lt;&gt;"",'QBO.S-TB26'!A26&amp;" "&amp;'QBO.S-TB26'!B26,'QBO.S-TB26'!B26)</f>
        <v>6017 Consulting Fees</v>
      </c>
      <c r="N27" s="167">
        <f>'QBO.S-TB26'!D26</f>
        <v>16000</v>
      </c>
      <c r="O27" s="167">
        <f>'QBO.S-TB26'!E26</f>
        <v>0</v>
      </c>
      <c r="P27" s="167">
        <f>'QBO.S-TB26'!F26</f>
        <v>0</v>
      </c>
      <c r="Q27" s="167">
        <f>'QBO.S-TB26'!G26</f>
        <v>0</v>
      </c>
    </row>
    <row r="28" spans="1:17" x14ac:dyDescent="0.3">
      <c r="A28" t="str">
        <f>IF('QBO.S-TB25'!A27&lt;&gt;"",'QBO.S-TB25'!A27&amp;" "&amp;'QBO.S-TB25'!B27,'QBO.S-TB25'!B27)</f>
        <v>5510 Cost of Goods Sold:Parts and components  - COS</v>
      </c>
      <c r="B28" s="792">
        <f>'QBO.S-TB25'!D27</f>
        <v>0</v>
      </c>
      <c r="C28" s="792">
        <f>'QBO.S-TB25'!E27</f>
        <v>0</v>
      </c>
      <c r="D28" s="792">
        <f>'QBO.S-TB25'!F27</f>
        <v>4655.68</v>
      </c>
      <c r="E28" s="792">
        <f>'QBO.S-TB25'!G27</f>
        <v>0</v>
      </c>
      <c r="G28" t="str">
        <f>IF('QBO.S-TB24'!A27&lt;&gt;"",'QBO.S-TB24'!A27&amp;" "&amp;'QBO.S-TB24'!B27,'QBO.S-TB24'!B27)</f>
        <v>5515 Cost of Goods Sold:Engineering  - COS</v>
      </c>
      <c r="H28" s="167">
        <f>'QBO.S-TB24'!D27</f>
        <v>0</v>
      </c>
      <c r="I28" s="167">
        <f>'QBO.S-TB24'!E27</f>
        <v>0</v>
      </c>
      <c r="J28" s="167">
        <f>'QBO.S-TB24'!F27</f>
        <v>0</v>
      </c>
      <c r="K28" s="167">
        <f>'QBO.S-TB24'!G27</f>
        <v>15460.46</v>
      </c>
      <c r="M28" t="str">
        <f>IF('QBO.S-TB26'!A27&lt;&gt;"",'QBO.S-TB26'!A27&amp;" "&amp;'QBO.S-TB26'!B27,'QBO.S-TB26'!B27)</f>
        <v>2300 Corporate Tax Payable</v>
      </c>
      <c r="N28" s="167">
        <f>'QBO.S-TB26'!D27</f>
        <v>0</v>
      </c>
      <c r="O28" s="167">
        <f>'QBO.S-TB26'!E27</f>
        <v>0</v>
      </c>
      <c r="P28" s="167">
        <f>'QBO.S-TB26'!F27</f>
        <v>0</v>
      </c>
      <c r="Q28" s="167">
        <f>'QBO.S-TB26'!G27</f>
        <v>98.09</v>
      </c>
    </row>
    <row r="29" spans="1:17" x14ac:dyDescent="0.3">
      <c r="A29" t="str">
        <f>IF('QBO.S-TB25'!A28&lt;&gt;"",'QBO.S-TB25'!A28&amp;" "&amp;'QBO.S-TB25'!B28,'QBO.S-TB25'!B28)</f>
        <v>5520 Cost of Goods Sold:Subcontracting  - COS</v>
      </c>
      <c r="B29" s="792">
        <f>'QBO.S-TB25'!D28</f>
        <v>0</v>
      </c>
      <c r="C29" s="792">
        <f>'QBO.S-TB25'!E28</f>
        <v>0</v>
      </c>
      <c r="D29" s="792">
        <f>'QBO.S-TB25'!F28</f>
        <v>887.29</v>
      </c>
      <c r="E29" s="792">
        <f>'QBO.S-TB25'!G28</f>
        <v>0</v>
      </c>
      <c r="G29" t="str">
        <f>IF('QBO.S-TB24'!A28&lt;&gt;"",'QBO.S-TB24'!A28&amp;" "&amp;'QBO.S-TB24'!B28,'QBO.S-TB24'!B28)</f>
        <v>5510 Cost of Goods Sold:Parts and components  - COS</v>
      </c>
      <c r="H29" s="167">
        <f>'QBO.S-TB24'!D28</f>
        <v>0</v>
      </c>
      <c r="I29" s="167">
        <f>'QBO.S-TB24'!E28</f>
        <v>0</v>
      </c>
      <c r="J29" s="167">
        <f>'QBO.S-TB24'!F28</f>
        <v>0</v>
      </c>
      <c r="K29" s="167">
        <f>'QBO.S-TB24'!G28</f>
        <v>251333.95</v>
      </c>
      <c r="M29" t="str">
        <f>IF('QBO.S-TB26'!A28&lt;&gt;"",'QBO.S-TB26'!A28&amp;" "&amp;'QBO.S-TB26'!B28,'QBO.S-TB26'!B28)</f>
        <v>2800 Current portion - convertible debt</v>
      </c>
      <c r="N29" s="167">
        <f>'QBO.S-TB26'!D28</f>
        <v>0</v>
      </c>
      <c r="O29" s="167">
        <f>'QBO.S-TB26'!E28</f>
        <v>225000</v>
      </c>
      <c r="P29" s="167">
        <f>'QBO.S-TB26'!F28</f>
        <v>0</v>
      </c>
      <c r="Q29" s="167">
        <f>'QBO.S-TB26'!G28</f>
        <v>0</v>
      </c>
    </row>
    <row r="30" spans="1:17" x14ac:dyDescent="0.3">
      <c r="A30" t="str">
        <f>IF('QBO.S-TB25'!A29&lt;&gt;"",'QBO.S-TB25'!A29&amp;" "&amp;'QBO.S-TB25'!B29,'QBO.S-TB25'!B29)</f>
        <v>2800 Current portion - convertible debt</v>
      </c>
      <c r="B30" s="792">
        <f>'QBO.S-TB25'!D29</f>
        <v>0</v>
      </c>
      <c r="C30" s="792">
        <f>'QBO.S-TB25'!E29</f>
        <v>206894.93</v>
      </c>
      <c r="D30" s="792">
        <f>'QBO.S-TB25'!F29</f>
        <v>0</v>
      </c>
      <c r="E30" s="792">
        <f>'QBO.S-TB25'!G29</f>
        <v>0</v>
      </c>
      <c r="G30" t="str">
        <f>IF('QBO.S-TB24'!A29&lt;&gt;"",'QBO.S-TB24'!A29&amp;" "&amp;'QBO.S-TB24'!B29,'QBO.S-TB24'!B29)</f>
        <v>5520 Cost of Goods Sold:Subcontracting  - COS</v>
      </c>
      <c r="H30" s="167">
        <f>'QBO.S-TB24'!D29</f>
        <v>0</v>
      </c>
      <c r="I30" s="167">
        <f>'QBO.S-TB24'!E29</f>
        <v>0</v>
      </c>
      <c r="J30" s="167">
        <f>'QBO.S-TB24'!F29</f>
        <v>0</v>
      </c>
      <c r="K30" s="167">
        <f>'QBO.S-TB24'!G29</f>
        <v>10833.14</v>
      </c>
      <c r="M30" t="str">
        <f>IF('QBO.S-TB26'!A29&lt;&gt;"",'QBO.S-TB26'!A29&amp;" "&amp;'QBO.S-TB26'!B29,'QBO.S-TB26'!B29)</f>
        <v>1300 Current portion of loan receivable</v>
      </c>
      <c r="N30" s="167">
        <f>'QBO.S-TB26'!D29</f>
        <v>556400</v>
      </c>
      <c r="O30" s="167">
        <f>'QBO.S-TB26'!E29</f>
        <v>0</v>
      </c>
      <c r="P30" s="167">
        <f>'QBO.S-TB26'!F29</f>
        <v>0</v>
      </c>
      <c r="Q30" s="167">
        <f>'QBO.S-TB26'!G29</f>
        <v>0</v>
      </c>
    </row>
    <row r="31" spans="1:17" x14ac:dyDescent="0.3">
      <c r="A31" t="str">
        <f>IF('QBO.S-TB25'!A30&lt;&gt;"",'QBO.S-TB25'!A30&amp;" "&amp;'QBO.S-TB25'!B30,'QBO.S-TB25'!B30)</f>
        <v>1300 Current portion of loan receivable</v>
      </c>
      <c r="B31" s="792">
        <f>'QBO.S-TB25'!D30</f>
        <v>556400</v>
      </c>
      <c r="C31" s="792">
        <f>'QBO.S-TB25'!E30</f>
        <v>0</v>
      </c>
      <c r="D31" s="792">
        <f>'QBO.S-TB25'!F30</f>
        <v>0</v>
      </c>
      <c r="E31" s="792">
        <f>'QBO.S-TB25'!G30</f>
        <v>0</v>
      </c>
      <c r="G31" t="str">
        <f>IF('QBO.S-TB24'!A30&lt;&gt;"",'QBO.S-TB24'!A30&amp;" "&amp;'QBO.S-TB24'!B30,'QBO.S-TB24'!B30)</f>
        <v>2800 Current portion - convertible debt</v>
      </c>
      <c r="H31" s="167">
        <f>'QBO.S-TB24'!D30</f>
        <v>0</v>
      </c>
      <c r="I31" s="167">
        <f>'QBO.S-TB24'!E30</f>
        <v>174938.14</v>
      </c>
      <c r="J31" s="167">
        <f>'QBO.S-TB24'!F30</f>
        <v>0</v>
      </c>
      <c r="K31" s="167">
        <f>'QBO.S-TB24'!G30</f>
        <v>0</v>
      </c>
      <c r="M31" t="str">
        <f>IF('QBO.S-TB26'!A30&lt;&gt;"",'QBO.S-TB26'!A30&amp;" "&amp;'QBO.S-TB26'!B30,'QBO.S-TB26'!B30)</f>
        <v>2030 Cutomer prepayments</v>
      </c>
      <c r="N31" s="167">
        <f>'QBO.S-TB26'!D30</f>
        <v>0</v>
      </c>
      <c r="O31" s="167">
        <f>'QBO.S-TB26'!E30</f>
        <v>0</v>
      </c>
      <c r="P31" s="167">
        <f>'QBO.S-TB26'!F30</f>
        <v>0</v>
      </c>
      <c r="Q31" s="167">
        <f>'QBO.S-TB26'!G30</f>
        <v>0</v>
      </c>
    </row>
    <row r="32" spans="1:17" x14ac:dyDescent="0.3">
      <c r="A32" t="str">
        <f>IF('QBO.S-TB25'!A31&lt;&gt;"",'QBO.S-TB25'!A31&amp;" "&amp;'QBO.S-TB25'!B31,'QBO.S-TB25'!B31)</f>
        <v>2030 Cutomer prepayments</v>
      </c>
      <c r="B32" s="792">
        <f>'QBO.S-TB25'!D31</f>
        <v>0</v>
      </c>
      <c r="C32" s="792">
        <f>'QBO.S-TB25'!E31</f>
        <v>0</v>
      </c>
      <c r="D32" s="792">
        <f>'QBO.S-TB25'!F31</f>
        <v>0</v>
      </c>
      <c r="E32" s="792">
        <f>'QBO.S-TB25'!G31</f>
        <v>0</v>
      </c>
      <c r="G32" t="str">
        <f>IF('QBO.S-TB24'!A31&lt;&gt;"",'QBO.S-TB24'!A31&amp;" "&amp;'QBO.S-TB24'!B31,'QBO.S-TB24'!B31)</f>
        <v>1300 Current portion of loan receivable</v>
      </c>
      <c r="H32" s="167">
        <f>'QBO.S-TB24'!D31</f>
        <v>556400</v>
      </c>
      <c r="I32" s="167">
        <f>'QBO.S-TB24'!E31</f>
        <v>0</v>
      </c>
      <c r="J32" s="167">
        <f>'QBO.S-TB24'!F31</f>
        <v>0</v>
      </c>
      <c r="K32" s="167">
        <f>'QBO.S-TB24'!G31</f>
        <v>0</v>
      </c>
      <c r="M32" t="str">
        <f>IF('QBO.S-TB26'!A31&lt;&gt;"",'QBO.S-TB26'!A31&amp;" "&amp;'QBO.S-TB26'!B31,'QBO.S-TB26'!B31)</f>
        <v>2050 Deferred revenue</v>
      </c>
      <c r="N32" s="167">
        <f>'QBO.S-TB26'!D31</f>
        <v>0</v>
      </c>
      <c r="O32" s="167">
        <f>'QBO.S-TB26'!E31</f>
        <v>0</v>
      </c>
      <c r="P32" s="167">
        <f>'QBO.S-TB26'!F31</f>
        <v>0</v>
      </c>
      <c r="Q32" s="167">
        <f>'QBO.S-TB26'!G31</f>
        <v>507800</v>
      </c>
    </row>
    <row r="33" spans="1:17" x14ac:dyDescent="0.3">
      <c r="A33" t="str">
        <f>IF('QBO.S-TB25'!A32&lt;&gt;"",'QBO.S-TB25'!A32&amp;" "&amp;'QBO.S-TB25'!B32,'QBO.S-TB25'!B32)</f>
        <v>2802 Derivative liability</v>
      </c>
      <c r="B33" s="792">
        <f>'QBO.S-TB25'!D32</f>
        <v>0</v>
      </c>
      <c r="C33" s="792">
        <f>'QBO.S-TB25'!E32</f>
        <v>0</v>
      </c>
      <c r="D33" s="792">
        <f>'QBO.S-TB25'!F32</f>
        <v>0</v>
      </c>
      <c r="E33" s="792">
        <f>'QBO.S-TB25'!G32</f>
        <v>0</v>
      </c>
      <c r="G33" t="str">
        <f>IF('QBO.S-TB24'!A32&lt;&gt;"",'QBO.S-TB24'!A32&amp;" "&amp;'QBO.S-TB24'!B32,'QBO.S-TB24'!B32)</f>
        <v>2030 Cutomer prepayments</v>
      </c>
      <c r="H33" s="167">
        <f>'QBO.S-TB24'!D32</f>
        <v>0</v>
      </c>
      <c r="I33" s="167">
        <f>'QBO.S-TB24'!E32</f>
        <v>0</v>
      </c>
      <c r="J33" s="167">
        <f>'QBO.S-TB24'!F32</f>
        <v>0</v>
      </c>
      <c r="K33" s="167">
        <f>'QBO.S-TB24'!G32</f>
        <v>0</v>
      </c>
      <c r="M33" t="str">
        <f>IF('QBO.S-TB26'!A32&lt;&gt;"",'QBO.S-TB26'!A32&amp;" "&amp;'QBO.S-TB26'!B32,'QBO.S-TB26'!B32)</f>
        <v>2802 Derivative liability</v>
      </c>
      <c r="N33" s="167">
        <f>'QBO.S-TB26'!D32</f>
        <v>0</v>
      </c>
      <c r="O33" s="167">
        <f>'QBO.S-TB26'!E32</f>
        <v>0</v>
      </c>
      <c r="P33" s="167">
        <f>'QBO.S-TB26'!F32</f>
        <v>0</v>
      </c>
      <c r="Q33" s="167">
        <f>'QBO.S-TB26'!G32</f>
        <v>0</v>
      </c>
    </row>
    <row r="34" spans="1:17" x14ac:dyDescent="0.3">
      <c r="A34" t="str">
        <f>IF('QBO.S-TB25'!A33&lt;&gt;"",'QBO.S-TB25'!A33&amp;" "&amp;'QBO.S-TB25'!B33,'QBO.S-TB25'!B33)</f>
        <v>6300 Design and modeling</v>
      </c>
      <c r="B34" s="792">
        <f>'QBO.S-TB25'!D33</f>
        <v>0</v>
      </c>
      <c r="C34" s="792">
        <f>'QBO.S-TB25'!E33</f>
        <v>0</v>
      </c>
      <c r="D34" s="792">
        <f>'QBO.S-TB25'!F33</f>
        <v>5306.24</v>
      </c>
      <c r="E34" s="792">
        <f>'QBO.S-TB25'!G33</f>
        <v>0</v>
      </c>
      <c r="G34" t="str">
        <f>IF('QBO.S-TB24'!A33&lt;&gt;"",'QBO.S-TB24'!A33&amp;" "&amp;'QBO.S-TB24'!B33,'QBO.S-TB24'!B33)</f>
        <v>6085 Depreciation</v>
      </c>
      <c r="H34" s="167">
        <f>'QBO.S-TB24'!D33</f>
        <v>0</v>
      </c>
      <c r="I34" s="167">
        <f>'QBO.S-TB24'!E33</f>
        <v>0</v>
      </c>
      <c r="J34" s="167">
        <f>'QBO.S-TB24'!F33</f>
        <v>948.31</v>
      </c>
      <c r="K34" s="167">
        <f>'QBO.S-TB24'!G33</f>
        <v>0</v>
      </c>
      <c r="M34" t="str">
        <f>IF('QBO.S-TB26'!A33&lt;&gt;"",'QBO.S-TB26'!A33&amp;" "&amp;'QBO.S-TB26'!B33,'QBO.S-TB26'!B33)</f>
        <v>2601 Due to RPT - Brett Halston</v>
      </c>
      <c r="N34" s="167">
        <f>'QBO.S-TB26'!D33</f>
        <v>0</v>
      </c>
      <c r="O34" s="167">
        <f>'QBO.S-TB26'!E33</f>
        <v>0</v>
      </c>
      <c r="P34" s="167">
        <f>'QBO.S-TB26'!F33</f>
        <v>0</v>
      </c>
      <c r="Q34" s="167">
        <f>'QBO.S-TB26'!G33</f>
        <v>0</v>
      </c>
    </row>
    <row r="35" spans="1:17" x14ac:dyDescent="0.3">
      <c r="A35" t="str">
        <f>IF('QBO.S-TB25'!A34&lt;&gt;"",'QBO.S-TB25'!A34&amp;" "&amp;'QBO.S-TB25'!B34,'QBO.S-TB25'!B34)</f>
        <v>2601 Due to RPT - Brett Halston</v>
      </c>
      <c r="B35" s="792">
        <f>'QBO.S-TB25'!D34</f>
        <v>0</v>
      </c>
      <c r="C35" s="792">
        <f>'QBO.S-TB25'!E34</f>
        <v>0</v>
      </c>
      <c r="D35" s="792">
        <f>'QBO.S-TB25'!F34</f>
        <v>0</v>
      </c>
      <c r="E35" s="792">
        <f>'QBO.S-TB25'!G34</f>
        <v>0</v>
      </c>
      <c r="G35" t="str">
        <f>IF('QBO.S-TB24'!A34&lt;&gt;"",'QBO.S-TB24'!A34&amp;" "&amp;'QBO.S-TB24'!B34,'QBO.S-TB24'!B34)</f>
        <v>2802 Derivative liability</v>
      </c>
      <c r="H35" s="167">
        <f>'QBO.S-TB24'!D34</f>
        <v>0</v>
      </c>
      <c r="I35" s="167">
        <f>'QBO.S-TB24'!E34</f>
        <v>0</v>
      </c>
      <c r="J35" s="167">
        <f>'QBO.S-TB24'!F34</f>
        <v>0</v>
      </c>
      <c r="K35" s="167">
        <f>'QBO.S-TB24'!G34</f>
        <v>0</v>
      </c>
      <c r="M35" t="str">
        <f>IF('QBO.S-TB26'!A34&lt;&gt;"",'QBO.S-TB26'!A34&amp;" "&amp;'QBO.S-TB26'!B34,'QBO.S-TB26'!B34)</f>
        <v>2063 Due to RPT - Dean Kneider</v>
      </c>
      <c r="N35" s="167">
        <f>'QBO.S-TB26'!D34</f>
        <v>0</v>
      </c>
      <c r="O35" s="167">
        <f>'QBO.S-TB26'!E34</f>
        <v>0</v>
      </c>
      <c r="P35" s="167">
        <f>'QBO.S-TB26'!F34</f>
        <v>0</v>
      </c>
      <c r="Q35" s="167">
        <f>'QBO.S-TB26'!G34</f>
        <v>0</v>
      </c>
    </row>
    <row r="36" spans="1:17" x14ac:dyDescent="0.3">
      <c r="A36" t="str">
        <f>IF('QBO.S-TB25'!A35&lt;&gt;"",'QBO.S-TB25'!A35&amp;" "&amp;'QBO.S-TB25'!B35,'QBO.S-TB25'!B35)</f>
        <v>2600 Due to RPT - Diane Halston</v>
      </c>
      <c r="B36" s="792">
        <f>'QBO.S-TB25'!D35</f>
        <v>0</v>
      </c>
      <c r="C36" s="792">
        <f>'QBO.S-TB25'!E35</f>
        <v>0</v>
      </c>
      <c r="D36" s="792">
        <f>'QBO.S-TB25'!F35</f>
        <v>0</v>
      </c>
      <c r="E36" s="792">
        <f>'QBO.S-TB25'!G35</f>
        <v>0</v>
      </c>
      <c r="G36" t="str">
        <f>IF('QBO.S-TB24'!A35&lt;&gt;"",'QBO.S-TB24'!A35&amp;" "&amp;'QBO.S-TB24'!B35,'QBO.S-TB24'!B35)</f>
        <v>6300 Design and modeling</v>
      </c>
      <c r="H36" s="167">
        <f>'QBO.S-TB24'!D35</f>
        <v>0</v>
      </c>
      <c r="I36" s="167">
        <f>'QBO.S-TB24'!E35</f>
        <v>0</v>
      </c>
      <c r="J36" s="167">
        <f>'QBO.S-TB24'!F35</f>
        <v>3646.21</v>
      </c>
      <c r="K36" s="167">
        <f>'QBO.S-TB24'!G35</f>
        <v>0</v>
      </c>
      <c r="M36" t="str">
        <f>IF('QBO.S-TB26'!A35&lt;&gt;"",'QBO.S-TB26'!A35&amp;" "&amp;'QBO.S-TB26'!B35,'QBO.S-TB26'!B35)</f>
        <v>2600 Due to RPT - Diane Halston</v>
      </c>
      <c r="N36" s="167">
        <f>'QBO.S-TB26'!D35</f>
        <v>0</v>
      </c>
      <c r="O36" s="167">
        <f>'QBO.S-TB26'!E35</f>
        <v>0</v>
      </c>
      <c r="P36" s="167">
        <f>'QBO.S-TB26'!F35</f>
        <v>0</v>
      </c>
      <c r="Q36" s="167">
        <f>'QBO.S-TB26'!G35</f>
        <v>0</v>
      </c>
    </row>
    <row r="37" spans="1:17" x14ac:dyDescent="0.3">
      <c r="A37" t="str">
        <f>IF('QBO.S-TB25'!A36&lt;&gt;"",'QBO.S-TB25'!A36&amp;" "&amp;'QBO.S-TB25'!B36,'QBO.S-TB25'!B36)</f>
        <v>2602 Due to RPT - Keith Halston</v>
      </c>
      <c r="B37" s="792">
        <f>'QBO.S-TB25'!D36</f>
        <v>0</v>
      </c>
      <c r="C37" s="792">
        <f>'QBO.S-TB25'!E36</f>
        <v>0</v>
      </c>
      <c r="D37" s="792">
        <f>'QBO.S-TB25'!F36</f>
        <v>0</v>
      </c>
      <c r="E37" s="792">
        <f>'QBO.S-TB25'!G36</f>
        <v>0</v>
      </c>
      <c r="G37" t="str">
        <f>IF('QBO.S-TB24'!A36&lt;&gt;"",'QBO.S-TB24'!A36&amp;" "&amp;'QBO.S-TB24'!B36,'QBO.S-TB24'!B36)</f>
        <v>2601 Due to RPT - Brett Halston</v>
      </c>
      <c r="H37" s="167">
        <f>'QBO.S-TB24'!D36</f>
        <v>0</v>
      </c>
      <c r="I37" s="167">
        <f>'QBO.S-TB24'!E36</f>
        <v>0</v>
      </c>
      <c r="J37" s="167">
        <f>'QBO.S-TB24'!F36</f>
        <v>0</v>
      </c>
      <c r="K37" s="167">
        <f>'QBO.S-TB24'!G36</f>
        <v>0</v>
      </c>
      <c r="M37" t="str">
        <f>IF('QBO.S-TB26'!A36&lt;&gt;"",'QBO.S-TB26'!A36&amp;" "&amp;'QBO.S-TB26'!B36,'QBO.S-TB26'!B36)</f>
        <v>2602 Due to RPT - Keith Halston</v>
      </c>
      <c r="N37" s="167">
        <f>'QBO.S-TB26'!D36</f>
        <v>0</v>
      </c>
      <c r="O37" s="167">
        <f>'QBO.S-TB26'!E36</f>
        <v>0</v>
      </c>
      <c r="P37" s="167">
        <f>'QBO.S-TB26'!F36</f>
        <v>0</v>
      </c>
      <c r="Q37" s="167">
        <f>'QBO.S-TB26'!G36</f>
        <v>0</v>
      </c>
    </row>
    <row r="38" spans="1:17" x14ac:dyDescent="0.3">
      <c r="A38" t="str">
        <f>IF('QBO.S-TB25'!A37&lt;&gt;"",'QBO.S-TB25'!A37&amp;" "&amp;'QBO.S-TB25'!B37,'QBO.S-TB25'!B37)</f>
        <v>2705 Due to Shareholders:Due to SH - James Taylor</v>
      </c>
      <c r="B38" s="792">
        <f>'QBO.S-TB25'!D37</f>
        <v>0</v>
      </c>
      <c r="C38" s="792">
        <f>'QBO.S-TB25'!E37</f>
        <v>0</v>
      </c>
      <c r="D38" s="792">
        <f>'QBO.S-TB25'!F37</f>
        <v>0</v>
      </c>
      <c r="E38" s="792">
        <f>'QBO.S-TB25'!G37</f>
        <v>0</v>
      </c>
      <c r="G38" t="str">
        <f>IF('QBO.S-TB24'!A37&lt;&gt;"",'QBO.S-TB24'!A37&amp;" "&amp;'QBO.S-TB24'!B37,'QBO.S-TB24'!B37)</f>
        <v>2600 Due to RPT - Diane Halston</v>
      </c>
      <c r="H38" s="167">
        <f>'QBO.S-TB24'!D37</f>
        <v>0</v>
      </c>
      <c r="I38" s="167">
        <f>'QBO.S-TB24'!E37</f>
        <v>0</v>
      </c>
      <c r="J38" s="167">
        <f>'QBO.S-TB24'!F37</f>
        <v>0</v>
      </c>
      <c r="K38" s="167">
        <f>'QBO.S-TB24'!G37</f>
        <v>0</v>
      </c>
      <c r="M38" t="str">
        <f>IF('QBO.S-TB26'!A37&lt;&gt;"",'QBO.S-TB26'!A37&amp;" "&amp;'QBO.S-TB26'!B37,'QBO.S-TB26'!B37)</f>
        <v>2705 Due to Shareholders:Due to SH - James Taylor</v>
      </c>
      <c r="N38" s="167">
        <f>'QBO.S-TB26'!D37</f>
        <v>0</v>
      </c>
      <c r="O38" s="167">
        <f>'QBO.S-TB26'!E37</f>
        <v>0</v>
      </c>
      <c r="P38" s="167">
        <f>'QBO.S-TB26'!F37</f>
        <v>0</v>
      </c>
      <c r="Q38" s="167">
        <f>'QBO.S-TB26'!G37</f>
        <v>0</v>
      </c>
    </row>
    <row r="39" spans="1:17" x14ac:dyDescent="0.3">
      <c r="A39" t="str">
        <f>IF('QBO.S-TB25'!A38&lt;&gt;"",'QBO.S-TB25'!A38&amp;" "&amp;'QBO.S-TB25'!B38,'QBO.S-TB25'!B38)</f>
        <v>2706 Due to Shareholders:Due to SH - Keith Halston</v>
      </c>
      <c r="B39" s="792">
        <f>'QBO.S-TB25'!D38</f>
        <v>0</v>
      </c>
      <c r="C39" s="792">
        <f>'QBO.S-TB25'!E38</f>
        <v>0</v>
      </c>
      <c r="D39" s="792">
        <f>'QBO.S-TB25'!F38</f>
        <v>0</v>
      </c>
      <c r="E39" s="792">
        <f>'QBO.S-TB25'!G38</f>
        <v>0</v>
      </c>
      <c r="G39" t="str">
        <f>IF('QBO.S-TB24'!A38&lt;&gt;"",'QBO.S-TB24'!A38&amp;" "&amp;'QBO.S-TB24'!B38,'QBO.S-TB24'!B38)</f>
        <v>2602 Due to RPT - Keith Halston</v>
      </c>
      <c r="H39" s="167">
        <f>'QBO.S-TB24'!D38</f>
        <v>0</v>
      </c>
      <c r="I39" s="167">
        <f>'QBO.S-TB24'!E38</f>
        <v>0</v>
      </c>
      <c r="J39" s="167">
        <f>'QBO.S-TB24'!F38</f>
        <v>0</v>
      </c>
      <c r="K39" s="167">
        <f>'QBO.S-TB24'!G38</f>
        <v>0</v>
      </c>
      <c r="M39" t="str">
        <f>IF('QBO.S-TB26'!A38&lt;&gt;"",'QBO.S-TB26'!A38&amp;" "&amp;'QBO.S-TB26'!B38,'QBO.S-TB26'!B38)</f>
        <v>2706 Due to Shareholders:Due to SH - Keith Halston</v>
      </c>
      <c r="N39" s="167">
        <f>'QBO.S-TB26'!D38</f>
        <v>0</v>
      </c>
      <c r="O39" s="167">
        <f>'QBO.S-TB26'!E38</f>
        <v>0</v>
      </c>
      <c r="P39" s="167">
        <f>'QBO.S-TB26'!F38</f>
        <v>0</v>
      </c>
      <c r="Q39" s="167">
        <f>'QBO.S-TB26'!G38</f>
        <v>0</v>
      </c>
    </row>
    <row r="40" spans="1:17" x14ac:dyDescent="0.3">
      <c r="A40" t="str">
        <f>IF('QBO.S-TB25'!A39&lt;&gt;"",'QBO.S-TB25'!A39&amp;" "&amp;'QBO.S-TB25'!B39,'QBO.S-TB25'!B39)</f>
        <v>2500 Due to/(from) related parties</v>
      </c>
      <c r="B40" s="792">
        <f>'QBO.S-TB25'!D39</f>
        <v>0</v>
      </c>
      <c r="C40" s="792">
        <f>'QBO.S-TB25'!E39</f>
        <v>937.65</v>
      </c>
      <c r="D40" s="792">
        <f>'QBO.S-TB25'!F39</f>
        <v>0</v>
      </c>
      <c r="E40" s="792">
        <f>'QBO.S-TB25'!G39</f>
        <v>0</v>
      </c>
      <c r="G40" t="str">
        <f>IF('QBO.S-TB24'!A39&lt;&gt;"",'QBO.S-TB24'!A39&amp;" "&amp;'QBO.S-TB24'!B39,'QBO.S-TB24'!B39)</f>
        <v>2705 Due to Shareholders:Due to SH - James Taylor</v>
      </c>
      <c r="H40" s="167">
        <f>'QBO.S-TB24'!D39</f>
        <v>0</v>
      </c>
      <c r="I40" s="167">
        <f>'QBO.S-TB24'!E39</f>
        <v>0</v>
      </c>
      <c r="J40" s="167">
        <f>'QBO.S-TB24'!F39</f>
        <v>0</v>
      </c>
      <c r="K40" s="167">
        <f>'QBO.S-TB24'!G39</f>
        <v>0</v>
      </c>
      <c r="M40" t="str">
        <f>IF('QBO.S-TB26'!A39&lt;&gt;"",'QBO.S-TB26'!A39&amp;" "&amp;'QBO.S-TB26'!B39,'QBO.S-TB26'!B39)</f>
        <v>2500 Due to/(from) related parties</v>
      </c>
      <c r="N40" s="167">
        <f>'QBO.S-TB26'!D39</f>
        <v>0</v>
      </c>
      <c r="O40" s="167">
        <f>'QBO.S-TB26'!E39</f>
        <v>0</v>
      </c>
      <c r="P40" s="167">
        <f>'QBO.S-TB26'!F39</f>
        <v>0</v>
      </c>
      <c r="Q40" s="167">
        <f>'QBO.S-TB26'!G39</f>
        <v>0</v>
      </c>
    </row>
    <row r="41" spans="1:17" x14ac:dyDescent="0.3">
      <c r="A41" t="str">
        <f>IF('QBO.S-TB25'!A40&lt;&gt;"",'QBO.S-TB25'!A40&amp;" "&amp;'QBO.S-TB25'!B40,'QBO.S-TB25'!B40)</f>
        <v>2502 Due to/(from) related parties:Due To/From SAK6</v>
      </c>
      <c r="B41" s="792">
        <f>'QBO.S-TB25'!D40</f>
        <v>0</v>
      </c>
      <c r="C41" s="792">
        <f>'QBO.S-TB25'!E40</f>
        <v>900</v>
      </c>
      <c r="D41" s="792">
        <f>'QBO.S-TB25'!F40</f>
        <v>0</v>
      </c>
      <c r="E41" s="792">
        <f>'QBO.S-TB25'!G40</f>
        <v>0</v>
      </c>
      <c r="G41" t="str">
        <f>IF('QBO.S-TB24'!A40&lt;&gt;"",'QBO.S-TB24'!A40&amp;" "&amp;'QBO.S-TB24'!B40,'QBO.S-TB24'!B40)</f>
        <v>2706 Due to Shareholders:Due to SH - Keith Halston</v>
      </c>
      <c r="H41" s="167">
        <f>'QBO.S-TB24'!D40</f>
        <v>0</v>
      </c>
      <c r="I41" s="167">
        <f>'QBO.S-TB24'!E40</f>
        <v>0</v>
      </c>
      <c r="J41" s="167">
        <f>'QBO.S-TB24'!F40</f>
        <v>0</v>
      </c>
      <c r="K41" s="167">
        <f>'QBO.S-TB24'!G40</f>
        <v>0</v>
      </c>
      <c r="M41" t="str">
        <f>IF('QBO.S-TB26'!A40&lt;&gt;"",'QBO.S-TB26'!A40&amp;" "&amp;'QBO.S-TB26'!B40,'QBO.S-TB26'!B40)</f>
        <v>2502 Due to/(from) related parties:Due To/From SAK6</v>
      </c>
      <c r="N41" s="167">
        <f>'QBO.S-TB26'!D40</f>
        <v>0</v>
      </c>
      <c r="O41" s="167">
        <f>'QBO.S-TB26'!E40</f>
        <v>900</v>
      </c>
      <c r="P41" s="167">
        <f>'QBO.S-TB26'!F40</f>
        <v>0</v>
      </c>
      <c r="Q41" s="167">
        <f>'QBO.S-TB26'!G40</f>
        <v>0</v>
      </c>
    </row>
    <row r="42" spans="1:17" x14ac:dyDescent="0.3">
      <c r="A42" t="str">
        <f>IF('QBO.S-TB25'!A41&lt;&gt;"",'QBO.S-TB25'!A41&amp;" "&amp;'QBO.S-TB25'!B41,'QBO.S-TB25'!B41)</f>
        <v>2503 Due to/(from) related parties:Due To/From UpCapital</v>
      </c>
      <c r="B42" s="792">
        <f>'QBO.S-TB25'!D41</f>
        <v>0</v>
      </c>
      <c r="C42" s="792">
        <f>'QBO.S-TB25'!E41</f>
        <v>0</v>
      </c>
      <c r="D42" s="792">
        <f>'QBO.S-TB25'!F41</f>
        <v>0</v>
      </c>
      <c r="E42" s="792">
        <f>'QBO.S-TB25'!G41</f>
        <v>0</v>
      </c>
      <c r="G42" t="str">
        <f>IF('QBO.S-TB24'!A41&lt;&gt;"",'QBO.S-TB24'!A41&amp;" "&amp;'QBO.S-TB24'!B41,'QBO.S-TB24'!B41)</f>
        <v>2500 Due to/(from) related parties</v>
      </c>
      <c r="H42" s="167">
        <f>'QBO.S-TB24'!D41</f>
        <v>0</v>
      </c>
      <c r="I42" s="167">
        <f>'QBO.S-TB24'!E41</f>
        <v>937.65</v>
      </c>
      <c r="J42" s="167">
        <f>'QBO.S-TB24'!F41</f>
        <v>0</v>
      </c>
      <c r="K42" s="167">
        <f>'QBO.S-TB24'!G41</f>
        <v>0</v>
      </c>
      <c r="M42" t="str">
        <f>IF('QBO.S-TB26'!A41&lt;&gt;"",'QBO.S-TB26'!A41&amp;" "&amp;'QBO.S-TB26'!B41,'QBO.S-TB26'!B41)</f>
        <v>2503 Due to/(from) related parties:Due To/From UpCapital</v>
      </c>
      <c r="N42" s="167">
        <f>'QBO.S-TB26'!D41</f>
        <v>0</v>
      </c>
      <c r="O42" s="167">
        <f>'QBO.S-TB26'!E41</f>
        <v>0</v>
      </c>
      <c r="P42" s="167">
        <f>'QBO.S-TB26'!F41</f>
        <v>0</v>
      </c>
      <c r="Q42" s="167">
        <f>'QBO.S-TB26'!G41</f>
        <v>0</v>
      </c>
    </row>
    <row r="43" spans="1:17" x14ac:dyDescent="0.3">
      <c r="A43" t="str">
        <f>IF('QBO.S-TB25'!A42&lt;&gt;"",'QBO.S-TB25'!A42&amp;" "&amp;'QBO.S-TB25'!B42,'QBO.S-TB25'!B42)</f>
        <v>2504 Due to/(from) related parties:Shareholder's Loan</v>
      </c>
      <c r="B43" s="792">
        <f>'QBO.S-TB25'!D42</f>
        <v>0</v>
      </c>
      <c r="C43" s="792">
        <f>'QBO.S-TB25'!E42</f>
        <v>3500</v>
      </c>
      <c r="D43" s="792">
        <f>'QBO.S-TB25'!F42</f>
        <v>0</v>
      </c>
      <c r="E43" s="792">
        <f>'QBO.S-TB25'!G42</f>
        <v>0</v>
      </c>
      <c r="G43" t="str">
        <f>IF('QBO.S-TB24'!A42&lt;&gt;"",'QBO.S-TB24'!A42&amp;" "&amp;'QBO.S-TB24'!B42,'QBO.S-TB24'!B42)</f>
        <v>2502 Due to/(from) related parties:Due To/From SAK6</v>
      </c>
      <c r="H43" s="167">
        <f>'QBO.S-TB24'!D42</f>
        <v>0</v>
      </c>
      <c r="I43" s="167">
        <f>'QBO.S-TB24'!E42</f>
        <v>900</v>
      </c>
      <c r="J43" s="167">
        <f>'QBO.S-TB24'!F42</f>
        <v>0</v>
      </c>
      <c r="K43" s="167">
        <f>'QBO.S-TB24'!G42</f>
        <v>0</v>
      </c>
      <c r="M43" t="str">
        <f>IF('QBO.S-TB26'!A42&lt;&gt;"",'QBO.S-TB26'!A42&amp;" "&amp;'QBO.S-TB26'!B42,'QBO.S-TB26'!B42)</f>
        <v>2504 Due to/(from) related parties:Shareholder's Loan</v>
      </c>
      <c r="N43" s="167">
        <f>'QBO.S-TB26'!D42</f>
        <v>0</v>
      </c>
      <c r="O43" s="167">
        <f>'QBO.S-TB26'!E42</f>
        <v>0</v>
      </c>
      <c r="P43" s="167">
        <f>'QBO.S-TB26'!F42</f>
        <v>0</v>
      </c>
      <c r="Q43" s="167">
        <f>'QBO.S-TB26'!G42</f>
        <v>0</v>
      </c>
    </row>
    <row r="44" spans="1:17" x14ac:dyDescent="0.3">
      <c r="A44" t="str">
        <f>IF('QBO.S-TB25'!A43&lt;&gt;"",'QBO.S-TB25'!A43&amp;" "&amp;'QBO.S-TB25'!B43,'QBO.S-TB25'!B43)</f>
        <v>6018 Dues and Subscription</v>
      </c>
      <c r="B44" s="792">
        <f>'QBO.S-TB25'!D43</f>
        <v>0</v>
      </c>
      <c r="C44" s="792">
        <f>'QBO.S-TB25'!E43</f>
        <v>0</v>
      </c>
      <c r="D44" s="792">
        <f>'QBO.S-TB25'!F43</f>
        <v>0</v>
      </c>
      <c r="E44" s="792">
        <f>'QBO.S-TB25'!G43</f>
        <v>29.16</v>
      </c>
      <c r="G44" t="str">
        <f>IF('QBO.S-TB24'!A43&lt;&gt;"",'QBO.S-TB24'!A43&amp;" "&amp;'QBO.S-TB24'!B43,'QBO.S-TB24'!B43)</f>
        <v>2503 Due to/(from) related parties:Due To/From UpCapital</v>
      </c>
      <c r="H44" s="167">
        <f>'QBO.S-TB24'!D43</f>
        <v>0</v>
      </c>
      <c r="I44" s="167">
        <f>'QBO.S-TB24'!E43</f>
        <v>0</v>
      </c>
      <c r="J44" s="167">
        <f>'QBO.S-TB24'!F43</f>
        <v>0</v>
      </c>
      <c r="K44" s="167">
        <f>'QBO.S-TB24'!G43</f>
        <v>0</v>
      </c>
      <c r="M44" t="str">
        <f>IF('QBO.S-TB26'!A43&lt;&gt;"",'QBO.S-TB26'!A43&amp;" "&amp;'QBO.S-TB26'!B43,'QBO.S-TB26'!B43)</f>
        <v>6025 Dues and Subscriptions</v>
      </c>
      <c r="N44" s="167">
        <f>'QBO.S-TB26'!D43</f>
        <v>417.3</v>
      </c>
      <c r="O44" s="167">
        <f>'QBO.S-TB26'!E43</f>
        <v>0</v>
      </c>
      <c r="P44" s="167">
        <f>'QBO.S-TB26'!F43</f>
        <v>0</v>
      </c>
      <c r="Q44" s="167">
        <f>'QBO.S-TB26'!G43</f>
        <v>0</v>
      </c>
    </row>
    <row r="45" spans="1:17" x14ac:dyDescent="0.3">
      <c r="A45" t="str">
        <f>IF('QBO.S-TB25'!A44&lt;&gt;"",'QBO.S-TB25'!A44&amp;" "&amp;'QBO.S-TB25'!B44,'QBO.S-TB25'!B44)</f>
        <v>6025 Dues and Subscriptions</v>
      </c>
      <c r="B45" s="792">
        <f>'QBO.S-TB25'!D44</f>
        <v>1771.23</v>
      </c>
      <c r="C45" s="792">
        <f>'QBO.S-TB25'!E44</f>
        <v>0</v>
      </c>
      <c r="D45" s="792">
        <f>'QBO.S-TB25'!F44</f>
        <v>0</v>
      </c>
      <c r="E45" s="792">
        <f>'QBO.S-TB25'!G44</f>
        <v>0</v>
      </c>
      <c r="G45" t="str">
        <f>IF('QBO.S-TB24'!A44&lt;&gt;"",'QBO.S-TB24'!A44&amp;" "&amp;'QBO.S-TB24'!B44,'QBO.S-TB24'!B44)</f>
        <v>2504 Due to/(from) related parties:Shareholder's Loan</v>
      </c>
      <c r="H45" s="167">
        <f>'QBO.S-TB24'!D44</f>
        <v>0</v>
      </c>
      <c r="I45" s="167">
        <f>'QBO.S-TB24'!E44</f>
        <v>0</v>
      </c>
      <c r="J45" s="167">
        <f>'QBO.S-TB24'!F44</f>
        <v>0</v>
      </c>
      <c r="K45" s="167">
        <f>'QBO.S-TB24'!G44</f>
        <v>0</v>
      </c>
      <c r="M45" t="str">
        <f>IF('QBO.S-TB26'!A44&lt;&gt;"",'QBO.S-TB26'!A44&amp;" "&amp;'QBO.S-TB26'!B44,'QBO.S-TB26'!B44)</f>
        <v>8000 Exchange Gain or Loss</v>
      </c>
      <c r="N45" s="167">
        <f>'QBO.S-TB26'!D44</f>
        <v>0</v>
      </c>
      <c r="O45" s="167">
        <f>'QBO.S-TB26'!E44</f>
        <v>0</v>
      </c>
      <c r="P45" s="167">
        <f>'QBO.S-TB26'!F44</f>
        <v>3.84</v>
      </c>
      <c r="Q45" s="167">
        <f>'QBO.S-TB26'!G44</f>
        <v>0</v>
      </c>
    </row>
    <row r="46" spans="1:17" x14ac:dyDescent="0.3">
      <c r="A46" t="str">
        <f>IF('QBO.S-TB25'!A45&lt;&gt;"",'QBO.S-TB25'!A45&amp;" "&amp;'QBO.S-TB25'!B45,'QBO.S-TB25'!B45)</f>
        <v>8000 Exchange Gain or Loss</v>
      </c>
      <c r="B46" s="792">
        <f>'QBO.S-TB25'!D45</f>
        <v>0</v>
      </c>
      <c r="C46" s="792">
        <f>'QBO.S-TB25'!E45</f>
        <v>0</v>
      </c>
      <c r="D46" s="792">
        <f>'QBO.S-TB25'!F45</f>
        <v>42.78</v>
      </c>
      <c r="E46" s="792">
        <f>'QBO.S-TB25'!G45</f>
        <v>0</v>
      </c>
      <c r="G46" t="str">
        <f>IF('QBO.S-TB24'!A45&lt;&gt;"",'QBO.S-TB24'!A45&amp;" "&amp;'QBO.S-TB24'!B45,'QBO.S-TB24'!B45)</f>
        <v>6018 Dues and Subscription</v>
      </c>
      <c r="H46" s="167">
        <f>'QBO.S-TB24'!D45</f>
        <v>0</v>
      </c>
      <c r="I46" s="167">
        <f>'QBO.S-TB24'!E45</f>
        <v>0</v>
      </c>
      <c r="J46" s="167">
        <f>'QBO.S-TB24'!F45</f>
        <v>0</v>
      </c>
      <c r="K46" s="167">
        <f>'QBO.S-TB24'!G45</f>
        <v>5.56</v>
      </c>
      <c r="M46" t="str">
        <f>IF('QBO.S-TB26'!A45&lt;&gt;"",'QBO.S-TB26'!A45&amp;" "&amp;'QBO.S-TB26'!B45,'QBO.S-TB26'!B45)</f>
        <v>2220 GST Payable/(Refund):GST Collected on Sales</v>
      </c>
      <c r="N46" s="167">
        <f>'QBO.S-TB26'!D45</f>
        <v>0</v>
      </c>
      <c r="O46" s="167">
        <f>'QBO.S-TB26'!E45</f>
        <v>0</v>
      </c>
      <c r="P46" s="167">
        <f>'QBO.S-TB26'!F45</f>
        <v>0</v>
      </c>
      <c r="Q46" s="167">
        <f>'QBO.S-TB26'!G45</f>
        <v>9093.16</v>
      </c>
    </row>
    <row r="47" spans="1:17" x14ac:dyDescent="0.3">
      <c r="A47" t="str">
        <f>IF('QBO.S-TB25'!A46&lt;&gt;"",'QBO.S-TB25'!A46&amp;" "&amp;'QBO.S-TB25'!B46,'QBO.S-TB25'!B46)</f>
        <v>6026 Fuel / Industrial Gas</v>
      </c>
      <c r="B47" s="792">
        <f>'QBO.S-TB25'!D46</f>
        <v>0</v>
      </c>
      <c r="C47" s="792">
        <f>'QBO.S-TB25'!E46</f>
        <v>0</v>
      </c>
      <c r="D47" s="792">
        <f>'QBO.S-TB25'!F46</f>
        <v>1350.8</v>
      </c>
      <c r="E47" s="792">
        <f>'QBO.S-TB25'!G46</f>
        <v>0</v>
      </c>
      <c r="G47" t="str">
        <f>IF('QBO.S-TB24'!A46&lt;&gt;"",'QBO.S-TB24'!A46&amp;" "&amp;'QBO.S-TB24'!B46,'QBO.S-TB24'!B46)</f>
        <v>6025 Dues and Subscriptions</v>
      </c>
      <c r="H47" s="167">
        <f>'QBO.S-TB24'!D46</f>
        <v>1259.25</v>
      </c>
      <c r="I47" s="167">
        <f>'QBO.S-TB24'!E46</f>
        <v>0</v>
      </c>
      <c r="J47" s="167">
        <f>'QBO.S-TB24'!F46</f>
        <v>0</v>
      </c>
      <c r="K47" s="167">
        <f>'QBO.S-TB24'!G46</f>
        <v>0</v>
      </c>
      <c r="M47" t="str">
        <f>IF('QBO.S-TB26'!A46&lt;&gt;"",'QBO.S-TB26'!A46&amp;" "&amp;'QBO.S-TB26'!B46,'QBO.S-TB26'!B46)</f>
        <v>2210 GST Payable/(Refund):GST Paid on Purchases</v>
      </c>
      <c r="N47" s="167">
        <f>'QBO.S-TB26'!D46</f>
        <v>0</v>
      </c>
      <c r="O47" s="167">
        <f>'QBO.S-TB26'!E46</f>
        <v>0</v>
      </c>
      <c r="P47" s="167">
        <f>'QBO.S-TB26'!F46</f>
        <v>1288.7</v>
      </c>
      <c r="Q47" s="167">
        <f>'QBO.S-TB26'!G46</f>
        <v>0</v>
      </c>
    </row>
    <row r="48" spans="1:17" x14ac:dyDescent="0.3">
      <c r="A48" t="str">
        <f>IF('QBO.S-TB25'!A47&lt;&gt;"",'QBO.S-TB25'!A47&amp;" "&amp;'QBO.S-TB25'!B47,'QBO.S-TB25'!B47)</f>
        <v>2220 GST Payable/(Refund):GST Collected on Sales</v>
      </c>
      <c r="B48" s="792">
        <f>'QBO.S-TB25'!D47</f>
        <v>0</v>
      </c>
      <c r="C48" s="792">
        <f>'QBO.S-TB25'!E47</f>
        <v>0</v>
      </c>
      <c r="D48" s="792">
        <f>'QBO.S-TB25'!F47</f>
        <v>4540.67</v>
      </c>
      <c r="E48" s="792">
        <f>'QBO.S-TB25'!G47</f>
        <v>0</v>
      </c>
      <c r="G48" t="str">
        <f>IF('QBO.S-TB24'!A47&lt;&gt;"",'QBO.S-TB24'!A47&amp;" "&amp;'QBO.S-TB24'!B47,'QBO.S-TB24'!B47)</f>
        <v>8000 Exchange Gain or Loss</v>
      </c>
      <c r="H48" s="167">
        <f>'QBO.S-TB24'!D47</f>
        <v>0</v>
      </c>
      <c r="I48" s="167">
        <f>'QBO.S-TB24'!E47</f>
        <v>0</v>
      </c>
      <c r="J48" s="167">
        <f>'QBO.S-TB24'!F47</f>
        <v>201.26</v>
      </c>
      <c r="K48" s="167">
        <f>'QBO.S-TB24'!G47</f>
        <v>0</v>
      </c>
      <c r="M48" t="str">
        <f>IF('QBO.S-TB26'!A47&lt;&gt;"",'QBO.S-TB26'!A47&amp;" "&amp;'QBO.S-TB26'!B47,'QBO.S-TB26'!B47)</f>
        <v>2230 GST Payable/(Refund):GST to Paid/(refunded)</v>
      </c>
      <c r="N48" s="167">
        <f>'QBO.S-TB26'!D47</f>
        <v>0</v>
      </c>
      <c r="O48" s="167">
        <f>'QBO.S-TB26'!E47</f>
        <v>0</v>
      </c>
      <c r="P48" s="167">
        <f>'QBO.S-TB26'!F47</f>
        <v>389.61</v>
      </c>
      <c r="Q48" s="167">
        <f>'QBO.S-TB26'!G47</f>
        <v>0</v>
      </c>
    </row>
    <row r="49" spans="1:17" x14ac:dyDescent="0.3">
      <c r="A49" t="str">
        <f>IF('QBO.S-TB25'!A48&lt;&gt;"",'QBO.S-TB25'!A48&amp;" "&amp;'QBO.S-TB25'!B48,'QBO.S-TB25'!B48)</f>
        <v>2210 GST Payable/(Refund):GST Paid on Purchases</v>
      </c>
      <c r="B49" s="792">
        <f>'QBO.S-TB25'!D48</f>
        <v>0</v>
      </c>
      <c r="C49" s="792">
        <f>'QBO.S-TB25'!E48</f>
        <v>0</v>
      </c>
      <c r="D49" s="792">
        <f>'QBO.S-TB25'!F48</f>
        <v>1288.7</v>
      </c>
      <c r="E49" s="792">
        <f>'QBO.S-TB25'!G48</f>
        <v>0</v>
      </c>
      <c r="G49" t="str">
        <f>IF('QBO.S-TB24'!A48&lt;&gt;"",'QBO.S-TB24'!A48&amp;" "&amp;'QBO.S-TB24'!B48,'QBO.S-TB24'!B48)</f>
        <v>6250 Finance expense</v>
      </c>
      <c r="H49" s="167">
        <f>'QBO.S-TB24'!D48</f>
        <v>0</v>
      </c>
      <c r="I49" s="167">
        <f>'QBO.S-TB24'!E48</f>
        <v>75000</v>
      </c>
      <c r="J49" s="167">
        <f>'QBO.S-TB24'!F48</f>
        <v>0</v>
      </c>
      <c r="K49" s="167">
        <f>'QBO.S-TB24'!G48</f>
        <v>0</v>
      </c>
      <c r="M49" t="str">
        <f>IF('QBO.S-TB26'!A48&lt;&gt;"",'QBO.S-TB26'!A48&amp;" "&amp;'QBO.S-TB26'!B48,'QBO.S-TB26'!B48)</f>
        <v>2201 GST and HST Suspense</v>
      </c>
      <c r="N49" s="167">
        <f>'QBO.S-TB26'!D48</f>
        <v>0</v>
      </c>
      <c r="O49" s="167">
        <f>'QBO.S-TB26'!E48</f>
        <v>0</v>
      </c>
      <c r="P49" s="167">
        <f>'QBO.S-TB26'!F48</f>
        <v>0</v>
      </c>
      <c r="Q49" s="167">
        <f>'QBO.S-TB26'!G48</f>
        <v>0</v>
      </c>
    </row>
    <row r="50" spans="1:17" x14ac:dyDescent="0.3">
      <c r="A50" t="str">
        <f>IF('QBO.S-TB25'!A49&lt;&gt;"",'QBO.S-TB25'!A49&amp;" "&amp;'QBO.S-TB25'!B49,'QBO.S-TB25'!B49)</f>
        <v>2230 GST Payable/(Refund):GST to Paid/(refunded)</v>
      </c>
      <c r="B50" s="792">
        <f>'QBO.S-TB25'!D49</f>
        <v>0</v>
      </c>
      <c r="C50" s="792">
        <f>'QBO.S-TB25'!E49</f>
        <v>0</v>
      </c>
      <c r="D50" s="792">
        <f>'QBO.S-TB25'!F49</f>
        <v>389.61</v>
      </c>
      <c r="E50" s="792">
        <f>'QBO.S-TB25'!G49</f>
        <v>0</v>
      </c>
      <c r="G50" t="str">
        <f>IF('QBO.S-TB24'!A49&lt;&gt;"",'QBO.S-TB24'!A49&amp;" "&amp;'QBO.S-TB24'!B49,'QBO.S-TB24'!B49)</f>
        <v>6026 Fuel / Industrial Gas</v>
      </c>
      <c r="H50" s="167">
        <f>'QBO.S-TB24'!D49</f>
        <v>0</v>
      </c>
      <c r="I50" s="167">
        <f>'QBO.S-TB24'!E49</f>
        <v>0</v>
      </c>
      <c r="J50" s="167">
        <f>'QBO.S-TB24'!F49</f>
        <v>2768.79</v>
      </c>
      <c r="K50" s="167">
        <f>'QBO.S-TB24'!G49</f>
        <v>0</v>
      </c>
      <c r="M50" t="str">
        <f>IF('QBO.S-TB26'!A49&lt;&gt;"",'QBO.S-TB26'!A49&amp;" "&amp;'QBO.S-TB26'!B49,'QBO.S-TB26'!B49)</f>
        <v>2210 GST/HST Payable</v>
      </c>
      <c r="N50" s="167">
        <f>'QBO.S-TB26'!D49</f>
        <v>32552.23</v>
      </c>
      <c r="O50" s="167">
        <f>'QBO.S-TB26'!E49</f>
        <v>0</v>
      </c>
      <c r="P50" s="167">
        <f>'QBO.S-TB26'!F49</f>
        <v>0</v>
      </c>
      <c r="Q50" s="167">
        <f>'QBO.S-TB26'!G49</f>
        <v>0</v>
      </c>
    </row>
    <row r="51" spans="1:17" x14ac:dyDescent="0.3">
      <c r="A51" t="str">
        <f>IF('QBO.S-TB25'!A50&lt;&gt;"",'QBO.S-TB25'!A50&amp;" "&amp;'QBO.S-TB25'!B50,'QBO.S-TB25'!B50)</f>
        <v>2201 GST and HST Suspense</v>
      </c>
      <c r="B51" s="792">
        <f>'QBO.S-TB25'!D50</f>
        <v>0</v>
      </c>
      <c r="C51" s="792">
        <f>'QBO.S-TB25'!E50</f>
        <v>0</v>
      </c>
      <c r="D51" s="792">
        <f>'QBO.S-TB25'!F50</f>
        <v>0</v>
      </c>
      <c r="E51" s="792">
        <f>'QBO.S-TB25'!G50</f>
        <v>0</v>
      </c>
      <c r="G51" t="str">
        <f>IF('QBO.S-TB24'!A50&lt;&gt;"",'QBO.S-TB24'!A50&amp;" "&amp;'QBO.S-TB24'!B50,'QBO.S-TB24'!B50)</f>
        <v>2220 GST Payable/(Refund):GST Collected on Sales</v>
      </c>
      <c r="H51" s="167">
        <f>'QBO.S-TB24'!D50</f>
        <v>0</v>
      </c>
      <c r="I51" s="167">
        <f>'QBO.S-TB24'!E50</f>
        <v>0</v>
      </c>
      <c r="J51" s="167">
        <f>'QBO.S-TB24'!F50</f>
        <v>9322.07</v>
      </c>
      <c r="K51" s="167">
        <f>'QBO.S-TB24'!G50</f>
        <v>0</v>
      </c>
      <c r="M51" t="str">
        <f>IF('QBO.S-TB26'!A50&lt;&gt;"",'QBO.S-TB26'!A50&amp;" "&amp;'QBO.S-TB26'!B50,'QBO.S-TB26'!B50)</f>
        <v>5400 Government grant income</v>
      </c>
      <c r="N51" s="167">
        <f>'QBO.S-TB26'!D50</f>
        <v>0</v>
      </c>
      <c r="O51" s="167">
        <f>'QBO.S-TB26'!E50</f>
        <v>0</v>
      </c>
      <c r="P51" s="167">
        <f>'QBO.S-TB26'!F50</f>
        <v>0</v>
      </c>
      <c r="Q51" s="167">
        <f>'QBO.S-TB26'!G50</f>
        <v>47084.55</v>
      </c>
    </row>
    <row r="52" spans="1:17" x14ac:dyDescent="0.3">
      <c r="A52" t="str">
        <f>IF('QBO.S-TB25'!A51&lt;&gt;"",'QBO.S-TB25'!A51&amp;" "&amp;'QBO.S-TB25'!B51,'QBO.S-TB25'!B51)</f>
        <v>2210 GST/HST Payable</v>
      </c>
      <c r="B52" s="792">
        <f>'QBO.S-TB25'!D51</f>
        <v>31778.63</v>
      </c>
      <c r="C52" s="792">
        <f>'QBO.S-TB25'!E51</f>
        <v>0</v>
      </c>
      <c r="D52" s="792">
        <f>'QBO.S-TB25'!F51</f>
        <v>0</v>
      </c>
      <c r="E52" s="792">
        <f>'QBO.S-TB25'!G51</f>
        <v>0</v>
      </c>
      <c r="G52" t="str">
        <f>IF('QBO.S-TB24'!A51&lt;&gt;"",'QBO.S-TB24'!A51&amp;" "&amp;'QBO.S-TB24'!B51,'QBO.S-TB24'!B51)</f>
        <v>2210 GST Payable/(Refund):GST Paid on Purchases</v>
      </c>
      <c r="H52" s="167">
        <f>'QBO.S-TB24'!D51</f>
        <v>0</v>
      </c>
      <c r="I52" s="167">
        <f>'QBO.S-TB24'!E51</f>
        <v>0</v>
      </c>
      <c r="J52" s="167">
        <f>'QBO.S-TB24'!F51</f>
        <v>0</v>
      </c>
      <c r="K52" s="167">
        <f>'QBO.S-TB24'!G51</f>
        <v>0</v>
      </c>
      <c r="M52" t="str">
        <f>IF('QBO.S-TB26'!A51&lt;&gt;"",'QBO.S-TB26'!A51&amp;" "&amp;'QBO.S-TB26'!B51,'QBO.S-TB26'!B51)</f>
        <v>6031 IT Expense</v>
      </c>
      <c r="N52" s="167">
        <f>'QBO.S-TB26'!D51</f>
        <v>0</v>
      </c>
      <c r="O52" s="167">
        <f>'QBO.S-TB26'!E51</f>
        <v>0</v>
      </c>
      <c r="P52" s="167">
        <f>'QBO.S-TB26'!F51</f>
        <v>220.85</v>
      </c>
      <c r="Q52" s="167">
        <f>'QBO.S-TB26'!G51</f>
        <v>0</v>
      </c>
    </row>
    <row r="53" spans="1:17" x14ac:dyDescent="0.3">
      <c r="A53" t="str">
        <f>IF('QBO.S-TB25'!A52&lt;&gt;"",'QBO.S-TB25'!A52&amp;" "&amp;'QBO.S-TB25'!B52,'QBO.S-TB25'!B52)</f>
        <v>6031 IT Expense</v>
      </c>
      <c r="B53" s="792">
        <f>'QBO.S-TB25'!D52</f>
        <v>0</v>
      </c>
      <c r="C53" s="792">
        <f>'QBO.S-TB25'!E52</f>
        <v>0</v>
      </c>
      <c r="D53" s="792">
        <f>'QBO.S-TB25'!F52</f>
        <v>2566.8200000000002</v>
      </c>
      <c r="E53" s="792">
        <f>'QBO.S-TB25'!G52</f>
        <v>0</v>
      </c>
      <c r="G53" t="str">
        <f>IF('QBO.S-TB24'!A52&lt;&gt;"",'QBO.S-TB24'!A52&amp;" "&amp;'QBO.S-TB24'!B52,'QBO.S-TB24'!B52)</f>
        <v>2230 GST Payable/(Refund):GST to Paid/(refunded)</v>
      </c>
      <c r="H53" s="167">
        <f>'QBO.S-TB24'!D52</f>
        <v>0</v>
      </c>
      <c r="I53" s="167">
        <f>'QBO.S-TB24'!E52</f>
        <v>0</v>
      </c>
      <c r="J53" s="167">
        <f>'QBO.S-TB24'!F52</f>
        <v>389.61</v>
      </c>
      <c r="K53" s="167">
        <f>'QBO.S-TB24'!G52</f>
        <v>0</v>
      </c>
      <c r="M53" t="str">
        <f>IF('QBO.S-TB26'!A52&lt;&gt;"",'QBO.S-TB26'!A52&amp;" "&amp;'QBO.S-TB26'!B52,'QBO.S-TB26'!B52)</f>
        <v>6050 Insurance</v>
      </c>
      <c r="N53" s="167">
        <f>'QBO.S-TB26'!D52</f>
        <v>0</v>
      </c>
      <c r="O53" s="167">
        <f>'QBO.S-TB26'!E52</f>
        <v>0</v>
      </c>
      <c r="P53" s="167">
        <f>'QBO.S-TB26'!F52</f>
        <v>204.28</v>
      </c>
      <c r="Q53" s="167">
        <f>'QBO.S-TB26'!G52</f>
        <v>0</v>
      </c>
    </row>
    <row r="54" spans="1:17" x14ac:dyDescent="0.3">
      <c r="A54" t="str">
        <f>IF('QBO.S-TB25'!A53&lt;&gt;"",'QBO.S-TB25'!A53&amp;" "&amp;'QBO.S-TB25'!B53,'QBO.S-TB25'!B53)</f>
        <v>6050 Insurance</v>
      </c>
      <c r="B54" s="792">
        <f>'QBO.S-TB25'!D53</f>
        <v>26182.36</v>
      </c>
      <c r="C54" s="792">
        <f>'QBO.S-TB25'!E53</f>
        <v>0</v>
      </c>
      <c r="D54" s="792">
        <f>'QBO.S-TB25'!F53</f>
        <v>0</v>
      </c>
      <c r="E54" s="792">
        <f>'QBO.S-TB25'!G53</f>
        <v>0</v>
      </c>
      <c r="G54" t="str">
        <f>IF('QBO.S-TB24'!A53&lt;&gt;"",'QBO.S-TB24'!A53&amp;" "&amp;'QBO.S-TB24'!B53,'QBO.S-TB24'!B53)</f>
        <v>2201 GST and HST Suspense</v>
      </c>
      <c r="H54" s="167">
        <f>'QBO.S-TB24'!D53</f>
        <v>0</v>
      </c>
      <c r="I54" s="167">
        <f>'QBO.S-TB24'!E53</f>
        <v>0</v>
      </c>
      <c r="J54" s="167">
        <f>'QBO.S-TB24'!F53</f>
        <v>0</v>
      </c>
      <c r="K54" s="167">
        <f>'QBO.S-TB24'!G53</f>
        <v>0</v>
      </c>
      <c r="M54" t="str">
        <f>IF('QBO.S-TB26'!A53&lt;&gt;"",'QBO.S-TB26'!A53&amp;" "&amp;'QBO.S-TB26'!B53,'QBO.S-TB26'!B53)</f>
        <v>1420 Intangible assets</v>
      </c>
      <c r="N54" s="167">
        <f>'QBO.S-TB26'!D53</f>
        <v>450000</v>
      </c>
      <c r="O54" s="167">
        <f>'QBO.S-TB26'!E53</f>
        <v>0</v>
      </c>
      <c r="P54" s="167">
        <f>'QBO.S-TB26'!F53</f>
        <v>6281822</v>
      </c>
      <c r="Q54" s="167">
        <f>'QBO.S-TB26'!G53</f>
        <v>0</v>
      </c>
    </row>
    <row r="55" spans="1:17" x14ac:dyDescent="0.3">
      <c r="A55" t="str">
        <f>IF('QBO.S-TB25'!A54&lt;&gt;"",'QBO.S-TB25'!A54&amp;" "&amp;'QBO.S-TB25'!B54,'QBO.S-TB25'!B54)</f>
        <v>1420 Intangible assets</v>
      </c>
      <c r="B55" s="792">
        <f>'QBO.S-TB25'!D54</f>
        <v>450000</v>
      </c>
      <c r="C55" s="792">
        <f>'QBO.S-TB25'!E54</f>
        <v>0</v>
      </c>
      <c r="D55" s="792">
        <f>'QBO.S-TB25'!F54</f>
        <v>0</v>
      </c>
      <c r="E55" s="792">
        <f>'QBO.S-TB25'!G54</f>
        <v>0</v>
      </c>
      <c r="G55" t="str">
        <f>IF('QBO.S-TB24'!A54&lt;&gt;"",'QBO.S-TB24'!A54&amp;" "&amp;'QBO.S-TB24'!B54,'QBO.S-TB24'!B54)</f>
        <v>2210 GST/HST Payable</v>
      </c>
      <c r="H55" s="167">
        <f>'QBO.S-TB24'!D54</f>
        <v>20440.38</v>
      </c>
      <c r="I55" s="167">
        <f>'QBO.S-TB24'!E54</f>
        <v>0</v>
      </c>
      <c r="J55" s="167">
        <f>'QBO.S-TB24'!F54</f>
        <v>0</v>
      </c>
      <c r="K55" s="167">
        <f>'QBO.S-TB24'!G54</f>
        <v>0</v>
      </c>
      <c r="M55" t="str">
        <f>IF('QBO.S-TB26'!A54&lt;&gt;"",'QBO.S-TB26'!A54&amp;" "&amp;'QBO.S-TB26'!B54,'QBO.S-TB26'!B54)</f>
        <v>1500 Intercompany - Due from Hallor Industries Inc.</v>
      </c>
      <c r="N55" s="167">
        <f>'QBO.S-TB26'!D54</f>
        <v>88831.23</v>
      </c>
      <c r="O55" s="167">
        <f>'QBO.S-TB26'!E54</f>
        <v>0</v>
      </c>
      <c r="P55" s="167">
        <f>'QBO.S-TB26'!F54</f>
        <v>0</v>
      </c>
      <c r="Q55" s="167">
        <f>'QBO.S-TB26'!G54</f>
        <v>0</v>
      </c>
    </row>
    <row r="56" spans="1:17" x14ac:dyDescent="0.3">
      <c r="A56" t="str">
        <f>IF('QBO.S-TB25'!A55&lt;&gt;"",'QBO.S-TB25'!A55&amp;" "&amp;'QBO.S-TB25'!B55,'QBO.S-TB25'!B55)</f>
        <v>1500 Intercompany - Due from Hallor Industries Inc.</v>
      </c>
      <c r="B56" s="792">
        <f>'QBO.S-TB25'!D55</f>
        <v>109064.08</v>
      </c>
      <c r="C56" s="792">
        <f>'QBO.S-TB25'!E55</f>
        <v>0</v>
      </c>
      <c r="D56" s="792">
        <f>'QBO.S-TB25'!F55</f>
        <v>0</v>
      </c>
      <c r="E56" s="792">
        <f>'QBO.S-TB25'!G55</f>
        <v>0</v>
      </c>
      <c r="G56" t="str">
        <f>IF('QBO.S-TB24'!A55&lt;&gt;"",'QBO.S-TB24'!A55&amp;" "&amp;'QBO.S-TB24'!B55,'QBO.S-TB24'!B55)</f>
        <v>6031 IT Expense</v>
      </c>
      <c r="H56" s="167">
        <f>'QBO.S-TB24'!D55</f>
        <v>0</v>
      </c>
      <c r="I56" s="167">
        <f>'QBO.S-TB24'!E55</f>
        <v>0</v>
      </c>
      <c r="J56" s="167">
        <f>'QBO.S-TB24'!F55</f>
        <v>2195.9899999999998</v>
      </c>
      <c r="K56" s="167">
        <f>'QBO.S-TB24'!G55</f>
        <v>0</v>
      </c>
      <c r="M56" t="str">
        <f>IF('QBO.S-TB26'!A55&lt;&gt;"",'QBO.S-TB26'!A55&amp;" "&amp;'QBO.S-TB26'!B55,'QBO.S-TB26'!B55)</f>
        <v>2900 Intercompany - due to Hallor Group Inc.</v>
      </c>
      <c r="N56" s="167">
        <f>'QBO.S-TB26'!D55</f>
        <v>0</v>
      </c>
      <c r="O56" s="167">
        <f>'QBO.S-TB26'!E55</f>
        <v>0</v>
      </c>
      <c r="P56" s="167">
        <f>'QBO.S-TB26'!F55</f>
        <v>0</v>
      </c>
      <c r="Q56" s="167">
        <f>'QBO.S-TB26'!G55</f>
        <v>88904.03</v>
      </c>
    </row>
    <row r="57" spans="1:17" x14ac:dyDescent="0.3">
      <c r="A57" t="str">
        <f>IF('QBO.S-TB25'!A56&lt;&gt;"",'QBO.S-TB25'!A56&amp;" "&amp;'QBO.S-TB25'!B56,'QBO.S-TB25'!B56)</f>
        <v>2900 Intercompany - due to Hallor Group Inc.</v>
      </c>
      <c r="B57" s="792">
        <f>'QBO.S-TB25'!D56</f>
        <v>0</v>
      </c>
      <c r="C57" s="792">
        <f>'QBO.S-TB25'!E56</f>
        <v>0</v>
      </c>
      <c r="D57" s="792">
        <f>'QBO.S-TB25'!F56</f>
        <v>0</v>
      </c>
      <c r="E57" s="792">
        <f>'QBO.S-TB25'!G56</f>
        <v>109089.96</v>
      </c>
      <c r="G57" t="str">
        <f>IF('QBO.S-TB24'!A56&lt;&gt;"",'QBO.S-TB24'!A56&amp;" "&amp;'QBO.S-TB24'!B56,'QBO.S-TB24'!B56)</f>
        <v>6050 Insurance</v>
      </c>
      <c r="H57" s="167">
        <f>'QBO.S-TB24'!D56</f>
        <v>23784.32</v>
      </c>
      <c r="I57" s="167">
        <f>'QBO.S-TB24'!E56</f>
        <v>0</v>
      </c>
      <c r="J57" s="167">
        <f>'QBO.S-TB24'!F56</f>
        <v>0</v>
      </c>
      <c r="K57" s="167">
        <f>'QBO.S-TB24'!G56</f>
        <v>0</v>
      </c>
      <c r="M57" t="str">
        <f>IF('QBO.S-TB26'!A56&lt;&gt;"",'QBO.S-TB26'!A56&amp;" "&amp;'QBO.S-TB26'!B56,'QBO.S-TB26'!B56)</f>
        <v>6013 Interest expense</v>
      </c>
      <c r="N57" s="167">
        <f>'QBO.S-TB26'!D56</f>
        <v>20812</v>
      </c>
      <c r="O57" s="167">
        <f>'QBO.S-TB26'!E56</f>
        <v>0</v>
      </c>
      <c r="P57" s="167">
        <f>'QBO.S-TB26'!F56</f>
        <v>961.17</v>
      </c>
      <c r="Q57" s="167">
        <f>'QBO.S-TB26'!G56</f>
        <v>0</v>
      </c>
    </row>
    <row r="58" spans="1:17" x14ac:dyDescent="0.3">
      <c r="A58" t="str">
        <f>IF('QBO.S-TB25'!A57&lt;&gt;"",'QBO.S-TB25'!A57&amp;" "&amp;'QBO.S-TB25'!B57,'QBO.S-TB25'!B57)</f>
        <v>6013 Interest expense</v>
      </c>
      <c r="B58" s="792">
        <f>'QBO.S-TB25'!D57</f>
        <v>37565</v>
      </c>
      <c r="C58" s="792">
        <f>'QBO.S-TB25'!E57</f>
        <v>0</v>
      </c>
      <c r="D58" s="792">
        <f>'QBO.S-TB25'!F57</f>
        <v>7666.57</v>
      </c>
      <c r="E58" s="792">
        <f>'QBO.S-TB25'!G57</f>
        <v>0</v>
      </c>
      <c r="G58" t="str">
        <f>IF('QBO.S-TB24'!A57&lt;&gt;"",'QBO.S-TB24'!A57&amp;" "&amp;'QBO.S-TB24'!B57,'QBO.S-TB24'!B57)</f>
        <v>1420 Intangible assets</v>
      </c>
      <c r="H58" s="167">
        <f>'QBO.S-TB24'!D57</f>
        <v>450000</v>
      </c>
      <c r="I58" s="167">
        <f>'QBO.S-TB24'!E57</f>
        <v>0</v>
      </c>
      <c r="J58" s="167">
        <f>'QBO.S-TB24'!F57</f>
        <v>0</v>
      </c>
      <c r="K58" s="167">
        <f>'QBO.S-TB24'!G57</f>
        <v>0</v>
      </c>
      <c r="M58" t="str">
        <f>IF('QBO.S-TB26'!A57&lt;&gt;"",'QBO.S-TB26'!A57&amp;" "&amp;'QBO.S-TB26'!B57,'QBO.S-TB26'!B57)</f>
        <v>1005 Interior Savings - 5224</v>
      </c>
      <c r="N58" s="167">
        <f>'QBO.S-TB26'!D57</f>
        <v>0</v>
      </c>
      <c r="O58" s="167">
        <f>'QBO.S-TB26'!E57</f>
        <v>0</v>
      </c>
      <c r="P58" s="167">
        <f>'QBO.S-TB26'!F57</f>
        <v>242.6</v>
      </c>
      <c r="Q58" s="167">
        <f>'QBO.S-TB26'!G57</f>
        <v>0</v>
      </c>
    </row>
    <row r="59" spans="1:17" x14ac:dyDescent="0.3">
      <c r="A59" t="str">
        <f>IF('QBO.S-TB25'!A58&lt;&gt;"",'QBO.S-TB25'!A58&amp;" "&amp;'QBO.S-TB25'!B58,'QBO.S-TB25'!B58)</f>
        <v>5498 Interest income</v>
      </c>
      <c r="B59" s="792">
        <f>'QBO.S-TB25'!D58</f>
        <v>0</v>
      </c>
      <c r="C59" s="792">
        <f>'QBO.S-TB25'!E58</f>
        <v>0</v>
      </c>
      <c r="D59" s="792">
        <f>'QBO.S-TB25'!F58</f>
        <v>0</v>
      </c>
      <c r="E59" s="792">
        <f>'QBO.S-TB25'!G58</f>
        <v>13.5</v>
      </c>
      <c r="G59" t="str">
        <f>IF('QBO.S-TB24'!A58&lt;&gt;"",'QBO.S-TB24'!A58&amp;" "&amp;'QBO.S-TB24'!B58,'QBO.S-TB24'!B58)</f>
        <v>1500 Intercompany - Due from Hallor Industries Inc.</v>
      </c>
      <c r="H59" s="167">
        <f>'QBO.S-TB24'!D58</f>
        <v>192352.91</v>
      </c>
      <c r="I59" s="167">
        <f>'QBO.S-TB24'!E58</f>
        <v>0</v>
      </c>
      <c r="J59" s="167">
        <f>'QBO.S-TB24'!F58</f>
        <v>0</v>
      </c>
      <c r="K59" s="167">
        <f>'QBO.S-TB24'!G58</f>
        <v>0</v>
      </c>
      <c r="M59" t="str">
        <f>IF('QBO.S-TB26'!A58&lt;&gt;"",'QBO.S-TB26'!A58&amp;" "&amp;'QBO.S-TB26'!B58,'QBO.S-TB26'!B58)</f>
        <v>1006 Interior Savings - Member Shares 5182</v>
      </c>
      <c r="N59" s="167">
        <f>'QBO.S-TB26'!D58</f>
        <v>0</v>
      </c>
      <c r="O59" s="167">
        <f>'QBO.S-TB26'!E58</f>
        <v>0</v>
      </c>
      <c r="P59" s="167">
        <f>'QBO.S-TB26'!F58</f>
        <v>6.04</v>
      </c>
      <c r="Q59" s="167">
        <f>'QBO.S-TB26'!G58</f>
        <v>0</v>
      </c>
    </row>
    <row r="60" spans="1:17" x14ac:dyDescent="0.3">
      <c r="A60" t="str">
        <f>IF('QBO.S-TB25'!A59&lt;&gt;"",'QBO.S-TB25'!A59&amp;" "&amp;'QBO.S-TB25'!B59,'QBO.S-TB25'!B59)</f>
        <v>1005 Interior Savings - 5224</v>
      </c>
      <c r="B60" s="792">
        <f>'QBO.S-TB25'!D59</f>
        <v>0</v>
      </c>
      <c r="C60" s="792">
        <f>'QBO.S-TB25'!E59</f>
        <v>0</v>
      </c>
      <c r="D60" s="792">
        <f>'QBO.S-TB25'!F59</f>
        <v>242.6</v>
      </c>
      <c r="E60" s="792">
        <f>'QBO.S-TB25'!G59</f>
        <v>0</v>
      </c>
      <c r="G60" t="str">
        <f>IF('QBO.S-TB24'!A59&lt;&gt;"",'QBO.S-TB24'!A59&amp;" "&amp;'QBO.S-TB24'!B59,'QBO.S-TB24'!B59)</f>
        <v>2900 Intercompany - due to Hallor Group Inc.</v>
      </c>
      <c r="H60" s="167">
        <f>'QBO.S-TB24'!D59</f>
        <v>0</v>
      </c>
      <c r="I60" s="167">
        <f>'QBO.S-TB24'!E59</f>
        <v>0</v>
      </c>
      <c r="J60" s="167">
        <f>'QBO.S-TB24'!F59</f>
        <v>0</v>
      </c>
      <c r="K60" s="167">
        <f>'QBO.S-TB24'!G59</f>
        <v>192378.78</v>
      </c>
      <c r="M60" t="str">
        <f>IF('QBO.S-TB26'!A59&lt;&gt;"",'QBO.S-TB26'!A59&amp;" "&amp;'QBO.S-TB26'!B59,'QBO.S-TB26'!B59)</f>
        <v>1600 Investment in Hallor Industries</v>
      </c>
      <c r="N60" s="167">
        <f>'QBO.S-TB26'!D59</f>
        <v>6000000</v>
      </c>
      <c r="O60" s="167">
        <f>'QBO.S-TB26'!E59</f>
        <v>0</v>
      </c>
      <c r="P60" s="167">
        <f>'QBO.S-TB26'!F59</f>
        <v>0</v>
      </c>
      <c r="Q60" s="167">
        <f>'QBO.S-TB26'!G59</f>
        <v>0</v>
      </c>
    </row>
    <row r="61" spans="1:17" x14ac:dyDescent="0.3">
      <c r="A61" t="str">
        <f>IF('QBO.S-TB25'!A60&lt;&gt;"",'QBO.S-TB25'!A60&amp;" "&amp;'QBO.S-TB25'!B60,'QBO.S-TB25'!B60)</f>
        <v>1006 Interior Savings - Member Shares 5182</v>
      </c>
      <c r="B61" s="792">
        <f>'QBO.S-TB25'!D60</f>
        <v>0</v>
      </c>
      <c r="C61" s="792">
        <f>'QBO.S-TB25'!E60</f>
        <v>0</v>
      </c>
      <c r="D61" s="792">
        <f>'QBO.S-TB25'!F60</f>
        <v>6.04</v>
      </c>
      <c r="E61" s="792">
        <f>'QBO.S-TB25'!G60</f>
        <v>0</v>
      </c>
      <c r="G61" t="str">
        <f>IF('QBO.S-TB24'!A60&lt;&gt;"",'QBO.S-TB24'!A60&amp;" "&amp;'QBO.S-TB24'!B60,'QBO.S-TB24'!B60)</f>
        <v>6013 Interest expense</v>
      </c>
      <c r="H61" s="167">
        <f>'QBO.S-TB24'!D60</f>
        <v>30799.73</v>
      </c>
      <c r="I61" s="167">
        <f>'QBO.S-TB24'!E60</f>
        <v>0</v>
      </c>
      <c r="J61" s="167">
        <f>'QBO.S-TB24'!F60</f>
        <v>0</v>
      </c>
      <c r="K61" s="167">
        <f>'QBO.S-TB24'!G60</f>
        <v>2212.62</v>
      </c>
      <c r="M61" t="str">
        <f>IF('QBO.S-TB26'!A60&lt;&gt;"",'QBO.S-TB26'!A60&amp;" "&amp;'QBO.S-TB26'!B60,'QBO.S-TB26'!B60)</f>
        <v>5003 Labour service</v>
      </c>
      <c r="N61" s="167">
        <f>'QBO.S-TB26'!D60</f>
        <v>0</v>
      </c>
      <c r="O61" s="167">
        <f>'QBO.S-TB26'!E60</f>
        <v>0</v>
      </c>
      <c r="P61" s="167">
        <f>'QBO.S-TB26'!F60</f>
        <v>0</v>
      </c>
      <c r="Q61" s="167">
        <f>'QBO.S-TB26'!G60</f>
        <v>0</v>
      </c>
    </row>
    <row r="62" spans="1:17" x14ac:dyDescent="0.3">
      <c r="A62" t="str">
        <f>IF('QBO.S-TB25'!A61&lt;&gt;"",'QBO.S-TB25'!A61&amp;" "&amp;'QBO.S-TB25'!B61,'QBO.S-TB25'!B61)</f>
        <v>1600 Investment in Hallor Industries</v>
      </c>
      <c r="B62" s="792">
        <f>'QBO.S-TB25'!D61</f>
        <v>6000000</v>
      </c>
      <c r="C62" s="792">
        <f>'QBO.S-TB25'!E61</f>
        <v>0</v>
      </c>
      <c r="D62" s="792">
        <f>'QBO.S-TB25'!F61</f>
        <v>0</v>
      </c>
      <c r="E62" s="792">
        <f>'QBO.S-TB25'!G61</f>
        <v>0</v>
      </c>
      <c r="G62" t="str">
        <f>IF('QBO.S-TB24'!A61&lt;&gt;"",'QBO.S-TB24'!A61&amp;" "&amp;'QBO.S-TB24'!B61,'QBO.S-TB24'!B61)</f>
        <v>5498 Interest income</v>
      </c>
      <c r="H62" s="167">
        <f>'QBO.S-TB24'!D61</f>
        <v>0</v>
      </c>
      <c r="I62" s="167">
        <f>'QBO.S-TB24'!E61</f>
        <v>0</v>
      </c>
      <c r="J62" s="167">
        <f>'QBO.S-TB24'!F61</f>
        <v>0</v>
      </c>
      <c r="K62" s="167">
        <f>'QBO.S-TB24'!G61</f>
        <v>198.12</v>
      </c>
      <c r="M62" t="str">
        <f>IF('QBO.S-TB26'!A61&lt;&gt;"",'QBO.S-TB26'!A61&amp;" "&amp;'QBO.S-TB26'!B61,'QBO.S-TB26'!B61)</f>
        <v>2650 Loan Payable - current</v>
      </c>
      <c r="N62" s="167">
        <f>'QBO.S-TB26'!D61</f>
        <v>0</v>
      </c>
      <c r="O62" s="167">
        <f>'QBO.S-TB26'!E61</f>
        <v>0</v>
      </c>
      <c r="P62" s="167">
        <f>'QBO.S-TB26'!F61</f>
        <v>0</v>
      </c>
      <c r="Q62" s="167">
        <f>'QBO.S-TB26'!G61</f>
        <v>556400</v>
      </c>
    </row>
    <row r="63" spans="1:17" x14ac:dyDescent="0.3">
      <c r="A63" t="str">
        <f>IF('QBO.S-TB25'!A62&lt;&gt;"",'QBO.S-TB25'!A62&amp;" "&amp;'QBO.S-TB25'!B62,'QBO.S-TB25'!B62)</f>
        <v>6016 Legal and professional fees</v>
      </c>
      <c r="B63" s="792">
        <f>'QBO.S-TB25'!D62</f>
        <v>133276.85</v>
      </c>
      <c r="C63" s="792">
        <f>'QBO.S-TB25'!E62</f>
        <v>0</v>
      </c>
      <c r="D63" s="792">
        <f>'QBO.S-TB25'!F62</f>
        <v>0</v>
      </c>
      <c r="E63" s="792">
        <f>'QBO.S-TB25'!G62</f>
        <v>0</v>
      </c>
      <c r="G63" t="str">
        <f>IF('QBO.S-TB24'!A62&lt;&gt;"",'QBO.S-TB24'!A62&amp;" "&amp;'QBO.S-TB24'!B62,'QBO.S-TB24'!B62)</f>
        <v>1005 Interior Savings - 5224</v>
      </c>
      <c r="H63" s="167">
        <f>'QBO.S-TB24'!D62</f>
        <v>0</v>
      </c>
      <c r="I63" s="167">
        <f>'QBO.S-TB24'!E62</f>
        <v>0</v>
      </c>
      <c r="J63" s="167">
        <f>'QBO.S-TB24'!F62</f>
        <v>242.6</v>
      </c>
      <c r="K63" s="167">
        <f>'QBO.S-TB24'!G62</f>
        <v>0</v>
      </c>
      <c r="M63" t="str">
        <f>IF('QBO.S-TB26'!A62&lt;&gt;"",'QBO.S-TB26'!A62&amp;" "&amp;'QBO.S-TB26'!B62,'QBO.S-TB26'!B62)</f>
        <v>6060 Office expenses</v>
      </c>
      <c r="N63" s="167">
        <f>'QBO.S-TB26'!D62</f>
        <v>367.84</v>
      </c>
      <c r="O63" s="167">
        <f>'QBO.S-TB26'!E62</f>
        <v>0</v>
      </c>
      <c r="P63" s="167">
        <f>'QBO.S-TB26'!F62</f>
        <v>0</v>
      </c>
      <c r="Q63" s="167">
        <f>'QBO.S-TB26'!G62</f>
        <v>0</v>
      </c>
    </row>
    <row r="64" spans="1:17" x14ac:dyDescent="0.3">
      <c r="A64" t="str">
        <f>IF('QBO.S-TB25'!A63&lt;&gt;"",'QBO.S-TB25'!A63&amp;" "&amp;'QBO.S-TB25'!B63,'QBO.S-TB25'!B63)</f>
        <v>2650 Loan Payable - current</v>
      </c>
      <c r="B64" s="792">
        <f>'QBO.S-TB25'!D63</f>
        <v>0</v>
      </c>
      <c r="C64" s="792">
        <f>'QBO.S-TB25'!E63</f>
        <v>0</v>
      </c>
      <c r="D64" s="792">
        <f>'QBO.S-TB25'!F63</f>
        <v>0</v>
      </c>
      <c r="E64" s="792">
        <f>'QBO.S-TB25'!G63</f>
        <v>556400</v>
      </c>
      <c r="G64" t="str">
        <f>IF('QBO.S-TB24'!A63&lt;&gt;"",'QBO.S-TB24'!A63&amp;" "&amp;'QBO.S-TB24'!B63,'QBO.S-TB24'!B63)</f>
        <v>1006 Interior Savings - Member Shares 5182</v>
      </c>
      <c r="H64" s="167">
        <f>'QBO.S-TB24'!D63</f>
        <v>0</v>
      </c>
      <c r="I64" s="167">
        <f>'QBO.S-TB24'!E63</f>
        <v>0</v>
      </c>
      <c r="J64" s="167">
        <f>'QBO.S-TB24'!F63</f>
        <v>6.04</v>
      </c>
      <c r="K64" s="167">
        <f>'QBO.S-TB24'!G63</f>
        <v>0</v>
      </c>
      <c r="M64" t="str">
        <f>IF('QBO.S-TB26'!A63&lt;&gt;"",'QBO.S-TB26'!A63&amp;" "&amp;'QBO.S-TB26'!B63,'QBO.S-TB26'!B63)</f>
        <v>3000 Opening Bal Equity</v>
      </c>
      <c r="N64" s="167">
        <f>'QBO.S-TB26'!D63</f>
        <v>0</v>
      </c>
      <c r="O64" s="167">
        <f>'QBO.S-TB26'!E63</f>
        <v>0</v>
      </c>
      <c r="P64" s="167">
        <f>'QBO.S-TB26'!F63</f>
        <v>1697.62</v>
      </c>
      <c r="Q64" s="167">
        <f>'QBO.S-TB26'!G63</f>
        <v>0</v>
      </c>
    </row>
    <row r="65" spans="1:17" x14ac:dyDescent="0.3">
      <c r="A65" t="str">
        <f>IF('QBO.S-TB25'!A64&lt;&gt;"",'QBO.S-TB25'!A64&amp;" "&amp;'QBO.S-TB25'!B64,'QBO.S-TB25'!B64)</f>
        <v>6040 Meals and entertainment</v>
      </c>
      <c r="B65" s="792">
        <f>'QBO.S-TB25'!D64</f>
        <v>0</v>
      </c>
      <c r="C65" s="792">
        <f>'QBO.S-TB25'!E64</f>
        <v>0</v>
      </c>
      <c r="D65" s="792">
        <f>'QBO.S-TB25'!F64</f>
        <v>934.17</v>
      </c>
      <c r="E65" s="792">
        <f>'QBO.S-TB25'!G64</f>
        <v>0</v>
      </c>
      <c r="G65" t="str">
        <f>IF('QBO.S-TB24'!A64&lt;&gt;"",'QBO.S-TB24'!A64&amp;" "&amp;'QBO.S-TB24'!B64,'QBO.S-TB24'!B64)</f>
        <v>1600 Investment in Hallor Industries</v>
      </c>
      <c r="H65" s="167">
        <f>'QBO.S-TB24'!D64</f>
        <v>6000000</v>
      </c>
      <c r="I65" s="167">
        <f>'QBO.S-TB24'!E64</f>
        <v>0</v>
      </c>
      <c r="J65" s="167">
        <f>'QBO.S-TB24'!F64</f>
        <v>0</v>
      </c>
      <c r="K65" s="167">
        <f>'QBO.S-TB24'!G64</f>
        <v>0</v>
      </c>
      <c r="M65" t="str">
        <f>IF('QBO.S-TB26'!A64&lt;&gt;"",'QBO.S-TB26'!A64&amp;" "&amp;'QBO.S-TB26'!B64,'QBO.S-TB26'!B64)</f>
        <v>2240 PST Payable:PST Collected on Sales</v>
      </c>
      <c r="N65" s="167">
        <f>'QBO.S-TB26'!D64</f>
        <v>0</v>
      </c>
      <c r="O65" s="167">
        <f>'QBO.S-TB26'!E64</f>
        <v>0</v>
      </c>
      <c r="P65" s="167">
        <f>'QBO.S-TB26'!F64</f>
        <v>0</v>
      </c>
      <c r="Q65" s="167">
        <f>'QBO.S-TB26'!G64</f>
        <v>34542</v>
      </c>
    </row>
    <row r="66" spans="1:17" x14ac:dyDescent="0.3">
      <c r="A66" t="str">
        <f>IF('QBO.S-TB25'!A65&lt;&gt;"",'QBO.S-TB25'!A65&amp;" "&amp;'QBO.S-TB25'!B65,'QBO.S-TB25'!B65)</f>
        <v>6070 Office Supplies</v>
      </c>
      <c r="B66" s="792">
        <f>'QBO.S-TB25'!D65</f>
        <v>0</v>
      </c>
      <c r="C66" s="792">
        <f>'QBO.S-TB25'!E65</f>
        <v>0</v>
      </c>
      <c r="D66" s="792">
        <f>'QBO.S-TB25'!F65</f>
        <v>116.46</v>
      </c>
      <c r="E66" s="792">
        <f>'QBO.S-TB25'!G65</f>
        <v>0</v>
      </c>
      <c r="G66" t="str">
        <f>IF('QBO.S-TB24'!A65&lt;&gt;"",'QBO.S-TB24'!A65&amp;" "&amp;'QBO.S-TB24'!B65,'QBO.S-TB24'!B65)</f>
        <v>6016 Legal and professional fees</v>
      </c>
      <c r="H66" s="167">
        <f>'QBO.S-TB24'!D65</f>
        <v>54424.07</v>
      </c>
      <c r="I66" s="167">
        <f>'QBO.S-TB24'!E65</f>
        <v>0</v>
      </c>
      <c r="J66" s="167">
        <f>'QBO.S-TB24'!F65</f>
        <v>0</v>
      </c>
      <c r="K66" s="167">
        <f>'QBO.S-TB24'!G65</f>
        <v>0</v>
      </c>
      <c r="M66" t="str">
        <f>IF('QBO.S-TB26'!A65&lt;&gt;"",'QBO.S-TB26'!A65&amp;" "&amp;'QBO.S-TB26'!B65,'QBO.S-TB26'!B65)</f>
        <v>2245 PST Payable:PST Payable</v>
      </c>
      <c r="N66" s="167">
        <f>'QBO.S-TB26'!D65</f>
        <v>0</v>
      </c>
      <c r="O66" s="167">
        <f>'QBO.S-TB26'!E65</f>
        <v>0</v>
      </c>
      <c r="P66" s="167">
        <f>'QBO.S-TB26'!F65</f>
        <v>0</v>
      </c>
      <c r="Q66" s="167">
        <f>'QBO.S-TB26'!G65</f>
        <v>0</v>
      </c>
    </row>
    <row r="67" spans="1:17" x14ac:dyDescent="0.3">
      <c r="A67" t="str">
        <f>IF('QBO.S-TB25'!A66&lt;&gt;"",'QBO.S-TB25'!A66&amp;" "&amp;'QBO.S-TB25'!B66,'QBO.S-TB25'!B66)</f>
        <v>6060 Office expenses</v>
      </c>
      <c r="B67" s="792">
        <f>'QBO.S-TB25'!D66</f>
        <v>64.319999999999993</v>
      </c>
      <c r="C67" s="792">
        <f>'QBO.S-TB25'!E66</f>
        <v>0</v>
      </c>
      <c r="D67" s="792">
        <f>'QBO.S-TB25'!F66</f>
        <v>0</v>
      </c>
      <c r="E67" s="792">
        <f>'QBO.S-TB25'!G66</f>
        <v>0</v>
      </c>
      <c r="G67" t="str">
        <f>IF('QBO.S-TB24'!A66&lt;&gt;"",'QBO.S-TB24'!A66&amp;" "&amp;'QBO.S-TB24'!B66,'QBO.S-TB24'!B66)</f>
        <v>2650 Loan Payable - current</v>
      </c>
      <c r="H67" s="167">
        <f>'QBO.S-TB24'!D66</f>
        <v>0</v>
      </c>
      <c r="I67" s="167">
        <f>'QBO.S-TB24'!E66</f>
        <v>0</v>
      </c>
      <c r="J67" s="167">
        <f>'QBO.S-TB24'!F66</f>
        <v>0</v>
      </c>
      <c r="K67" s="167">
        <f>'QBO.S-TB24'!G66</f>
        <v>556400</v>
      </c>
      <c r="M67" t="str">
        <f>IF('QBO.S-TB26'!A66&lt;&gt;"",'QBO.S-TB26'!A66&amp;" "&amp;'QBO.S-TB26'!B66,'QBO.S-TB26'!B66)</f>
        <v>1001 Petty Cash</v>
      </c>
      <c r="N67" s="167">
        <f>'QBO.S-TB26'!D66</f>
        <v>0</v>
      </c>
      <c r="O67" s="167">
        <f>'QBO.S-TB26'!E66</f>
        <v>0</v>
      </c>
      <c r="P67" s="167">
        <f>'QBO.S-TB26'!F66</f>
        <v>198</v>
      </c>
      <c r="Q67" s="167">
        <f>'QBO.S-TB26'!G66</f>
        <v>0</v>
      </c>
    </row>
    <row r="68" spans="1:17" x14ac:dyDescent="0.3">
      <c r="A68" t="str">
        <f>IF('QBO.S-TB25'!A67&lt;&gt;"",'QBO.S-TB25'!A67&amp;" "&amp;'QBO.S-TB25'!B67,'QBO.S-TB25'!B67)</f>
        <v>3000 Opening Bal Equity</v>
      </c>
      <c r="B68" s="792">
        <f>'QBO.S-TB25'!D67</f>
        <v>0</v>
      </c>
      <c r="C68" s="792">
        <f>'QBO.S-TB25'!E67</f>
        <v>0</v>
      </c>
      <c r="D68" s="792">
        <f>'QBO.S-TB25'!F67</f>
        <v>1697.62</v>
      </c>
      <c r="E68" s="792">
        <f>'QBO.S-TB25'!G67</f>
        <v>0</v>
      </c>
      <c r="G68" t="str">
        <f>IF('QBO.S-TB24'!A67&lt;&gt;"",'QBO.S-TB24'!A67&amp;" "&amp;'QBO.S-TB24'!B67,'QBO.S-TB24'!B67)</f>
        <v>6040 Meals and entertainment</v>
      </c>
      <c r="H68" s="167">
        <f>'QBO.S-TB24'!D67</f>
        <v>89.21</v>
      </c>
      <c r="I68" s="167">
        <f>'QBO.S-TB24'!E67</f>
        <v>0</v>
      </c>
      <c r="J68" s="167">
        <f>'QBO.S-TB24'!F67</f>
        <v>2773.69</v>
      </c>
      <c r="K68" s="167">
        <f>'QBO.S-TB24'!G67</f>
        <v>0</v>
      </c>
      <c r="M68" t="str">
        <f>IF('QBO.S-TB26'!A67&lt;&gt;"",'QBO.S-TB26'!A67&amp;" "&amp;'QBO.S-TB26'!B67,'QBO.S-TB26'!B67)</f>
        <v>1020 Prepaid expenses</v>
      </c>
      <c r="N68" s="167">
        <f>'QBO.S-TB26'!D67</f>
        <v>0</v>
      </c>
      <c r="O68" s="167">
        <f>'QBO.S-TB26'!E67</f>
        <v>0</v>
      </c>
      <c r="P68" s="167">
        <f>'QBO.S-TB26'!F67</f>
        <v>0</v>
      </c>
      <c r="Q68" s="167">
        <f>'QBO.S-TB26'!G67</f>
        <v>0</v>
      </c>
    </row>
    <row r="69" spans="1:17" x14ac:dyDescent="0.3">
      <c r="A69" t="str">
        <f>IF('QBO.S-TB25'!A68&lt;&gt;"",'QBO.S-TB25'!A68&amp;" "&amp;'QBO.S-TB25'!B68,'QBO.S-TB25'!B68)</f>
        <v>6350 Other labor costs</v>
      </c>
      <c r="B69" s="792">
        <f>'QBO.S-TB25'!D68</f>
        <v>0</v>
      </c>
      <c r="C69" s="792">
        <f>'QBO.S-TB25'!E68</f>
        <v>0</v>
      </c>
      <c r="D69" s="792">
        <f>'QBO.S-TB25'!F68</f>
        <v>1713.44</v>
      </c>
      <c r="E69" s="792">
        <f>'QBO.S-TB25'!G68</f>
        <v>0</v>
      </c>
      <c r="G69" t="str">
        <f>IF('QBO.S-TB24'!A68&lt;&gt;"",'QBO.S-TB24'!A68&amp;" "&amp;'QBO.S-TB24'!B68,'QBO.S-TB24'!B68)</f>
        <v>6075 Minor shop tools</v>
      </c>
      <c r="H69" s="167">
        <f>'QBO.S-TB24'!D68</f>
        <v>0</v>
      </c>
      <c r="I69" s="167">
        <f>'QBO.S-TB24'!E68</f>
        <v>0</v>
      </c>
      <c r="J69" s="167">
        <f>'QBO.S-TB24'!F68</f>
        <v>1028.5899999999999</v>
      </c>
      <c r="K69" s="167">
        <f>'QBO.S-TB24'!G68</f>
        <v>0</v>
      </c>
      <c r="M69" t="str">
        <f>IF('QBO.S-TB26'!A68&lt;&gt;"",'QBO.S-TB26'!A68&amp;" "&amp;'QBO.S-TB26'!B68,'QBO.S-TB26'!B68)</f>
        <v>2202 Receiver General Suspense</v>
      </c>
      <c r="N69" s="167">
        <f>'QBO.S-TB26'!D68</f>
        <v>0</v>
      </c>
      <c r="O69" s="167">
        <f>'QBO.S-TB26'!E68</f>
        <v>0</v>
      </c>
      <c r="P69" s="167">
        <f>'QBO.S-TB26'!F68</f>
        <v>395.6</v>
      </c>
      <c r="Q69" s="167">
        <f>'QBO.S-TB26'!G68</f>
        <v>0</v>
      </c>
    </row>
    <row r="70" spans="1:17" x14ac:dyDescent="0.3">
      <c r="A70" t="str">
        <f>IF('QBO.S-TB25'!A69&lt;&gt;"",'QBO.S-TB25'!A69&amp;" "&amp;'QBO.S-TB25'!B69,'QBO.S-TB25'!B69)</f>
        <v>2200 PST Payable (BC)</v>
      </c>
      <c r="B70" s="792">
        <f>'QBO.S-TB25'!D69</f>
        <v>3.78</v>
      </c>
      <c r="C70" s="792">
        <f>'QBO.S-TB25'!E69</f>
        <v>0</v>
      </c>
      <c r="D70" s="792">
        <f>'QBO.S-TB25'!F69</f>
        <v>0</v>
      </c>
      <c r="E70" s="792">
        <f>'QBO.S-TB25'!G69</f>
        <v>0</v>
      </c>
      <c r="G70" t="str">
        <f>IF('QBO.S-TB24'!A69&lt;&gt;"",'QBO.S-TB24'!A69&amp;" "&amp;'QBO.S-TB24'!B69,'QBO.S-TB24'!B69)</f>
        <v>6999 Miscellaneous</v>
      </c>
      <c r="H70" s="167">
        <f>'QBO.S-TB24'!D69</f>
        <v>0</v>
      </c>
      <c r="I70" s="167">
        <f>'QBO.S-TB24'!E69</f>
        <v>0</v>
      </c>
      <c r="J70" s="167">
        <f>'QBO.S-TB24'!F69</f>
        <v>214.77</v>
      </c>
      <c r="K70" s="167">
        <f>'QBO.S-TB24'!G69</f>
        <v>0</v>
      </c>
      <c r="M70" t="str">
        <f>IF('QBO.S-TB26'!A69&lt;&gt;"",'QBO.S-TB26'!A69&amp;" "&amp;'QBO.S-TB26'!B69,'QBO.S-TB26'!B69)</f>
        <v>6065 Rent</v>
      </c>
      <c r="N70" s="167">
        <f>'QBO.S-TB26'!D69</f>
        <v>0</v>
      </c>
      <c r="O70" s="167">
        <f>'QBO.S-TB26'!E69</f>
        <v>0</v>
      </c>
      <c r="P70" s="167">
        <f>'QBO.S-TB26'!F69</f>
        <v>9000</v>
      </c>
      <c r="Q70" s="167">
        <f>'QBO.S-TB26'!G69</f>
        <v>0</v>
      </c>
    </row>
    <row r="71" spans="1:17" x14ac:dyDescent="0.3">
      <c r="A71" t="str">
        <f>IF('QBO.S-TB25'!A70&lt;&gt;"",'QBO.S-TB25'!A70&amp;" "&amp;'QBO.S-TB25'!B70,'QBO.S-TB25'!B70)</f>
        <v>2240 PST Payable:PST Collected on Sales</v>
      </c>
      <c r="B71" s="792">
        <f>'QBO.S-TB25'!D70</f>
        <v>0</v>
      </c>
      <c r="C71" s="792">
        <f>'QBO.S-TB25'!E70</f>
        <v>0</v>
      </c>
      <c r="D71" s="792">
        <f>'QBO.S-TB25'!F70</f>
        <v>0</v>
      </c>
      <c r="E71" s="792">
        <f>'QBO.S-TB25'!G70</f>
        <v>396</v>
      </c>
      <c r="G71" t="str">
        <f>IF('QBO.S-TB24'!A70&lt;&gt;"",'QBO.S-TB24'!A70&amp;" "&amp;'QBO.S-TB24'!B70,'QBO.S-TB24'!B70)</f>
        <v>6070 Office Supplies</v>
      </c>
      <c r="H71" s="167">
        <f>'QBO.S-TB24'!D70</f>
        <v>0</v>
      </c>
      <c r="I71" s="167">
        <f>'QBO.S-TB24'!E70</f>
        <v>0</v>
      </c>
      <c r="J71" s="167">
        <f>'QBO.S-TB24'!F70</f>
        <v>20.99</v>
      </c>
      <c r="K71" s="167">
        <f>'QBO.S-TB24'!G70</f>
        <v>0</v>
      </c>
      <c r="M71" t="str">
        <f>IF('QBO.S-TB26'!A70&lt;&gt;"",'QBO.S-TB26'!A70&amp;" "&amp;'QBO.S-TB26'!B70,'QBO.S-TB26'!B70)</f>
        <v>3501 Retained Earnings</v>
      </c>
      <c r="N71" s="167">
        <f>'QBO.S-TB26'!D70</f>
        <v>2024592.82</v>
      </c>
      <c r="O71" s="167">
        <f>'QBO.S-TB26'!E70</f>
        <v>0</v>
      </c>
      <c r="P71" s="167">
        <f>'QBO.S-TB26'!F70</f>
        <v>0</v>
      </c>
      <c r="Q71" s="167">
        <f>'QBO.S-TB26'!G70</f>
        <v>0</v>
      </c>
    </row>
    <row r="72" spans="1:17" x14ac:dyDescent="0.3">
      <c r="A72" t="str">
        <f>IF('QBO.S-TB25'!A71&lt;&gt;"",'QBO.S-TB25'!A71&amp;" "&amp;'QBO.S-TB25'!B71,'QBO.S-TB25'!B71)</f>
        <v>2245 PST Payable:PST Payable</v>
      </c>
      <c r="B72" s="792">
        <f>'QBO.S-TB25'!D71</f>
        <v>0</v>
      </c>
      <c r="C72" s="792">
        <f>'QBO.S-TB25'!E71</f>
        <v>0</v>
      </c>
      <c r="D72" s="792">
        <f>'QBO.S-TB25'!F71</f>
        <v>0</v>
      </c>
      <c r="E72" s="792">
        <f>'QBO.S-TB25'!G71</f>
        <v>0</v>
      </c>
      <c r="G72" t="str">
        <f>IF('QBO.S-TB24'!A71&lt;&gt;"",'QBO.S-TB24'!A71&amp;" "&amp;'QBO.S-TB24'!B71,'QBO.S-TB24'!B71)</f>
        <v>6060 Office expenses</v>
      </c>
      <c r="H72" s="167">
        <f>'QBO.S-TB24'!D71</f>
        <v>928.16</v>
      </c>
      <c r="I72" s="167">
        <f>'QBO.S-TB24'!E71</f>
        <v>0</v>
      </c>
      <c r="J72" s="167">
        <f>'QBO.S-TB24'!F71</f>
        <v>0</v>
      </c>
      <c r="K72" s="167">
        <f>'QBO.S-TB24'!G71</f>
        <v>0</v>
      </c>
      <c r="M72" t="str">
        <f>IF('QBO.S-TB26'!A71&lt;&gt;"",'QBO.S-TB26'!A71&amp;" "&amp;'QBO.S-TB26'!B71,'QBO.S-TB26'!B71)</f>
        <v>3900 Retained Earnings</v>
      </c>
      <c r="N72" s="167">
        <f>'QBO.S-TB26'!D71</f>
        <v>0</v>
      </c>
      <c r="O72" s="167">
        <f>'QBO.S-TB26'!E71</f>
        <v>0</v>
      </c>
      <c r="P72" s="167">
        <f>'QBO.S-TB26'!F71</f>
        <v>3292618.99</v>
      </c>
      <c r="Q72" s="167">
        <f>'QBO.S-TB26'!G71</f>
        <v>0</v>
      </c>
    </row>
    <row r="73" spans="1:17" x14ac:dyDescent="0.3">
      <c r="A73" t="str">
        <f>IF('QBO.S-TB25'!A72&lt;&gt;"",'QBO.S-TB25'!A72&amp;" "&amp;'QBO.S-TB25'!B72,'QBO.S-TB25'!B72)</f>
        <v>1001 Petty Cash</v>
      </c>
      <c r="B73" s="792">
        <f>'QBO.S-TB25'!D72</f>
        <v>0</v>
      </c>
      <c r="C73" s="792">
        <f>'QBO.S-TB25'!E72</f>
        <v>0</v>
      </c>
      <c r="D73" s="792">
        <f>'QBO.S-TB25'!F72</f>
        <v>198</v>
      </c>
      <c r="E73" s="792">
        <f>'QBO.S-TB25'!G72</f>
        <v>0</v>
      </c>
      <c r="G73" t="str">
        <f>IF('QBO.S-TB24'!A72&lt;&gt;"",'QBO.S-TB24'!A72&amp;" "&amp;'QBO.S-TB24'!B72,'QBO.S-TB24'!B72)</f>
        <v>3000 Opening Bal Equity</v>
      </c>
      <c r="H73" s="167">
        <f>'QBO.S-TB24'!D72</f>
        <v>0</v>
      </c>
      <c r="I73" s="167">
        <f>'QBO.S-TB24'!E72</f>
        <v>0</v>
      </c>
      <c r="J73" s="167">
        <f>'QBO.S-TB24'!F72</f>
        <v>1697.62</v>
      </c>
      <c r="K73" s="167">
        <f>'QBO.S-TB24'!G72</f>
        <v>0</v>
      </c>
      <c r="M73" t="str">
        <f>IF('QBO.S-TB26'!A72&lt;&gt;"",'QBO.S-TB26'!A72&amp;" "&amp;'QBO.S-TB26'!B72,'QBO.S-TB26'!B72)</f>
        <v>3500 Revaluation surplus</v>
      </c>
      <c r="N73" s="167">
        <f>'QBO.S-TB26'!D72</f>
        <v>0</v>
      </c>
      <c r="O73" s="167">
        <f>'QBO.S-TB26'!E72</f>
        <v>0</v>
      </c>
      <c r="P73" s="167">
        <f>'QBO.S-TB26'!F72</f>
        <v>0</v>
      </c>
      <c r="Q73" s="167">
        <f>'QBO.S-TB26'!G72</f>
        <v>6281822</v>
      </c>
    </row>
    <row r="74" spans="1:17" x14ac:dyDescent="0.3">
      <c r="A74" t="str">
        <f>IF('QBO.S-TB25'!A73&lt;&gt;"",'QBO.S-TB25'!A73&amp;" "&amp;'QBO.S-TB25'!B73,'QBO.S-TB25'!B73)</f>
        <v>1020 Prepaid expenses</v>
      </c>
      <c r="B74" s="792">
        <f>'QBO.S-TB25'!D73</f>
        <v>0</v>
      </c>
      <c r="C74" s="792">
        <f>'QBO.S-TB25'!E73</f>
        <v>0</v>
      </c>
      <c r="D74" s="792">
        <f>'QBO.S-TB25'!F73</f>
        <v>0</v>
      </c>
      <c r="E74" s="792">
        <f>'QBO.S-TB25'!G73</f>
        <v>0</v>
      </c>
      <c r="G74" t="str">
        <f>IF('QBO.S-TB24'!A73&lt;&gt;"",'QBO.S-TB24'!A73&amp;" "&amp;'QBO.S-TB24'!B73,'QBO.S-TB24'!B73)</f>
        <v>5499 Other Income</v>
      </c>
      <c r="H74" s="167">
        <f>'QBO.S-TB24'!D73</f>
        <v>0</v>
      </c>
      <c r="I74" s="167">
        <f>'QBO.S-TB24'!E73</f>
        <v>0</v>
      </c>
      <c r="J74" s="167">
        <f>'QBO.S-TB24'!F73</f>
        <v>0</v>
      </c>
      <c r="K74" s="167">
        <f>'QBO.S-TB24'!G73</f>
        <v>3150</v>
      </c>
      <c r="M74" t="str">
        <f>IF('QBO.S-TB26'!A73&lt;&gt;"",'QBO.S-TB26'!A73&amp;" "&amp;'QBO.S-TB26'!B73,'QBO.S-TB26'!B73)</f>
        <v>3000 Share capital</v>
      </c>
      <c r="N74" s="167">
        <f>'QBO.S-TB26'!D73</f>
        <v>0</v>
      </c>
      <c r="O74" s="167">
        <f>'QBO.S-TB26'!E73</f>
        <v>6450000</v>
      </c>
      <c r="P74" s="167">
        <f>'QBO.S-TB26'!F73</f>
        <v>0</v>
      </c>
      <c r="Q74" s="167">
        <f>'QBO.S-TB26'!G73</f>
        <v>0</v>
      </c>
    </row>
    <row r="75" spans="1:17" x14ac:dyDescent="0.3">
      <c r="A75" t="str">
        <f>IF('QBO.S-TB25'!A74&lt;&gt;"",'QBO.S-TB25'!A74&amp;" "&amp;'QBO.S-TB25'!B74,'QBO.S-TB25'!B74)</f>
        <v>2202 Receiver General Suspense</v>
      </c>
      <c r="B75" s="792">
        <f>'QBO.S-TB25'!D74</f>
        <v>0</v>
      </c>
      <c r="C75" s="792">
        <f>'QBO.S-TB25'!E74</f>
        <v>0</v>
      </c>
      <c r="D75" s="792">
        <f>'QBO.S-TB25'!F74</f>
        <v>395.6</v>
      </c>
      <c r="E75" s="792">
        <f>'QBO.S-TB25'!G74</f>
        <v>0</v>
      </c>
      <c r="G75" t="str">
        <f>IF('QBO.S-TB24'!A74&lt;&gt;"",'QBO.S-TB24'!A74&amp;" "&amp;'QBO.S-TB24'!B74,'QBO.S-TB24'!B74)</f>
        <v>6350 Other labor costs</v>
      </c>
      <c r="H75" s="167">
        <f>'QBO.S-TB24'!D74</f>
        <v>0</v>
      </c>
      <c r="I75" s="167">
        <f>'QBO.S-TB24'!E74</f>
        <v>0</v>
      </c>
      <c r="J75" s="167">
        <f>'QBO.S-TB24'!F74</f>
        <v>2024.57</v>
      </c>
      <c r="K75" s="167">
        <f>'QBO.S-TB24'!G74</f>
        <v>0</v>
      </c>
      <c r="M75" t="str">
        <f>IF('QBO.S-TB26'!A74&lt;&gt;"",'QBO.S-TB26'!A74&amp;" "&amp;'QBO.S-TB26'!B74,'QBO.S-TB26'!B74)</f>
        <v>3001 Share capital:Common Shares</v>
      </c>
      <c r="N75" s="167">
        <f>'QBO.S-TB26'!D74</f>
        <v>0</v>
      </c>
      <c r="O75" s="167">
        <f>'QBO.S-TB26'!E74</f>
        <v>1801251</v>
      </c>
      <c r="P75" s="167">
        <f>'QBO.S-TB26'!F74</f>
        <v>0</v>
      </c>
      <c r="Q75" s="167">
        <f>'QBO.S-TB26'!G74</f>
        <v>0</v>
      </c>
    </row>
    <row r="76" spans="1:17" x14ac:dyDescent="0.3">
      <c r="A76" t="str">
        <f>IF('QBO.S-TB25'!A75&lt;&gt;"",'QBO.S-TB25'!A75&amp;" "&amp;'QBO.S-TB25'!B75,'QBO.S-TB25'!B75)</f>
        <v>3501 Retained Earnings</v>
      </c>
      <c r="B76" s="792">
        <f>'QBO.S-TB25'!D75</f>
        <v>1700383.98</v>
      </c>
      <c r="C76" s="792">
        <f>'QBO.S-TB25'!E75</f>
        <v>0</v>
      </c>
      <c r="D76" s="792">
        <f>'QBO.S-TB25'!F75</f>
        <v>0</v>
      </c>
      <c r="E76" s="792">
        <f>'QBO.S-TB25'!G75</f>
        <v>0</v>
      </c>
      <c r="G76" t="str">
        <f>IF('QBO.S-TB24'!A75&lt;&gt;"",'QBO.S-TB24'!A75&amp;" "&amp;'QBO.S-TB24'!B75,'QBO.S-TB24'!B75)</f>
        <v>2240 PST Payable:PST Collected on Sales</v>
      </c>
      <c r="H76" s="167">
        <f>'QBO.S-TB24'!D75</f>
        <v>0</v>
      </c>
      <c r="I76" s="167">
        <f>'QBO.S-TB24'!E75</f>
        <v>0</v>
      </c>
      <c r="J76" s="167">
        <f>'QBO.S-TB24'!F75</f>
        <v>0</v>
      </c>
      <c r="K76" s="167">
        <f>'QBO.S-TB24'!G75</f>
        <v>0</v>
      </c>
      <c r="M76" t="str">
        <f>IF('QBO.S-TB26'!A75&lt;&gt;"",'QBO.S-TB26'!A75&amp;" "&amp;'QBO.S-TB26'!B75,'QBO.S-TB26'!B75)</f>
        <v>3010 Share issuance cost</v>
      </c>
      <c r="N76" s="167">
        <f>'QBO.S-TB26'!D75</f>
        <v>27152.1</v>
      </c>
      <c r="O76" s="167">
        <f>'QBO.S-TB26'!E75</f>
        <v>0</v>
      </c>
      <c r="P76" s="167">
        <f>'QBO.S-TB26'!F75</f>
        <v>0</v>
      </c>
      <c r="Q76" s="167">
        <f>'QBO.S-TB26'!G75</f>
        <v>0</v>
      </c>
    </row>
    <row r="77" spans="1:17" x14ac:dyDescent="0.3">
      <c r="A77" t="str">
        <f>IF('QBO.S-TB25'!A76&lt;&gt;"",'QBO.S-TB25'!A76&amp;" "&amp;'QBO.S-TB25'!B76,'QBO.S-TB25'!B76)</f>
        <v>3900 Retained Earnings</v>
      </c>
      <c r="B77" s="792">
        <f>'QBO.S-TB25'!D76</f>
        <v>0</v>
      </c>
      <c r="C77" s="792">
        <f>'QBO.S-TB25'!E76</f>
        <v>0</v>
      </c>
      <c r="D77" s="792">
        <f>'QBO.S-TB25'!F76</f>
        <v>502637.82</v>
      </c>
      <c r="E77" s="792">
        <f>'QBO.S-TB25'!G76</f>
        <v>0</v>
      </c>
      <c r="G77" t="str">
        <f>IF('QBO.S-TB24'!A76&lt;&gt;"",'QBO.S-TB24'!A76&amp;" "&amp;'QBO.S-TB24'!B76,'QBO.S-TB24'!B76)</f>
        <v>2245 PST Payable:PST Payable</v>
      </c>
      <c r="H77" s="167">
        <f>'QBO.S-TB24'!D76</f>
        <v>0</v>
      </c>
      <c r="I77" s="167">
        <f>'QBO.S-TB24'!E76</f>
        <v>0</v>
      </c>
      <c r="J77" s="167">
        <f>'QBO.S-TB24'!F76</f>
        <v>0</v>
      </c>
      <c r="K77" s="167">
        <f>'QBO.S-TB24'!G76</f>
        <v>0</v>
      </c>
      <c r="M77" t="str">
        <f>IF('QBO.S-TB26'!A76&lt;&gt;"",'QBO.S-TB26'!A76&amp;" "&amp;'QBO.S-TB26'!B76,'QBO.S-TB26'!B76)</f>
        <v>1900 Shop Equipment</v>
      </c>
      <c r="N77" s="167">
        <f>'QBO.S-TB26'!D76</f>
        <v>0</v>
      </c>
      <c r="O77" s="167">
        <f>'QBO.S-TB26'!E76</f>
        <v>0</v>
      </c>
      <c r="P77" s="167">
        <f>'QBO.S-TB26'!F76</f>
        <v>6288.98</v>
      </c>
      <c r="Q77" s="167">
        <f>'QBO.S-TB26'!G76</f>
        <v>0</v>
      </c>
    </row>
    <row r="78" spans="1:17" x14ac:dyDescent="0.3">
      <c r="A78" t="str">
        <f>IF('QBO.S-TB25'!A77&lt;&gt;"",'QBO.S-TB25'!A77&amp;" "&amp;'QBO.S-TB25'!B77,'QBO.S-TB25'!B77)</f>
        <v>3000 Share capital</v>
      </c>
      <c r="B78" s="792">
        <f>'QBO.S-TB25'!D77</f>
        <v>0</v>
      </c>
      <c r="C78" s="792">
        <f>'QBO.S-TB25'!E77</f>
        <v>6450000</v>
      </c>
      <c r="D78" s="792">
        <f>'QBO.S-TB25'!F77</f>
        <v>0</v>
      </c>
      <c r="E78" s="792">
        <f>'QBO.S-TB25'!G77</f>
        <v>0</v>
      </c>
      <c r="G78" t="str">
        <f>IF('QBO.S-TB24'!A77&lt;&gt;"",'QBO.S-TB24'!A77&amp;" "&amp;'QBO.S-TB24'!B77,'QBO.S-TB24'!B77)</f>
        <v>1001 Petty Cash</v>
      </c>
      <c r="H78" s="167">
        <f>'QBO.S-TB24'!D77</f>
        <v>0</v>
      </c>
      <c r="I78" s="167">
        <f>'QBO.S-TB24'!E77</f>
        <v>0</v>
      </c>
      <c r="J78" s="167">
        <f>'QBO.S-TB24'!F77</f>
        <v>0</v>
      </c>
      <c r="K78" s="167">
        <f>'QBO.S-TB24'!G77</f>
        <v>0</v>
      </c>
      <c r="M78" t="str">
        <f>IF('QBO.S-TB26'!A77&lt;&gt;"",'QBO.S-TB26'!A77&amp;" "&amp;'QBO.S-TB26'!B77,'QBO.S-TB26'!B77)</f>
        <v>1901 Shop Equipment:Accum deprec - shop equipment</v>
      </c>
      <c r="N78" s="167">
        <f>'QBO.S-TB26'!D77</f>
        <v>0</v>
      </c>
      <c r="O78" s="167">
        <f>'QBO.S-TB26'!E77</f>
        <v>0</v>
      </c>
      <c r="P78" s="167">
        <f>'QBO.S-TB26'!F77</f>
        <v>0</v>
      </c>
      <c r="Q78" s="167">
        <f>'QBO.S-TB26'!G77</f>
        <v>2847.07</v>
      </c>
    </row>
    <row r="79" spans="1:17" x14ac:dyDescent="0.3">
      <c r="A79" t="str">
        <f>IF('QBO.S-TB25'!A78&lt;&gt;"",'QBO.S-TB25'!A78&amp;" "&amp;'QBO.S-TB25'!B78,'QBO.S-TB25'!B78)</f>
        <v>3001 Share capital:Common Shares</v>
      </c>
      <c r="B79" s="792">
        <f>'QBO.S-TB25'!D78</f>
        <v>0</v>
      </c>
      <c r="C79" s="792">
        <f>'QBO.S-TB25'!E78</f>
        <v>1801251</v>
      </c>
      <c r="D79" s="792">
        <f>'QBO.S-TB25'!F78</f>
        <v>0</v>
      </c>
      <c r="E79" s="792">
        <f>'QBO.S-TB25'!G78</f>
        <v>0</v>
      </c>
      <c r="G79" t="str">
        <f>IF('QBO.S-TB24'!A78&lt;&gt;"",'QBO.S-TB24'!A78&amp;" "&amp;'QBO.S-TB24'!B78,'QBO.S-TB24'!B78)</f>
        <v>1020 Prepaid expenses</v>
      </c>
      <c r="H79" s="167">
        <f>'QBO.S-TB24'!D78</f>
        <v>0</v>
      </c>
      <c r="I79" s="167">
        <f>'QBO.S-TB24'!E78</f>
        <v>0</v>
      </c>
      <c r="J79" s="167">
        <f>'QBO.S-TB24'!F78</f>
        <v>0</v>
      </c>
      <c r="K79" s="167">
        <f>'QBO.S-TB24'!G78</f>
        <v>0</v>
      </c>
      <c r="M79" t="str">
        <f>IF('QBO.S-TB26'!A78&lt;&gt;"",'QBO.S-TB26'!A78&amp;" "&amp;'QBO.S-TB26'!B78,'QBO.S-TB26'!B78)</f>
        <v>1002 TD - Chequing 1869</v>
      </c>
      <c r="N79" s="167">
        <f>'QBO.S-TB26'!D78</f>
        <v>0</v>
      </c>
      <c r="O79" s="167">
        <f>'QBO.S-TB26'!E78</f>
        <v>0</v>
      </c>
      <c r="P79" s="167">
        <f>'QBO.S-TB26'!F78</f>
        <v>436367.55</v>
      </c>
      <c r="Q79" s="167">
        <f>'QBO.S-TB26'!G78</f>
        <v>0</v>
      </c>
    </row>
    <row r="80" spans="1:17" x14ac:dyDescent="0.3">
      <c r="A80" t="str">
        <f>IF('QBO.S-TB25'!A79&lt;&gt;"",'QBO.S-TB25'!A79&amp;" "&amp;'QBO.S-TB25'!B79,'QBO.S-TB25'!B79)</f>
        <v>3010 Share issuance cost</v>
      </c>
      <c r="B80" s="792">
        <f>'QBO.S-TB25'!D79</f>
        <v>27152.1</v>
      </c>
      <c r="C80" s="792">
        <f>'QBO.S-TB25'!E79</f>
        <v>0</v>
      </c>
      <c r="D80" s="792">
        <f>'QBO.S-TB25'!F79</f>
        <v>0</v>
      </c>
      <c r="E80" s="792">
        <f>'QBO.S-TB25'!G79</f>
        <v>0</v>
      </c>
      <c r="G80" t="str">
        <f>IF('QBO.S-TB24'!A79&lt;&gt;"",'QBO.S-TB24'!A79&amp;" "&amp;'QBO.S-TB24'!B79,'QBO.S-TB24'!B79)</f>
        <v>2202 Receiver General Suspense</v>
      </c>
      <c r="H80" s="167">
        <f>'QBO.S-TB24'!D79</f>
        <v>0</v>
      </c>
      <c r="I80" s="167">
        <f>'QBO.S-TB24'!E79</f>
        <v>0</v>
      </c>
      <c r="J80" s="167">
        <f>'QBO.S-TB24'!F79</f>
        <v>395.6</v>
      </c>
      <c r="K80" s="167">
        <f>'QBO.S-TB24'!G79</f>
        <v>0</v>
      </c>
      <c r="M80" t="str">
        <f>IF('QBO.S-TB26'!A79&lt;&gt;"",'QBO.S-TB26'!A79&amp;" "&amp;'QBO.S-TB26'!B79,'QBO.S-TB26'!B79)</f>
        <v>1003 TD - Savings 2407</v>
      </c>
      <c r="N80" s="167">
        <f>'QBO.S-TB26'!D79</f>
        <v>0</v>
      </c>
      <c r="O80" s="167">
        <f>'QBO.S-TB26'!E79</f>
        <v>0</v>
      </c>
      <c r="P80" s="167">
        <f>'QBO.S-TB26'!F79</f>
        <v>61000.03</v>
      </c>
      <c r="Q80" s="167">
        <f>'QBO.S-TB26'!G79</f>
        <v>0</v>
      </c>
    </row>
    <row r="81" spans="1:17" x14ac:dyDescent="0.3">
      <c r="A81" t="str">
        <f>IF('QBO.S-TB25'!A80&lt;&gt;"",'QBO.S-TB25'!A80&amp;" "&amp;'QBO.S-TB25'!B80,'QBO.S-TB25'!B80)</f>
        <v>1900 Shop Equipment</v>
      </c>
      <c r="B81" s="792">
        <f>'QBO.S-TB25'!D80</f>
        <v>0</v>
      </c>
      <c r="C81" s="792">
        <f>'QBO.S-TB25'!E80</f>
        <v>0</v>
      </c>
      <c r="D81" s="792">
        <f>'QBO.S-TB25'!F80</f>
        <v>6288.98</v>
      </c>
      <c r="E81" s="792">
        <f>'QBO.S-TB25'!G80</f>
        <v>0</v>
      </c>
      <c r="G81" t="str">
        <f>IF('QBO.S-TB24'!A80&lt;&gt;"",'QBO.S-TB24'!A80&amp;" "&amp;'QBO.S-TB24'!B80,'QBO.S-TB24'!B80)</f>
        <v>7000 Reconciliation Discrepancies</v>
      </c>
      <c r="H81" s="167">
        <f>'QBO.S-TB24'!D80</f>
        <v>0</v>
      </c>
      <c r="I81" s="167">
        <f>'QBO.S-TB24'!E80</f>
        <v>0</v>
      </c>
      <c r="J81" s="167">
        <f>'QBO.S-TB24'!F80</f>
        <v>0</v>
      </c>
      <c r="K81" s="167">
        <f>'QBO.S-TB24'!G80</f>
        <v>2769.58</v>
      </c>
      <c r="M81" t="str">
        <f>IF('QBO.S-TB26'!A80&lt;&gt;"",'QBO.S-TB26'!A80&amp;" "&amp;'QBO.S-TB26'!B80,'QBO.S-TB26'!B80)</f>
        <v>1004 TD - Visa 7692</v>
      </c>
      <c r="N81" s="167">
        <f>'QBO.S-TB26'!D80</f>
        <v>0</v>
      </c>
      <c r="O81" s="167">
        <f>'QBO.S-TB26'!E80</f>
        <v>0</v>
      </c>
      <c r="P81" s="167">
        <f>'QBO.S-TB26'!F80</f>
        <v>777.83</v>
      </c>
      <c r="Q81" s="167">
        <f>'QBO.S-TB26'!G80</f>
        <v>0</v>
      </c>
    </row>
    <row r="82" spans="1:17" x14ac:dyDescent="0.3">
      <c r="A82" t="str">
        <f>IF('QBO.S-TB25'!A81&lt;&gt;"",'QBO.S-TB25'!A81&amp;" "&amp;'QBO.S-TB25'!B81,'QBO.S-TB25'!B81)</f>
        <v>1901 Shop Equipment:Accum deprec - shop equipment</v>
      </c>
      <c r="B82" s="792">
        <f>'QBO.S-TB25'!D81</f>
        <v>0</v>
      </c>
      <c r="C82" s="792">
        <f>'QBO.S-TB25'!E81</f>
        <v>0</v>
      </c>
      <c r="D82" s="792">
        <f>'QBO.S-TB25'!F81</f>
        <v>0</v>
      </c>
      <c r="E82" s="792">
        <f>'QBO.S-TB25'!G81</f>
        <v>948.31</v>
      </c>
      <c r="G82" t="str">
        <f>IF('QBO.S-TB24'!A81&lt;&gt;"",'QBO.S-TB24'!A81&amp;" "&amp;'QBO.S-TB24'!B81,'QBO.S-TB24'!B81)</f>
        <v>3501 Retained Earnings</v>
      </c>
      <c r="H82" s="167">
        <f>'QBO.S-TB24'!D81</f>
        <v>1474472.33</v>
      </c>
      <c r="I82" s="167">
        <f>'QBO.S-TB24'!E81</f>
        <v>0</v>
      </c>
      <c r="J82" s="167">
        <f>'QBO.S-TB24'!F81</f>
        <v>0</v>
      </c>
      <c r="K82" s="167">
        <f>'QBO.S-TB24'!G81</f>
        <v>0</v>
      </c>
      <c r="M82" t="str">
        <f>IF('QBO.S-TB26'!A81&lt;&gt;"",'QBO.S-TB26'!A81&amp;" "&amp;'QBO.S-TB26'!B81,'QBO.S-TB26'!B81)</f>
        <v>1999 Uncategorized Asset</v>
      </c>
      <c r="N82" s="167">
        <f>'QBO.S-TB26'!D81</f>
        <v>0</v>
      </c>
      <c r="O82" s="167">
        <f>'QBO.S-TB26'!E81</f>
        <v>0</v>
      </c>
      <c r="P82" s="167">
        <f>'QBO.S-TB26'!F81</f>
        <v>0</v>
      </c>
      <c r="Q82" s="167">
        <f>'QBO.S-TB26'!G81</f>
        <v>0</v>
      </c>
    </row>
    <row r="83" spans="1:17" x14ac:dyDescent="0.3">
      <c r="A83" t="str">
        <f>IF('QBO.S-TB25'!A82&lt;&gt;"",'QBO.S-TB25'!A82&amp;" "&amp;'QBO.S-TB25'!B82,'QBO.S-TB25'!B82)</f>
        <v>6080 Shop and other supplies</v>
      </c>
      <c r="B83" s="792">
        <f>'QBO.S-TB25'!D82</f>
        <v>0</v>
      </c>
      <c r="C83" s="792">
        <f>'QBO.S-TB25'!E82</f>
        <v>0</v>
      </c>
      <c r="D83" s="792">
        <f>'QBO.S-TB25'!F82</f>
        <v>241.4</v>
      </c>
      <c r="E83" s="792">
        <f>'QBO.S-TB25'!G82</f>
        <v>0</v>
      </c>
      <c r="G83" t="str">
        <f>IF('QBO.S-TB24'!A82&lt;&gt;"",'QBO.S-TB24'!A82&amp;" "&amp;'QBO.S-TB24'!B82,'QBO.S-TB24'!B82)</f>
        <v>3900 Retained Earnings</v>
      </c>
      <c r="H83" s="167">
        <f>'QBO.S-TB24'!D82</f>
        <v>0</v>
      </c>
      <c r="I83" s="167">
        <f>'QBO.S-TB24'!E82</f>
        <v>0</v>
      </c>
      <c r="J83" s="167">
        <f>'QBO.S-TB24'!F82</f>
        <v>707384.31</v>
      </c>
      <c r="K83" s="167">
        <f>'QBO.S-TB24'!G82</f>
        <v>0</v>
      </c>
      <c r="M83" t="str">
        <f>IF('QBO.S-TB26'!A82&lt;&gt;"",'QBO.S-TB26'!A82&amp;" "&amp;'QBO.S-TB26'!B82,'QBO.S-TB26'!B82)</f>
        <v>5000 Utility Vehicle Sales</v>
      </c>
      <c r="N83" s="167">
        <f>'QBO.S-TB26'!D82</f>
        <v>0</v>
      </c>
      <c r="O83" s="167">
        <f>'QBO.S-TB26'!E82</f>
        <v>0</v>
      </c>
      <c r="P83" s="167">
        <f>'QBO.S-TB26'!F82</f>
        <v>0</v>
      </c>
      <c r="Q83" s="167">
        <f>'QBO.S-TB26'!G82</f>
        <v>0</v>
      </c>
    </row>
    <row r="84" spans="1:17" x14ac:dyDescent="0.3">
      <c r="A84" t="str">
        <f>IF('QBO.S-TB25'!A83&lt;&gt;"",'QBO.S-TB25'!A83&amp;" "&amp;'QBO.S-TB25'!B83,'QBO.S-TB25'!B83)</f>
        <v>5511 Supplies and materials - COS</v>
      </c>
      <c r="B84" s="792">
        <f>'QBO.S-TB25'!D83</f>
        <v>0</v>
      </c>
      <c r="C84" s="792">
        <f>'QBO.S-TB25'!E83</f>
        <v>0</v>
      </c>
      <c r="D84" s="792">
        <f>'QBO.S-TB25'!F83</f>
        <v>103.12</v>
      </c>
      <c r="E84" s="792">
        <f>'QBO.S-TB25'!G83</f>
        <v>0</v>
      </c>
      <c r="G84" t="str">
        <f>IF('QBO.S-TB24'!A83&lt;&gt;"",'QBO.S-TB24'!A83&amp;" "&amp;'QBO.S-TB24'!B83,'QBO.S-TB24'!B83)</f>
        <v>3000 Share capital</v>
      </c>
      <c r="H84" s="167">
        <f>'QBO.S-TB24'!D83</f>
        <v>0</v>
      </c>
      <c r="I84" s="167">
        <f>'QBO.S-TB24'!E83</f>
        <v>6450000</v>
      </c>
      <c r="J84" s="167">
        <f>'QBO.S-TB24'!F83</f>
        <v>0</v>
      </c>
      <c r="K84" s="167">
        <f>'QBO.S-TB24'!G83</f>
        <v>0</v>
      </c>
      <c r="M84" t="str">
        <f>IF('QBO.S-TB26'!A83&lt;&gt;"",'QBO.S-TB26'!A83&amp;" "&amp;'QBO.S-TB26'!B83,'QBO.S-TB26'!B83)</f>
        <v>3100 Warrant reserve</v>
      </c>
      <c r="N84" s="167">
        <f>'QBO.S-TB26'!D83</f>
        <v>0</v>
      </c>
      <c r="O84" s="167">
        <f>'QBO.S-TB26'!E83</f>
        <v>308750</v>
      </c>
      <c r="P84" s="167">
        <f>'QBO.S-TB26'!F83</f>
        <v>0</v>
      </c>
      <c r="Q84" s="167">
        <f>'QBO.S-TB26'!G83</f>
        <v>0</v>
      </c>
    </row>
    <row r="85" spans="1:17" x14ac:dyDescent="0.3">
      <c r="A85" t="str">
        <f>IF('QBO.S-TB25'!A84&lt;&gt;"",'QBO.S-TB25'!A84&amp;" "&amp;'QBO.S-TB25'!B84,'QBO.S-TB25'!B84)</f>
        <v>1002 TD - Chequing 1869</v>
      </c>
      <c r="B85" s="792">
        <f>'QBO.S-TB25'!D84</f>
        <v>0</v>
      </c>
      <c r="C85" s="792">
        <f>'QBO.S-TB25'!E84</f>
        <v>0</v>
      </c>
      <c r="D85" s="792">
        <f>'QBO.S-TB25'!F84</f>
        <v>52.7</v>
      </c>
      <c r="E85" s="792">
        <f>'QBO.S-TB25'!G84</f>
        <v>0</v>
      </c>
      <c r="G85" t="str">
        <f>IF('QBO.S-TB24'!A84&lt;&gt;"",'QBO.S-TB24'!A84&amp;" "&amp;'QBO.S-TB24'!B84,'QBO.S-TB24'!B84)</f>
        <v>3001 Share capital:Common Shares</v>
      </c>
      <c r="H85" s="167">
        <f>'QBO.S-TB24'!D84</f>
        <v>0</v>
      </c>
      <c r="I85" s="167">
        <f>'QBO.S-TB24'!E84</f>
        <v>1801251</v>
      </c>
      <c r="J85" s="167">
        <f>'QBO.S-TB24'!F84</f>
        <v>0</v>
      </c>
      <c r="K85" s="167">
        <f>'QBO.S-TB24'!G84</f>
        <v>0</v>
      </c>
      <c r="M85" t="str">
        <f>IF('QBO.S-TB26'!A84&lt;&gt;"",'QBO.S-TB26'!A84&amp;" "&amp;'QBO.S-TB26'!B84,'QBO.S-TB26'!B84)</f>
        <v>1120 Work in progress inventory</v>
      </c>
      <c r="N85" s="167">
        <f>'QBO.S-TB26'!D84</f>
        <v>0</v>
      </c>
      <c r="O85" s="167">
        <f>'QBO.S-TB26'!E84</f>
        <v>0</v>
      </c>
      <c r="P85" s="167">
        <f>'QBO.S-TB26'!F84</f>
        <v>159516.72</v>
      </c>
      <c r="Q85" s="167">
        <f>'QBO.S-TB26'!G84</f>
        <v>0</v>
      </c>
    </row>
    <row r="86" spans="1:17" x14ac:dyDescent="0.3">
      <c r="A86" t="str">
        <f>IF('QBO.S-TB25'!A85&lt;&gt;"",'QBO.S-TB25'!A85&amp;" "&amp;'QBO.S-TB25'!B85,'QBO.S-TB25'!B85)</f>
        <v>1003 TD - Savings 2407</v>
      </c>
      <c r="B86" s="792">
        <f>'QBO.S-TB25'!D85</f>
        <v>0</v>
      </c>
      <c r="C86" s="792">
        <f>'QBO.S-TB25'!E85</f>
        <v>0</v>
      </c>
      <c r="D86" s="792">
        <f>'QBO.S-TB25'!F85</f>
        <v>0.03</v>
      </c>
      <c r="E86" s="792">
        <f>'QBO.S-TB25'!G85</f>
        <v>0</v>
      </c>
      <c r="G86" t="str">
        <f>IF('QBO.S-TB24'!A85&lt;&gt;"",'QBO.S-TB24'!A85&amp;" "&amp;'QBO.S-TB24'!B85,'QBO.S-TB24'!B85)</f>
        <v>3010 Share issuance cost</v>
      </c>
      <c r="H86" s="167">
        <f>'QBO.S-TB24'!D85</f>
        <v>27152.1</v>
      </c>
      <c r="I86" s="167">
        <f>'QBO.S-TB24'!E85</f>
        <v>0</v>
      </c>
      <c r="J86" s="167">
        <f>'QBO.S-TB24'!F85</f>
        <v>0</v>
      </c>
      <c r="K86" s="167">
        <f>'QBO.S-TB24'!G85</f>
        <v>0</v>
      </c>
      <c r="N86" s="167"/>
      <c r="O86" s="167"/>
      <c r="P86" s="167"/>
      <c r="Q86" s="167"/>
    </row>
    <row r="87" spans="1:17" x14ac:dyDescent="0.3">
      <c r="A87" t="str">
        <f>IF('QBO.S-TB25'!A86&lt;&gt;"",'QBO.S-TB25'!A86&amp;" "&amp;'QBO.S-TB25'!B86,'QBO.S-TB25'!B86)</f>
        <v>1004 TD - Visa 7692</v>
      </c>
      <c r="B87" s="792">
        <f>'QBO.S-TB25'!D86</f>
        <v>0</v>
      </c>
      <c r="C87" s="792">
        <f>'QBO.S-TB25'!E86</f>
        <v>0</v>
      </c>
      <c r="D87" s="792">
        <f>'QBO.S-TB25'!F86</f>
        <v>0</v>
      </c>
      <c r="E87" s="792">
        <f>'QBO.S-TB25'!G86</f>
        <v>7199.51</v>
      </c>
      <c r="G87" t="str">
        <f>IF('QBO.S-TB24'!A86&lt;&gt;"",'QBO.S-TB24'!A86&amp;" "&amp;'QBO.S-TB24'!B86,'QBO.S-TB24'!B86)</f>
        <v>6068 Shipping, Freight, and Delivery</v>
      </c>
      <c r="H87" s="167">
        <f>'QBO.S-TB24'!D86</f>
        <v>0</v>
      </c>
      <c r="I87" s="167">
        <f>'QBO.S-TB24'!E86</f>
        <v>0</v>
      </c>
      <c r="J87" s="167">
        <f>'QBO.S-TB24'!F86</f>
        <v>11259.33</v>
      </c>
      <c r="K87" s="167">
        <f>'QBO.S-TB24'!G86</f>
        <v>0</v>
      </c>
      <c r="N87" s="167"/>
      <c r="O87" s="167"/>
      <c r="P87" s="167"/>
      <c r="Q87" s="167"/>
    </row>
    <row r="88" spans="1:17" x14ac:dyDescent="0.3">
      <c r="A88" t="str">
        <f>IF('QBO.S-TB25'!A87&lt;&gt;"",'QBO.S-TB25'!A87&amp;" "&amp;'QBO.S-TB25'!B87,'QBO.S-TB25'!B87)</f>
        <v>6021 Tradeshows and conventions</v>
      </c>
      <c r="B88" s="792">
        <f>'QBO.S-TB25'!D87</f>
        <v>0</v>
      </c>
      <c r="C88" s="792">
        <f>'QBO.S-TB25'!E87</f>
        <v>0</v>
      </c>
      <c r="D88" s="792">
        <f>'QBO.S-TB25'!F87</f>
        <v>5675.68</v>
      </c>
      <c r="E88" s="792">
        <f>'QBO.S-TB25'!G87</f>
        <v>0</v>
      </c>
      <c r="G88" t="str">
        <f>IF('QBO.S-TB24'!A87&lt;&gt;"",'QBO.S-TB24'!A87&amp;" "&amp;'QBO.S-TB24'!B87,'QBO.S-TB24'!B87)</f>
        <v>1900 Shop Equipment</v>
      </c>
      <c r="H88" s="167">
        <f>'QBO.S-TB24'!D87</f>
        <v>0</v>
      </c>
      <c r="I88" s="167">
        <f>'QBO.S-TB24'!E87</f>
        <v>0</v>
      </c>
      <c r="J88" s="167">
        <f>'QBO.S-TB24'!F87</f>
        <v>6288.98</v>
      </c>
      <c r="K88" s="167">
        <f>'QBO.S-TB24'!G87</f>
        <v>0</v>
      </c>
      <c r="N88" s="167"/>
      <c r="O88" s="167"/>
      <c r="P88" s="167"/>
      <c r="Q88" s="167"/>
    </row>
    <row r="89" spans="1:17" x14ac:dyDescent="0.3">
      <c r="A89" t="str">
        <f>IF('QBO.S-TB25'!A88&lt;&gt;"",'QBO.S-TB25'!A88&amp;" "&amp;'QBO.S-TB25'!B88,'QBO.S-TB25'!B88)</f>
        <v>6042 Travel</v>
      </c>
      <c r="B89" s="792">
        <f>'QBO.S-TB25'!D88</f>
        <v>0</v>
      </c>
      <c r="C89" s="792">
        <f>'QBO.S-TB25'!E88</f>
        <v>0</v>
      </c>
      <c r="D89" s="792">
        <f>'QBO.S-TB25'!F88</f>
        <v>4325.18</v>
      </c>
      <c r="E89" s="792">
        <f>'QBO.S-TB25'!G88</f>
        <v>0</v>
      </c>
      <c r="G89" t="str">
        <f>IF('QBO.S-TB24'!A88&lt;&gt;"",'QBO.S-TB24'!A88&amp;" "&amp;'QBO.S-TB24'!B88,'QBO.S-TB24'!B88)</f>
        <v>1901 Shop Equipment:Accum deprec - shop equipment</v>
      </c>
      <c r="H89" s="167">
        <f>'QBO.S-TB24'!D88</f>
        <v>0</v>
      </c>
      <c r="I89" s="167">
        <f>'QBO.S-TB24'!E88</f>
        <v>0</v>
      </c>
      <c r="J89" s="167">
        <f>'QBO.S-TB24'!F88</f>
        <v>0</v>
      </c>
      <c r="K89" s="167">
        <f>'QBO.S-TB24'!G88</f>
        <v>948.31</v>
      </c>
      <c r="N89" s="167"/>
      <c r="O89" s="167"/>
      <c r="P89" s="167"/>
      <c r="Q89" s="167"/>
    </row>
    <row r="90" spans="1:17" x14ac:dyDescent="0.3">
      <c r="A90" t="str">
        <f>IF('QBO.S-TB25'!A89&lt;&gt;"",'QBO.S-TB25'!A89&amp;" "&amp;'QBO.S-TB25'!B89,'QBO.S-TB25'!B89)</f>
        <v>6041 Travel Meals</v>
      </c>
      <c r="B90" s="792">
        <f>'QBO.S-TB25'!D89</f>
        <v>0</v>
      </c>
      <c r="C90" s="792">
        <f>'QBO.S-TB25'!E89</f>
        <v>0</v>
      </c>
      <c r="D90" s="792">
        <f>'QBO.S-TB25'!F89</f>
        <v>198.61</v>
      </c>
      <c r="E90" s="792">
        <f>'QBO.S-TB25'!G89</f>
        <v>0</v>
      </c>
      <c r="G90" t="str">
        <f>IF('QBO.S-TB24'!A89&lt;&gt;"",'QBO.S-TB24'!A89&amp;" "&amp;'QBO.S-TB24'!B89,'QBO.S-TB24'!B89)</f>
        <v>6080 Shop and other supplies</v>
      </c>
      <c r="H90" s="167">
        <f>'QBO.S-TB24'!D89</f>
        <v>0</v>
      </c>
      <c r="I90" s="167">
        <f>'QBO.S-TB24'!E89</f>
        <v>0</v>
      </c>
      <c r="J90" s="167">
        <f>'QBO.S-TB24'!F89</f>
        <v>2901.19</v>
      </c>
      <c r="K90" s="167">
        <f>'QBO.S-TB24'!G89</f>
        <v>0</v>
      </c>
      <c r="N90" s="167"/>
      <c r="O90" s="167"/>
      <c r="P90" s="167"/>
      <c r="Q90" s="167"/>
    </row>
    <row r="91" spans="1:17" x14ac:dyDescent="0.3">
      <c r="A91" t="str">
        <f>IF('QBO.S-TB25'!A90&lt;&gt;"",'QBO.S-TB25'!A90&amp;" "&amp;'QBO.S-TB25'!B90,'QBO.S-TB25'!B90)</f>
        <v>1999 Uncategorized Asset</v>
      </c>
      <c r="B91" s="792">
        <f>'QBO.S-TB25'!D90</f>
        <v>0</v>
      </c>
      <c r="C91" s="792">
        <f>'QBO.S-TB25'!E90</f>
        <v>0</v>
      </c>
      <c r="D91" s="792">
        <f>'QBO.S-TB25'!F90</f>
        <v>0</v>
      </c>
      <c r="E91" s="792">
        <f>'QBO.S-TB25'!G90</f>
        <v>0</v>
      </c>
      <c r="G91" t="str">
        <f>IF('QBO.S-TB24'!A90&lt;&gt;"",'QBO.S-TB24'!A90&amp;" "&amp;'QBO.S-TB24'!B90,'QBO.S-TB24'!B90)</f>
        <v>5511 Supplies and materials - COS</v>
      </c>
      <c r="H91" s="167">
        <f>'QBO.S-TB24'!D90</f>
        <v>0</v>
      </c>
      <c r="I91" s="167">
        <f>'QBO.S-TB24'!E90</f>
        <v>0</v>
      </c>
      <c r="J91" s="167">
        <f>'QBO.S-TB24'!F90</f>
        <v>0</v>
      </c>
      <c r="K91" s="167">
        <f>'QBO.S-TB24'!G90</f>
        <v>162.91</v>
      </c>
      <c r="N91" s="167"/>
      <c r="O91" s="167"/>
      <c r="P91" s="167"/>
      <c r="Q91" s="167"/>
    </row>
    <row r="92" spans="1:17" x14ac:dyDescent="0.3">
      <c r="A92" t="str">
        <f>IF('QBO.S-TB25'!A91&lt;&gt;"",'QBO.S-TB25'!A91&amp;" "&amp;'QBO.S-TB25'!B91,'QBO.S-TB25'!B91)</f>
        <v>5000 Utility Vehicle Sales</v>
      </c>
      <c r="B92" s="792">
        <f>'QBO.S-TB25'!D91</f>
        <v>0</v>
      </c>
      <c r="C92" s="792">
        <f>'QBO.S-TB25'!E91</f>
        <v>0</v>
      </c>
      <c r="D92" s="792">
        <f>'QBO.S-TB25'!F91</f>
        <v>0</v>
      </c>
      <c r="E92" s="792">
        <f>'QBO.S-TB25'!G91</f>
        <v>360000</v>
      </c>
      <c r="G92" t="str">
        <f>IF('QBO.S-TB24'!A91&lt;&gt;"",'QBO.S-TB24'!A91&amp;" "&amp;'QBO.S-TB24'!B91,'QBO.S-TB24'!B91)</f>
        <v>1002 TD - Chequing 1869</v>
      </c>
      <c r="H92" s="167">
        <f>'QBO.S-TB24'!D91</f>
        <v>0</v>
      </c>
      <c r="I92" s="167">
        <f>'QBO.S-TB24'!E91</f>
        <v>0</v>
      </c>
      <c r="J92" s="167">
        <f>'QBO.S-TB24'!F91</f>
        <v>6106.19</v>
      </c>
      <c r="K92" s="167">
        <f>'QBO.S-TB24'!G91</f>
        <v>0</v>
      </c>
      <c r="N92" s="167"/>
      <c r="O92" s="167"/>
      <c r="P92" s="167"/>
      <c r="Q92" s="167"/>
    </row>
    <row r="93" spans="1:17" x14ac:dyDescent="0.3">
      <c r="A93" t="str">
        <f>IF('QBO.S-TB25'!A92&lt;&gt;"",'QBO.S-TB25'!A92&amp;" "&amp;'QBO.S-TB25'!B92,'QBO.S-TB25'!B92)</f>
        <v>3100 Warrant reserve</v>
      </c>
      <c r="B93" s="792">
        <f>'QBO.S-TB25'!D92</f>
        <v>0</v>
      </c>
      <c r="C93" s="792">
        <f>'QBO.S-TB25'!E92</f>
        <v>308750</v>
      </c>
      <c r="D93" s="792">
        <f>'QBO.S-TB25'!F92</f>
        <v>0</v>
      </c>
      <c r="E93" s="792">
        <f>'QBO.S-TB25'!G92</f>
        <v>0</v>
      </c>
      <c r="G93" t="str">
        <f>IF('QBO.S-TB24'!A92&lt;&gt;"",'QBO.S-TB24'!A92&amp;" "&amp;'QBO.S-TB24'!B92,'QBO.S-TB24'!B92)</f>
        <v>1003 TD - Savings 2407</v>
      </c>
      <c r="H93" s="167">
        <f>'QBO.S-TB24'!D92</f>
        <v>0</v>
      </c>
      <c r="I93" s="167">
        <f>'QBO.S-TB24'!E92</f>
        <v>0</v>
      </c>
      <c r="J93" s="167">
        <f>'QBO.S-TB24'!F92</f>
        <v>1015.28</v>
      </c>
      <c r="K93" s="167">
        <f>'QBO.S-TB24'!G92</f>
        <v>0</v>
      </c>
      <c r="N93" s="167"/>
      <c r="O93" s="167"/>
      <c r="P93" s="167"/>
      <c r="Q93" s="167"/>
    </row>
    <row r="94" spans="1:17" x14ac:dyDescent="0.3">
      <c r="A94" t="str">
        <f>IF('QBO.S-TB25'!A93&lt;&gt;"",'QBO.S-TB25'!A93&amp;" "&amp;'QBO.S-TB25'!B93,'QBO.S-TB25'!B93)</f>
        <v>1120 Work in progress inventory</v>
      </c>
      <c r="B94" s="792">
        <f>'QBO.S-TB25'!D93</f>
        <v>0</v>
      </c>
      <c r="C94" s="792">
        <f>'QBO.S-TB25'!E93</f>
        <v>0</v>
      </c>
      <c r="D94" s="792">
        <f>'QBO.S-TB25'!F93</f>
        <v>161256.15</v>
      </c>
      <c r="E94" s="792">
        <f>'QBO.S-TB25'!G93</f>
        <v>0</v>
      </c>
      <c r="G94" t="str">
        <f>IF('QBO.S-TB24'!A93&lt;&gt;"",'QBO.S-TB24'!A93&amp;" "&amp;'QBO.S-TB24'!B93,'QBO.S-TB24'!B93)</f>
        <v>1004 TD - Visa 7692</v>
      </c>
      <c r="H94" s="167">
        <f>'QBO.S-TB24'!D93</f>
        <v>0</v>
      </c>
      <c r="I94" s="167">
        <f>'QBO.S-TB24'!E93</f>
        <v>0</v>
      </c>
      <c r="J94" s="167">
        <f>'QBO.S-TB24'!F93</f>
        <v>0</v>
      </c>
      <c r="K94" s="167">
        <f>'QBO.S-TB24'!G93</f>
        <v>3204.85</v>
      </c>
      <c r="N94" s="167"/>
      <c r="O94" s="167"/>
      <c r="P94" s="167"/>
      <c r="Q94" s="167"/>
    </row>
    <row r="95" spans="1:17" x14ac:dyDescent="0.3">
      <c r="G95" t="str">
        <f>IF('QBO.S-TB24'!A94&lt;&gt;"",'QBO.S-TB24'!A94&amp;" "&amp;'QBO.S-TB24'!B94,'QBO.S-TB24'!B94)</f>
        <v>6021 Tradeshows and conventions</v>
      </c>
      <c r="H95" s="167">
        <f>'QBO.S-TB24'!D94</f>
        <v>0</v>
      </c>
      <c r="I95" s="167">
        <f>'QBO.S-TB24'!E94</f>
        <v>0</v>
      </c>
      <c r="J95" s="167">
        <f>'QBO.S-TB24'!F94</f>
        <v>1615.8</v>
      </c>
      <c r="K95" s="167">
        <f>'QBO.S-TB24'!G94</f>
        <v>0</v>
      </c>
      <c r="N95" s="167"/>
      <c r="O95" s="167"/>
      <c r="P95" s="167"/>
      <c r="Q95" s="167"/>
    </row>
    <row r="96" spans="1:17" x14ac:dyDescent="0.3">
      <c r="G96" t="str">
        <f>IF('QBO.S-TB24'!A95&lt;&gt;"",'QBO.S-TB24'!A95&amp;" "&amp;'QBO.S-TB24'!B95,'QBO.S-TB24'!B95)</f>
        <v>6043 Transfer agent and regulatory expenses</v>
      </c>
      <c r="H96" s="167">
        <f>'QBO.S-TB24'!D95</f>
        <v>10700</v>
      </c>
      <c r="I96" s="167">
        <f>'QBO.S-TB24'!E95</f>
        <v>0</v>
      </c>
      <c r="J96" s="167">
        <f>'QBO.S-TB24'!F95</f>
        <v>0</v>
      </c>
      <c r="K96" s="167">
        <f>'QBO.S-TB24'!G95</f>
        <v>0</v>
      </c>
      <c r="N96" s="167"/>
      <c r="O96" s="167"/>
      <c r="P96" s="167"/>
      <c r="Q96" s="167"/>
    </row>
    <row r="97" spans="7:17" x14ac:dyDescent="0.3">
      <c r="G97" t="str">
        <f>IF('QBO.S-TB24'!A96&lt;&gt;"",'QBO.S-TB24'!A96&amp;" "&amp;'QBO.S-TB24'!B96,'QBO.S-TB24'!B96)</f>
        <v>6042 Travel</v>
      </c>
      <c r="H97" s="167">
        <f>'QBO.S-TB24'!D96</f>
        <v>464.52</v>
      </c>
      <c r="I97" s="167">
        <f>'QBO.S-TB24'!E96</f>
        <v>0</v>
      </c>
      <c r="J97" s="167">
        <f>'QBO.S-TB24'!F96</f>
        <v>6332.37</v>
      </c>
      <c r="K97" s="167">
        <f>'QBO.S-TB24'!G96</f>
        <v>0</v>
      </c>
      <c r="N97" s="167"/>
      <c r="O97" s="167"/>
      <c r="P97" s="167"/>
      <c r="Q97" s="167"/>
    </row>
    <row r="98" spans="7:17" x14ac:dyDescent="0.3">
      <c r="G98" t="str">
        <f>IF('QBO.S-TB24'!A97&lt;&gt;"",'QBO.S-TB24'!A97&amp;" "&amp;'QBO.S-TB24'!B97,'QBO.S-TB24'!B97)</f>
        <v>6041 Travel Meals</v>
      </c>
      <c r="H98" s="167">
        <f>'QBO.S-TB24'!D97</f>
        <v>0</v>
      </c>
      <c r="I98" s="167">
        <f>'QBO.S-TB24'!E97</f>
        <v>0</v>
      </c>
      <c r="J98" s="167">
        <f>'QBO.S-TB24'!F97</f>
        <v>1422.04</v>
      </c>
      <c r="K98" s="167">
        <f>'QBO.S-TB24'!G97</f>
        <v>0</v>
      </c>
      <c r="N98" s="167"/>
      <c r="O98" s="167"/>
      <c r="P98" s="167"/>
      <c r="Q98" s="167"/>
    </row>
    <row r="99" spans="7:17" x14ac:dyDescent="0.3">
      <c r="G99" t="str">
        <f>IF('QBO.S-TB24'!A98&lt;&gt;"",'QBO.S-TB24'!A98&amp;" "&amp;'QBO.S-TB24'!B98,'QBO.S-TB24'!B98)</f>
        <v>1999 Uncategorized Asset</v>
      </c>
      <c r="H99" s="167">
        <f>'QBO.S-TB24'!D98</f>
        <v>0</v>
      </c>
      <c r="I99" s="167">
        <f>'QBO.S-TB24'!E98</f>
        <v>0</v>
      </c>
      <c r="J99" s="167">
        <f>'QBO.S-TB24'!F98</f>
        <v>0</v>
      </c>
      <c r="K99" s="167">
        <f>'QBO.S-TB24'!G98</f>
        <v>0</v>
      </c>
      <c r="N99" s="167"/>
      <c r="O99" s="167"/>
      <c r="P99" s="167"/>
      <c r="Q99" s="167"/>
    </row>
    <row r="100" spans="7:17" x14ac:dyDescent="0.3">
      <c r="G100" t="str">
        <f>IF('QBO.S-TB24'!A99&lt;&gt;"",'QBO.S-TB24'!A99&amp;" "&amp;'QBO.S-TB24'!B99,'QBO.S-TB24'!B99)</f>
        <v>3100 Warrant reserve</v>
      </c>
      <c r="H100" s="167">
        <f>'QBO.S-TB24'!D99</f>
        <v>0</v>
      </c>
      <c r="I100" s="167">
        <f>'QBO.S-TB24'!E99</f>
        <v>308750</v>
      </c>
      <c r="J100" s="167">
        <f>'QBO.S-TB24'!F99</f>
        <v>0</v>
      </c>
      <c r="K100" s="167">
        <f>'QBO.S-TB24'!G99</f>
        <v>0</v>
      </c>
      <c r="N100" s="167"/>
      <c r="O100" s="167"/>
      <c r="P100" s="167"/>
      <c r="Q100" s="167"/>
    </row>
    <row r="101" spans="7:17" x14ac:dyDescent="0.3">
      <c r="G101" t="str">
        <f>IF('QBO.S-TB24'!A100&lt;&gt;"",'QBO.S-TB24'!A100&amp;" "&amp;'QBO.S-TB24'!B100,'QBO.S-TB24'!B100)</f>
        <v>1120 Work in progress inventory</v>
      </c>
      <c r="H101" s="167">
        <f>'QBO.S-TB24'!D100</f>
        <v>0</v>
      </c>
      <c r="I101" s="167">
        <f>'QBO.S-TB24'!E100</f>
        <v>0</v>
      </c>
      <c r="J101" s="167">
        <f>'QBO.S-TB24'!F100</f>
        <v>452364.03</v>
      </c>
      <c r="K101" s="167">
        <f>'QBO.S-TB24'!G100</f>
        <v>0</v>
      </c>
      <c r="N101" s="167"/>
      <c r="O101" s="167"/>
      <c r="P101" s="167"/>
      <c r="Q101" s="167"/>
    </row>
  </sheetData>
  <autoFilter ref="A5:Q101" xr:uid="{12AB80C7-84C9-47A8-973F-5139A9B1B437}"/>
  <pageMargins left="0.7" right="0.7" top="0.75" bottom="0.75" header="0.3" footer="0.3"/>
  <pageSetup orientation="portrait"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38F0-126A-46EC-9BD2-709788DC63C5}">
  <sheetPr>
    <tabColor rgb="FF00FFCC"/>
  </sheetPr>
  <dimension ref="A1:G57"/>
  <sheetViews>
    <sheetView workbookViewId="0"/>
  </sheetViews>
  <sheetFormatPr defaultRowHeight="14.4" x14ac:dyDescent="0.3"/>
  <cols>
    <col min="1" max="1" width="38.44140625" customWidth="1"/>
    <col min="2" max="2" width="30.77734375" customWidth="1"/>
    <col min="3" max="3" width="12.77734375" customWidth="1"/>
    <col min="4" max="4" width="13.88671875" customWidth="1"/>
    <col min="5" max="5" width="2.6640625" customWidth="1"/>
    <col min="6" max="6" width="14.44140625" customWidth="1"/>
    <col min="7" max="7" width="14.33203125" customWidth="1"/>
  </cols>
  <sheetData>
    <row r="1" spans="1:7" x14ac:dyDescent="0.3">
      <c r="A1" s="175" t="s">
        <v>1998</v>
      </c>
      <c r="B1" s="175"/>
    </row>
    <row r="2" spans="1:7" x14ac:dyDescent="0.3">
      <c r="A2" s="713" t="s">
        <v>1999</v>
      </c>
      <c r="B2" s="713"/>
    </row>
    <row r="3" spans="1:7" x14ac:dyDescent="0.3">
      <c r="A3" s="1408">
        <f>'TB FORMATTED'!A3</f>
        <v>45931</v>
      </c>
      <c r="B3" s="713"/>
      <c r="C3" s="745" t="str">
        <f>'QBO.S-PL25'!E3</f>
        <v>Jul 1 2024 - Jun 30 2025</v>
      </c>
      <c r="D3" s="273"/>
      <c r="F3" s="1423" t="str">
        <f>'QBO.S-PL24'!E3</f>
        <v>Jul 1 2023 - Jun 30 2024</v>
      </c>
      <c r="G3" s="273"/>
    </row>
    <row r="4" spans="1:7" ht="28.8" x14ac:dyDescent="0.3">
      <c r="A4" s="1273" t="s">
        <v>2159</v>
      </c>
      <c r="B4" s="1273" t="s">
        <v>2160</v>
      </c>
      <c r="C4" s="1422" t="str">
        <f>'QBO.S-PL25'!E2</f>
        <v>Hallor Group Inc.</v>
      </c>
      <c r="D4" s="1422" t="str">
        <f>'QBO.S-PL25'!F2</f>
        <v>Hallor Industries Inc.</v>
      </c>
      <c r="F4" s="1422" t="str">
        <f>'QBO.S-PL24'!E2</f>
        <v>Hallor Group Inc.</v>
      </c>
      <c r="G4" s="1422" t="str">
        <f>'QBO.S-PL24'!F2</f>
        <v>Hallor Industries Inc.</v>
      </c>
    </row>
    <row r="5" spans="1:7" x14ac:dyDescent="0.3">
      <c r="A5" t="str">
        <f>IF('QBO.S-PL25'!B5&lt;&gt;"",'QBO.S-PL25'!B5,"")</f>
        <v>6011 Bank charges</v>
      </c>
      <c r="B5" s="579" t="str">
        <f>IF('QBO.S-PL25'!C5&lt;&gt;"",'QBO.S-PL25'!C5,"")</f>
        <v/>
      </c>
      <c r="C5" s="792">
        <f>_xlfn.XLOOKUP($A5,'QBO.S-PL25'!$B:$B,'QBO.S-PL25'!E:E,0,0,1)+_xlfn.XLOOKUP($B5,'QBO.S-PL25'!$C:$C,'QBO.S-PL25'!E:E,0,0,1)</f>
        <v>1602.05</v>
      </c>
      <c r="D5" s="792">
        <f>_xlfn.XLOOKUP($A5,'QBO.S-PL25'!$B:$B,'QBO.S-PL25'!F:F,0,0,1)+_xlfn.XLOOKUP($B5,'QBO.S-PL25'!$C:$C,'QBO.S-PL25'!F:F,0,0,1)</f>
        <v>678.5</v>
      </c>
      <c r="F5" s="792">
        <f>_xlfn.XLOOKUP($A5,'QBO.S-PL24'!$B:$B,'QBO.S-PL24'!E:E,0,0,1)+_xlfn.XLOOKUP($B5,'QBO.S-PL24'!$C:$C,'QBO.S-PL24'!E:E,0,0,1)</f>
        <v>1600</v>
      </c>
      <c r="G5" s="792">
        <f>_xlfn.XLOOKUP($A5,'QBO.S-PL24'!$B:$B,'QBO.S-PL24'!F:F,0,0,1)+_xlfn.XLOOKUP($B5,'QBO.S-PL24'!$C:$C,'QBO.S-PL24'!F:F,0,0,1)</f>
        <v>683.5</v>
      </c>
    </row>
    <row r="6" spans="1:7" x14ac:dyDescent="0.3">
      <c r="A6" t="str">
        <f>IF('QBO.S-PL25'!B6&lt;&gt;"",'QBO.S-PL25'!B6,"")</f>
        <v>6013 Interest expense</v>
      </c>
      <c r="B6" s="579" t="str">
        <f>IF('QBO.S-PL25'!C6&lt;&gt;"",'QBO.S-PL25'!C6,"")</f>
        <v/>
      </c>
      <c r="C6" s="792">
        <f>_xlfn.XLOOKUP($A6,'QBO.S-PL25'!$B:$B,'QBO.S-PL25'!E:E,0,0,1)+_xlfn.XLOOKUP($B6,'QBO.S-PL25'!$C:$C,'QBO.S-PL25'!E:E,0,0,1)</f>
        <v>37565</v>
      </c>
      <c r="D6" s="792">
        <f>_xlfn.XLOOKUP($A6,'QBO.S-PL25'!$B:$B,'QBO.S-PL25'!F:F,0,0,1)+_xlfn.XLOOKUP($B6,'QBO.S-PL25'!$C:$C,'QBO.S-PL25'!F:F,0,0,1)</f>
        <v>7666.57</v>
      </c>
      <c r="F6" s="792">
        <f>_xlfn.XLOOKUP($A6,'QBO.S-PL24'!$B:$B,'QBO.S-PL24'!E:E,0,0,1)+_xlfn.XLOOKUP($B6,'QBO.S-PL24'!$C:$C,'QBO.S-PL24'!E:E,0,0,1)</f>
        <v>30799.73</v>
      </c>
      <c r="G6" s="792">
        <f>_xlfn.XLOOKUP($A6,'QBO.S-PL24'!$B:$B,'QBO.S-PL24'!F:F,0,0,1)+_xlfn.XLOOKUP($B6,'QBO.S-PL24'!$C:$C,'QBO.S-PL24'!F:F,0,0,1)</f>
        <v>-2212.62</v>
      </c>
    </row>
    <row r="7" spans="1:7" x14ac:dyDescent="0.3">
      <c r="A7" t="str">
        <f>IF('QBO.S-PL25'!B7&lt;&gt;"",'QBO.S-PL25'!B7,"")</f>
        <v>6015 Accounting &amp; Legal</v>
      </c>
      <c r="B7" s="579" t="str">
        <f>IF('QBO.S-PL25'!C7&lt;&gt;"",'QBO.S-PL25'!C7,"")</f>
        <v/>
      </c>
      <c r="C7" s="792">
        <f>_xlfn.XLOOKUP($A7,'QBO.S-PL25'!$B:$B,'QBO.S-PL25'!E:E,0,0,1)+_xlfn.XLOOKUP($B7,'QBO.S-PL25'!$C:$C,'QBO.S-PL25'!E:E,0,0,1)</f>
        <v>0</v>
      </c>
      <c r="D7" s="792">
        <f>_xlfn.XLOOKUP($A7,'QBO.S-PL25'!$B:$B,'QBO.S-PL25'!F:F,0,0,1)+_xlfn.XLOOKUP($B7,'QBO.S-PL25'!$C:$C,'QBO.S-PL25'!F:F,0,0,1)</f>
        <v>449.4</v>
      </c>
      <c r="F7" s="792">
        <f>_xlfn.XLOOKUP($A7,'QBO.S-PL24'!$B:$B,'QBO.S-PL24'!E:E,0,0,1)+_xlfn.XLOOKUP($B7,'QBO.S-PL24'!$C:$C,'QBO.S-PL24'!E:E,0,0,1)</f>
        <v>0</v>
      </c>
      <c r="G7" s="792">
        <f>_xlfn.XLOOKUP($A7,'QBO.S-PL24'!$B:$B,'QBO.S-PL24'!F:F,0,0,1)+_xlfn.XLOOKUP($B7,'QBO.S-PL24'!$C:$C,'QBO.S-PL24'!F:F,0,0,1)</f>
        <v>91764.9</v>
      </c>
    </row>
    <row r="8" spans="1:7" x14ac:dyDescent="0.3">
      <c r="A8" t="str">
        <f>IF('QBO.S-PL25'!B8&lt;&gt;"",'QBO.S-PL25'!B8,"")</f>
        <v>6016 Consulting Expense</v>
      </c>
      <c r="B8" s="579" t="str">
        <f>IF('QBO.S-PL25'!C8&lt;&gt;"",'QBO.S-PL25'!C8,"")</f>
        <v/>
      </c>
      <c r="C8" s="792">
        <f>_xlfn.XLOOKUP($A8,'QBO.S-PL25'!$B:$B,'QBO.S-PL25'!E:E,0,0,1)+_xlfn.XLOOKUP($B8,'QBO.S-PL25'!$C:$C,'QBO.S-PL25'!E:E,0,0,1)</f>
        <v>0</v>
      </c>
      <c r="D8" s="792">
        <f>_xlfn.XLOOKUP($A8,'QBO.S-PL25'!$B:$B,'QBO.S-PL25'!F:F,0,0,1)+_xlfn.XLOOKUP($B8,'QBO.S-PL25'!$C:$C,'QBO.S-PL25'!F:F,0,0,1)</f>
        <v>225291.05</v>
      </c>
      <c r="F8" s="792">
        <f>_xlfn.XLOOKUP($A8,'QBO.S-PL24'!$B:$B,'QBO.S-PL24'!E:E,0,0,1)+_xlfn.XLOOKUP($B8,'QBO.S-PL24'!$C:$C,'QBO.S-PL24'!E:E,0,0,1)</f>
        <v>0</v>
      </c>
      <c r="G8" s="792">
        <f>_xlfn.XLOOKUP($A8,'QBO.S-PL24'!$B:$B,'QBO.S-PL24'!F:F,0,0,1)+_xlfn.XLOOKUP($B8,'QBO.S-PL24'!$C:$C,'QBO.S-PL24'!F:F,0,0,1)</f>
        <v>-60000</v>
      </c>
    </row>
    <row r="9" spans="1:7" x14ac:dyDescent="0.3">
      <c r="A9" t="str">
        <f>IF('QBO.S-PL25'!B9&lt;&gt;"",'QBO.S-PL25'!B9,"")</f>
        <v>6016 Legal and professional fees</v>
      </c>
      <c r="B9" s="579" t="str">
        <f>IF('QBO.S-PL25'!C9&lt;&gt;"",'QBO.S-PL25'!C9,"")</f>
        <v/>
      </c>
      <c r="C9" s="792">
        <f>_xlfn.XLOOKUP($A9,'QBO.S-PL25'!$B:$B,'QBO.S-PL25'!E:E,0,0,1)+_xlfn.XLOOKUP($B9,'QBO.S-PL25'!$C:$C,'QBO.S-PL25'!E:E,0,0,1)</f>
        <v>133276.85</v>
      </c>
      <c r="D9" s="792">
        <f>_xlfn.XLOOKUP($A9,'QBO.S-PL25'!$B:$B,'QBO.S-PL25'!F:F,0,0,1)+_xlfn.XLOOKUP($B9,'QBO.S-PL25'!$C:$C,'QBO.S-PL25'!F:F,0,0,1)</f>
        <v>0</v>
      </c>
      <c r="F9" s="792">
        <f>_xlfn.XLOOKUP($A9,'QBO.S-PL24'!$B:$B,'QBO.S-PL24'!E:E,0,0,1)+_xlfn.XLOOKUP($B9,'QBO.S-PL24'!$C:$C,'QBO.S-PL24'!E:E,0,0,1)</f>
        <v>54424.07</v>
      </c>
      <c r="G9" s="792">
        <f>_xlfn.XLOOKUP($A9,'QBO.S-PL24'!$B:$B,'QBO.S-PL24'!F:F,0,0,1)+_xlfn.XLOOKUP($B9,'QBO.S-PL24'!$C:$C,'QBO.S-PL24'!F:F,0,0,1)</f>
        <v>0</v>
      </c>
    </row>
    <row r="10" spans="1:7" x14ac:dyDescent="0.3">
      <c r="A10" t="str">
        <f>IF('QBO.S-PL25'!B10&lt;&gt;"",'QBO.S-PL25'!B10,"")</f>
        <v>6017 Consulting Fees</v>
      </c>
      <c r="B10" s="579" t="str">
        <f>IF('QBO.S-PL25'!C10&lt;&gt;"",'QBO.S-PL25'!C10,"")</f>
        <v/>
      </c>
      <c r="C10" s="792">
        <f>_xlfn.XLOOKUP($A10,'QBO.S-PL25'!$B:$B,'QBO.S-PL25'!E:E,0,0,1)+_xlfn.XLOOKUP($B10,'QBO.S-PL25'!$C:$C,'QBO.S-PL25'!E:E,0,0,1)</f>
        <v>93000</v>
      </c>
      <c r="D10" s="792">
        <f>_xlfn.XLOOKUP($A10,'QBO.S-PL25'!$B:$B,'QBO.S-PL25'!F:F,0,0,1)+_xlfn.XLOOKUP($B10,'QBO.S-PL25'!$C:$C,'QBO.S-PL25'!F:F,0,0,1)</f>
        <v>0</v>
      </c>
      <c r="F10" s="792">
        <f>_xlfn.XLOOKUP($A10,'QBO.S-PL24'!$B:$B,'QBO.S-PL24'!E:E,0,0,1)+_xlfn.XLOOKUP($B10,'QBO.S-PL24'!$C:$C,'QBO.S-PL24'!E:E,0,0,1)</f>
        <v>114140</v>
      </c>
      <c r="G10" s="792">
        <f>_xlfn.XLOOKUP($A10,'QBO.S-PL24'!$B:$B,'QBO.S-PL24'!F:F,0,0,1)+_xlfn.XLOOKUP($B10,'QBO.S-PL24'!$C:$C,'QBO.S-PL24'!F:F,0,0,1)</f>
        <v>0</v>
      </c>
    </row>
    <row r="11" spans="1:7" x14ac:dyDescent="0.3">
      <c r="A11" t="str">
        <f>IF('QBO.S-PL25'!B11&lt;&gt;"",'QBO.S-PL25'!B11,"")</f>
        <v>6018 Dues and Subscription</v>
      </c>
      <c r="B11" s="579" t="str">
        <f>IF('QBO.S-PL25'!C11&lt;&gt;"",'QBO.S-PL25'!C11,"")</f>
        <v/>
      </c>
      <c r="C11" s="792">
        <f>_xlfn.XLOOKUP($A11,'QBO.S-PL25'!$B:$B,'QBO.S-PL25'!E:E,0,0,1)+_xlfn.XLOOKUP($B11,'QBO.S-PL25'!$C:$C,'QBO.S-PL25'!E:E,0,0,1)</f>
        <v>0</v>
      </c>
      <c r="D11" s="792">
        <f>_xlfn.XLOOKUP($A11,'QBO.S-PL25'!$B:$B,'QBO.S-PL25'!F:F,0,0,1)+_xlfn.XLOOKUP($B11,'QBO.S-PL25'!$C:$C,'QBO.S-PL25'!F:F,0,0,1)</f>
        <v>-29.16</v>
      </c>
      <c r="F11" s="792">
        <f>_xlfn.XLOOKUP($A11,'QBO.S-PL24'!$B:$B,'QBO.S-PL24'!E:E,0,0,1)+_xlfn.XLOOKUP($B11,'QBO.S-PL24'!$C:$C,'QBO.S-PL24'!E:E,0,0,1)</f>
        <v>0</v>
      </c>
      <c r="G11" s="792">
        <f>_xlfn.XLOOKUP($A11,'QBO.S-PL24'!$B:$B,'QBO.S-PL24'!F:F,0,0,1)+_xlfn.XLOOKUP($B11,'QBO.S-PL24'!$C:$C,'QBO.S-PL24'!F:F,0,0,1)</f>
        <v>-5.56</v>
      </c>
    </row>
    <row r="12" spans="1:7" x14ac:dyDescent="0.3">
      <c r="A12" t="str">
        <f>IF('QBO.S-PL25'!B12&lt;&gt;"",'QBO.S-PL25'!B12,"")</f>
        <v>6020 Advertising &amp; Promotion</v>
      </c>
      <c r="B12" s="579" t="str">
        <f>IF('QBO.S-PL25'!C12&lt;&gt;"",'QBO.S-PL25'!C12,"")</f>
        <v/>
      </c>
      <c r="C12" s="792">
        <f>_xlfn.XLOOKUP($A12,'QBO.S-PL25'!$B:$B,'QBO.S-PL25'!E:E,0,0,1)+_xlfn.XLOOKUP($B12,'QBO.S-PL25'!$C:$C,'QBO.S-PL25'!E:E,0,0,1)</f>
        <v>0</v>
      </c>
      <c r="D12" s="792">
        <f>_xlfn.XLOOKUP($A12,'QBO.S-PL25'!$B:$B,'QBO.S-PL25'!F:F,0,0,1)+_xlfn.XLOOKUP($B12,'QBO.S-PL25'!$C:$C,'QBO.S-PL25'!F:F,0,0,1)</f>
        <v>65281.8</v>
      </c>
      <c r="F12" s="792">
        <f>_xlfn.XLOOKUP($A12,'QBO.S-PL24'!$B:$B,'QBO.S-PL24'!E:E,0,0,1)+_xlfn.XLOOKUP($B12,'QBO.S-PL24'!$C:$C,'QBO.S-PL24'!E:E,0,0,1)</f>
        <v>10306.75</v>
      </c>
      <c r="G12" s="792">
        <f>_xlfn.XLOOKUP($A12,'QBO.S-PL24'!$B:$B,'QBO.S-PL24'!F:F,0,0,1)+_xlfn.XLOOKUP($B12,'QBO.S-PL24'!$C:$C,'QBO.S-PL24'!F:F,0,0,1)</f>
        <v>9487.5499999999993</v>
      </c>
    </row>
    <row r="13" spans="1:7" x14ac:dyDescent="0.3">
      <c r="A13" t="str">
        <f>IF('QBO.S-PL25'!B13&lt;&gt;"",'QBO.S-PL25'!B13,"")</f>
        <v>6021 Tradeshows and conventions</v>
      </c>
      <c r="B13" s="579" t="str">
        <f>IF('QBO.S-PL25'!C13&lt;&gt;"",'QBO.S-PL25'!C13,"")</f>
        <v/>
      </c>
      <c r="C13" s="792">
        <f>_xlfn.XLOOKUP($A13,'QBO.S-PL25'!$B:$B,'QBO.S-PL25'!E:E,0,0,1)+_xlfn.XLOOKUP($B13,'QBO.S-PL25'!$C:$C,'QBO.S-PL25'!E:E,0,0,1)</f>
        <v>0</v>
      </c>
      <c r="D13" s="792">
        <f>_xlfn.XLOOKUP($A13,'QBO.S-PL25'!$B:$B,'QBO.S-PL25'!F:F,0,0,1)+_xlfn.XLOOKUP($B13,'QBO.S-PL25'!$C:$C,'QBO.S-PL25'!F:F,0,0,1)</f>
        <v>5675.68</v>
      </c>
      <c r="F13" s="792">
        <f>_xlfn.XLOOKUP($A13,'QBO.S-PL24'!$B:$B,'QBO.S-PL24'!E:E,0,0,1)+_xlfn.XLOOKUP($B13,'QBO.S-PL24'!$C:$C,'QBO.S-PL24'!E:E,0,0,1)</f>
        <v>0</v>
      </c>
      <c r="G13" s="792">
        <f>_xlfn.XLOOKUP($A13,'QBO.S-PL24'!$B:$B,'QBO.S-PL24'!F:F,0,0,1)+_xlfn.XLOOKUP($B13,'QBO.S-PL24'!$C:$C,'QBO.S-PL24'!F:F,0,0,1)</f>
        <v>1615.8</v>
      </c>
    </row>
    <row r="14" spans="1:7" x14ac:dyDescent="0.3">
      <c r="A14" t="str">
        <f>IF('QBO.S-PL25'!B14&lt;&gt;"",'QBO.S-PL25'!B14,"")</f>
        <v>6025 Dues and Subscriptions</v>
      </c>
      <c r="B14" s="579" t="str">
        <f>IF('QBO.S-PL25'!C14&lt;&gt;"",'QBO.S-PL25'!C14,"")</f>
        <v/>
      </c>
      <c r="C14" s="792">
        <f>_xlfn.XLOOKUP($A14,'QBO.S-PL25'!$B:$B,'QBO.S-PL25'!E:E,0,0,1)+_xlfn.XLOOKUP($B14,'QBO.S-PL25'!$C:$C,'QBO.S-PL25'!E:E,0,0,1)</f>
        <v>1771.23</v>
      </c>
      <c r="D14" s="792">
        <f>_xlfn.XLOOKUP($A14,'QBO.S-PL25'!$B:$B,'QBO.S-PL25'!F:F,0,0,1)+_xlfn.XLOOKUP($B14,'QBO.S-PL25'!$C:$C,'QBO.S-PL25'!F:F,0,0,1)</f>
        <v>0</v>
      </c>
      <c r="F14" s="792">
        <f>_xlfn.XLOOKUP($A14,'QBO.S-PL24'!$B:$B,'QBO.S-PL24'!E:E,0,0,1)+_xlfn.XLOOKUP($B14,'QBO.S-PL24'!$C:$C,'QBO.S-PL24'!E:E,0,0,1)</f>
        <v>1259.25</v>
      </c>
      <c r="G14" s="792">
        <f>_xlfn.XLOOKUP($A14,'QBO.S-PL24'!$B:$B,'QBO.S-PL24'!F:F,0,0,1)+_xlfn.XLOOKUP($B14,'QBO.S-PL24'!$C:$C,'QBO.S-PL24'!F:F,0,0,1)</f>
        <v>0</v>
      </c>
    </row>
    <row r="15" spans="1:7" x14ac:dyDescent="0.3">
      <c r="A15" t="str">
        <f>IF('QBO.S-PL25'!B15&lt;&gt;"",'QBO.S-PL25'!B15,"")</f>
        <v>6026 Fuel / Industrial Gas</v>
      </c>
      <c r="B15" s="579" t="str">
        <f>IF('QBO.S-PL25'!C15&lt;&gt;"",'QBO.S-PL25'!C15,"")</f>
        <v/>
      </c>
      <c r="C15" s="792">
        <f>_xlfn.XLOOKUP($A15,'QBO.S-PL25'!$B:$B,'QBO.S-PL25'!E:E,0,0,1)+_xlfn.XLOOKUP($B15,'QBO.S-PL25'!$C:$C,'QBO.S-PL25'!E:E,0,0,1)</f>
        <v>0</v>
      </c>
      <c r="D15" s="792">
        <f>_xlfn.XLOOKUP($A15,'QBO.S-PL25'!$B:$B,'QBO.S-PL25'!F:F,0,0,1)+_xlfn.XLOOKUP($B15,'QBO.S-PL25'!$C:$C,'QBO.S-PL25'!F:F,0,0,1)</f>
        <v>1350.8</v>
      </c>
      <c r="F15" s="792">
        <f>_xlfn.XLOOKUP($A15,'QBO.S-PL24'!$B:$B,'QBO.S-PL24'!E:E,0,0,1)+_xlfn.XLOOKUP($B15,'QBO.S-PL24'!$C:$C,'QBO.S-PL24'!E:E,0,0,1)</f>
        <v>0</v>
      </c>
      <c r="G15" s="792">
        <f>_xlfn.XLOOKUP($A15,'QBO.S-PL24'!$B:$B,'QBO.S-PL24'!F:F,0,0,1)+_xlfn.XLOOKUP($B15,'QBO.S-PL24'!$C:$C,'QBO.S-PL24'!F:F,0,0,1)</f>
        <v>2768.79</v>
      </c>
    </row>
    <row r="16" spans="1:7" x14ac:dyDescent="0.3">
      <c r="A16" t="str">
        <f>IF('QBO.S-PL25'!B16&lt;&gt;"",'QBO.S-PL25'!B16,"")</f>
        <v>6031 IT Expense</v>
      </c>
      <c r="B16" s="579" t="str">
        <f>IF('QBO.S-PL25'!C16&lt;&gt;"",'QBO.S-PL25'!C16,"")</f>
        <v/>
      </c>
      <c r="C16" s="792">
        <f>_xlfn.XLOOKUP($A16,'QBO.S-PL25'!$B:$B,'QBO.S-PL25'!E:E,0,0,1)+_xlfn.XLOOKUP($B16,'QBO.S-PL25'!$C:$C,'QBO.S-PL25'!E:E,0,0,1)</f>
        <v>0</v>
      </c>
      <c r="D16" s="792">
        <f>_xlfn.XLOOKUP($A16,'QBO.S-PL25'!$B:$B,'QBO.S-PL25'!F:F,0,0,1)+_xlfn.XLOOKUP($B16,'QBO.S-PL25'!$C:$C,'QBO.S-PL25'!F:F,0,0,1)</f>
        <v>2566.8200000000002</v>
      </c>
      <c r="F16" s="792">
        <f>_xlfn.XLOOKUP($A16,'QBO.S-PL24'!$B:$B,'QBO.S-PL24'!E:E,0,0,1)+_xlfn.XLOOKUP($B16,'QBO.S-PL24'!$C:$C,'QBO.S-PL24'!E:E,0,0,1)</f>
        <v>0</v>
      </c>
      <c r="G16" s="792">
        <f>_xlfn.XLOOKUP($A16,'QBO.S-PL24'!$B:$B,'QBO.S-PL24'!F:F,0,0,1)+_xlfn.XLOOKUP($B16,'QBO.S-PL24'!$C:$C,'QBO.S-PL24'!F:F,0,0,1)</f>
        <v>2195.9899999999998</v>
      </c>
    </row>
    <row r="17" spans="1:7" x14ac:dyDescent="0.3">
      <c r="A17" t="str">
        <f>IF('QBO.S-PL25'!B17&lt;&gt;"",'QBO.S-PL25'!B17,"")</f>
        <v>6040 Meals and Entertainment</v>
      </c>
      <c r="B17" s="579" t="str">
        <f>IF('QBO.S-PL25'!C17&lt;&gt;"",'QBO.S-PL25'!C17,"")</f>
        <v/>
      </c>
      <c r="C17" s="792">
        <f>_xlfn.XLOOKUP($A17,'QBO.S-PL25'!$B:$B,'QBO.S-PL25'!E:E,0,0,1)+_xlfn.XLOOKUP($B17,'QBO.S-PL25'!$C:$C,'QBO.S-PL25'!E:E,0,0,1)</f>
        <v>0</v>
      </c>
      <c r="D17" s="792">
        <f>_xlfn.XLOOKUP($A17,'QBO.S-PL25'!$B:$B,'QBO.S-PL25'!F:F,0,0,1)+_xlfn.XLOOKUP($B17,'QBO.S-PL25'!$C:$C,'QBO.S-PL25'!F:F,0,0,1)</f>
        <v>934.17</v>
      </c>
      <c r="F17" s="792">
        <f>_xlfn.XLOOKUP($A17,'QBO.S-PL24'!$B:$B,'QBO.S-PL24'!E:E,0,0,1)+_xlfn.XLOOKUP($B17,'QBO.S-PL24'!$C:$C,'QBO.S-PL24'!E:E,0,0,1)</f>
        <v>89.21</v>
      </c>
      <c r="G17" s="792">
        <f>_xlfn.XLOOKUP($A17,'QBO.S-PL24'!$B:$B,'QBO.S-PL24'!F:F,0,0,1)+_xlfn.XLOOKUP($B17,'QBO.S-PL24'!$C:$C,'QBO.S-PL24'!F:F,0,0,1)</f>
        <v>2773.69</v>
      </c>
    </row>
    <row r="18" spans="1:7" x14ac:dyDescent="0.3">
      <c r="A18" t="str">
        <f>IF('QBO.S-PL25'!B18&lt;&gt;"",'QBO.S-PL25'!B18,"")</f>
        <v>6041 Travel Meals</v>
      </c>
      <c r="B18" s="579" t="str">
        <f>IF('QBO.S-PL25'!C18&lt;&gt;"",'QBO.S-PL25'!C18,"")</f>
        <v/>
      </c>
      <c r="C18" s="792">
        <f>_xlfn.XLOOKUP($A18,'QBO.S-PL25'!$B:$B,'QBO.S-PL25'!E:E,0,0,1)+_xlfn.XLOOKUP($B18,'QBO.S-PL25'!$C:$C,'QBO.S-PL25'!E:E,0,0,1)</f>
        <v>0</v>
      </c>
      <c r="D18" s="792">
        <f>_xlfn.XLOOKUP($A18,'QBO.S-PL25'!$B:$B,'QBO.S-PL25'!F:F,0,0,1)+_xlfn.XLOOKUP($B18,'QBO.S-PL25'!$C:$C,'QBO.S-PL25'!F:F,0,0,1)</f>
        <v>198.61</v>
      </c>
      <c r="F18" s="792">
        <f>_xlfn.XLOOKUP($A18,'QBO.S-PL24'!$B:$B,'QBO.S-PL24'!E:E,0,0,1)+_xlfn.XLOOKUP($B18,'QBO.S-PL24'!$C:$C,'QBO.S-PL24'!E:E,0,0,1)</f>
        <v>0</v>
      </c>
      <c r="G18" s="792">
        <f>_xlfn.XLOOKUP($A18,'QBO.S-PL24'!$B:$B,'QBO.S-PL24'!F:F,0,0,1)+_xlfn.XLOOKUP($B18,'QBO.S-PL24'!$C:$C,'QBO.S-PL24'!F:F,0,0,1)</f>
        <v>1422.04</v>
      </c>
    </row>
    <row r="19" spans="1:7" x14ac:dyDescent="0.3">
      <c r="A19" t="str">
        <f>IF('QBO.S-PL25'!B19&lt;&gt;"",'QBO.S-PL25'!B19,"")</f>
        <v>6042 Travel</v>
      </c>
      <c r="B19" s="579" t="str">
        <f>IF('QBO.S-PL25'!C19&lt;&gt;"",'QBO.S-PL25'!C19,"")</f>
        <v/>
      </c>
      <c r="C19" s="792">
        <f>_xlfn.XLOOKUP($A19,'QBO.S-PL25'!$B:$B,'QBO.S-PL25'!E:E,0,0,1)+_xlfn.XLOOKUP($B19,'QBO.S-PL25'!$C:$C,'QBO.S-PL25'!E:E,0,0,1)</f>
        <v>0</v>
      </c>
      <c r="D19" s="792">
        <f>_xlfn.XLOOKUP($A19,'QBO.S-PL25'!$B:$B,'QBO.S-PL25'!F:F,0,0,1)+_xlfn.XLOOKUP($B19,'QBO.S-PL25'!$C:$C,'QBO.S-PL25'!F:F,0,0,1)</f>
        <v>4325.18</v>
      </c>
      <c r="F19" s="792">
        <f>_xlfn.XLOOKUP($A19,'QBO.S-PL24'!$B:$B,'QBO.S-PL24'!E:E,0,0,1)+_xlfn.XLOOKUP($B19,'QBO.S-PL24'!$C:$C,'QBO.S-PL24'!E:E,0,0,1)</f>
        <v>464.52</v>
      </c>
      <c r="G19" s="792">
        <f>_xlfn.XLOOKUP($A19,'QBO.S-PL24'!$B:$B,'QBO.S-PL24'!F:F,0,0,1)+_xlfn.XLOOKUP($B19,'QBO.S-PL24'!$C:$C,'QBO.S-PL24'!F:F,0,0,1)</f>
        <v>6332.37</v>
      </c>
    </row>
    <row r="20" spans="1:7" x14ac:dyDescent="0.3">
      <c r="A20" t="str">
        <f>IF('QBO.S-PL25'!B20&lt;&gt;"",'QBO.S-PL25'!B20,"")</f>
        <v>6050 Insurance</v>
      </c>
      <c r="B20" s="579" t="str">
        <f>IF('QBO.S-PL25'!C20&lt;&gt;"",'QBO.S-PL25'!C20,"")</f>
        <v/>
      </c>
      <c r="C20" s="792">
        <f>_xlfn.XLOOKUP($A20,'QBO.S-PL25'!$B:$B,'QBO.S-PL25'!E:E,0,0,1)+_xlfn.XLOOKUP($B20,'QBO.S-PL25'!$C:$C,'QBO.S-PL25'!E:E,0,0,1)</f>
        <v>26182.36</v>
      </c>
      <c r="D20" s="792">
        <f>_xlfn.XLOOKUP($A20,'QBO.S-PL25'!$B:$B,'QBO.S-PL25'!F:F,0,0,1)+_xlfn.XLOOKUP($B20,'QBO.S-PL25'!$C:$C,'QBO.S-PL25'!F:F,0,0,1)</f>
        <v>0</v>
      </c>
      <c r="F20" s="792">
        <f>_xlfn.XLOOKUP($A20,'QBO.S-PL24'!$B:$B,'QBO.S-PL24'!E:E,0,0,1)+_xlfn.XLOOKUP($B20,'QBO.S-PL24'!$C:$C,'QBO.S-PL24'!E:E,0,0,1)</f>
        <v>23784.32</v>
      </c>
      <c r="G20" s="792">
        <f>_xlfn.XLOOKUP($A20,'QBO.S-PL24'!$B:$B,'QBO.S-PL24'!F:F,0,0,1)+_xlfn.XLOOKUP($B20,'QBO.S-PL24'!$C:$C,'QBO.S-PL24'!F:F,0,0,1)</f>
        <v>0</v>
      </c>
    </row>
    <row r="21" spans="1:7" x14ac:dyDescent="0.3">
      <c r="A21" t="str">
        <f>IF('QBO.S-PL25'!B21&lt;&gt;"",'QBO.S-PL25'!B21,"")</f>
        <v>6060 Office expenses</v>
      </c>
      <c r="B21" s="579" t="str">
        <f>IF('QBO.S-PL25'!C21&lt;&gt;"",'QBO.S-PL25'!C21,"")</f>
        <v/>
      </c>
      <c r="C21" s="792">
        <f>_xlfn.XLOOKUP($A21,'QBO.S-PL25'!$B:$B,'QBO.S-PL25'!E:E,0,0,1)+_xlfn.XLOOKUP($B21,'QBO.S-PL25'!$C:$C,'QBO.S-PL25'!E:E,0,0,1)</f>
        <v>64.319999999999993</v>
      </c>
      <c r="D21" s="792">
        <f>_xlfn.XLOOKUP($A21,'QBO.S-PL25'!$B:$B,'QBO.S-PL25'!F:F,0,0,1)+_xlfn.XLOOKUP($B21,'QBO.S-PL25'!$C:$C,'QBO.S-PL25'!F:F,0,0,1)</f>
        <v>0</v>
      </c>
      <c r="F21" s="792">
        <f>_xlfn.XLOOKUP($A21,'QBO.S-PL24'!$B:$B,'QBO.S-PL24'!E:E,0,0,1)+_xlfn.XLOOKUP($B21,'QBO.S-PL24'!$C:$C,'QBO.S-PL24'!E:E,0,0,1)</f>
        <v>928.16</v>
      </c>
      <c r="G21" s="792">
        <f>_xlfn.XLOOKUP($A21,'QBO.S-PL24'!$B:$B,'QBO.S-PL24'!F:F,0,0,1)+_xlfn.XLOOKUP($B21,'QBO.S-PL24'!$C:$C,'QBO.S-PL24'!F:F,0,0,1)</f>
        <v>0</v>
      </c>
    </row>
    <row r="22" spans="1:7" x14ac:dyDescent="0.3">
      <c r="A22" t="str">
        <f>IF('QBO.S-PL25'!B22&lt;&gt;"",'QBO.S-PL25'!B22,"")</f>
        <v>6070 Office Supplies</v>
      </c>
      <c r="B22" s="579" t="str">
        <f>IF('QBO.S-PL25'!C22&lt;&gt;"",'QBO.S-PL25'!C22,"")</f>
        <v/>
      </c>
      <c r="C22" s="792">
        <f>_xlfn.XLOOKUP($A22,'QBO.S-PL25'!$B:$B,'QBO.S-PL25'!E:E,0,0,1)+_xlfn.XLOOKUP($B22,'QBO.S-PL25'!$C:$C,'QBO.S-PL25'!E:E,0,0,1)</f>
        <v>0</v>
      </c>
      <c r="D22" s="792">
        <f>_xlfn.XLOOKUP($A22,'QBO.S-PL25'!$B:$B,'QBO.S-PL25'!F:F,0,0,1)+_xlfn.XLOOKUP($B22,'QBO.S-PL25'!$C:$C,'QBO.S-PL25'!F:F,0,0,1)</f>
        <v>116.46</v>
      </c>
      <c r="F22" s="792">
        <f>_xlfn.XLOOKUP($A22,'QBO.S-PL24'!$B:$B,'QBO.S-PL24'!E:E,0,0,1)+_xlfn.XLOOKUP($B22,'QBO.S-PL24'!$C:$C,'QBO.S-PL24'!E:E,0,0,1)</f>
        <v>0</v>
      </c>
      <c r="G22" s="792">
        <f>_xlfn.XLOOKUP($A22,'QBO.S-PL24'!$B:$B,'QBO.S-PL24'!F:F,0,0,1)+_xlfn.XLOOKUP($B22,'QBO.S-PL24'!$C:$C,'QBO.S-PL24'!F:F,0,0,1)</f>
        <v>20.99</v>
      </c>
    </row>
    <row r="23" spans="1:7" x14ac:dyDescent="0.3">
      <c r="A23" t="str">
        <f>IF('QBO.S-PL25'!B23&lt;&gt;"",'QBO.S-PL25'!B23,"")</f>
        <v>6080 Shop and other supplies</v>
      </c>
      <c r="B23" s="579" t="str">
        <f>IF('QBO.S-PL25'!C23&lt;&gt;"",'QBO.S-PL25'!C23,"")</f>
        <v/>
      </c>
      <c r="C23" s="792">
        <f>_xlfn.XLOOKUP($A23,'QBO.S-PL25'!$B:$B,'QBO.S-PL25'!E:E,0,0,1)+_xlfn.XLOOKUP($B23,'QBO.S-PL25'!$C:$C,'QBO.S-PL25'!E:E,0,0,1)</f>
        <v>0</v>
      </c>
      <c r="D23" s="792">
        <f>_xlfn.XLOOKUP($A23,'QBO.S-PL25'!$B:$B,'QBO.S-PL25'!F:F,0,0,1)+_xlfn.XLOOKUP($B23,'QBO.S-PL25'!$C:$C,'QBO.S-PL25'!F:F,0,0,1)</f>
        <v>241.4</v>
      </c>
      <c r="F23" s="792">
        <f>_xlfn.XLOOKUP($A23,'QBO.S-PL24'!$B:$B,'QBO.S-PL24'!E:E,0,0,1)+_xlfn.XLOOKUP($B23,'QBO.S-PL24'!$C:$C,'QBO.S-PL24'!E:E,0,0,1)</f>
        <v>0</v>
      </c>
      <c r="G23" s="792">
        <f>_xlfn.XLOOKUP($A23,'QBO.S-PL24'!$B:$B,'QBO.S-PL24'!F:F,0,0,1)+_xlfn.XLOOKUP($B23,'QBO.S-PL24'!$C:$C,'QBO.S-PL24'!F:F,0,0,1)</f>
        <v>2901.19</v>
      </c>
    </row>
    <row r="24" spans="1:7" x14ac:dyDescent="0.3">
      <c r="A24" t="str">
        <f>IF('QBO.S-PL25'!B24&lt;&gt;"",'QBO.S-PL25'!B24,"")</f>
        <v>6200 Accretion expense</v>
      </c>
      <c r="B24" s="579" t="str">
        <f>IF('QBO.S-PL25'!C24&lt;&gt;"",'QBO.S-PL25'!C24,"")</f>
        <v/>
      </c>
      <c r="C24" s="792">
        <f>_xlfn.XLOOKUP($A24,'QBO.S-PL25'!$B:$B,'QBO.S-PL25'!E:E,0,0,1)+_xlfn.XLOOKUP($B24,'QBO.S-PL25'!$C:$C,'QBO.S-PL25'!E:E,0,0,1)</f>
        <v>31956.79</v>
      </c>
      <c r="D24" s="792">
        <f>_xlfn.XLOOKUP($A24,'QBO.S-PL25'!$B:$B,'QBO.S-PL25'!F:F,0,0,1)+_xlfn.XLOOKUP($B24,'QBO.S-PL25'!$C:$C,'QBO.S-PL25'!F:F,0,0,1)</f>
        <v>0</v>
      </c>
      <c r="F24" s="792">
        <f>_xlfn.XLOOKUP($A24,'QBO.S-PL24'!$B:$B,'QBO.S-PL24'!E:E,0,0,1)+_xlfn.XLOOKUP($B24,'QBO.S-PL24'!$C:$C,'QBO.S-PL24'!E:E,0,0,1)</f>
        <v>24938.14</v>
      </c>
      <c r="G24" s="792">
        <f>_xlfn.XLOOKUP($A24,'QBO.S-PL24'!$B:$B,'QBO.S-PL24'!F:F,0,0,1)+_xlfn.XLOOKUP($B24,'QBO.S-PL24'!$C:$C,'QBO.S-PL24'!F:F,0,0,1)</f>
        <v>0</v>
      </c>
    </row>
    <row r="25" spans="1:7" x14ac:dyDescent="0.3">
      <c r="A25" t="str">
        <f>IF('QBO.S-PL25'!B25&lt;&gt;"",'QBO.S-PL25'!B25,"")</f>
        <v>6300 Design and modeling</v>
      </c>
      <c r="B25" s="579" t="str">
        <f>IF('QBO.S-PL25'!C25&lt;&gt;"",'QBO.S-PL25'!C25,"")</f>
        <v/>
      </c>
      <c r="C25" s="792">
        <f>_xlfn.XLOOKUP($A25,'QBO.S-PL25'!$B:$B,'QBO.S-PL25'!E:E,0,0,1)+_xlfn.XLOOKUP($B25,'QBO.S-PL25'!$C:$C,'QBO.S-PL25'!E:E,0,0,1)</f>
        <v>0</v>
      </c>
      <c r="D25" s="792">
        <f>_xlfn.XLOOKUP($A25,'QBO.S-PL25'!$B:$B,'QBO.S-PL25'!F:F,0,0,1)+_xlfn.XLOOKUP($B25,'QBO.S-PL25'!$C:$C,'QBO.S-PL25'!F:F,0,0,1)</f>
        <v>5306.24</v>
      </c>
      <c r="F25" s="792">
        <f>_xlfn.XLOOKUP($A25,'QBO.S-PL24'!$B:$B,'QBO.S-PL24'!E:E,0,0,1)+_xlfn.XLOOKUP($B25,'QBO.S-PL24'!$C:$C,'QBO.S-PL24'!E:E,0,0,1)</f>
        <v>0</v>
      </c>
      <c r="G25" s="792">
        <f>_xlfn.XLOOKUP($A25,'QBO.S-PL24'!$B:$B,'QBO.S-PL24'!F:F,0,0,1)+_xlfn.XLOOKUP($B25,'QBO.S-PL24'!$C:$C,'QBO.S-PL24'!F:F,0,0,1)</f>
        <v>3646.21</v>
      </c>
    </row>
    <row r="26" spans="1:7" x14ac:dyDescent="0.3">
      <c r="A26" t="str">
        <f>IF('QBO.S-PL25'!B26&lt;&gt;"",'QBO.S-PL25'!B26,"")</f>
        <v>6350 Other labor costs</v>
      </c>
      <c r="B26" s="579" t="str">
        <f>IF('QBO.S-PL25'!C26&lt;&gt;"",'QBO.S-PL25'!C26,"")</f>
        <v/>
      </c>
      <c r="C26" s="792">
        <f>_xlfn.XLOOKUP($A26,'QBO.S-PL25'!$B:$B,'QBO.S-PL25'!E:E,0,0,1)+_xlfn.XLOOKUP($B26,'QBO.S-PL25'!$C:$C,'QBO.S-PL25'!E:E,0,0,1)</f>
        <v>0</v>
      </c>
      <c r="D26" s="792">
        <f>_xlfn.XLOOKUP($A26,'QBO.S-PL25'!$B:$B,'QBO.S-PL25'!F:F,0,0,1)+_xlfn.XLOOKUP($B26,'QBO.S-PL25'!$C:$C,'QBO.S-PL25'!F:F,0,0,1)</f>
        <v>1713.44</v>
      </c>
      <c r="F26" s="792">
        <f>_xlfn.XLOOKUP($A26,'QBO.S-PL24'!$B:$B,'QBO.S-PL24'!E:E,0,0,1)+_xlfn.XLOOKUP($B26,'QBO.S-PL24'!$C:$C,'QBO.S-PL24'!E:E,0,0,1)</f>
        <v>0</v>
      </c>
      <c r="G26" s="792">
        <f>_xlfn.XLOOKUP($A26,'QBO.S-PL24'!$B:$B,'QBO.S-PL24'!F:F,0,0,1)+_xlfn.XLOOKUP($B26,'QBO.S-PL24'!$C:$C,'QBO.S-PL24'!F:F,0,0,1)</f>
        <v>2024.57</v>
      </c>
    </row>
    <row r="27" spans="1:7" x14ac:dyDescent="0.3">
      <c r="A27" t="str">
        <f>IF('QBO.S-PL25'!B27&lt;&gt;"",'QBO.S-PL25'!B27,"")</f>
        <v/>
      </c>
      <c r="B27" s="579" t="str">
        <f>IF('QBO.S-PL25'!C27&lt;&gt;"",'QBO.S-PL25'!C27,"")</f>
        <v/>
      </c>
      <c r="C27" s="792">
        <f>_xlfn.XLOOKUP($A27,'QBO.S-PL25'!$B:$B,'QBO.S-PL25'!E:E,0,0,1)+_xlfn.XLOOKUP($B27,'QBO.S-PL25'!$C:$C,'QBO.S-PL25'!E:E,0,0,1)</f>
        <v>0</v>
      </c>
      <c r="D27" s="792">
        <f>_xlfn.XLOOKUP($A27,'QBO.S-PL25'!$B:$B,'QBO.S-PL25'!F:F,0,0,1)+_xlfn.XLOOKUP($B27,'QBO.S-PL25'!$C:$C,'QBO.S-PL25'!F:F,0,0,1)</f>
        <v>0</v>
      </c>
      <c r="F27" s="792">
        <f>_xlfn.XLOOKUP($A27,'QBO.S-PL24'!$B:$B,'QBO.S-PL24'!E:E,0,0,1)+_xlfn.XLOOKUP($B27,'QBO.S-PL24'!$C:$C,'QBO.S-PL24'!E:E,0,0,1)</f>
        <v>0</v>
      </c>
      <c r="G27" s="792">
        <f>_xlfn.XLOOKUP($A27,'QBO.S-PL24'!$B:$B,'QBO.S-PL24'!F:F,0,0,1)+_xlfn.XLOOKUP($B27,'QBO.S-PL24'!$C:$C,'QBO.S-PL24'!F:F,0,0,1)</f>
        <v>0</v>
      </c>
    </row>
    <row r="28" spans="1:7" x14ac:dyDescent="0.3">
      <c r="A28" t="str">
        <f>IF('QBO.S-PL25'!B28&lt;&gt;"",'QBO.S-PL25'!B28,"")</f>
        <v/>
      </c>
      <c r="B28" s="579" t="str">
        <f>IF('QBO.S-PL25'!C28&lt;&gt;"",'QBO.S-PL25'!C28,"")</f>
        <v/>
      </c>
      <c r="C28" s="792">
        <f>_xlfn.XLOOKUP($A28,'QBO.S-PL25'!$B:$B,'QBO.S-PL25'!E:E,0,0,1)+_xlfn.XLOOKUP($B28,'QBO.S-PL25'!$C:$C,'QBO.S-PL25'!E:E,0,0,1)</f>
        <v>0</v>
      </c>
      <c r="D28" s="792">
        <f>-_xlfn.XLOOKUP($A28,'QBO.S-PL25'!$B:$B,'QBO.S-PL25'!F:F,0,0,1)-_xlfn.XLOOKUP($B28,'QBO.S-PL25'!$C:$C,'QBO.S-PL25'!F:F,0,0,1)</f>
        <v>0</v>
      </c>
      <c r="F28" s="792">
        <f>-_xlfn.XLOOKUP($A28,'QBO.S-PL24'!$B:$B,'QBO.S-PL24'!E:E,0,0,1)-_xlfn.XLOOKUP($B28,'QBO.S-PL24'!$C:$C,'QBO.S-PL24'!E:E,0,0,1)</f>
        <v>0</v>
      </c>
      <c r="G28" s="792">
        <f>-_xlfn.XLOOKUP($A28,'QBO.S-PL24'!$B:$B,'QBO.S-PL24'!F:F,0,0,1)-_xlfn.XLOOKUP($B28,'QBO.S-PL24'!$C:$C,'QBO.S-PL24'!F:F,0,0,1)</f>
        <v>0</v>
      </c>
    </row>
    <row r="29" spans="1:7" x14ac:dyDescent="0.3">
      <c r="A29" t="str">
        <f>IF('QBO.S-PL25'!B29&lt;&gt;"",'QBO.S-PL25'!B29,"")</f>
        <v>5498 Interest income</v>
      </c>
      <c r="B29" s="579" t="str">
        <f>IF('QBO.S-PL25'!C29&lt;&gt;"",'QBO.S-PL25'!C29,"")</f>
        <v/>
      </c>
      <c r="C29" s="792">
        <f>-_xlfn.XLOOKUP($A29,'QBO.S-PL25'!$B:$B,'QBO.S-PL25'!E:E,0,0,1)-_xlfn.XLOOKUP($B29,'QBO.S-PL25'!$C:$C,'QBO.S-PL25'!E:E,0,0,1)</f>
        <v>0</v>
      </c>
      <c r="D29" s="792">
        <f>-_xlfn.XLOOKUP($A29,'QBO.S-PL25'!$B:$B,'QBO.S-PL25'!F:F,0,0,1)-_xlfn.XLOOKUP($B29,'QBO.S-PL25'!$C:$C,'QBO.S-PL25'!F:F,0,0,1)</f>
        <v>-13.5</v>
      </c>
      <c r="F29" s="792">
        <f>-_xlfn.XLOOKUP($A29,'QBO.S-PL24'!$B:$B,'QBO.S-PL24'!E:E,0,0,1)-_xlfn.XLOOKUP($B29,'QBO.S-PL24'!$C:$C,'QBO.S-PL24'!E:E,0,0,1)</f>
        <v>0</v>
      </c>
      <c r="G29" s="792">
        <f>-_xlfn.XLOOKUP($A29,'QBO.S-PL24'!$B:$B,'QBO.S-PL24'!F:F,0,0,1)-_xlfn.XLOOKUP($B29,'QBO.S-PL24'!$C:$C,'QBO.S-PL24'!F:F,0,0,1)</f>
        <v>-198.12</v>
      </c>
    </row>
    <row r="30" spans="1:7" x14ac:dyDescent="0.3">
      <c r="A30" t="str">
        <f>IF('QBO.S-PL25'!B30&lt;&gt;"",'QBO.S-PL25'!B30,"")</f>
        <v/>
      </c>
      <c r="B30" s="579" t="str">
        <f>IF('QBO.S-PL25'!C30&lt;&gt;"",'QBO.S-PL25'!C30,"")</f>
        <v/>
      </c>
      <c r="C30" s="792">
        <f>_xlfn.XLOOKUP($A30,'QBO.S-PL25'!$B:$B,'QBO.S-PL25'!E:E,0,0,1)+_xlfn.XLOOKUP($B30,'QBO.S-PL25'!$C:$C,'QBO.S-PL25'!E:E,0,0,1)</f>
        <v>0</v>
      </c>
      <c r="D30" s="792">
        <f>_xlfn.XLOOKUP($A30,'QBO.S-PL25'!$B:$B,'QBO.S-PL25'!F:F,0,0,1)+_xlfn.XLOOKUP($B30,'QBO.S-PL25'!$C:$C,'QBO.S-PL25'!F:F,0,0,1)</f>
        <v>0</v>
      </c>
      <c r="F30" s="792">
        <f>_xlfn.XLOOKUP($A30,'QBO.S-PL24'!$B:$B,'QBO.S-PL24'!E:E,0,0,1)+_xlfn.XLOOKUP($B30,'QBO.S-PL24'!$C:$C,'QBO.S-PL24'!E:E,0,0,1)</f>
        <v>0</v>
      </c>
      <c r="G30" s="792">
        <f>_xlfn.XLOOKUP($A30,'QBO.S-PL24'!$B:$B,'QBO.S-PL24'!F:F,0,0,1)+_xlfn.XLOOKUP($B30,'QBO.S-PL24'!$C:$C,'QBO.S-PL24'!F:F,0,0,1)</f>
        <v>0</v>
      </c>
    </row>
    <row r="31" spans="1:7" x14ac:dyDescent="0.3">
      <c r="A31" t="str">
        <f>IF('QBO.S-PL25'!B31&lt;&gt;"",'QBO.S-PL25'!B31,"")</f>
        <v/>
      </c>
      <c r="B31" s="579" t="str">
        <f>IF('QBO.S-PL25'!C31&lt;&gt;"",'QBO.S-PL25'!C31,"")</f>
        <v/>
      </c>
      <c r="C31" s="792">
        <f>_xlfn.XLOOKUP($A31,'QBO.S-PL25'!$B:$B,'QBO.S-PL25'!E:E,0,0,1)+_xlfn.XLOOKUP($B31,'QBO.S-PL25'!$C:$C,'QBO.S-PL25'!E:E,0,0,1)</f>
        <v>0</v>
      </c>
      <c r="D31" s="792">
        <f>_xlfn.XLOOKUP($A31,'QBO.S-PL25'!$B:$B,'QBO.S-PL25'!F:F,0,0,1)+_xlfn.XLOOKUP($B31,'QBO.S-PL25'!$C:$C,'QBO.S-PL25'!F:F,0,0,1)</f>
        <v>0</v>
      </c>
      <c r="F31" s="792">
        <f>_xlfn.XLOOKUP($A31,'QBO.S-PL24'!$B:$B,'QBO.S-PL24'!E:E,0,0,1)+_xlfn.XLOOKUP($B31,'QBO.S-PL24'!$C:$C,'QBO.S-PL24'!E:E,0,0,1)</f>
        <v>0</v>
      </c>
      <c r="G31" s="792">
        <f>_xlfn.XLOOKUP($A31,'QBO.S-PL24'!$B:$B,'QBO.S-PL24'!F:F,0,0,1)+_xlfn.XLOOKUP($B31,'QBO.S-PL24'!$C:$C,'QBO.S-PL24'!F:F,0,0,1)</f>
        <v>0</v>
      </c>
    </row>
    <row r="32" spans="1:7" x14ac:dyDescent="0.3">
      <c r="A32" t="str">
        <f>IF('QBO.S-PL25'!B32&lt;&gt;"",'QBO.S-PL25'!B32,"")</f>
        <v>8000 Exchange Gain or Loss</v>
      </c>
      <c r="B32" s="579" t="str">
        <f>IF('QBO.S-PL25'!C32&lt;&gt;"",'QBO.S-PL25'!C32,"")</f>
        <v/>
      </c>
      <c r="C32" s="792">
        <f>_xlfn.XLOOKUP($A32,'QBO.S-PL25'!$B:$B,'QBO.S-PL25'!E:E,0,0,1)+_xlfn.XLOOKUP($B32,'QBO.S-PL25'!$C:$C,'QBO.S-PL25'!E:E,0,0,1)</f>
        <v>0</v>
      </c>
      <c r="D32" s="792">
        <f>_xlfn.XLOOKUP($A32,'QBO.S-PL25'!$B:$B,'QBO.S-PL25'!F:F,0,0,1)+_xlfn.XLOOKUP($B32,'QBO.S-PL25'!$C:$C,'QBO.S-PL25'!F:F,0,0,1)</f>
        <v>42.78</v>
      </c>
      <c r="F32" s="792">
        <f>_xlfn.XLOOKUP($A32,'QBO.S-PL24'!$B:$B,'QBO.S-PL24'!E:E,0,0,1)+_xlfn.XLOOKUP($B32,'QBO.S-PL24'!$C:$C,'QBO.S-PL24'!E:E,0,0,1)</f>
        <v>0</v>
      </c>
      <c r="G32" s="792">
        <f>_xlfn.XLOOKUP($A32,'QBO.S-PL24'!$B:$B,'QBO.S-PL24'!F:F,0,0,1)+_xlfn.XLOOKUP($B32,'QBO.S-PL24'!$C:$C,'QBO.S-PL24'!F:F,0,0,1)</f>
        <v>201.26</v>
      </c>
    </row>
    <row r="33" spans="1:7" x14ac:dyDescent="0.3">
      <c r="A33" t="str">
        <f>IF('QBO.S-PL25'!B33&lt;&gt;"",'QBO.S-PL25'!B33,"")</f>
        <v/>
      </c>
      <c r="B33" s="579" t="str">
        <f>IF('QBO.S-PL25'!C33&lt;&gt;"",'QBO.S-PL25'!C33,"")</f>
        <v/>
      </c>
      <c r="C33" s="792">
        <f>_xlfn.XLOOKUP($A33,'QBO.S-PL25'!$B:$B,'QBO.S-PL25'!E:E,0,0,1)+_xlfn.XLOOKUP($B33,'QBO.S-PL25'!$C:$C,'QBO.S-PL25'!E:E,0,0,1)</f>
        <v>0</v>
      </c>
      <c r="D33" s="792">
        <f>_xlfn.XLOOKUP($A33,'QBO.S-PL25'!$B:$B,'QBO.S-PL25'!F:F,0,0,1)+_xlfn.XLOOKUP($B33,'QBO.S-PL25'!$C:$C,'QBO.S-PL25'!F:F,0,0,1)</f>
        <v>0</v>
      </c>
      <c r="F33" s="792">
        <f>_xlfn.XLOOKUP($A33,'QBO.S-PL24'!$B:$B,'QBO.S-PL24'!E:E,0,0,1)+_xlfn.XLOOKUP($B33,'QBO.S-PL24'!$C:$C,'QBO.S-PL24'!E:E,0,0,1)</f>
        <v>0</v>
      </c>
      <c r="G33" s="792">
        <f>_xlfn.XLOOKUP($A33,'QBO.S-PL24'!$B:$B,'QBO.S-PL24'!F:F,0,0,1)+_xlfn.XLOOKUP($B33,'QBO.S-PL24'!$C:$C,'QBO.S-PL24'!F:F,0,0,1)</f>
        <v>0</v>
      </c>
    </row>
    <row r="34" spans="1:7" x14ac:dyDescent="0.3">
      <c r="A34" t="str">
        <f>IF('QBO.S-PL25'!B34&lt;&gt;"",'QBO.S-PL25'!B34,"")</f>
        <v/>
      </c>
      <c r="B34" s="579" t="str">
        <f>IF('QBO.S-PL25'!C34&lt;&gt;"",'QBO.S-PL25'!C34,"")</f>
        <v/>
      </c>
      <c r="C34" s="792">
        <f>_xlfn.XLOOKUP($A34,'QBO.S-PL25'!$B:$B,'QBO.S-PL25'!E:E,0,0,1)+_xlfn.XLOOKUP($B34,'QBO.S-PL25'!$C:$C,'QBO.S-PL25'!E:E,0,0,1)</f>
        <v>0</v>
      </c>
      <c r="D34" s="792">
        <f>_xlfn.XLOOKUP($A34,'QBO.S-PL25'!$B:$B,'QBO.S-PL25'!F:F,0,0,1)+_xlfn.XLOOKUP($B34,'QBO.S-PL25'!$C:$C,'QBO.S-PL25'!F:F,0,0,1)</f>
        <v>0</v>
      </c>
      <c r="F34" s="792">
        <f>_xlfn.XLOOKUP($A34,'QBO.S-PL24'!$B:$B,'QBO.S-PL24'!E:E,0,0,1)+_xlfn.XLOOKUP($B34,'QBO.S-PL24'!$C:$C,'QBO.S-PL24'!E:E,0,0,1)</f>
        <v>0</v>
      </c>
      <c r="G34" s="792">
        <f>_xlfn.XLOOKUP($A34,'QBO.S-PL24'!$B:$B,'QBO.S-PL24'!F:F,0,0,1)+_xlfn.XLOOKUP($B34,'QBO.S-PL24'!$C:$C,'QBO.S-PL24'!F:F,0,0,1)</f>
        <v>0</v>
      </c>
    </row>
    <row r="35" spans="1:7" x14ac:dyDescent="0.3">
      <c r="A35" t="str">
        <f>IF('QBO.S-PL25'!B35&lt;&gt;"",'QBO.S-PL25'!B35,"")</f>
        <v/>
      </c>
      <c r="B35" s="579" t="str">
        <f>IF('QBO.S-PL25'!C35&lt;&gt;"",'QBO.S-PL25'!C35,"")</f>
        <v/>
      </c>
      <c r="C35" s="792">
        <f>_xlfn.XLOOKUP($A35,'QBO.S-PL25'!$B:$B,'QBO.S-PL25'!E:E,0,0,1)+_xlfn.XLOOKUP($B35,'QBO.S-PL25'!$C:$C,'QBO.S-PL25'!E:E,0,0,1)</f>
        <v>0</v>
      </c>
      <c r="D35" s="792">
        <f>-_xlfn.XLOOKUP($A35,'QBO.S-PL25'!$B:$B,'QBO.S-PL25'!F:F,0,0,1)-_xlfn.XLOOKUP($B35,'QBO.S-PL25'!$C:$C,'QBO.S-PL25'!F:F,0,0,1)</f>
        <v>0</v>
      </c>
      <c r="F35" s="792">
        <f>-_xlfn.XLOOKUP($A35,'QBO.S-PL24'!$B:$B,'QBO.S-PL24'!E:E,0,0,1)-_xlfn.XLOOKUP($B35,'QBO.S-PL24'!$C:$C,'QBO.S-PL24'!E:E,0,0,1)</f>
        <v>0</v>
      </c>
      <c r="G35" s="792">
        <f>-_xlfn.XLOOKUP($A35,'QBO.S-PL24'!$B:$B,'QBO.S-PL24'!F:F,0,0,1)-_xlfn.XLOOKUP($B35,'QBO.S-PL24'!$C:$C,'QBO.S-PL24'!F:F,0,0,1)</f>
        <v>0</v>
      </c>
    </row>
    <row r="36" spans="1:7" x14ac:dyDescent="0.3">
      <c r="A36" t="str">
        <f>IF('QBO.S-PL25'!B36&lt;&gt;"",'QBO.S-PL25'!B36,"")</f>
        <v>5000 Utility Vehicle Sales</v>
      </c>
      <c r="B36" s="579" t="str">
        <f>IF('QBO.S-PL25'!C36&lt;&gt;"",'QBO.S-PL25'!C36,"")</f>
        <v/>
      </c>
      <c r="C36" s="792">
        <f>-_xlfn.XLOOKUP($A36,'QBO.S-PL25'!$B:$B,'QBO.S-PL25'!E:E,0,0,1)-_xlfn.XLOOKUP($B36,'QBO.S-PL25'!$C:$C,'QBO.S-PL25'!E:E,0,0,1)</f>
        <v>0</v>
      </c>
      <c r="D36" s="792">
        <f>-_xlfn.XLOOKUP($A36,'QBO.S-PL25'!$B:$B,'QBO.S-PL25'!F:F,0,0,1)-_xlfn.XLOOKUP($B36,'QBO.S-PL25'!$C:$C,'QBO.S-PL25'!F:F,0,0,1)</f>
        <v>-360000</v>
      </c>
      <c r="F36" s="792">
        <f>-_xlfn.XLOOKUP($A36,'QBO.S-PL24'!$B:$B,'QBO.S-PL24'!E:E,0,0,1)-_xlfn.XLOOKUP($B36,'QBO.S-PL24'!$C:$C,'QBO.S-PL24'!E:E,0,0,1)</f>
        <v>0</v>
      </c>
      <c r="G36" s="792">
        <f>-_xlfn.XLOOKUP($A36,'QBO.S-PL24'!$B:$B,'QBO.S-PL24'!F:F,0,0,1)-_xlfn.XLOOKUP($B36,'QBO.S-PL24'!$C:$C,'QBO.S-PL24'!F:F,0,0,1)</f>
        <v>0</v>
      </c>
    </row>
    <row r="37" spans="1:7" x14ac:dyDescent="0.3">
      <c r="A37" t="str">
        <f>IF('QBO.S-PL25'!B37&lt;&gt;"",'QBO.S-PL25'!B37,"")</f>
        <v/>
      </c>
      <c r="B37" s="579" t="str">
        <f>IF('QBO.S-PL25'!C37&lt;&gt;"",'QBO.S-PL25'!C37,"")</f>
        <v/>
      </c>
      <c r="C37" s="792">
        <f>_xlfn.XLOOKUP($A37,'QBO.S-PL25'!$B:$B,'QBO.S-PL25'!E:E,0,0,1)+_xlfn.XLOOKUP($B37,'QBO.S-PL25'!$C:$C,'QBO.S-PL25'!E:E,0,0,1)</f>
        <v>0</v>
      </c>
      <c r="D37" s="792">
        <f>_xlfn.XLOOKUP($A37,'QBO.S-PL25'!$B:$B,'QBO.S-PL25'!F:F,0,0,1)+_xlfn.XLOOKUP($B37,'QBO.S-PL25'!$C:$C,'QBO.S-PL25'!F:F,0,0,1)</f>
        <v>0</v>
      </c>
      <c r="F37" s="792">
        <f>_xlfn.XLOOKUP($A37,'QBO.S-PL24'!$B:$B,'QBO.S-PL24'!E:E,0,0,1)+_xlfn.XLOOKUP($B37,'QBO.S-PL24'!$C:$C,'QBO.S-PL24'!E:E,0,0,1)</f>
        <v>0</v>
      </c>
      <c r="G37" s="792">
        <f>_xlfn.XLOOKUP($A37,'QBO.S-PL24'!$B:$B,'QBO.S-PL24'!F:F,0,0,1)+_xlfn.XLOOKUP($B37,'QBO.S-PL24'!$C:$C,'QBO.S-PL24'!F:F,0,0,1)</f>
        <v>0</v>
      </c>
    </row>
    <row r="38" spans="1:7" x14ac:dyDescent="0.3">
      <c r="A38" t="str">
        <f>IF('QBO.S-PL25'!B38&lt;&gt;"",'QBO.S-PL25'!B38,"")</f>
        <v/>
      </c>
      <c r="B38" s="579" t="str">
        <f>IF('QBO.S-PL25'!C38&lt;&gt;"",'QBO.S-PL25'!C38,"")</f>
        <v/>
      </c>
      <c r="C38" s="792">
        <f>_xlfn.XLOOKUP($A38,'QBO.S-PL25'!$B:$B,'QBO.S-PL25'!E:E,0,0,1)+_xlfn.XLOOKUP($B38,'QBO.S-PL25'!$C:$C,'QBO.S-PL25'!E:E,0,0,1)</f>
        <v>0</v>
      </c>
      <c r="D38" s="792">
        <f>_xlfn.XLOOKUP($A38,'QBO.S-PL25'!$B:$B,'QBO.S-PL25'!F:F,0,0,1)+_xlfn.XLOOKUP($B38,'QBO.S-PL25'!$C:$C,'QBO.S-PL25'!F:F,0,0,1)</f>
        <v>0</v>
      </c>
      <c r="F38" s="792">
        <f>_xlfn.XLOOKUP($A38,'QBO.S-PL24'!$B:$B,'QBO.S-PL24'!E:E,0,0,1)+_xlfn.XLOOKUP($B38,'QBO.S-PL24'!$C:$C,'QBO.S-PL24'!E:E,0,0,1)</f>
        <v>0</v>
      </c>
      <c r="G38" s="792">
        <f>_xlfn.XLOOKUP($A38,'QBO.S-PL24'!$B:$B,'QBO.S-PL24'!F:F,0,0,1)+_xlfn.XLOOKUP($B38,'QBO.S-PL24'!$C:$C,'QBO.S-PL24'!F:F,0,0,1)</f>
        <v>0</v>
      </c>
    </row>
    <row r="39" spans="1:7" x14ac:dyDescent="0.3">
      <c r="A39" t="str">
        <f>IF('QBO.S-PL25'!B39&lt;&gt;"",'QBO.S-PL25'!B39,"")</f>
        <v>5500 Cost of Goods Sold</v>
      </c>
      <c r="B39" s="579" t="str">
        <f>IF('QBO.S-PL25'!C39&lt;&gt;"",'QBO.S-PL25'!C39,"")</f>
        <v/>
      </c>
      <c r="C39" s="792">
        <f>_xlfn.XLOOKUP($A39,'QBO.S-PL25'!$B:$B,'QBO.S-PL25'!E:E,0,0,1)+_xlfn.XLOOKUP($B39,'QBO.S-PL25'!$C:$C,'QBO.S-PL25'!E:E,0,0,1)</f>
        <v>0</v>
      </c>
      <c r="D39" s="792">
        <f>_xlfn.XLOOKUP($A39,'QBO.S-PL25'!$B:$B,'QBO.S-PL25'!F:F,0,0,1)+_xlfn.XLOOKUP($B39,'QBO.S-PL25'!$C:$C,'QBO.S-PL25'!F:F,0,0,1)</f>
        <v>322512.24</v>
      </c>
      <c r="F39" s="792">
        <f>_xlfn.XLOOKUP($A39,'QBO.S-PL24'!$B:$B,'QBO.S-PL24'!E:E,0,0,1)+_xlfn.XLOOKUP($B39,'QBO.S-PL24'!$C:$C,'QBO.S-PL24'!E:E,0,0,1)</f>
        <v>0</v>
      </c>
      <c r="G39" s="792">
        <f>_xlfn.XLOOKUP($A39,'QBO.S-PL24'!$B:$B,'QBO.S-PL24'!F:F,0,0,1)+_xlfn.XLOOKUP($B39,'QBO.S-PL24'!$C:$C,'QBO.S-PL24'!F:F,0,0,1)</f>
        <v>90</v>
      </c>
    </row>
    <row r="40" spans="1:7" x14ac:dyDescent="0.3">
      <c r="A40" t="str">
        <f>IF('QBO.S-PL25'!B40&lt;&gt;"",'QBO.S-PL25'!B40,"")</f>
        <v/>
      </c>
      <c r="B40" s="579" t="str">
        <f>IF('QBO.S-PL25'!C40&lt;&gt;"",'QBO.S-PL25'!C40,"")</f>
        <v>5510 Parts and components  - COS</v>
      </c>
      <c r="C40" s="792">
        <f>_xlfn.XLOOKUP($A40,'QBO.S-PL25'!$B:$B,'QBO.S-PL25'!E:E,0,0,1)+_xlfn.XLOOKUP($B40,'QBO.S-PL25'!$C:$C,'QBO.S-PL25'!E:E,0,0,1)</f>
        <v>0</v>
      </c>
      <c r="D40" s="792">
        <f>_xlfn.XLOOKUP($A40,'QBO.S-PL25'!$B:$B,'QBO.S-PL25'!F:F,0,0,1)+_xlfn.XLOOKUP($B40,'QBO.S-PL25'!$C:$C,'QBO.S-PL25'!F:F,0,0,1)</f>
        <v>4655.68</v>
      </c>
      <c r="F40" s="792">
        <f>_xlfn.XLOOKUP($A40,'QBO.S-PL24'!$B:$B,'QBO.S-PL24'!E:E,0,0,1)+_xlfn.XLOOKUP($B40,'QBO.S-PL24'!$C:$C,'QBO.S-PL24'!E:E,0,0,1)</f>
        <v>0</v>
      </c>
      <c r="G40" s="792">
        <f>_xlfn.XLOOKUP($A40,'QBO.S-PL24'!$B:$B,'QBO.S-PL24'!F:F,0,0,1)+_xlfn.XLOOKUP($B40,'QBO.S-PL24'!$C:$C,'QBO.S-PL24'!F:F,0,0,1)</f>
        <v>-251333.95</v>
      </c>
    </row>
    <row r="41" spans="1:7" x14ac:dyDescent="0.3">
      <c r="A41" t="str">
        <f>IF('QBO.S-PL25'!B41&lt;&gt;"",'QBO.S-PL25'!B41,"")</f>
        <v/>
      </c>
      <c r="B41" s="579" t="str">
        <f>IF('QBO.S-PL25'!C41&lt;&gt;"",'QBO.S-PL25'!C41,"")</f>
        <v>5520 Subcontracting  - COS</v>
      </c>
      <c r="C41" s="792">
        <f>_xlfn.XLOOKUP($A41,'QBO.S-PL25'!$B:$B,'QBO.S-PL25'!E:E,0,0,1)+_xlfn.XLOOKUP($B41,'QBO.S-PL25'!$C:$C,'QBO.S-PL25'!E:E,0,0,1)</f>
        <v>0</v>
      </c>
      <c r="D41" s="792">
        <f>_xlfn.XLOOKUP($A41,'QBO.S-PL25'!$B:$B,'QBO.S-PL25'!F:F,0,0,1)+_xlfn.XLOOKUP($B41,'QBO.S-PL25'!$C:$C,'QBO.S-PL25'!F:F,0,0,1)</f>
        <v>887.29</v>
      </c>
      <c r="F41" s="792">
        <f>_xlfn.XLOOKUP($A41,'QBO.S-PL24'!$B:$B,'QBO.S-PL24'!E:E,0,0,1)+_xlfn.XLOOKUP($B41,'QBO.S-PL24'!$C:$C,'QBO.S-PL24'!E:E,0,0,1)</f>
        <v>0</v>
      </c>
      <c r="G41" s="792">
        <f>_xlfn.XLOOKUP($A41,'QBO.S-PL24'!$B:$B,'QBO.S-PL24'!F:F,0,0,1)+_xlfn.XLOOKUP($B41,'QBO.S-PL24'!$C:$C,'QBO.S-PL24'!F:F,0,0,1)</f>
        <v>-10833.14</v>
      </c>
    </row>
    <row r="42" spans="1:7" x14ac:dyDescent="0.3">
      <c r="A42" t="str">
        <f>IF('QBO.S-PL25'!B43&lt;&gt;"",'QBO.S-PL25'!B43,"")</f>
        <v>5511 Supplies and materials - COS</v>
      </c>
      <c r="B42" s="579" t="str">
        <f>IF('QBO.S-PL25'!C43&lt;&gt;"",'QBO.S-PL25'!C43,"")</f>
        <v/>
      </c>
      <c r="C42" s="792">
        <f>_xlfn.XLOOKUP($A42,'QBO.S-PL25'!$B:$B,'QBO.S-PL25'!E:E,0,0,1)+_xlfn.XLOOKUP($B42,'QBO.S-PL25'!$C:$C,'QBO.S-PL25'!E:E,0,0,1)</f>
        <v>0</v>
      </c>
      <c r="D42" s="792">
        <f>_xlfn.XLOOKUP($A42,'QBO.S-PL25'!$B:$B,'QBO.S-PL25'!F:F,0,0,1)+_xlfn.XLOOKUP($B42,'QBO.S-PL25'!$C:$C,'QBO.S-PL25'!F:F,0,0,1)</f>
        <v>103.12</v>
      </c>
      <c r="F42" s="792">
        <f>_xlfn.XLOOKUP($A42,'QBO.S-PL24'!$B:$B,'QBO.S-PL24'!E:E,0,0,1)+_xlfn.XLOOKUP($B42,'QBO.S-PL24'!$C:$C,'QBO.S-PL24'!E:E,0,0,1)</f>
        <v>0</v>
      </c>
      <c r="G42" s="792">
        <f>_xlfn.XLOOKUP($A42,'QBO.S-PL24'!$B:$B,'QBO.S-PL24'!F:F,0,0,1)+_xlfn.XLOOKUP($B42,'QBO.S-PL24'!$C:$C,'QBO.S-PL24'!F:F,0,0,1)</f>
        <v>-162.91</v>
      </c>
    </row>
    <row r="43" spans="1:7" x14ac:dyDescent="0.3">
      <c r="A43" t="s">
        <v>475</v>
      </c>
      <c r="B43" s="579"/>
      <c r="C43" s="792">
        <f>_xlfn.XLOOKUP($A43,'QBO.S-PL25'!$B:$B,'QBO.S-PL25'!E:E,0,0,1)+_xlfn.XLOOKUP($B43,'QBO.S-PL25'!$C:$C,'QBO.S-PL25'!E:E,0,0,1)</f>
        <v>0</v>
      </c>
      <c r="D43" s="792">
        <f>_xlfn.XLOOKUP($A43,'QBO.S-PL25'!$B:$B,'QBO.S-PL25'!F:F,0,0,1)+_xlfn.XLOOKUP($B43,'QBO.S-PL25'!$C:$C,'QBO.S-PL25'!F:F,0,0,1)</f>
        <v>0</v>
      </c>
      <c r="F43" s="792">
        <f>_xlfn.XLOOKUP($A43,'QBO.S-PL24'!$B:$B,'QBO.S-PL24'!E:E,0,0,1)+_xlfn.XLOOKUP($B43,'QBO.S-PL24'!$C:$C,'QBO.S-PL24'!E:E,0,0,1)</f>
        <v>27477.5</v>
      </c>
      <c r="G43" s="792">
        <f>_xlfn.XLOOKUP($A43,'QBO.S-PL24'!$B:$B,'QBO.S-PL24'!F:F,0,0,1)+_xlfn.XLOOKUP($B43,'QBO.S-PL24'!$C:$C,'QBO.S-PL24'!F:F,0,0,1)</f>
        <v>0</v>
      </c>
    </row>
    <row r="44" spans="1:7" x14ac:dyDescent="0.3">
      <c r="A44" t="s">
        <v>812</v>
      </c>
      <c r="B44" s="579"/>
      <c r="C44" s="792">
        <f>_xlfn.XLOOKUP($A44,'QBO.S-PL25'!$B:$B,'QBO.S-PL25'!E:E,0,0,1)+_xlfn.XLOOKUP($B44,'QBO.S-PL25'!$C:$C,'QBO.S-PL25'!E:E,0,0,1)</f>
        <v>0</v>
      </c>
      <c r="D44" s="792">
        <f>_xlfn.XLOOKUP($A44,'QBO.S-PL25'!$B:$B,'QBO.S-PL25'!F:F,0,0,1)+_xlfn.XLOOKUP($B44,'QBO.S-PL25'!$C:$C,'QBO.S-PL25'!F:F,0,0,1)</f>
        <v>0</v>
      </c>
      <c r="F44" s="792">
        <f>_xlfn.XLOOKUP($A44,'QBO.S-PL24'!$B:$B,'QBO.S-PL24'!E:E,0,0,1)+_xlfn.XLOOKUP($B44,'QBO.S-PL24'!$C:$C,'QBO.S-PL24'!E:E,0,0,1)</f>
        <v>10700</v>
      </c>
      <c r="G44" s="792">
        <f>_xlfn.XLOOKUP($A44,'QBO.S-PL24'!$B:$B,'QBO.S-PL24'!F:F,0,0,1)+_xlfn.XLOOKUP($B44,'QBO.S-PL24'!$C:$C,'QBO.S-PL24'!F:F,0,0,1)</f>
        <v>0</v>
      </c>
    </row>
    <row r="45" spans="1:7" x14ac:dyDescent="0.3">
      <c r="A45" t="s">
        <v>605</v>
      </c>
      <c r="B45" s="579"/>
      <c r="C45" s="792">
        <f>_xlfn.XLOOKUP($A45,'QBO.S-PL25'!$B:$B,'QBO.S-PL25'!E:E,0,0,1)+_xlfn.XLOOKUP($B45,'QBO.S-PL25'!$C:$C,'QBO.S-PL25'!E:E,0,0,1)</f>
        <v>0</v>
      </c>
      <c r="D45" s="792">
        <f>_xlfn.XLOOKUP($A45,'QBO.S-PL25'!$B:$B,'QBO.S-PL25'!F:F,0,0,1)+_xlfn.XLOOKUP($B45,'QBO.S-PL25'!$C:$C,'QBO.S-PL25'!F:F,0,0,1)</f>
        <v>0</v>
      </c>
      <c r="F45" s="792">
        <f>_xlfn.XLOOKUP($A45,'QBO.S-PL24'!$B:$B,'QBO.S-PL24'!E:E,0,0,1)+_xlfn.XLOOKUP($B45,'QBO.S-PL24'!$C:$C,'QBO.S-PL24'!E:E,0,0,1)</f>
        <v>0</v>
      </c>
      <c r="G45" s="792">
        <f>_xlfn.XLOOKUP($A45,'QBO.S-PL24'!$B:$B,'QBO.S-PL24'!F:F,0,0,1)+_xlfn.XLOOKUP($B45,'QBO.S-PL24'!$C:$C,'QBO.S-PL24'!F:F,0,0,1)</f>
        <v>11259.33</v>
      </c>
    </row>
    <row r="46" spans="1:7" x14ac:dyDescent="0.3">
      <c r="A46" t="s">
        <v>606</v>
      </c>
      <c r="B46" s="579"/>
      <c r="C46" s="792">
        <f>_xlfn.XLOOKUP($A46,'QBO.S-PL25'!$B:$B,'QBO.S-PL25'!E:E,0,0,1)+_xlfn.XLOOKUP($B46,'QBO.S-PL25'!$C:$C,'QBO.S-PL25'!E:E,0,0,1)</f>
        <v>0</v>
      </c>
      <c r="D46" s="792">
        <f>_xlfn.XLOOKUP($A46,'QBO.S-PL25'!$B:$B,'QBO.S-PL25'!F:F,0,0,1)+_xlfn.XLOOKUP($B46,'QBO.S-PL25'!$C:$C,'QBO.S-PL25'!F:F,0,0,1)</f>
        <v>0</v>
      </c>
      <c r="F46" s="792">
        <f>_xlfn.XLOOKUP($A46,'QBO.S-PL24'!$B:$B,'QBO.S-PL24'!E:E,0,0,1)+_xlfn.XLOOKUP($B46,'QBO.S-PL24'!$C:$C,'QBO.S-PL24'!E:E,0,0,1)</f>
        <v>0</v>
      </c>
      <c r="G46" s="792">
        <f>_xlfn.XLOOKUP($A46,'QBO.S-PL24'!$B:$B,'QBO.S-PL24'!F:F,0,0,1)+_xlfn.XLOOKUP($B46,'QBO.S-PL24'!$C:$C,'QBO.S-PL24'!F:F,0,0,1)</f>
        <v>1028.5899999999999</v>
      </c>
    </row>
    <row r="47" spans="1:7" x14ac:dyDescent="0.3">
      <c r="A47" t="s">
        <v>610</v>
      </c>
      <c r="B47" s="579"/>
      <c r="C47" s="792">
        <f>_xlfn.XLOOKUP($A47,'QBO.S-PL25'!$B:$B,'QBO.S-PL25'!E:E,0,0,1)+_xlfn.XLOOKUP($B47,'QBO.S-PL25'!$C:$C,'QBO.S-PL25'!E:E,0,0,1)</f>
        <v>0</v>
      </c>
      <c r="D47" s="792">
        <f>_xlfn.XLOOKUP($A47,'QBO.S-PL25'!$B:$B,'QBO.S-PL25'!F:F,0,0,1)+_xlfn.XLOOKUP($B47,'QBO.S-PL25'!$C:$C,'QBO.S-PL25'!F:F,0,0,1)</f>
        <v>0</v>
      </c>
      <c r="F47" s="792">
        <f>_xlfn.XLOOKUP($A47,'QBO.S-PL24'!$B:$B,'QBO.S-PL24'!E:E,0,0,1)+_xlfn.XLOOKUP($B47,'QBO.S-PL24'!$C:$C,'QBO.S-PL24'!E:E,0,0,1)</f>
        <v>0</v>
      </c>
      <c r="G47" s="792">
        <f>_xlfn.XLOOKUP($A47,'QBO.S-PL24'!$B:$B,'QBO.S-PL24'!F:F,0,0,1)+_xlfn.XLOOKUP($B47,'QBO.S-PL24'!$C:$C,'QBO.S-PL24'!F:F,0,0,1)</f>
        <v>948.31</v>
      </c>
    </row>
    <row r="48" spans="1:7" x14ac:dyDescent="0.3">
      <c r="A48" t="s">
        <v>2168</v>
      </c>
      <c r="B48" s="579"/>
      <c r="C48" s="792">
        <f>_xlfn.XLOOKUP($A48,'QBO.S-PL25'!$B:$B,'QBO.S-PL25'!E:E,0,0,1)+_xlfn.XLOOKUP($B48,'QBO.S-PL25'!$C:$C,'QBO.S-PL25'!E:E,0,0,1)</f>
        <v>0</v>
      </c>
      <c r="D48" s="792">
        <f>_xlfn.XLOOKUP($A48,'QBO.S-PL25'!$B:$B,'QBO.S-PL25'!F:F,0,0,1)+_xlfn.XLOOKUP($B48,'QBO.S-PL25'!$C:$C,'QBO.S-PL25'!F:F,0,0,1)</f>
        <v>0</v>
      </c>
      <c r="F48" s="792">
        <f>_xlfn.XLOOKUP($A48,'QBO.S-PL24'!$B:$B,'QBO.S-PL24'!E:E,0,0,1)+_xlfn.XLOOKUP($B48,'QBO.S-PL24'!$C:$C,'QBO.S-PL24'!E:E,0,0,1)</f>
        <v>-75000</v>
      </c>
      <c r="G48" s="792">
        <f>_xlfn.XLOOKUP($A48,'QBO.S-PL24'!$B:$B,'QBO.S-PL24'!F:F,0,0,1)+_xlfn.XLOOKUP($B48,'QBO.S-PL24'!$C:$C,'QBO.S-PL24'!F:F,0,0,1)</f>
        <v>0</v>
      </c>
    </row>
    <row r="49" spans="1:7" x14ac:dyDescent="0.3">
      <c r="A49" t="s">
        <v>492</v>
      </c>
      <c r="B49" s="579"/>
      <c r="C49" s="792">
        <f>_xlfn.XLOOKUP($A49,'QBO.S-PL25'!$B:$B,'QBO.S-PL25'!E:E,0,0,1)+_xlfn.XLOOKUP($B49,'QBO.S-PL25'!$C:$C,'QBO.S-PL25'!E:E,0,0,1)</f>
        <v>0</v>
      </c>
      <c r="D49" s="792">
        <f>_xlfn.XLOOKUP($A49,'QBO.S-PL25'!$B:$B,'QBO.S-PL25'!F:F,0,0,1)+_xlfn.XLOOKUP($B49,'QBO.S-PL25'!$C:$C,'QBO.S-PL25'!F:F,0,0,1)</f>
        <v>0</v>
      </c>
      <c r="F49" s="792">
        <f>_xlfn.XLOOKUP($A49,'QBO.S-PL24'!$B:$B,'QBO.S-PL24'!E:E,0,0,1)+_xlfn.XLOOKUP($B49,'QBO.S-PL24'!$C:$C,'QBO.S-PL24'!E:E,0,0,1)</f>
        <v>0</v>
      </c>
      <c r="G49" s="792">
        <f>_xlfn.XLOOKUP($A49,'QBO.S-PL24'!$B:$B,'QBO.S-PL24'!F:F,0,0,1)+_xlfn.XLOOKUP($B49,'QBO.S-PL24'!$C:$C,'QBO.S-PL24'!F:F,0,0,1)</f>
        <v>214.77</v>
      </c>
    </row>
    <row r="50" spans="1:7" x14ac:dyDescent="0.3">
      <c r="A50" t="s">
        <v>493</v>
      </c>
      <c r="B50" s="579"/>
      <c r="C50" s="792">
        <f>_xlfn.XLOOKUP($A50,'QBO.S-PL25'!$B:$B,'QBO.S-PL25'!E:E,0,0,1)+_xlfn.XLOOKUP($B50,'QBO.S-PL25'!$C:$C,'QBO.S-PL25'!E:E,0,0,1)</f>
        <v>0</v>
      </c>
      <c r="D50" s="792">
        <f>_xlfn.XLOOKUP($A50,'QBO.S-PL25'!$B:$B,'QBO.S-PL25'!F:F,0,0,1)+_xlfn.XLOOKUP($B50,'QBO.S-PL25'!$C:$C,'QBO.S-PL25'!F:F,0,0,1)</f>
        <v>0</v>
      </c>
      <c r="F50" s="792">
        <f>_xlfn.XLOOKUP($A50,'QBO.S-PL24'!$B:$B,'QBO.S-PL24'!E:E,0,0,1)+_xlfn.XLOOKUP($B50,'QBO.S-PL24'!$C:$C,'QBO.S-PL24'!E:E,0,0,1)</f>
        <v>0</v>
      </c>
      <c r="G50" s="792">
        <f>_xlfn.XLOOKUP($A50,'QBO.S-PL24'!$B:$B,'QBO.S-PL24'!F:F,0,0,1)+_xlfn.XLOOKUP($B50,'QBO.S-PL24'!$C:$C,'QBO.S-PL24'!F:F,0,0,1)</f>
        <v>-2769.58</v>
      </c>
    </row>
    <row r="51" spans="1:7" x14ac:dyDescent="0.3">
      <c r="A51" t="s">
        <v>572</v>
      </c>
      <c r="B51" s="579"/>
      <c r="C51" s="792">
        <f>-_xlfn.XLOOKUP($A51,'QBO.S-PL25'!$B:$B,'QBO.S-PL25'!E:E,0,0,1)-_xlfn.XLOOKUP($B51,'QBO.S-PL25'!$C:$C,'QBO.S-PL25'!E:E,0,0,1)</f>
        <v>0</v>
      </c>
      <c r="D51" s="792">
        <f>-_xlfn.XLOOKUP($A51,'QBO.S-PL25'!$B:$B,'QBO.S-PL25'!F:F,0,0,1)-_xlfn.XLOOKUP($B51,'QBO.S-PL25'!$C:$C,'QBO.S-PL25'!F:F,0,0,1)</f>
        <v>0</v>
      </c>
      <c r="F51" s="792">
        <f>-_xlfn.XLOOKUP($A51,'QBO.S-PL24'!$B:$B,'QBO.S-PL24'!E:E,0,0,1)-_xlfn.XLOOKUP($B51,'QBO.S-PL24'!$C:$C,'QBO.S-PL24'!E:E,0,0,1)</f>
        <v>0</v>
      </c>
      <c r="G51" s="792">
        <f>-_xlfn.XLOOKUP($A51,'QBO.S-PL24'!$B:$B,'QBO.S-PL24'!F:F,0,0,1)-_xlfn.XLOOKUP($B51,'QBO.S-PL24'!$C:$C,'QBO.S-PL24'!F:F,0,0,1)</f>
        <v>-3150</v>
      </c>
    </row>
    <row r="52" spans="1:7" x14ac:dyDescent="0.3">
      <c r="B52" s="579" t="s">
        <v>2169</v>
      </c>
      <c r="C52" s="792">
        <f>-_xlfn.XLOOKUP($A52,'QBO.S-PL25'!$B:$B,'QBO.S-PL25'!E:E,0,0,1)-_xlfn.XLOOKUP($B52,'QBO.S-PL25'!$C:$C,'QBO.S-PL25'!E:E,0,0,1)</f>
        <v>0</v>
      </c>
      <c r="D52" s="792">
        <f>-_xlfn.XLOOKUP($A52,'QBO.S-PL25'!$B:$B,'QBO.S-PL25'!F:F,0,0,1)-_xlfn.XLOOKUP($B52,'QBO.S-PL25'!$C:$C,'QBO.S-PL25'!F:F,0,0,1)</f>
        <v>0</v>
      </c>
      <c r="F52" s="792">
        <f>_xlfn.XLOOKUP($A52,'QBO.S-PL24'!$B:$B,'QBO.S-PL24'!E:E,0,0,1)+_xlfn.XLOOKUP($B52,'QBO.S-PL24'!$C:$C,'QBO.S-PL24'!E:E,0,0,1)</f>
        <v>0</v>
      </c>
      <c r="G52" s="792">
        <f>_xlfn.XLOOKUP($A52,'QBO.S-PL24'!$B:$B,'QBO.S-PL24'!F:F,0,0,1)+_xlfn.XLOOKUP($B52,'QBO.S-PL24'!$C:$C,'QBO.S-PL24'!F:F,0,0,1)</f>
        <v>-15460.46</v>
      </c>
    </row>
    <row r="53" spans="1:7" x14ac:dyDescent="0.3">
      <c r="B53" s="579"/>
      <c r="C53" s="792">
        <f>-_xlfn.XLOOKUP($A53,'QBO.S-PL25'!$B:$B,'QBO.S-PL25'!E:E,0,0,1)-_xlfn.XLOOKUP($B53,'QBO.S-PL25'!$C:$C,'QBO.S-PL25'!E:E,0,0,1)</f>
        <v>0</v>
      </c>
      <c r="D53" s="792">
        <f>-_xlfn.XLOOKUP($A53,'QBO.S-PL25'!$B:$B,'QBO.S-PL25'!F:F,0,0,1)-_xlfn.XLOOKUP($B53,'QBO.S-PL25'!$C:$C,'QBO.S-PL25'!F:F,0,0,1)</f>
        <v>0</v>
      </c>
      <c r="F53" s="792">
        <f>-_xlfn.XLOOKUP($A53,'QBO.S-PL24'!$B:$B,'QBO.S-PL24'!E:E,0,0,1)-_xlfn.XLOOKUP($B53,'QBO.S-PL24'!$C:$C,'QBO.S-PL24'!E:E,0,0,1)</f>
        <v>0</v>
      </c>
      <c r="G53" s="792">
        <f>-_xlfn.XLOOKUP($A53,'QBO.S-PL24'!$B:$B,'QBO.S-PL24'!F:F,0,0,1)-_xlfn.XLOOKUP($B53,'QBO.S-PL24'!$C:$C,'QBO.S-PL24'!F:F,0,0,1)</f>
        <v>0</v>
      </c>
    </row>
    <row r="54" spans="1:7" ht="15" thickBot="1" x14ac:dyDescent="0.35">
      <c r="A54" s="1411" t="s">
        <v>2001</v>
      </c>
      <c r="B54" s="1411"/>
      <c r="C54" s="1412">
        <f>-SUM(C5:C53)</f>
        <v>-325418.59999999998</v>
      </c>
      <c r="D54" s="1412">
        <f>-SUM(D5:D53)</f>
        <v>-289954.56999999995</v>
      </c>
      <c r="F54" s="1412">
        <f>-SUM(F5:F53)</f>
        <v>-225911.64999999997</v>
      </c>
      <c r="G54" s="1412">
        <f>-SUM(G5:G53)</f>
        <v>204746.49000000005</v>
      </c>
    </row>
    <row r="55" spans="1:7" ht="15" thickTop="1" x14ac:dyDescent="0.3"/>
    <row r="56" spans="1:7" x14ac:dyDescent="0.3">
      <c r="A56" s="1343" t="s">
        <v>507</v>
      </c>
      <c r="B56" s="1343"/>
      <c r="C56" s="1343">
        <f>'QBO.S-PL25'!E34-C54</f>
        <v>0</v>
      </c>
      <c r="D56" s="1343">
        <f>'QBO.S-PL25'!F34-D54</f>
        <v>0</v>
      </c>
      <c r="F56" s="1343">
        <f>'QBO.S-PL24'!E42-F54</f>
        <v>0</v>
      </c>
      <c r="G56" s="1343">
        <f>'QBO.S-PL24'!F42-G54</f>
        <v>0</v>
      </c>
    </row>
    <row r="57" spans="1:7" x14ac:dyDescent="0.3">
      <c r="D57" s="167"/>
      <c r="G57" s="167"/>
    </row>
  </sheetData>
  <conditionalFormatting sqref="A1:A1048576">
    <cfRule type="duplicateValues" dxfId="0" priority="1"/>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F080-DAFC-491E-9F12-6742F7AC9820}">
  <sheetPr>
    <tabColor rgb="FF24A205"/>
  </sheetPr>
  <dimension ref="A1:I851"/>
  <sheetViews>
    <sheetView workbookViewId="0"/>
  </sheetViews>
  <sheetFormatPr defaultRowHeight="14.4" x14ac:dyDescent="0.3"/>
  <cols>
    <col min="1" max="1" width="10.44140625" bestFit="1" customWidth="1"/>
    <col min="2" max="2" width="37.6640625" bestFit="1" customWidth="1"/>
    <col min="3" max="3" width="7.109375" bestFit="1" customWidth="1"/>
    <col min="4" max="5" width="9.88671875" bestFit="1" customWidth="1"/>
    <col min="6" max="9" width="10.6640625" bestFit="1" customWidth="1"/>
  </cols>
  <sheetData>
    <row r="1" spans="1:9" ht="31.35" customHeight="1" x14ac:dyDescent="0.3">
      <c r="A1" s="1413" t="s">
        <v>2002</v>
      </c>
      <c r="B1" s="1414"/>
      <c r="C1" s="1414"/>
      <c r="D1" s="1414"/>
      <c r="E1" s="1414"/>
      <c r="F1" s="1414"/>
      <c r="G1" s="1414"/>
      <c r="H1" s="1414"/>
      <c r="I1" s="1414"/>
    </row>
    <row r="2" spans="1:9" s="1410" customFormat="1" ht="15" thickBot="1" x14ac:dyDescent="0.35">
      <c r="A2" s="1415" t="s">
        <v>643</v>
      </c>
      <c r="B2" s="1415" t="s">
        <v>643</v>
      </c>
      <c r="C2" s="1416" t="s">
        <v>2003</v>
      </c>
      <c r="D2" s="1605" t="s">
        <v>496</v>
      </c>
      <c r="E2" s="1605"/>
      <c r="F2" s="1605" t="s">
        <v>642</v>
      </c>
      <c r="G2" s="1605"/>
      <c r="H2" s="1606" t="s">
        <v>71</v>
      </c>
      <c r="I2" s="1606"/>
    </row>
    <row r="3" spans="1:9" s="1410" customFormat="1" ht="15" thickTop="1" x14ac:dyDescent="0.3">
      <c r="A3" s="1415"/>
      <c r="B3" s="1415"/>
      <c r="C3" s="1415"/>
      <c r="D3" s="1607" t="s">
        <v>2265</v>
      </c>
      <c r="E3" s="1607"/>
      <c r="F3" s="1607" t="s">
        <v>2265</v>
      </c>
      <c r="G3" s="1607"/>
      <c r="H3" s="1608" t="s">
        <v>2265</v>
      </c>
      <c r="I3" s="1608"/>
    </row>
    <row r="4" spans="1:9" s="1410" customFormat="1" x14ac:dyDescent="0.3">
      <c r="A4" s="1417" t="s">
        <v>2004</v>
      </c>
      <c r="B4" s="1417" t="s">
        <v>894</v>
      </c>
      <c r="C4" s="1415"/>
      <c r="D4" s="1417" t="s">
        <v>251</v>
      </c>
      <c r="E4" s="1417" t="s">
        <v>252</v>
      </c>
      <c r="F4" s="1417" t="s">
        <v>251</v>
      </c>
      <c r="G4" s="1417" t="s">
        <v>252</v>
      </c>
      <c r="H4" s="1418" t="s">
        <v>251</v>
      </c>
      <c r="I4" s="1418" t="s">
        <v>252</v>
      </c>
    </row>
    <row r="5" spans="1:9" x14ac:dyDescent="0.3">
      <c r="A5" s="1417" t="s">
        <v>2041</v>
      </c>
      <c r="B5" s="1417" t="s">
        <v>2042</v>
      </c>
      <c r="C5" s="1415" t="s">
        <v>2006</v>
      </c>
      <c r="D5" s="1419">
        <v>0</v>
      </c>
      <c r="E5" s="1419">
        <v>0</v>
      </c>
      <c r="F5" s="1419">
        <v>1500</v>
      </c>
      <c r="G5" s="1419">
        <v>0</v>
      </c>
      <c r="H5" s="1420">
        <v>1500</v>
      </c>
      <c r="I5" s="1420">
        <v>0</v>
      </c>
    </row>
    <row r="6" spans="1:9" x14ac:dyDescent="0.3">
      <c r="A6" s="1417" t="s">
        <v>2005</v>
      </c>
      <c r="B6" s="1417" t="s">
        <v>1870</v>
      </c>
      <c r="C6" s="1415" t="s">
        <v>2006</v>
      </c>
      <c r="D6" s="1419">
        <v>0</v>
      </c>
      <c r="E6" s="1419">
        <v>0</v>
      </c>
      <c r="F6" s="1419">
        <v>0</v>
      </c>
      <c r="G6" s="1419">
        <v>340678.05</v>
      </c>
      <c r="H6" s="1420">
        <v>0</v>
      </c>
      <c r="I6" s="1420">
        <v>340678.05</v>
      </c>
    </row>
    <row r="7" spans="1:9" x14ac:dyDescent="0.3">
      <c r="A7" s="1417" t="s">
        <v>2005</v>
      </c>
      <c r="B7" s="1417" t="s">
        <v>1674</v>
      </c>
      <c r="C7" s="1415" t="s">
        <v>2006</v>
      </c>
      <c r="D7" s="1419">
        <v>0</v>
      </c>
      <c r="E7" s="1419">
        <v>308086.95</v>
      </c>
      <c r="F7" s="1419">
        <v>0</v>
      </c>
      <c r="G7" s="1419">
        <v>0</v>
      </c>
      <c r="H7" s="1420">
        <v>0</v>
      </c>
      <c r="I7" s="1420">
        <v>308086.95</v>
      </c>
    </row>
    <row r="8" spans="1:9" x14ac:dyDescent="0.3">
      <c r="A8" s="1417" t="s">
        <v>2010</v>
      </c>
      <c r="B8" s="1417" t="s">
        <v>2007</v>
      </c>
      <c r="C8" s="1415" t="s">
        <v>2006</v>
      </c>
      <c r="D8" s="1419">
        <v>0</v>
      </c>
      <c r="E8" s="1419">
        <v>0</v>
      </c>
      <c r="F8" s="1419">
        <v>0</v>
      </c>
      <c r="G8" s="1419">
        <v>85.95</v>
      </c>
      <c r="H8" s="1420">
        <v>0</v>
      </c>
      <c r="I8" s="1420">
        <v>85.95</v>
      </c>
    </row>
    <row r="9" spans="1:9" x14ac:dyDescent="0.3">
      <c r="A9" s="1417" t="s">
        <v>2008</v>
      </c>
      <c r="B9" s="1417" t="s">
        <v>2009</v>
      </c>
      <c r="C9" s="1415" t="s">
        <v>2006</v>
      </c>
      <c r="D9" s="1419">
        <v>0</v>
      </c>
      <c r="E9" s="1419">
        <v>0</v>
      </c>
      <c r="F9" s="1419">
        <v>17.5</v>
      </c>
      <c r="G9" s="1419">
        <v>0</v>
      </c>
      <c r="H9" s="1420">
        <v>17.5</v>
      </c>
      <c r="I9" s="1420">
        <v>0</v>
      </c>
    </row>
    <row r="10" spans="1:9" x14ac:dyDescent="0.3">
      <c r="A10" s="1417" t="s">
        <v>2027</v>
      </c>
      <c r="B10" s="1417" t="s">
        <v>1369</v>
      </c>
      <c r="C10" s="1415" t="s">
        <v>2006</v>
      </c>
      <c r="D10" s="1419">
        <v>18105.07</v>
      </c>
      <c r="E10" s="1419">
        <v>0</v>
      </c>
      <c r="F10" s="1419">
        <v>0</v>
      </c>
      <c r="G10" s="1419">
        <v>0</v>
      </c>
      <c r="H10" s="1420">
        <v>18105.07</v>
      </c>
      <c r="I10" s="1420">
        <v>0</v>
      </c>
    </row>
    <row r="11" spans="1:9" x14ac:dyDescent="0.3">
      <c r="A11" s="1417" t="s">
        <v>2043</v>
      </c>
      <c r="B11" s="1417" t="s">
        <v>2011</v>
      </c>
      <c r="C11" s="1415" t="s">
        <v>2006</v>
      </c>
      <c r="D11" s="1419">
        <v>0</v>
      </c>
      <c r="E11" s="1419">
        <v>53625</v>
      </c>
      <c r="F11" s="1419">
        <v>0</v>
      </c>
      <c r="G11" s="1419">
        <v>0</v>
      </c>
      <c r="H11" s="1420">
        <v>0</v>
      </c>
      <c r="I11" s="1420">
        <v>53625</v>
      </c>
    </row>
    <row r="12" spans="1:9" x14ac:dyDescent="0.3">
      <c r="A12" s="1417" t="s">
        <v>2044</v>
      </c>
      <c r="B12" s="1417" t="s">
        <v>2011</v>
      </c>
      <c r="C12" s="1415" t="s">
        <v>2006</v>
      </c>
      <c r="D12" s="1419">
        <v>0</v>
      </c>
      <c r="E12" s="1419">
        <v>0</v>
      </c>
      <c r="F12" s="1419">
        <v>0</v>
      </c>
      <c r="G12" s="1419">
        <v>54750</v>
      </c>
      <c r="H12" s="1420">
        <v>0</v>
      </c>
      <c r="I12" s="1420">
        <v>54750</v>
      </c>
    </row>
    <row r="13" spans="1:9" x14ac:dyDescent="0.3">
      <c r="A13" s="1417" t="s">
        <v>2180</v>
      </c>
      <c r="B13" s="1417" t="s">
        <v>2181</v>
      </c>
      <c r="C13" s="1415" t="s">
        <v>2006</v>
      </c>
      <c r="D13" s="1419">
        <v>0</v>
      </c>
      <c r="E13" s="1419">
        <v>88016</v>
      </c>
      <c r="F13" s="1419">
        <v>0</v>
      </c>
      <c r="G13" s="1419">
        <v>0</v>
      </c>
      <c r="H13" s="1420">
        <v>0</v>
      </c>
      <c r="I13" s="1420">
        <v>88016</v>
      </c>
    </row>
    <row r="14" spans="1:9" x14ac:dyDescent="0.3">
      <c r="A14" s="1417" t="s">
        <v>2266</v>
      </c>
      <c r="B14" s="1417" t="s">
        <v>138</v>
      </c>
      <c r="C14" s="1415" t="s">
        <v>2006</v>
      </c>
      <c r="D14" s="1419">
        <v>0</v>
      </c>
      <c r="E14" s="1419">
        <v>0</v>
      </c>
      <c r="F14" s="1419">
        <v>0</v>
      </c>
      <c r="G14" s="1419">
        <v>2774471</v>
      </c>
      <c r="H14" s="1420">
        <v>0</v>
      </c>
      <c r="I14" s="1420">
        <v>2774471</v>
      </c>
    </row>
    <row r="15" spans="1:9" x14ac:dyDescent="0.3">
      <c r="A15" s="1417" t="s">
        <v>2023</v>
      </c>
      <c r="B15" s="1417" t="s">
        <v>2045</v>
      </c>
      <c r="C15" s="1415" t="s">
        <v>2006</v>
      </c>
      <c r="D15" s="1419">
        <v>0</v>
      </c>
      <c r="E15" s="1419">
        <v>0</v>
      </c>
      <c r="F15" s="1419">
        <v>39640.050000000003</v>
      </c>
      <c r="G15" s="1419">
        <v>0</v>
      </c>
      <c r="H15" s="1420">
        <v>39640.050000000003</v>
      </c>
      <c r="I15" s="1420">
        <v>0</v>
      </c>
    </row>
    <row r="16" spans="1:9" x14ac:dyDescent="0.3">
      <c r="A16" s="1417" t="s">
        <v>2267</v>
      </c>
      <c r="B16" s="1417" t="s">
        <v>10</v>
      </c>
      <c r="C16" s="1415" t="s">
        <v>2006</v>
      </c>
      <c r="D16" s="1419">
        <v>0</v>
      </c>
      <c r="E16" s="1419">
        <v>0</v>
      </c>
      <c r="F16" s="1419">
        <v>314091</v>
      </c>
      <c r="G16" s="1419">
        <v>0</v>
      </c>
      <c r="H16" s="1420">
        <v>314091</v>
      </c>
      <c r="I16" s="1420">
        <v>0</v>
      </c>
    </row>
    <row r="17" spans="1:9" x14ac:dyDescent="0.3">
      <c r="A17" s="1417" t="s">
        <v>2046</v>
      </c>
      <c r="B17" s="1417" t="s">
        <v>2047</v>
      </c>
      <c r="C17" s="1415" t="s">
        <v>2006</v>
      </c>
      <c r="D17" s="1419">
        <v>0</v>
      </c>
      <c r="E17" s="1419">
        <v>0</v>
      </c>
      <c r="F17" s="1419">
        <v>0</v>
      </c>
      <c r="G17" s="1419">
        <v>5.5</v>
      </c>
      <c r="H17" s="1420">
        <v>0</v>
      </c>
      <c r="I17" s="1420">
        <v>5.5</v>
      </c>
    </row>
    <row r="18" spans="1:9" x14ac:dyDescent="0.3">
      <c r="A18" s="1417" t="s">
        <v>2031</v>
      </c>
      <c r="B18" s="1417" t="s">
        <v>1727</v>
      </c>
      <c r="C18" s="1415" t="s">
        <v>2006</v>
      </c>
      <c r="D18" s="1419">
        <v>563.70000000000005</v>
      </c>
      <c r="E18" s="1419">
        <v>0</v>
      </c>
      <c r="F18" s="1419">
        <v>313.16000000000003</v>
      </c>
      <c r="G18" s="1419">
        <v>0</v>
      </c>
      <c r="H18" s="1420">
        <v>876.86</v>
      </c>
      <c r="I18" s="1420">
        <v>0</v>
      </c>
    </row>
    <row r="19" spans="1:9" x14ac:dyDescent="0.3">
      <c r="A19" s="1417" t="s">
        <v>2048</v>
      </c>
      <c r="B19" s="1417" t="s">
        <v>2049</v>
      </c>
      <c r="C19" s="1415" t="s">
        <v>2006</v>
      </c>
      <c r="D19" s="1419">
        <v>0</v>
      </c>
      <c r="E19" s="1419">
        <v>0</v>
      </c>
      <c r="F19" s="1419">
        <v>0</v>
      </c>
      <c r="G19" s="1419">
        <v>0</v>
      </c>
      <c r="H19" s="1420">
        <v>0</v>
      </c>
      <c r="I19" s="1420">
        <v>0</v>
      </c>
    </row>
    <row r="20" spans="1:9" x14ac:dyDescent="0.3">
      <c r="A20" s="1417" t="s">
        <v>2050</v>
      </c>
      <c r="B20" s="1417" t="s">
        <v>2051</v>
      </c>
      <c r="C20" s="1415" t="s">
        <v>2006</v>
      </c>
      <c r="D20" s="1419">
        <v>0</v>
      </c>
      <c r="E20" s="1419">
        <v>0</v>
      </c>
      <c r="F20" s="1419">
        <v>0</v>
      </c>
      <c r="G20" s="1419">
        <v>59349.72</v>
      </c>
      <c r="H20" s="1420">
        <v>0</v>
      </c>
      <c r="I20" s="1420">
        <v>59349.72</v>
      </c>
    </row>
    <row r="21" spans="1:9" x14ac:dyDescent="0.3">
      <c r="A21" s="1417" t="s">
        <v>2012</v>
      </c>
      <c r="B21" s="1417" t="s">
        <v>2052</v>
      </c>
      <c r="C21" s="1415" t="s">
        <v>2006</v>
      </c>
      <c r="D21" s="1419">
        <v>0</v>
      </c>
      <c r="E21" s="1419">
        <v>165.34</v>
      </c>
      <c r="F21" s="1419">
        <v>0</v>
      </c>
      <c r="G21" s="1419">
        <v>0</v>
      </c>
      <c r="H21" s="1420">
        <v>0</v>
      </c>
      <c r="I21" s="1420">
        <v>165.34</v>
      </c>
    </row>
    <row r="22" spans="1:9" x14ac:dyDescent="0.3">
      <c r="A22" s="1417" t="s">
        <v>2053</v>
      </c>
      <c r="B22" s="1417" t="s">
        <v>2054</v>
      </c>
      <c r="C22" s="1415" t="s">
        <v>2006</v>
      </c>
      <c r="D22" s="1419">
        <v>0</v>
      </c>
      <c r="E22" s="1419">
        <v>0</v>
      </c>
      <c r="F22" s="1419">
        <v>0</v>
      </c>
      <c r="G22" s="1419">
        <v>24</v>
      </c>
      <c r="H22" s="1420">
        <v>0</v>
      </c>
      <c r="I22" s="1420">
        <v>24</v>
      </c>
    </row>
    <row r="23" spans="1:9" x14ac:dyDescent="0.3">
      <c r="A23" s="1417" t="s">
        <v>2055</v>
      </c>
      <c r="B23" s="1417" t="s">
        <v>2056</v>
      </c>
      <c r="C23" s="1415" t="s">
        <v>2006</v>
      </c>
      <c r="D23" s="1419">
        <v>0</v>
      </c>
      <c r="E23" s="1419">
        <v>0</v>
      </c>
      <c r="F23" s="1419">
        <v>0</v>
      </c>
      <c r="G23" s="1419">
        <v>12</v>
      </c>
      <c r="H23" s="1420">
        <v>0</v>
      </c>
      <c r="I23" s="1420">
        <v>12</v>
      </c>
    </row>
    <row r="24" spans="1:9" x14ac:dyDescent="0.3">
      <c r="A24" s="1417" t="s">
        <v>2057</v>
      </c>
      <c r="B24" s="1417" t="s">
        <v>2058</v>
      </c>
      <c r="C24" s="1415" t="s">
        <v>2006</v>
      </c>
      <c r="D24" s="1419">
        <v>0</v>
      </c>
      <c r="E24" s="1419">
        <v>0</v>
      </c>
      <c r="F24" s="1419">
        <v>0</v>
      </c>
      <c r="G24" s="1419">
        <v>12</v>
      </c>
      <c r="H24" s="1420">
        <v>0</v>
      </c>
      <c r="I24" s="1420">
        <v>12</v>
      </c>
    </row>
    <row r="25" spans="1:9" x14ac:dyDescent="0.3">
      <c r="A25" s="1417" t="s">
        <v>2059</v>
      </c>
      <c r="B25" s="1417" t="s">
        <v>1162</v>
      </c>
      <c r="C25" s="1415" t="s">
        <v>2006</v>
      </c>
      <c r="D25" s="1419">
        <v>0</v>
      </c>
      <c r="E25" s="1419">
        <v>0</v>
      </c>
      <c r="F25" s="1419">
        <v>149417</v>
      </c>
      <c r="G25" s="1419">
        <v>0</v>
      </c>
      <c r="H25" s="1420">
        <v>149417</v>
      </c>
      <c r="I25" s="1420">
        <v>0</v>
      </c>
    </row>
    <row r="26" spans="1:9" x14ac:dyDescent="0.3">
      <c r="A26" s="1417" t="s">
        <v>2060</v>
      </c>
      <c r="B26" s="1417" t="s">
        <v>1177</v>
      </c>
      <c r="C26" s="1415" t="s">
        <v>2006</v>
      </c>
      <c r="D26" s="1419">
        <v>16000</v>
      </c>
      <c r="E26" s="1419">
        <v>0</v>
      </c>
      <c r="F26" s="1419">
        <v>0</v>
      </c>
      <c r="G26" s="1419">
        <v>0</v>
      </c>
      <c r="H26" s="1420">
        <v>16000</v>
      </c>
      <c r="I26" s="1420">
        <v>0</v>
      </c>
    </row>
    <row r="27" spans="1:9" x14ac:dyDescent="0.3">
      <c r="A27" s="1417" t="s">
        <v>2020</v>
      </c>
      <c r="B27" s="1417" t="s">
        <v>2061</v>
      </c>
      <c r="C27" s="1415" t="s">
        <v>2006</v>
      </c>
      <c r="D27" s="1419">
        <v>0</v>
      </c>
      <c r="E27" s="1419">
        <v>0</v>
      </c>
      <c r="F27" s="1419">
        <v>0</v>
      </c>
      <c r="G27" s="1419">
        <v>98.09</v>
      </c>
      <c r="H27" s="1420">
        <v>0</v>
      </c>
      <c r="I27" s="1420">
        <v>98.09</v>
      </c>
    </row>
    <row r="28" spans="1:9" x14ac:dyDescent="0.3">
      <c r="A28" s="1417" t="s">
        <v>2019</v>
      </c>
      <c r="B28" s="1417" t="s">
        <v>685</v>
      </c>
      <c r="C28" s="1415" t="s">
        <v>2006</v>
      </c>
      <c r="D28" s="1419">
        <v>0</v>
      </c>
      <c r="E28" s="1419">
        <v>225000</v>
      </c>
      <c r="F28" s="1419">
        <v>0</v>
      </c>
      <c r="G28" s="1419">
        <v>0</v>
      </c>
      <c r="H28" s="1420">
        <v>0</v>
      </c>
      <c r="I28" s="1420">
        <v>225000</v>
      </c>
    </row>
    <row r="29" spans="1:9" x14ac:dyDescent="0.3">
      <c r="A29" s="1417" t="s">
        <v>2018</v>
      </c>
      <c r="B29" s="1417" t="s">
        <v>502</v>
      </c>
      <c r="C29" s="1415" t="s">
        <v>2006</v>
      </c>
      <c r="D29" s="1419">
        <v>556400</v>
      </c>
      <c r="E29" s="1419">
        <v>0</v>
      </c>
      <c r="F29" s="1419">
        <v>0</v>
      </c>
      <c r="G29" s="1419">
        <v>0</v>
      </c>
      <c r="H29" s="1420">
        <v>556400</v>
      </c>
      <c r="I29" s="1420">
        <v>0</v>
      </c>
    </row>
    <row r="30" spans="1:9" x14ac:dyDescent="0.3">
      <c r="A30" s="1417" t="s">
        <v>2066</v>
      </c>
      <c r="B30" s="1417" t="s">
        <v>2067</v>
      </c>
      <c r="C30" s="1415" t="s">
        <v>2006</v>
      </c>
      <c r="D30" s="1419">
        <v>0</v>
      </c>
      <c r="E30" s="1419">
        <v>0</v>
      </c>
      <c r="F30" s="1419">
        <v>0</v>
      </c>
      <c r="G30" s="1419">
        <v>0</v>
      </c>
      <c r="H30" s="1420">
        <v>0</v>
      </c>
      <c r="I30" s="1420">
        <v>0</v>
      </c>
    </row>
    <row r="31" spans="1:9" x14ac:dyDescent="0.3">
      <c r="A31" s="1417" t="s">
        <v>2268</v>
      </c>
      <c r="B31" s="1417" t="s">
        <v>99</v>
      </c>
      <c r="C31" s="1415" t="s">
        <v>2006</v>
      </c>
      <c r="D31" s="1419">
        <v>0</v>
      </c>
      <c r="E31" s="1419">
        <v>0</v>
      </c>
      <c r="F31" s="1419">
        <v>0</v>
      </c>
      <c r="G31" s="1419">
        <v>507800</v>
      </c>
      <c r="H31" s="1420">
        <v>0</v>
      </c>
      <c r="I31" s="1420">
        <v>507800</v>
      </c>
    </row>
    <row r="32" spans="1:9" x14ac:dyDescent="0.3">
      <c r="A32" s="1417" t="s">
        <v>2182</v>
      </c>
      <c r="B32" s="1417" t="s">
        <v>686</v>
      </c>
      <c r="C32" s="1415" t="s">
        <v>2006</v>
      </c>
      <c r="D32" s="1419">
        <v>0</v>
      </c>
      <c r="E32" s="1419">
        <v>0</v>
      </c>
      <c r="F32" s="1419">
        <v>0</v>
      </c>
      <c r="G32" s="1419">
        <v>0</v>
      </c>
      <c r="H32" s="1420">
        <v>0</v>
      </c>
      <c r="I32" s="1420">
        <v>0</v>
      </c>
    </row>
    <row r="33" spans="1:9" x14ac:dyDescent="0.3">
      <c r="A33" s="1417" t="s">
        <v>2070</v>
      </c>
      <c r="B33" s="1417" t="s">
        <v>2071</v>
      </c>
      <c r="C33" s="1415" t="s">
        <v>2006</v>
      </c>
      <c r="D33" s="1419">
        <v>0</v>
      </c>
      <c r="E33" s="1419">
        <v>0</v>
      </c>
      <c r="F33" s="1419">
        <v>0</v>
      </c>
      <c r="G33" s="1419">
        <v>0</v>
      </c>
      <c r="H33" s="1420">
        <v>0</v>
      </c>
      <c r="I33" s="1420">
        <v>0</v>
      </c>
    </row>
    <row r="34" spans="1:9" x14ac:dyDescent="0.3">
      <c r="A34" s="1417" t="s">
        <v>2269</v>
      </c>
      <c r="B34" s="1417" t="s">
        <v>2270</v>
      </c>
      <c r="C34" s="1415" t="s">
        <v>2006</v>
      </c>
      <c r="D34" s="1419">
        <v>0</v>
      </c>
      <c r="E34" s="1419">
        <v>0</v>
      </c>
      <c r="F34" s="1419">
        <v>0</v>
      </c>
      <c r="G34" s="1419">
        <v>0</v>
      </c>
      <c r="H34" s="1420">
        <v>0</v>
      </c>
      <c r="I34" s="1420">
        <v>0</v>
      </c>
    </row>
    <row r="35" spans="1:9" x14ac:dyDescent="0.3">
      <c r="A35" s="1417" t="s">
        <v>2033</v>
      </c>
      <c r="B35" s="1417" t="s">
        <v>2072</v>
      </c>
      <c r="C35" s="1415" t="s">
        <v>2006</v>
      </c>
      <c r="D35" s="1419">
        <v>0</v>
      </c>
      <c r="E35" s="1419">
        <v>0</v>
      </c>
      <c r="F35" s="1419">
        <v>0</v>
      </c>
      <c r="G35" s="1419">
        <v>0</v>
      </c>
      <c r="H35" s="1420">
        <v>0</v>
      </c>
      <c r="I35" s="1420">
        <v>0</v>
      </c>
    </row>
    <row r="36" spans="1:9" x14ac:dyDescent="0.3">
      <c r="A36" s="1417" t="s">
        <v>2073</v>
      </c>
      <c r="B36" s="1417" t="s">
        <v>2074</v>
      </c>
      <c r="C36" s="1415" t="s">
        <v>2006</v>
      </c>
      <c r="D36" s="1419">
        <v>0</v>
      </c>
      <c r="E36" s="1419">
        <v>0</v>
      </c>
      <c r="F36" s="1419">
        <v>0</v>
      </c>
      <c r="G36" s="1419">
        <v>0</v>
      </c>
      <c r="H36" s="1420">
        <v>0</v>
      </c>
      <c r="I36" s="1420">
        <v>0</v>
      </c>
    </row>
    <row r="37" spans="1:9" x14ac:dyDescent="0.3">
      <c r="A37" s="1417" t="s">
        <v>2075</v>
      </c>
      <c r="B37" s="1417" t="s">
        <v>2076</v>
      </c>
      <c r="C37" s="1415" t="s">
        <v>2006</v>
      </c>
      <c r="D37" s="1419">
        <v>0</v>
      </c>
      <c r="E37" s="1419">
        <v>0</v>
      </c>
      <c r="F37" s="1419">
        <v>0</v>
      </c>
      <c r="G37" s="1419">
        <v>0</v>
      </c>
      <c r="H37" s="1420">
        <v>0</v>
      </c>
      <c r="I37" s="1420">
        <v>0</v>
      </c>
    </row>
    <row r="38" spans="1:9" x14ac:dyDescent="0.3">
      <c r="A38" s="1417" t="s">
        <v>2077</v>
      </c>
      <c r="B38" s="1417" t="s">
        <v>2078</v>
      </c>
      <c r="C38" s="1415" t="s">
        <v>2006</v>
      </c>
      <c r="D38" s="1419">
        <v>0</v>
      </c>
      <c r="E38" s="1419">
        <v>0</v>
      </c>
      <c r="F38" s="1419">
        <v>0</v>
      </c>
      <c r="G38" s="1419">
        <v>0</v>
      </c>
      <c r="H38" s="1420">
        <v>0</v>
      </c>
      <c r="I38" s="1420">
        <v>0</v>
      </c>
    </row>
    <row r="39" spans="1:9" x14ac:dyDescent="0.3">
      <c r="A39" s="1417" t="s">
        <v>2079</v>
      </c>
      <c r="B39" s="1417" t="s">
        <v>2080</v>
      </c>
      <c r="C39" s="1415" t="s">
        <v>2006</v>
      </c>
      <c r="D39" s="1419">
        <v>0</v>
      </c>
      <c r="E39" s="1419">
        <v>0</v>
      </c>
      <c r="F39" s="1419">
        <v>0</v>
      </c>
      <c r="G39" s="1419">
        <v>0</v>
      </c>
      <c r="H39" s="1420">
        <v>0</v>
      </c>
      <c r="I39" s="1420">
        <v>0</v>
      </c>
    </row>
    <row r="40" spans="1:9" x14ac:dyDescent="0.3">
      <c r="A40" s="1417" t="s">
        <v>2081</v>
      </c>
      <c r="B40" s="1417" t="s">
        <v>2082</v>
      </c>
      <c r="C40" s="1415" t="s">
        <v>2006</v>
      </c>
      <c r="D40" s="1419">
        <v>0</v>
      </c>
      <c r="E40" s="1419">
        <v>900</v>
      </c>
      <c r="F40" s="1419">
        <v>0</v>
      </c>
      <c r="G40" s="1419">
        <v>0</v>
      </c>
      <c r="H40" s="1420">
        <v>0</v>
      </c>
      <c r="I40" s="1420">
        <v>900</v>
      </c>
    </row>
    <row r="41" spans="1:9" x14ac:dyDescent="0.3">
      <c r="A41" s="1417" t="s">
        <v>2083</v>
      </c>
      <c r="B41" s="1417" t="s">
        <v>2084</v>
      </c>
      <c r="C41" s="1415" t="s">
        <v>2006</v>
      </c>
      <c r="D41" s="1419">
        <v>0</v>
      </c>
      <c r="E41" s="1419">
        <v>0</v>
      </c>
      <c r="F41" s="1419">
        <v>0</v>
      </c>
      <c r="G41" s="1419">
        <v>0</v>
      </c>
      <c r="H41" s="1420">
        <v>0</v>
      </c>
      <c r="I41" s="1420">
        <v>0</v>
      </c>
    </row>
    <row r="42" spans="1:9" x14ac:dyDescent="0.3">
      <c r="A42" s="1417" t="s">
        <v>2085</v>
      </c>
      <c r="B42" s="1417" t="s">
        <v>2086</v>
      </c>
      <c r="C42" s="1415" t="s">
        <v>2006</v>
      </c>
      <c r="D42" s="1419">
        <v>0</v>
      </c>
      <c r="E42" s="1419">
        <v>0</v>
      </c>
      <c r="F42" s="1419">
        <v>0</v>
      </c>
      <c r="G42" s="1419">
        <v>0</v>
      </c>
      <c r="H42" s="1420">
        <v>0</v>
      </c>
      <c r="I42" s="1420">
        <v>0</v>
      </c>
    </row>
    <row r="43" spans="1:9" x14ac:dyDescent="0.3">
      <c r="A43" s="1417" t="s">
        <v>2089</v>
      </c>
      <c r="B43" s="1417" t="s">
        <v>2016</v>
      </c>
      <c r="C43" s="1415" t="s">
        <v>2006</v>
      </c>
      <c r="D43" s="1419">
        <v>417.3</v>
      </c>
      <c r="E43" s="1419">
        <v>0</v>
      </c>
      <c r="F43" s="1419">
        <v>0</v>
      </c>
      <c r="G43" s="1419">
        <v>0</v>
      </c>
      <c r="H43" s="1420">
        <v>417.3</v>
      </c>
      <c r="I43" s="1420">
        <v>0</v>
      </c>
    </row>
    <row r="44" spans="1:9" x14ac:dyDescent="0.3">
      <c r="A44" s="1417" t="s">
        <v>2090</v>
      </c>
      <c r="B44" s="1417" t="s">
        <v>2017</v>
      </c>
      <c r="C44" s="1415" t="s">
        <v>2006</v>
      </c>
      <c r="D44" s="1419">
        <v>0</v>
      </c>
      <c r="E44" s="1419">
        <v>0</v>
      </c>
      <c r="F44" s="1419">
        <v>3.84</v>
      </c>
      <c r="G44" s="1419">
        <v>0</v>
      </c>
      <c r="H44" s="1420">
        <v>3.84</v>
      </c>
      <c r="I44" s="1420">
        <v>0</v>
      </c>
    </row>
    <row r="45" spans="1:9" x14ac:dyDescent="0.3">
      <c r="A45" s="1417" t="s">
        <v>2093</v>
      </c>
      <c r="B45" s="1417" t="s">
        <v>2094</v>
      </c>
      <c r="C45" s="1415" t="s">
        <v>2006</v>
      </c>
      <c r="D45" s="1419">
        <v>0</v>
      </c>
      <c r="E45" s="1419">
        <v>0</v>
      </c>
      <c r="F45" s="1419">
        <v>0</v>
      </c>
      <c r="G45" s="1419">
        <v>9093.16</v>
      </c>
      <c r="H45" s="1420">
        <v>0</v>
      </c>
      <c r="I45" s="1420">
        <v>9093.16</v>
      </c>
    </row>
    <row r="46" spans="1:9" x14ac:dyDescent="0.3">
      <c r="A46" s="1417" t="s">
        <v>2095</v>
      </c>
      <c r="B46" s="1417" t="s">
        <v>2096</v>
      </c>
      <c r="C46" s="1415" t="s">
        <v>2006</v>
      </c>
      <c r="D46" s="1419">
        <v>0</v>
      </c>
      <c r="E46" s="1419">
        <v>0</v>
      </c>
      <c r="F46" s="1419">
        <v>1288.7</v>
      </c>
      <c r="G46" s="1419">
        <v>0</v>
      </c>
      <c r="H46" s="1420">
        <v>1288.7</v>
      </c>
      <c r="I46" s="1420">
        <v>0</v>
      </c>
    </row>
    <row r="47" spans="1:9" x14ac:dyDescent="0.3">
      <c r="A47" s="1417" t="s">
        <v>2097</v>
      </c>
      <c r="B47" s="1417" t="s">
        <v>2098</v>
      </c>
      <c r="C47" s="1415" t="s">
        <v>2006</v>
      </c>
      <c r="D47" s="1419">
        <v>0</v>
      </c>
      <c r="E47" s="1419">
        <v>0</v>
      </c>
      <c r="F47" s="1419">
        <v>389.61</v>
      </c>
      <c r="G47" s="1419">
        <v>0</v>
      </c>
      <c r="H47" s="1420">
        <v>389.61</v>
      </c>
      <c r="I47" s="1420">
        <v>0</v>
      </c>
    </row>
    <row r="48" spans="1:9" x14ac:dyDescent="0.3">
      <c r="A48" s="1417" t="s">
        <v>2099</v>
      </c>
      <c r="B48" s="1417" t="s">
        <v>2100</v>
      </c>
      <c r="C48" s="1415" t="s">
        <v>2006</v>
      </c>
      <c r="D48" s="1419">
        <v>0</v>
      </c>
      <c r="E48" s="1419">
        <v>0</v>
      </c>
      <c r="F48" s="1419">
        <v>0</v>
      </c>
      <c r="G48" s="1419">
        <v>0</v>
      </c>
      <c r="H48" s="1420">
        <v>0</v>
      </c>
      <c r="I48" s="1420">
        <v>0</v>
      </c>
    </row>
    <row r="49" spans="1:9" x14ac:dyDescent="0.3">
      <c r="A49" s="1417" t="s">
        <v>2095</v>
      </c>
      <c r="B49" s="1417" t="s">
        <v>1713</v>
      </c>
      <c r="C49" s="1415" t="s">
        <v>2006</v>
      </c>
      <c r="D49" s="1419">
        <v>32552.23</v>
      </c>
      <c r="E49" s="1419">
        <v>0</v>
      </c>
      <c r="F49" s="1419">
        <v>0</v>
      </c>
      <c r="G49" s="1419">
        <v>0</v>
      </c>
      <c r="H49" s="1420">
        <v>32552.23</v>
      </c>
      <c r="I49" s="1420">
        <v>0</v>
      </c>
    </row>
    <row r="50" spans="1:9" x14ac:dyDescent="0.3">
      <c r="A50" s="1417" t="s">
        <v>2271</v>
      </c>
      <c r="B50" s="1417" t="s">
        <v>2272</v>
      </c>
      <c r="C50" s="1415" t="s">
        <v>2006</v>
      </c>
      <c r="D50" s="1419">
        <v>0</v>
      </c>
      <c r="E50" s="1419">
        <v>0</v>
      </c>
      <c r="F50" s="1419">
        <v>0</v>
      </c>
      <c r="G50" s="1419">
        <v>47084.55</v>
      </c>
      <c r="H50" s="1420">
        <v>0</v>
      </c>
      <c r="I50" s="1420">
        <v>47084.55</v>
      </c>
    </row>
    <row r="51" spans="1:9" x14ac:dyDescent="0.3">
      <c r="A51" s="1417" t="s">
        <v>2101</v>
      </c>
      <c r="B51" s="1417" t="s">
        <v>2102</v>
      </c>
      <c r="C51" s="1415" t="s">
        <v>2006</v>
      </c>
      <c r="D51" s="1419">
        <v>0</v>
      </c>
      <c r="E51" s="1419">
        <v>0</v>
      </c>
      <c r="F51" s="1419">
        <v>220.85</v>
      </c>
      <c r="G51" s="1419">
        <v>0</v>
      </c>
      <c r="H51" s="1420">
        <v>220.85</v>
      </c>
      <c r="I51" s="1420">
        <v>0</v>
      </c>
    </row>
    <row r="52" spans="1:9" x14ac:dyDescent="0.3">
      <c r="A52" s="1417" t="s">
        <v>2025</v>
      </c>
      <c r="B52" s="1417" t="s">
        <v>494</v>
      </c>
      <c r="C52" s="1415" t="s">
        <v>2006</v>
      </c>
      <c r="D52" s="1419">
        <v>0</v>
      </c>
      <c r="E52" s="1419">
        <v>0</v>
      </c>
      <c r="F52" s="1419">
        <v>204.28</v>
      </c>
      <c r="G52" s="1419">
        <v>0</v>
      </c>
      <c r="H52" s="1420">
        <v>204.28</v>
      </c>
      <c r="I52" s="1420">
        <v>0</v>
      </c>
    </row>
    <row r="53" spans="1:9" x14ac:dyDescent="0.3">
      <c r="A53" s="1417" t="s">
        <v>2183</v>
      </c>
      <c r="B53" s="1417" t="s">
        <v>732</v>
      </c>
      <c r="C53" s="1415" t="s">
        <v>2006</v>
      </c>
      <c r="D53" s="1419">
        <v>450000</v>
      </c>
      <c r="E53" s="1419">
        <v>0</v>
      </c>
      <c r="F53" s="1419">
        <v>6281822</v>
      </c>
      <c r="G53" s="1419">
        <v>0</v>
      </c>
      <c r="H53" s="1420">
        <v>6731822</v>
      </c>
      <c r="I53" s="1420">
        <v>0</v>
      </c>
    </row>
    <row r="54" spans="1:9" x14ac:dyDescent="0.3">
      <c r="A54" s="1417" t="s">
        <v>2103</v>
      </c>
      <c r="B54" s="1417" t="s">
        <v>2104</v>
      </c>
      <c r="C54" s="1415" t="s">
        <v>2006</v>
      </c>
      <c r="D54" s="1419">
        <v>88831.23</v>
      </c>
      <c r="E54" s="1419">
        <v>0</v>
      </c>
      <c r="F54" s="1419">
        <v>0</v>
      </c>
      <c r="G54" s="1419">
        <v>0</v>
      </c>
      <c r="H54" s="1420">
        <v>88831.23</v>
      </c>
      <c r="I54" s="1420">
        <v>0</v>
      </c>
    </row>
    <row r="55" spans="1:9" x14ac:dyDescent="0.3">
      <c r="A55" s="1417" t="s">
        <v>2105</v>
      </c>
      <c r="B55" s="1417" t="s">
        <v>2106</v>
      </c>
      <c r="C55" s="1415" t="s">
        <v>2006</v>
      </c>
      <c r="D55" s="1419">
        <v>0</v>
      </c>
      <c r="E55" s="1419">
        <v>0</v>
      </c>
      <c r="F55" s="1419">
        <v>0</v>
      </c>
      <c r="G55" s="1419">
        <v>88904.03</v>
      </c>
      <c r="H55" s="1420">
        <v>0</v>
      </c>
      <c r="I55" s="1420">
        <v>88904.03</v>
      </c>
    </row>
    <row r="56" spans="1:9" x14ac:dyDescent="0.3">
      <c r="A56" s="1417" t="s">
        <v>2014</v>
      </c>
      <c r="B56" s="1417" t="s">
        <v>26</v>
      </c>
      <c r="C56" s="1415" t="s">
        <v>2006</v>
      </c>
      <c r="D56" s="1419">
        <v>20812</v>
      </c>
      <c r="E56" s="1419">
        <v>0</v>
      </c>
      <c r="F56" s="1419">
        <v>961.17</v>
      </c>
      <c r="G56" s="1419">
        <v>0</v>
      </c>
      <c r="H56" s="1420">
        <v>21773.17</v>
      </c>
      <c r="I56" s="1420">
        <v>0</v>
      </c>
    </row>
    <row r="57" spans="1:9" x14ac:dyDescent="0.3">
      <c r="A57" s="1417" t="s">
        <v>2108</v>
      </c>
      <c r="B57" s="1417" t="s">
        <v>2109</v>
      </c>
      <c r="C57" s="1415" t="s">
        <v>2006</v>
      </c>
      <c r="D57" s="1419">
        <v>0</v>
      </c>
      <c r="E57" s="1419">
        <v>0</v>
      </c>
      <c r="F57" s="1419">
        <v>242.6</v>
      </c>
      <c r="G57" s="1419">
        <v>0</v>
      </c>
      <c r="H57" s="1420">
        <v>242.6</v>
      </c>
      <c r="I57" s="1420">
        <v>0</v>
      </c>
    </row>
    <row r="58" spans="1:9" x14ac:dyDescent="0.3">
      <c r="A58" s="1417" t="s">
        <v>2110</v>
      </c>
      <c r="B58" s="1417" t="s">
        <v>2111</v>
      </c>
      <c r="C58" s="1415" t="s">
        <v>2006</v>
      </c>
      <c r="D58" s="1419">
        <v>0</v>
      </c>
      <c r="E58" s="1419">
        <v>0</v>
      </c>
      <c r="F58" s="1419">
        <v>6.04</v>
      </c>
      <c r="G58" s="1419">
        <v>0</v>
      </c>
      <c r="H58" s="1420">
        <v>6.04</v>
      </c>
      <c r="I58" s="1420">
        <v>0</v>
      </c>
    </row>
    <row r="59" spans="1:9" x14ac:dyDescent="0.3">
      <c r="A59" s="1417" t="s">
        <v>2184</v>
      </c>
      <c r="B59" s="1417" t="s">
        <v>2185</v>
      </c>
      <c r="C59" s="1415" t="s">
        <v>2006</v>
      </c>
      <c r="D59" s="1419">
        <v>6000000</v>
      </c>
      <c r="E59" s="1419">
        <v>0</v>
      </c>
      <c r="F59" s="1419">
        <v>0</v>
      </c>
      <c r="G59" s="1419">
        <v>0</v>
      </c>
      <c r="H59" s="1420">
        <v>6000000</v>
      </c>
      <c r="I59" s="1420">
        <v>0</v>
      </c>
    </row>
    <row r="60" spans="1:9" x14ac:dyDescent="0.3">
      <c r="A60" s="1417" t="s">
        <v>2273</v>
      </c>
      <c r="B60" s="1417" t="s">
        <v>2274</v>
      </c>
      <c r="C60" s="1415" t="s">
        <v>2006</v>
      </c>
      <c r="D60" s="1419">
        <v>0</v>
      </c>
      <c r="E60" s="1419">
        <v>0</v>
      </c>
      <c r="F60" s="1419">
        <v>0</v>
      </c>
      <c r="G60" s="1419">
        <v>0</v>
      </c>
      <c r="H60" s="1420">
        <v>0</v>
      </c>
      <c r="I60" s="1420">
        <v>0</v>
      </c>
    </row>
    <row r="61" spans="1:9" x14ac:dyDescent="0.3">
      <c r="A61" s="1417" t="s">
        <v>2112</v>
      </c>
      <c r="B61" s="1417" t="s">
        <v>2113</v>
      </c>
      <c r="C61" s="1415" t="s">
        <v>2006</v>
      </c>
      <c r="D61" s="1419">
        <v>0</v>
      </c>
      <c r="E61" s="1419">
        <v>0</v>
      </c>
      <c r="F61" s="1419">
        <v>0</v>
      </c>
      <c r="G61" s="1419">
        <v>556400</v>
      </c>
      <c r="H61" s="1420">
        <v>0</v>
      </c>
      <c r="I61" s="1420">
        <v>556400</v>
      </c>
    </row>
    <row r="62" spans="1:9" x14ac:dyDescent="0.3">
      <c r="A62" s="1417" t="s">
        <v>2024</v>
      </c>
      <c r="B62" s="1417" t="s">
        <v>200</v>
      </c>
      <c r="C62" s="1415" t="s">
        <v>2006</v>
      </c>
      <c r="D62" s="1419">
        <v>367.84</v>
      </c>
      <c r="E62" s="1419">
        <v>0</v>
      </c>
      <c r="F62" s="1419">
        <v>0</v>
      </c>
      <c r="G62" s="1419">
        <v>0</v>
      </c>
      <c r="H62" s="1420">
        <v>367.84</v>
      </c>
      <c r="I62" s="1420">
        <v>0</v>
      </c>
    </row>
    <row r="63" spans="1:9" x14ac:dyDescent="0.3">
      <c r="A63" s="1417" t="s">
        <v>2115</v>
      </c>
      <c r="B63" s="1417" t="s">
        <v>2116</v>
      </c>
      <c r="C63" s="1415" t="s">
        <v>2006</v>
      </c>
      <c r="D63" s="1419">
        <v>0</v>
      </c>
      <c r="E63" s="1419">
        <v>0</v>
      </c>
      <c r="F63" s="1419">
        <v>1697.62</v>
      </c>
      <c r="G63" s="1419">
        <v>0</v>
      </c>
      <c r="H63" s="1420">
        <v>1697.62</v>
      </c>
      <c r="I63" s="1420">
        <v>0</v>
      </c>
    </row>
    <row r="64" spans="1:9" x14ac:dyDescent="0.3">
      <c r="A64" s="1417" t="s">
        <v>2119</v>
      </c>
      <c r="B64" s="1417" t="s">
        <v>2120</v>
      </c>
      <c r="C64" s="1415" t="s">
        <v>2006</v>
      </c>
      <c r="D64" s="1419">
        <v>0</v>
      </c>
      <c r="E64" s="1419">
        <v>0</v>
      </c>
      <c r="F64" s="1419">
        <v>0</v>
      </c>
      <c r="G64" s="1419">
        <v>34542</v>
      </c>
      <c r="H64" s="1420">
        <v>0</v>
      </c>
      <c r="I64" s="1420">
        <v>34542</v>
      </c>
    </row>
    <row r="65" spans="1:9" x14ac:dyDescent="0.3">
      <c r="A65" s="1417" t="s">
        <v>2121</v>
      </c>
      <c r="B65" s="1417" t="s">
        <v>2122</v>
      </c>
      <c r="C65" s="1415" t="s">
        <v>2006</v>
      </c>
      <c r="D65" s="1419">
        <v>0</v>
      </c>
      <c r="E65" s="1419">
        <v>0</v>
      </c>
      <c r="F65" s="1419">
        <v>0</v>
      </c>
      <c r="G65" s="1419">
        <v>0</v>
      </c>
      <c r="H65" s="1420">
        <v>0</v>
      </c>
      <c r="I65" s="1420">
        <v>0</v>
      </c>
    </row>
    <row r="66" spans="1:9" x14ac:dyDescent="0.3">
      <c r="A66" s="1417" t="s">
        <v>2038</v>
      </c>
      <c r="B66" s="1417" t="s">
        <v>2123</v>
      </c>
      <c r="C66" s="1415" t="s">
        <v>2006</v>
      </c>
      <c r="D66" s="1419">
        <v>0</v>
      </c>
      <c r="E66" s="1419">
        <v>0</v>
      </c>
      <c r="F66" s="1419">
        <v>198</v>
      </c>
      <c r="G66" s="1419">
        <v>0</v>
      </c>
      <c r="H66" s="1420">
        <v>198</v>
      </c>
      <c r="I66" s="1420">
        <v>0</v>
      </c>
    </row>
    <row r="67" spans="1:9" x14ac:dyDescent="0.3">
      <c r="A67" s="1417" t="s">
        <v>2124</v>
      </c>
      <c r="B67" s="1417" t="s">
        <v>3</v>
      </c>
      <c r="C67" s="1415" t="s">
        <v>2006</v>
      </c>
      <c r="D67" s="1419">
        <v>0</v>
      </c>
      <c r="E67" s="1419">
        <v>0</v>
      </c>
      <c r="F67" s="1419">
        <v>0</v>
      </c>
      <c r="G67" s="1419">
        <v>0</v>
      </c>
      <c r="H67" s="1420">
        <v>0</v>
      </c>
      <c r="I67" s="1420">
        <v>0</v>
      </c>
    </row>
    <row r="68" spans="1:9" x14ac:dyDescent="0.3">
      <c r="A68" s="1417" t="s">
        <v>2125</v>
      </c>
      <c r="B68" s="1417" t="s">
        <v>2126</v>
      </c>
      <c r="C68" s="1415" t="s">
        <v>2006</v>
      </c>
      <c r="D68" s="1419">
        <v>0</v>
      </c>
      <c r="E68" s="1419">
        <v>0</v>
      </c>
      <c r="F68" s="1419">
        <v>395.6</v>
      </c>
      <c r="G68" s="1419">
        <v>0</v>
      </c>
      <c r="H68" s="1420">
        <v>395.6</v>
      </c>
      <c r="I68" s="1420">
        <v>0</v>
      </c>
    </row>
    <row r="69" spans="1:9" x14ac:dyDescent="0.3">
      <c r="A69" s="1417" t="s">
        <v>2275</v>
      </c>
      <c r="B69" s="1417" t="s">
        <v>495</v>
      </c>
      <c r="C69" s="1415" t="s">
        <v>2006</v>
      </c>
      <c r="D69" s="1419">
        <v>0</v>
      </c>
      <c r="E69" s="1419">
        <v>0</v>
      </c>
      <c r="F69" s="1419">
        <v>9000</v>
      </c>
      <c r="G69" s="1419">
        <v>0</v>
      </c>
      <c r="H69" s="1420">
        <v>9000</v>
      </c>
      <c r="I69" s="1420">
        <v>0</v>
      </c>
    </row>
    <row r="70" spans="1:9" x14ac:dyDescent="0.3">
      <c r="A70" s="1417" t="s">
        <v>2127</v>
      </c>
      <c r="B70" s="1417" t="s">
        <v>1725</v>
      </c>
      <c r="C70" s="1415" t="s">
        <v>2006</v>
      </c>
      <c r="D70" s="1419">
        <v>2024592.82</v>
      </c>
      <c r="E70" s="1419">
        <v>0</v>
      </c>
      <c r="F70" s="1419">
        <v>0</v>
      </c>
      <c r="G70" s="1419">
        <v>0</v>
      </c>
      <c r="H70" s="1420">
        <v>2024592.82</v>
      </c>
      <c r="I70" s="1420">
        <v>0</v>
      </c>
    </row>
    <row r="71" spans="1:9" x14ac:dyDescent="0.3">
      <c r="A71" s="1417" t="s">
        <v>2128</v>
      </c>
      <c r="B71" s="1417" t="s">
        <v>1725</v>
      </c>
      <c r="C71" s="1415" t="s">
        <v>2006</v>
      </c>
      <c r="D71" s="1419">
        <v>0</v>
      </c>
      <c r="E71" s="1419">
        <v>0</v>
      </c>
      <c r="F71" s="1419">
        <v>3292618.99</v>
      </c>
      <c r="G71" s="1419">
        <v>0</v>
      </c>
      <c r="H71" s="1420">
        <v>3292618.99</v>
      </c>
      <c r="I71" s="1420">
        <v>0</v>
      </c>
    </row>
    <row r="72" spans="1:9" x14ac:dyDescent="0.3">
      <c r="A72" s="1417" t="s">
        <v>2276</v>
      </c>
      <c r="B72" s="1417" t="s">
        <v>2277</v>
      </c>
      <c r="C72" s="1415" t="s">
        <v>2006</v>
      </c>
      <c r="D72" s="1419">
        <v>0</v>
      </c>
      <c r="E72" s="1419">
        <v>0</v>
      </c>
      <c r="F72" s="1419">
        <v>0</v>
      </c>
      <c r="G72" s="1419">
        <v>6281822</v>
      </c>
      <c r="H72" s="1420">
        <v>0</v>
      </c>
      <c r="I72" s="1420">
        <v>6281822</v>
      </c>
    </row>
    <row r="73" spans="1:9" x14ac:dyDescent="0.3">
      <c r="A73" s="1417" t="s">
        <v>2115</v>
      </c>
      <c r="B73" s="1417" t="s">
        <v>5</v>
      </c>
      <c r="C73" s="1415" t="s">
        <v>2006</v>
      </c>
      <c r="D73" s="1419">
        <v>0</v>
      </c>
      <c r="E73" s="1419">
        <v>6450000</v>
      </c>
      <c r="F73" s="1419">
        <v>0</v>
      </c>
      <c r="G73" s="1419">
        <v>0</v>
      </c>
      <c r="H73" s="1420">
        <v>0</v>
      </c>
      <c r="I73" s="1420">
        <v>6450000</v>
      </c>
    </row>
    <row r="74" spans="1:9" x14ac:dyDescent="0.3">
      <c r="A74" s="1417" t="s">
        <v>2129</v>
      </c>
      <c r="B74" s="1417" t="s">
        <v>2130</v>
      </c>
      <c r="C74" s="1415" t="s">
        <v>2006</v>
      </c>
      <c r="D74" s="1419">
        <v>0</v>
      </c>
      <c r="E74" s="1419">
        <v>1801251</v>
      </c>
      <c r="F74" s="1419">
        <v>0</v>
      </c>
      <c r="G74" s="1419">
        <v>0</v>
      </c>
      <c r="H74" s="1420">
        <v>0</v>
      </c>
      <c r="I74" s="1420">
        <v>1801251</v>
      </c>
    </row>
    <row r="75" spans="1:9" x14ac:dyDescent="0.3">
      <c r="A75" s="1417" t="s">
        <v>2131</v>
      </c>
      <c r="B75" s="1417" t="s">
        <v>2132</v>
      </c>
      <c r="C75" s="1415" t="s">
        <v>2006</v>
      </c>
      <c r="D75" s="1419">
        <v>27152.1</v>
      </c>
      <c r="E75" s="1419">
        <v>0</v>
      </c>
      <c r="F75" s="1419">
        <v>0</v>
      </c>
      <c r="G75" s="1419">
        <v>0</v>
      </c>
      <c r="H75" s="1420">
        <v>27152.1</v>
      </c>
      <c r="I75" s="1420">
        <v>0</v>
      </c>
    </row>
    <row r="76" spans="1:9" x14ac:dyDescent="0.3">
      <c r="A76" s="1417" t="s">
        <v>2133</v>
      </c>
      <c r="B76" s="1417" t="s">
        <v>2134</v>
      </c>
      <c r="C76" s="1415" t="s">
        <v>2006</v>
      </c>
      <c r="D76" s="1419">
        <v>0</v>
      </c>
      <c r="E76" s="1419">
        <v>0</v>
      </c>
      <c r="F76" s="1419">
        <v>6288.98</v>
      </c>
      <c r="G76" s="1419">
        <v>0</v>
      </c>
      <c r="H76" s="1420">
        <v>6288.98</v>
      </c>
      <c r="I76" s="1420">
        <v>0</v>
      </c>
    </row>
    <row r="77" spans="1:9" x14ac:dyDescent="0.3">
      <c r="A77" s="1417" t="s">
        <v>2135</v>
      </c>
      <c r="B77" s="1417" t="s">
        <v>2136</v>
      </c>
      <c r="C77" s="1415" t="s">
        <v>2006</v>
      </c>
      <c r="D77" s="1419">
        <v>0</v>
      </c>
      <c r="E77" s="1419">
        <v>0</v>
      </c>
      <c r="F77" s="1419">
        <v>0</v>
      </c>
      <c r="G77" s="1419">
        <v>2847.07</v>
      </c>
      <c r="H77" s="1420">
        <v>0</v>
      </c>
      <c r="I77" s="1420">
        <v>2847.07</v>
      </c>
    </row>
    <row r="78" spans="1:9" x14ac:dyDescent="0.3">
      <c r="A78" s="1417" t="s">
        <v>2013</v>
      </c>
      <c r="B78" s="1417" t="s">
        <v>2139</v>
      </c>
      <c r="C78" s="1415" t="s">
        <v>2006</v>
      </c>
      <c r="D78" s="1419">
        <v>0</v>
      </c>
      <c r="E78" s="1419">
        <v>0</v>
      </c>
      <c r="F78" s="1419">
        <v>436367.55</v>
      </c>
      <c r="G78" s="1419">
        <v>0</v>
      </c>
      <c r="H78" s="1420">
        <v>436367.55</v>
      </c>
      <c r="I78" s="1420">
        <v>0</v>
      </c>
    </row>
    <row r="79" spans="1:9" x14ac:dyDescent="0.3">
      <c r="A79" s="1417" t="s">
        <v>2140</v>
      </c>
      <c r="B79" s="1417" t="s">
        <v>2141</v>
      </c>
      <c r="C79" s="1415" t="s">
        <v>2006</v>
      </c>
      <c r="D79" s="1419">
        <v>0</v>
      </c>
      <c r="E79" s="1419">
        <v>0</v>
      </c>
      <c r="F79" s="1419">
        <v>61000.03</v>
      </c>
      <c r="G79" s="1419">
        <v>0</v>
      </c>
      <c r="H79" s="1420">
        <v>61000.03</v>
      </c>
      <c r="I79" s="1420">
        <v>0</v>
      </c>
    </row>
    <row r="80" spans="1:9" x14ac:dyDescent="0.3">
      <c r="A80" s="1417" t="s">
        <v>2142</v>
      </c>
      <c r="B80" s="1417" t="s">
        <v>2143</v>
      </c>
      <c r="C80" s="1415" t="s">
        <v>2006</v>
      </c>
      <c r="D80" s="1419">
        <v>0</v>
      </c>
      <c r="E80" s="1419">
        <v>0</v>
      </c>
      <c r="F80" s="1419">
        <v>777.83</v>
      </c>
      <c r="G80" s="1419">
        <v>0</v>
      </c>
      <c r="H80" s="1420">
        <v>777.83</v>
      </c>
      <c r="I80" s="1420">
        <v>0</v>
      </c>
    </row>
    <row r="81" spans="1:9" x14ac:dyDescent="0.3">
      <c r="A81" s="1417" t="s">
        <v>2036</v>
      </c>
      <c r="B81" s="1417" t="s">
        <v>2035</v>
      </c>
      <c r="C81" s="1415" t="s">
        <v>2006</v>
      </c>
      <c r="D81" s="1419">
        <v>0</v>
      </c>
      <c r="E81" s="1419">
        <v>0</v>
      </c>
      <c r="F81" s="1419">
        <v>0</v>
      </c>
      <c r="G81" s="1419">
        <v>0</v>
      </c>
      <c r="H81" s="1420">
        <v>0</v>
      </c>
      <c r="I81" s="1420">
        <v>0</v>
      </c>
    </row>
    <row r="82" spans="1:9" x14ac:dyDescent="0.3">
      <c r="A82" s="1417" t="s">
        <v>2022</v>
      </c>
      <c r="B82" s="1417" t="s">
        <v>2149</v>
      </c>
      <c r="C82" s="1415" t="s">
        <v>2006</v>
      </c>
      <c r="D82" s="1419">
        <v>0</v>
      </c>
      <c r="E82" s="1419">
        <v>0</v>
      </c>
      <c r="F82" s="1419">
        <v>0</v>
      </c>
      <c r="G82" s="1419">
        <v>0</v>
      </c>
      <c r="H82" s="1420">
        <v>0</v>
      </c>
      <c r="I82" s="1420">
        <v>0</v>
      </c>
    </row>
    <row r="83" spans="1:9" x14ac:dyDescent="0.3">
      <c r="A83" s="1417" t="s">
        <v>2150</v>
      </c>
      <c r="B83" s="1417" t="s">
        <v>2151</v>
      </c>
      <c r="C83" s="1415" t="s">
        <v>2006</v>
      </c>
      <c r="D83" s="1419">
        <v>0</v>
      </c>
      <c r="E83" s="1419">
        <v>308750</v>
      </c>
      <c r="F83" s="1419">
        <v>0</v>
      </c>
      <c r="G83" s="1419">
        <v>0</v>
      </c>
      <c r="H83" s="1420">
        <v>0</v>
      </c>
      <c r="I83" s="1420">
        <v>308750</v>
      </c>
    </row>
    <row r="84" spans="1:9" ht="15" thickBot="1" x14ac:dyDescent="0.35">
      <c r="A84" s="1417" t="s">
        <v>2152</v>
      </c>
      <c r="B84" s="1417" t="s">
        <v>1224</v>
      </c>
      <c r="C84" s="1415" t="s">
        <v>2006</v>
      </c>
      <c r="D84" s="1419">
        <v>0</v>
      </c>
      <c r="E84" s="1419">
        <v>0</v>
      </c>
      <c r="F84" s="1419">
        <v>159516.72</v>
      </c>
      <c r="G84" s="1419">
        <v>0</v>
      </c>
      <c r="H84" s="1420">
        <v>159516.72</v>
      </c>
      <c r="I84" s="1420">
        <v>0</v>
      </c>
    </row>
    <row r="85" spans="1:9" ht="15" thickBot="1" x14ac:dyDescent="0.35">
      <c r="A85" s="1421"/>
      <c r="B85" s="1421" t="s">
        <v>0</v>
      </c>
      <c r="C85" s="1421" t="s">
        <v>2006</v>
      </c>
      <c r="D85" s="1486">
        <v>9235794.2899999991</v>
      </c>
      <c r="E85" s="1486">
        <v>9235794.2899999991</v>
      </c>
      <c r="F85" s="1486">
        <v>10757979.119999999</v>
      </c>
      <c r="G85" s="1486">
        <v>10757979.119999999</v>
      </c>
      <c r="H85" s="1488">
        <v>19993773.41</v>
      </c>
      <c r="I85" s="1488">
        <v>19993773.41</v>
      </c>
    </row>
    <row r="86" spans="1:9" ht="15" thickTop="1" x14ac:dyDescent="0.3">
      <c r="A86" s="1410"/>
      <c r="B86" s="1410"/>
      <c r="C86" s="1410"/>
      <c r="D86" s="1566"/>
      <c r="E86" s="1566"/>
      <c r="F86" s="1566"/>
      <c r="G86" s="1566"/>
      <c r="H86" s="1566"/>
      <c r="I86" s="1566"/>
    </row>
    <row r="87" spans="1:9" x14ac:dyDescent="0.3">
      <c r="A87" s="1410"/>
      <c r="B87" s="1410"/>
      <c r="C87" s="1410"/>
      <c r="D87" s="1566"/>
      <c r="E87" s="1566"/>
      <c r="F87" s="1566"/>
      <c r="G87" s="1566"/>
      <c r="H87" s="1566"/>
      <c r="I87" s="1566"/>
    </row>
    <row r="88" spans="1:9" x14ac:dyDescent="0.3">
      <c r="A88" s="1410"/>
      <c r="B88" s="1410"/>
      <c r="C88" s="1410"/>
      <c r="D88" s="1566"/>
      <c r="E88" s="1566"/>
      <c r="F88" s="1566"/>
      <c r="G88" s="1566"/>
      <c r="H88" s="1566"/>
      <c r="I88" s="1566"/>
    </row>
    <row r="89" spans="1:9" x14ac:dyDescent="0.3">
      <c r="A89" s="1410"/>
      <c r="B89" s="1410"/>
      <c r="C89" s="1410"/>
      <c r="D89" s="1566"/>
      <c r="E89" s="1566"/>
      <c r="F89" s="1566"/>
      <c r="G89" s="1566"/>
      <c r="H89" s="1566"/>
      <c r="I89" s="1566"/>
    </row>
    <row r="90" spans="1:9" x14ac:dyDescent="0.3">
      <c r="A90" s="1410"/>
      <c r="B90" s="1410"/>
      <c r="C90" s="1410"/>
      <c r="D90" s="1566"/>
      <c r="E90" s="1566"/>
      <c r="F90" s="1566"/>
      <c r="G90" s="1566"/>
      <c r="H90" s="1566"/>
      <c r="I90" s="1566"/>
    </row>
    <row r="91" spans="1:9" x14ac:dyDescent="0.3">
      <c r="A91" s="1410"/>
      <c r="B91" s="1410"/>
      <c r="C91" s="1410"/>
      <c r="D91" s="1566"/>
      <c r="E91" s="1566"/>
      <c r="F91" s="1566"/>
      <c r="G91" s="1566"/>
      <c r="H91" s="1566"/>
      <c r="I91" s="1566"/>
    </row>
    <row r="92" spans="1:9" x14ac:dyDescent="0.3">
      <c r="A92" s="1410"/>
      <c r="B92" s="1410"/>
      <c r="C92" s="1410"/>
      <c r="D92" s="1566"/>
      <c r="E92" s="1566"/>
      <c r="F92" s="1566"/>
      <c r="G92" s="1566"/>
      <c r="H92" s="1566"/>
      <c r="I92" s="1566"/>
    </row>
    <row r="93" spans="1:9" x14ac:dyDescent="0.3">
      <c r="A93" s="1410"/>
      <c r="B93" s="1410"/>
      <c r="C93" s="1410"/>
      <c r="D93" s="1566"/>
      <c r="E93" s="1566"/>
      <c r="F93" s="1566"/>
      <c r="G93" s="1566"/>
      <c r="H93" s="1566"/>
      <c r="I93" s="1566"/>
    </row>
    <row r="94" spans="1:9" x14ac:dyDescent="0.3">
      <c r="A94" s="1410"/>
      <c r="B94" s="1410"/>
      <c r="C94" s="1410"/>
      <c r="D94" s="1566"/>
      <c r="E94" s="1566"/>
      <c r="F94" s="1566"/>
      <c r="G94" s="1566"/>
      <c r="H94" s="1566"/>
      <c r="I94" s="1566"/>
    </row>
    <row r="95" spans="1:9" x14ac:dyDescent="0.3">
      <c r="A95" s="1410"/>
      <c r="B95" s="1410"/>
      <c r="C95" s="1410"/>
      <c r="D95" s="1566"/>
      <c r="E95" s="1566"/>
      <c r="F95" s="1566"/>
      <c r="G95" s="1566"/>
      <c r="H95" s="1566"/>
      <c r="I95" s="1566"/>
    </row>
    <row r="96" spans="1:9" x14ac:dyDescent="0.3">
      <c r="A96" s="1410"/>
      <c r="B96" s="1410"/>
      <c r="C96" s="1410"/>
      <c r="D96" s="1566"/>
      <c r="E96" s="1566"/>
      <c r="F96" s="1566"/>
      <c r="G96" s="1566"/>
      <c r="H96" s="1566"/>
      <c r="I96" s="1566"/>
    </row>
    <row r="97" spans="1:9" x14ac:dyDescent="0.3">
      <c r="A97" s="1410"/>
      <c r="B97" s="1410"/>
      <c r="C97" s="1410"/>
      <c r="D97" s="1566"/>
      <c r="E97" s="1566"/>
      <c r="F97" s="1566"/>
      <c r="G97" s="1566"/>
      <c r="H97" s="1566"/>
      <c r="I97" s="1566"/>
    </row>
    <row r="98" spans="1:9" x14ac:dyDescent="0.3">
      <c r="A98" s="1410"/>
      <c r="B98" s="1410"/>
      <c r="C98" s="1410"/>
      <c r="D98" s="1566"/>
      <c r="E98" s="1566"/>
      <c r="F98" s="1566"/>
      <c r="G98" s="1566"/>
      <c r="H98" s="1566"/>
      <c r="I98" s="1566"/>
    </row>
    <row r="99" spans="1:9" x14ac:dyDescent="0.3">
      <c r="A99" s="1410"/>
      <c r="B99" s="1410"/>
      <c r="C99" s="1410"/>
      <c r="D99" s="1566"/>
      <c r="E99" s="1566"/>
      <c r="F99" s="1566"/>
      <c r="G99" s="1566"/>
      <c r="H99" s="1566"/>
      <c r="I99" s="1566"/>
    </row>
    <row r="100" spans="1:9" x14ac:dyDescent="0.3">
      <c r="A100" s="1410"/>
      <c r="B100" s="1410"/>
      <c r="C100" s="1410"/>
      <c r="D100" s="1566"/>
      <c r="E100" s="1566"/>
      <c r="F100" s="1566"/>
      <c r="G100" s="1566"/>
      <c r="H100" s="1566"/>
      <c r="I100" s="1566"/>
    </row>
    <row r="101" spans="1:9" x14ac:dyDescent="0.3">
      <c r="A101" s="1410"/>
      <c r="B101" s="1410"/>
      <c r="C101" s="1410"/>
      <c r="D101" s="1566"/>
      <c r="E101" s="1566"/>
      <c r="F101" s="1566"/>
      <c r="G101" s="1566"/>
      <c r="H101" s="1566"/>
      <c r="I101" s="1566"/>
    </row>
    <row r="102" spans="1:9" x14ac:dyDescent="0.3">
      <c r="A102" s="1410"/>
      <c r="B102" s="1410"/>
      <c r="C102" s="1410"/>
      <c r="D102" s="1566"/>
      <c r="E102" s="1566"/>
      <c r="F102" s="1566"/>
      <c r="G102" s="1566"/>
      <c r="H102" s="1566"/>
      <c r="I102" s="1566"/>
    </row>
    <row r="103" spans="1:9" x14ac:dyDescent="0.3">
      <c r="A103" s="1410"/>
      <c r="B103" s="1410"/>
      <c r="C103" s="1410"/>
      <c r="D103" s="1566"/>
      <c r="E103" s="1566"/>
      <c r="F103" s="1566"/>
      <c r="G103" s="1566"/>
      <c r="H103" s="1566"/>
      <c r="I103" s="1566"/>
    </row>
    <row r="104" spans="1:9" x14ac:dyDescent="0.3">
      <c r="A104" s="1410"/>
      <c r="B104" s="1410"/>
      <c r="C104" s="1410"/>
      <c r="D104" s="1566"/>
      <c r="E104" s="1566"/>
      <c r="F104" s="1566"/>
      <c r="G104" s="1566"/>
      <c r="H104" s="1566"/>
      <c r="I104" s="1566"/>
    </row>
    <row r="105" spans="1:9" x14ac:dyDescent="0.3">
      <c r="A105" s="1410"/>
      <c r="B105" s="1410"/>
      <c r="C105" s="1410"/>
      <c r="D105" s="1566"/>
      <c r="E105" s="1566"/>
      <c r="F105" s="1566"/>
      <c r="G105" s="1566"/>
      <c r="H105" s="1566"/>
      <c r="I105" s="1566"/>
    </row>
    <row r="106" spans="1:9" x14ac:dyDescent="0.3">
      <c r="A106" s="1410"/>
      <c r="B106" s="1410"/>
      <c r="C106" s="1410"/>
      <c r="D106" s="1566"/>
      <c r="E106" s="1566"/>
      <c r="F106" s="1566"/>
      <c r="G106" s="1566"/>
      <c r="H106" s="1566"/>
      <c r="I106" s="1566"/>
    </row>
    <row r="107" spans="1:9" x14ac:dyDescent="0.3">
      <c r="A107" s="1410"/>
      <c r="B107" s="1410"/>
      <c r="C107" s="1410"/>
      <c r="D107" s="1566"/>
      <c r="E107" s="1566"/>
      <c r="F107" s="1566"/>
      <c r="G107" s="1566"/>
      <c r="H107" s="1566"/>
      <c r="I107" s="1566"/>
    </row>
    <row r="108" spans="1:9" x14ac:dyDescent="0.3">
      <c r="A108" s="1410"/>
      <c r="B108" s="1410"/>
      <c r="C108" s="1410"/>
      <c r="D108" s="1566"/>
      <c r="E108" s="1566"/>
      <c r="F108" s="1566"/>
      <c r="G108" s="1566"/>
      <c r="H108" s="1566"/>
      <c r="I108" s="1566"/>
    </row>
    <row r="109" spans="1:9" x14ac:dyDescent="0.3">
      <c r="A109" s="1410"/>
      <c r="B109" s="1410"/>
      <c r="C109" s="1410"/>
      <c r="D109" s="1566"/>
      <c r="E109" s="1566"/>
      <c r="F109" s="1566"/>
      <c r="G109" s="1566"/>
      <c r="H109" s="1566"/>
      <c r="I109" s="1566"/>
    </row>
    <row r="110" spans="1:9" x14ac:dyDescent="0.3">
      <c r="A110" s="1410"/>
      <c r="B110" s="1410"/>
      <c r="C110" s="1410"/>
      <c r="D110" s="1566"/>
      <c r="E110" s="1566"/>
      <c r="F110" s="1566"/>
      <c r="G110" s="1566"/>
      <c r="H110" s="1566"/>
      <c r="I110" s="1566"/>
    </row>
    <row r="111" spans="1:9" x14ac:dyDescent="0.3">
      <c r="A111" s="1410"/>
      <c r="B111" s="1410"/>
      <c r="C111" s="1410"/>
      <c r="D111" s="1566"/>
      <c r="E111" s="1566"/>
      <c r="F111" s="1566"/>
      <c r="G111" s="1566"/>
      <c r="H111" s="1566"/>
      <c r="I111" s="1566"/>
    </row>
    <row r="112" spans="1:9" x14ac:dyDescent="0.3">
      <c r="A112" s="1410"/>
      <c r="B112" s="1410"/>
      <c r="C112" s="1410"/>
      <c r="D112" s="1566"/>
      <c r="E112" s="1566"/>
      <c r="F112" s="1566"/>
      <c r="G112" s="1566"/>
      <c r="H112" s="1566"/>
      <c r="I112" s="1566"/>
    </row>
    <row r="113" spans="1:9" x14ac:dyDescent="0.3">
      <c r="A113" s="1410"/>
      <c r="B113" s="1410"/>
      <c r="C113" s="1410"/>
      <c r="D113" s="1566"/>
      <c r="E113" s="1566"/>
      <c r="F113" s="1566"/>
      <c r="G113" s="1566"/>
      <c r="H113" s="1566"/>
      <c r="I113" s="1566"/>
    </row>
    <row r="114" spans="1:9" x14ac:dyDescent="0.3">
      <c r="A114" s="1410"/>
      <c r="B114" s="1410"/>
      <c r="C114" s="1410"/>
      <c r="D114" s="1566"/>
      <c r="E114" s="1566"/>
      <c r="F114" s="1566"/>
      <c r="G114" s="1566"/>
      <c r="H114" s="1566"/>
      <c r="I114" s="1566"/>
    </row>
    <row r="115" spans="1:9" x14ac:dyDescent="0.3">
      <c r="A115" s="1410"/>
      <c r="B115" s="1410"/>
      <c r="C115" s="1410"/>
      <c r="D115" s="1566"/>
      <c r="E115" s="1566"/>
      <c r="F115" s="1566"/>
      <c r="G115" s="1566"/>
      <c r="H115" s="1566"/>
      <c r="I115" s="1566"/>
    </row>
    <row r="116" spans="1:9" x14ac:dyDescent="0.3">
      <c r="A116" s="1410"/>
      <c r="B116" s="1410"/>
      <c r="C116" s="1410"/>
      <c r="D116" s="1566"/>
      <c r="E116" s="1566"/>
      <c r="F116" s="1566"/>
      <c r="G116" s="1566"/>
      <c r="H116" s="1566"/>
      <c r="I116" s="1566"/>
    </row>
    <row r="117" spans="1:9" x14ac:dyDescent="0.3">
      <c r="A117" s="1410"/>
      <c r="B117" s="1410"/>
      <c r="C117" s="1410"/>
      <c r="D117" s="1566"/>
      <c r="E117" s="1566"/>
      <c r="F117" s="1566"/>
      <c r="G117" s="1566"/>
      <c r="H117" s="1566"/>
      <c r="I117" s="1566"/>
    </row>
    <row r="118" spans="1:9" x14ac:dyDescent="0.3">
      <c r="A118" s="1410"/>
      <c r="B118" s="1410"/>
      <c r="C118" s="1410"/>
      <c r="D118" s="1566"/>
      <c r="E118" s="1566"/>
      <c r="F118" s="1566"/>
      <c r="G118" s="1566"/>
      <c r="H118" s="1566"/>
      <c r="I118" s="1566"/>
    </row>
    <row r="119" spans="1:9" x14ac:dyDescent="0.3">
      <c r="A119" s="1410"/>
      <c r="B119" s="1410"/>
      <c r="C119" s="1410"/>
      <c r="D119" s="1566"/>
      <c r="E119" s="1566"/>
      <c r="F119" s="1566"/>
      <c r="G119" s="1566"/>
      <c r="H119" s="1566"/>
      <c r="I119" s="1566"/>
    </row>
    <row r="120" spans="1:9" x14ac:dyDescent="0.3">
      <c r="A120" s="1410"/>
      <c r="B120" s="1410"/>
      <c r="C120" s="1410"/>
      <c r="D120" s="1566"/>
      <c r="E120" s="1566"/>
      <c r="F120" s="1566"/>
      <c r="G120" s="1566"/>
      <c r="H120" s="1566"/>
      <c r="I120" s="1566"/>
    </row>
    <row r="121" spans="1:9" x14ac:dyDescent="0.3">
      <c r="A121" s="1410"/>
      <c r="B121" s="1410"/>
      <c r="C121" s="1410"/>
      <c r="D121" s="1566"/>
      <c r="E121" s="1566"/>
      <c r="F121" s="1566"/>
      <c r="G121" s="1566"/>
      <c r="H121" s="1566"/>
      <c r="I121" s="1566"/>
    </row>
    <row r="122" spans="1:9" x14ac:dyDescent="0.3">
      <c r="A122" s="1410"/>
      <c r="B122" s="1410"/>
      <c r="C122" s="1410"/>
      <c r="D122" s="1566"/>
      <c r="E122" s="1566"/>
      <c r="F122" s="1566"/>
      <c r="G122" s="1566"/>
      <c r="H122" s="1566"/>
      <c r="I122" s="1566"/>
    </row>
    <row r="123" spans="1:9" x14ac:dyDescent="0.3">
      <c r="A123" s="1410"/>
      <c r="B123" s="1410"/>
      <c r="C123" s="1410"/>
      <c r="D123" s="1566"/>
      <c r="E123" s="1566"/>
      <c r="F123" s="1566"/>
      <c r="G123" s="1566"/>
      <c r="H123" s="1566"/>
      <c r="I123" s="1566"/>
    </row>
    <row r="124" spans="1:9" x14ac:dyDescent="0.3">
      <c r="A124" s="1410"/>
      <c r="B124" s="1410"/>
      <c r="C124" s="1410"/>
      <c r="D124" s="1566"/>
      <c r="E124" s="1566"/>
      <c r="F124" s="1566"/>
      <c r="G124" s="1566"/>
      <c r="H124" s="1566"/>
      <c r="I124" s="1566"/>
    </row>
    <row r="125" spans="1:9" x14ac:dyDescent="0.3">
      <c r="A125" s="1410"/>
      <c r="B125" s="1410"/>
      <c r="C125" s="1410"/>
      <c r="D125" s="1566"/>
      <c r="E125" s="1566"/>
      <c r="F125" s="1566"/>
      <c r="G125" s="1566"/>
      <c r="H125" s="1566"/>
      <c r="I125" s="1566"/>
    </row>
    <row r="126" spans="1:9" x14ac:dyDescent="0.3">
      <c r="A126" s="1410"/>
      <c r="B126" s="1410"/>
      <c r="C126" s="1410"/>
      <c r="D126" s="1566"/>
      <c r="E126" s="1566"/>
      <c r="F126" s="1566"/>
      <c r="G126" s="1566"/>
      <c r="H126" s="1566"/>
      <c r="I126" s="1566"/>
    </row>
    <row r="127" spans="1:9" x14ac:dyDescent="0.3">
      <c r="A127" s="1410"/>
      <c r="B127" s="1410"/>
      <c r="C127" s="1410"/>
      <c r="D127" s="1566"/>
      <c r="E127" s="1566"/>
      <c r="F127" s="1566"/>
      <c r="G127" s="1566"/>
      <c r="H127" s="1566"/>
      <c r="I127" s="1566"/>
    </row>
    <row r="128" spans="1:9" x14ac:dyDescent="0.3">
      <c r="A128" s="1410"/>
      <c r="B128" s="1410"/>
      <c r="C128" s="1410"/>
      <c r="D128" s="1566"/>
      <c r="E128" s="1566"/>
      <c r="F128" s="1566"/>
      <c r="G128" s="1566"/>
      <c r="H128" s="1566"/>
      <c r="I128" s="1566"/>
    </row>
    <row r="129" spans="1:9" x14ac:dyDescent="0.3">
      <c r="A129" s="1410"/>
      <c r="B129" s="1410"/>
      <c r="C129" s="1410"/>
      <c r="D129" s="1566"/>
      <c r="E129" s="1566"/>
      <c r="F129" s="1566"/>
      <c r="G129" s="1566"/>
      <c r="H129" s="1566"/>
      <c r="I129" s="1566"/>
    </row>
    <row r="130" spans="1:9" x14ac:dyDescent="0.3">
      <c r="A130" s="1410"/>
      <c r="B130" s="1410"/>
      <c r="C130" s="1410"/>
      <c r="D130" s="1566"/>
      <c r="E130" s="1566"/>
      <c r="F130" s="1566"/>
      <c r="G130" s="1566"/>
      <c r="H130" s="1566"/>
      <c r="I130" s="1566"/>
    </row>
    <row r="131" spans="1:9" x14ac:dyDescent="0.3">
      <c r="A131" s="1410"/>
      <c r="B131" s="1410"/>
      <c r="C131" s="1410"/>
      <c r="D131" s="1566"/>
      <c r="E131" s="1566"/>
      <c r="F131" s="1566"/>
      <c r="G131" s="1566"/>
      <c r="H131" s="1566"/>
      <c r="I131" s="1566"/>
    </row>
    <row r="132" spans="1:9" x14ac:dyDescent="0.3">
      <c r="A132" s="1410"/>
      <c r="B132" s="1410"/>
      <c r="C132" s="1410"/>
      <c r="D132" s="1566"/>
      <c r="E132" s="1566"/>
      <c r="F132" s="1566"/>
      <c r="G132" s="1566"/>
      <c r="H132" s="1566"/>
      <c r="I132" s="1566"/>
    </row>
    <row r="133" spans="1:9" x14ac:dyDescent="0.3">
      <c r="A133" s="1410"/>
      <c r="B133" s="1410"/>
      <c r="C133" s="1410"/>
      <c r="D133" s="1566"/>
      <c r="E133" s="1566"/>
      <c r="F133" s="1566"/>
      <c r="G133" s="1566"/>
      <c r="H133" s="1566"/>
      <c r="I133" s="1566"/>
    </row>
    <row r="134" spans="1:9" x14ac:dyDescent="0.3">
      <c r="A134" s="1410"/>
      <c r="B134" s="1410"/>
      <c r="C134" s="1410"/>
      <c r="D134" s="1566"/>
      <c r="E134" s="1566"/>
      <c r="F134" s="1566"/>
      <c r="G134" s="1566"/>
      <c r="H134" s="1566"/>
      <c r="I134" s="1566"/>
    </row>
    <row r="135" spans="1:9" x14ac:dyDescent="0.3">
      <c r="A135" s="1410"/>
      <c r="B135" s="1410"/>
      <c r="C135" s="1410"/>
      <c r="D135" s="1566"/>
      <c r="E135" s="1566"/>
      <c r="F135" s="1566"/>
      <c r="G135" s="1566"/>
      <c r="H135" s="1566"/>
      <c r="I135" s="1566"/>
    </row>
    <row r="136" spans="1:9" x14ac:dyDescent="0.3">
      <c r="A136" s="1410"/>
      <c r="B136" s="1410"/>
      <c r="C136" s="1410"/>
      <c r="D136" s="1566"/>
      <c r="E136" s="1566"/>
      <c r="F136" s="1566"/>
      <c r="G136" s="1566"/>
      <c r="H136" s="1566"/>
      <c r="I136" s="1566"/>
    </row>
    <row r="137" spans="1:9" x14ac:dyDescent="0.3">
      <c r="A137" s="1410"/>
      <c r="B137" s="1410"/>
      <c r="C137" s="1410"/>
      <c r="D137" s="1566"/>
      <c r="E137" s="1566"/>
      <c r="F137" s="1566"/>
      <c r="G137" s="1566"/>
      <c r="H137" s="1566"/>
      <c r="I137" s="1566"/>
    </row>
    <row r="138" spans="1:9" x14ac:dyDescent="0.3">
      <c r="A138" s="1410"/>
      <c r="B138" s="1410"/>
      <c r="C138" s="1410"/>
      <c r="D138" s="1566"/>
      <c r="E138" s="1566"/>
      <c r="F138" s="1566"/>
      <c r="G138" s="1566"/>
      <c r="H138" s="1566"/>
      <c r="I138" s="1566"/>
    </row>
    <row r="139" spans="1:9" x14ac:dyDescent="0.3">
      <c r="A139" s="1410"/>
      <c r="B139" s="1410"/>
      <c r="C139" s="1410"/>
      <c r="D139" s="1566"/>
      <c r="E139" s="1566"/>
      <c r="F139" s="1566"/>
      <c r="G139" s="1566"/>
      <c r="H139" s="1566"/>
      <c r="I139" s="1566"/>
    </row>
    <row r="140" spans="1:9" x14ac:dyDescent="0.3">
      <c r="A140" s="1410"/>
      <c r="B140" s="1410"/>
      <c r="C140" s="1410"/>
      <c r="D140" s="1566"/>
      <c r="E140" s="1566"/>
      <c r="F140" s="1566"/>
      <c r="G140" s="1566"/>
      <c r="H140" s="1566"/>
      <c r="I140" s="1566"/>
    </row>
    <row r="141" spans="1:9" x14ac:dyDescent="0.3">
      <c r="A141" s="1410"/>
      <c r="B141" s="1410"/>
      <c r="C141" s="1410"/>
      <c r="D141" s="1566"/>
      <c r="E141" s="1566"/>
      <c r="F141" s="1566"/>
      <c r="G141" s="1566"/>
      <c r="H141" s="1566"/>
      <c r="I141" s="1566"/>
    </row>
    <row r="142" spans="1:9" x14ac:dyDescent="0.3">
      <c r="A142" s="1410"/>
      <c r="B142" s="1410"/>
      <c r="C142" s="1410"/>
      <c r="D142" s="1566"/>
      <c r="E142" s="1566"/>
      <c r="F142" s="1566"/>
      <c r="G142" s="1566"/>
      <c r="H142" s="1566"/>
      <c r="I142" s="1566"/>
    </row>
    <row r="143" spans="1:9" x14ac:dyDescent="0.3">
      <c r="A143" s="1410"/>
      <c r="B143" s="1410"/>
      <c r="C143" s="1410"/>
      <c r="D143" s="1566"/>
      <c r="E143" s="1566"/>
      <c r="F143" s="1566"/>
      <c r="G143" s="1566"/>
      <c r="H143" s="1566"/>
      <c r="I143" s="1566"/>
    </row>
    <row r="144" spans="1:9" x14ac:dyDescent="0.3">
      <c r="A144" s="1410"/>
      <c r="B144" s="1410"/>
      <c r="C144" s="1410"/>
      <c r="D144" s="1566"/>
      <c r="E144" s="1566"/>
      <c r="F144" s="1566"/>
      <c r="G144" s="1566"/>
      <c r="H144" s="1566"/>
      <c r="I144" s="1566"/>
    </row>
    <row r="145" spans="1:9" x14ac:dyDescent="0.3">
      <c r="A145" s="1410"/>
      <c r="B145" s="1410"/>
      <c r="C145" s="1410"/>
      <c r="D145" s="1566"/>
      <c r="E145" s="1566"/>
      <c r="F145" s="1566"/>
      <c r="G145" s="1566"/>
      <c r="H145" s="1566"/>
      <c r="I145" s="1566"/>
    </row>
    <row r="146" spans="1:9" x14ac:dyDescent="0.3">
      <c r="A146" s="1410"/>
      <c r="B146" s="1410"/>
      <c r="C146" s="1410"/>
      <c r="D146" s="1566"/>
      <c r="E146" s="1566"/>
      <c r="F146" s="1566"/>
      <c r="G146" s="1566"/>
      <c r="H146" s="1566"/>
      <c r="I146" s="1566"/>
    </row>
    <row r="147" spans="1:9" x14ac:dyDescent="0.3">
      <c r="A147" s="1410"/>
      <c r="B147" s="1410"/>
      <c r="C147" s="1410"/>
      <c r="D147" s="1566"/>
      <c r="E147" s="1566"/>
      <c r="F147" s="1566"/>
      <c r="G147" s="1566"/>
      <c r="H147" s="1566"/>
      <c r="I147" s="1566"/>
    </row>
    <row r="148" spans="1:9" x14ac:dyDescent="0.3">
      <c r="A148" s="1410"/>
      <c r="B148" s="1410"/>
      <c r="C148" s="1410"/>
      <c r="D148" s="1566"/>
      <c r="E148" s="1566"/>
      <c r="F148" s="1566"/>
      <c r="G148" s="1566"/>
      <c r="H148" s="1566"/>
      <c r="I148" s="1566"/>
    </row>
    <row r="149" spans="1:9" x14ac:dyDescent="0.3">
      <c r="A149" s="1410"/>
      <c r="B149" s="1410"/>
      <c r="C149" s="1410"/>
      <c r="D149" s="1566"/>
      <c r="E149" s="1566"/>
      <c r="F149" s="1566"/>
      <c r="G149" s="1566"/>
      <c r="H149" s="1566"/>
      <c r="I149" s="1566"/>
    </row>
    <row r="150" spans="1:9" x14ac:dyDescent="0.3">
      <c r="A150" s="1410"/>
      <c r="B150" s="1410"/>
      <c r="C150" s="1410"/>
      <c r="D150" s="1566"/>
      <c r="E150" s="1566"/>
      <c r="F150" s="1566"/>
      <c r="G150" s="1566"/>
      <c r="H150" s="1566"/>
      <c r="I150" s="1566"/>
    </row>
    <row r="151" spans="1:9" x14ac:dyDescent="0.3">
      <c r="A151" s="1410"/>
      <c r="B151" s="1410"/>
      <c r="C151" s="1410"/>
      <c r="D151" s="1566"/>
      <c r="E151" s="1566"/>
      <c r="F151" s="1566"/>
      <c r="G151" s="1566"/>
      <c r="H151" s="1566"/>
      <c r="I151" s="1566"/>
    </row>
    <row r="152" spans="1:9" x14ac:dyDescent="0.3">
      <c r="A152" s="1410"/>
      <c r="B152" s="1410"/>
      <c r="C152" s="1410"/>
      <c r="D152" s="1566"/>
      <c r="E152" s="1566"/>
      <c r="F152" s="1566"/>
      <c r="G152" s="1566"/>
      <c r="H152" s="1566"/>
      <c r="I152" s="1566"/>
    </row>
    <row r="153" spans="1:9" x14ac:dyDescent="0.3">
      <c r="A153" s="1410"/>
      <c r="B153" s="1410"/>
      <c r="C153" s="1410"/>
      <c r="D153" s="1566"/>
      <c r="E153" s="1566"/>
      <c r="F153" s="1566"/>
      <c r="G153" s="1566"/>
      <c r="H153" s="1566"/>
      <c r="I153" s="1566"/>
    </row>
    <row r="154" spans="1:9" x14ac:dyDescent="0.3">
      <c r="A154" s="1410"/>
      <c r="B154" s="1410"/>
      <c r="C154" s="1410"/>
      <c r="D154" s="1566"/>
      <c r="E154" s="1566"/>
      <c r="F154" s="1566"/>
      <c r="G154" s="1566"/>
      <c r="H154" s="1566"/>
      <c r="I154" s="1566"/>
    </row>
    <row r="155" spans="1:9" x14ac:dyDescent="0.3">
      <c r="A155" s="1410"/>
      <c r="B155" s="1410"/>
      <c r="C155" s="1410"/>
      <c r="D155" s="1566"/>
      <c r="E155" s="1566"/>
      <c r="F155" s="1566"/>
      <c r="G155" s="1566"/>
      <c r="H155" s="1566"/>
      <c r="I155" s="1566"/>
    </row>
    <row r="156" spans="1:9" x14ac:dyDescent="0.3">
      <c r="A156" s="1410"/>
      <c r="B156" s="1410"/>
      <c r="C156" s="1410"/>
      <c r="D156" s="1566"/>
      <c r="E156" s="1566"/>
      <c r="F156" s="1566"/>
      <c r="G156" s="1566"/>
      <c r="H156" s="1566"/>
      <c r="I156" s="1566"/>
    </row>
    <row r="157" spans="1:9" x14ac:dyDescent="0.3">
      <c r="A157" s="1410"/>
      <c r="B157" s="1410"/>
      <c r="C157" s="1410"/>
      <c r="D157" s="1566"/>
      <c r="E157" s="1566"/>
      <c r="F157" s="1566"/>
      <c r="G157" s="1566"/>
      <c r="H157" s="1566"/>
      <c r="I157" s="1566"/>
    </row>
    <row r="158" spans="1:9" x14ac:dyDescent="0.3">
      <c r="A158" s="1410"/>
      <c r="B158" s="1410"/>
      <c r="C158" s="1410"/>
      <c r="D158" s="1566"/>
      <c r="E158" s="1566"/>
      <c r="F158" s="1566"/>
      <c r="G158" s="1566"/>
      <c r="H158" s="1566"/>
      <c r="I158" s="1566"/>
    </row>
    <row r="159" spans="1:9" x14ac:dyDescent="0.3">
      <c r="A159" s="1410"/>
      <c r="B159" s="1410"/>
      <c r="C159" s="1410"/>
      <c r="D159" s="1566"/>
      <c r="E159" s="1566"/>
      <c r="F159" s="1566"/>
      <c r="G159" s="1566"/>
      <c r="H159" s="1566"/>
      <c r="I159" s="1566"/>
    </row>
    <row r="160" spans="1:9" x14ac:dyDescent="0.3">
      <c r="A160" s="1410"/>
      <c r="B160" s="1410"/>
      <c r="C160" s="1410"/>
      <c r="D160" s="1566"/>
      <c r="E160" s="1566"/>
      <c r="F160" s="1566"/>
      <c r="G160" s="1566"/>
      <c r="H160" s="1566"/>
      <c r="I160" s="1566"/>
    </row>
    <row r="161" spans="1:9" x14ac:dyDescent="0.3">
      <c r="A161" s="1410"/>
      <c r="B161" s="1410"/>
      <c r="C161" s="1410"/>
      <c r="D161" s="1566"/>
      <c r="E161" s="1566"/>
      <c r="F161" s="1566"/>
      <c r="G161" s="1566"/>
      <c r="H161" s="1566"/>
      <c r="I161" s="1566"/>
    </row>
    <row r="162" spans="1:9" x14ac:dyDescent="0.3">
      <c r="A162" s="1410"/>
      <c r="B162" s="1410"/>
      <c r="C162" s="1410"/>
      <c r="D162" s="1566"/>
      <c r="E162" s="1566"/>
      <c r="F162" s="1566"/>
      <c r="G162" s="1566"/>
      <c r="H162" s="1566"/>
      <c r="I162" s="1566"/>
    </row>
    <row r="163" spans="1:9" x14ac:dyDescent="0.3">
      <c r="A163" s="1410"/>
      <c r="B163" s="1410"/>
      <c r="C163" s="1410"/>
      <c r="D163" s="1566"/>
      <c r="E163" s="1566"/>
      <c r="F163" s="1566"/>
      <c r="G163" s="1566"/>
      <c r="H163" s="1566"/>
      <c r="I163" s="1566"/>
    </row>
    <row r="164" spans="1:9" x14ac:dyDescent="0.3">
      <c r="A164" s="1410"/>
      <c r="B164" s="1410"/>
      <c r="C164" s="1410"/>
      <c r="D164" s="1566"/>
      <c r="E164" s="1566"/>
      <c r="F164" s="1566"/>
      <c r="G164" s="1566"/>
      <c r="H164" s="1566"/>
      <c r="I164" s="1566"/>
    </row>
    <row r="165" spans="1:9" x14ac:dyDescent="0.3">
      <c r="A165" s="1410"/>
      <c r="B165" s="1410"/>
      <c r="C165" s="1410"/>
      <c r="D165" s="1566"/>
      <c r="E165" s="1566"/>
      <c r="F165" s="1566"/>
      <c r="G165" s="1566"/>
      <c r="H165" s="1566"/>
      <c r="I165" s="1566"/>
    </row>
    <row r="166" spans="1:9" x14ac:dyDescent="0.3">
      <c r="A166" s="1410"/>
      <c r="B166" s="1410"/>
      <c r="C166" s="1410"/>
      <c r="D166" s="1566"/>
      <c r="E166" s="1566"/>
      <c r="F166" s="1566"/>
      <c r="G166" s="1566"/>
      <c r="H166" s="1566"/>
      <c r="I166" s="1566"/>
    </row>
    <row r="167" spans="1:9" x14ac:dyDescent="0.3">
      <c r="A167" s="1410"/>
      <c r="B167" s="1410"/>
      <c r="C167" s="1410"/>
      <c r="D167" s="1566"/>
      <c r="E167" s="1566"/>
      <c r="F167" s="1566"/>
      <c r="G167" s="1566"/>
      <c r="H167" s="1566"/>
      <c r="I167" s="1566"/>
    </row>
    <row r="168" spans="1:9" x14ac:dyDescent="0.3">
      <c r="A168" s="1410"/>
      <c r="B168" s="1410"/>
      <c r="C168" s="1410"/>
      <c r="D168" s="1566"/>
      <c r="E168" s="1566"/>
      <c r="F168" s="1566"/>
      <c r="G168" s="1566"/>
      <c r="H168" s="1566"/>
      <c r="I168" s="1566"/>
    </row>
    <row r="169" spans="1:9" x14ac:dyDescent="0.3">
      <c r="A169" s="1410"/>
      <c r="B169" s="1410"/>
      <c r="C169" s="1410"/>
      <c r="D169" s="1566"/>
      <c r="E169" s="1566"/>
      <c r="F169" s="1566"/>
      <c r="G169" s="1566"/>
      <c r="H169" s="1566"/>
      <c r="I169" s="1566"/>
    </row>
    <row r="170" spans="1:9" x14ac:dyDescent="0.3">
      <c r="A170" s="1410"/>
      <c r="B170" s="1410"/>
      <c r="C170" s="1410"/>
      <c r="D170" s="1566"/>
      <c r="E170" s="1566"/>
      <c r="F170" s="1566"/>
      <c r="G170" s="1566"/>
      <c r="H170" s="1566"/>
      <c r="I170" s="1566"/>
    </row>
    <row r="171" spans="1:9" x14ac:dyDescent="0.3">
      <c r="A171" s="1410"/>
      <c r="B171" s="1410"/>
      <c r="C171" s="1410"/>
      <c r="D171" s="1566"/>
      <c r="E171" s="1566"/>
      <c r="F171" s="1566"/>
      <c r="G171" s="1566"/>
      <c r="H171" s="1566"/>
      <c r="I171" s="1566"/>
    </row>
    <row r="172" spans="1:9" x14ac:dyDescent="0.3">
      <c r="A172" s="1410"/>
      <c r="B172" s="1410"/>
      <c r="C172" s="1410"/>
      <c r="D172" s="1566"/>
      <c r="E172" s="1566"/>
      <c r="F172" s="1566"/>
      <c r="G172" s="1566"/>
      <c r="H172" s="1566"/>
      <c r="I172" s="1566"/>
    </row>
    <row r="173" spans="1:9" x14ac:dyDescent="0.3">
      <c r="A173" s="1410"/>
      <c r="B173" s="1410"/>
      <c r="C173" s="1410"/>
      <c r="D173" s="1566"/>
      <c r="E173" s="1566"/>
      <c r="F173" s="1566"/>
      <c r="G173" s="1566"/>
      <c r="H173" s="1566"/>
      <c r="I173" s="1566"/>
    </row>
    <row r="174" spans="1:9" x14ac:dyDescent="0.3">
      <c r="A174" s="1410"/>
      <c r="B174" s="1410"/>
      <c r="C174" s="1410"/>
      <c r="D174" s="1566"/>
      <c r="E174" s="1566"/>
      <c r="F174" s="1566"/>
      <c r="G174" s="1566"/>
      <c r="H174" s="1566"/>
      <c r="I174" s="1566"/>
    </row>
    <row r="175" spans="1:9" x14ac:dyDescent="0.3">
      <c r="A175" s="1410"/>
      <c r="B175" s="1410"/>
      <c r="C175" s="1410"/>
      <c r="D175" s="1566"/>
      <c r="E175" s="1566"/>
      <c r="F175" s="1566"/>
      <c r="G175" s="1566"/>
      <c r="H175" s="1566"/>
      <c r="I175" s="1566"/>
    </row>
    <row r="176" spans="1:9" x14ac:dyDescent="0.3">
      <c r="A176" s="1410"/>
      <c r="B176" s="1410"/>
      <c r="C176" s="1410"/>
      <c r="D176" s="1566"/>
      <c r="E176" s="1566"/>
      <c r="F176" s="1566"/>
      <c r="G176" s="1566"/>
      <c r="H176" s="1566"/>
      <c r="I176" s="1566"/>
    </row>
    <row r="177" spans="1:9" x14ac:dyDescent="0.3">
      <c r="A177" s="1410"/>
      <c r="B177" s="1410"/>
      <c r="C177" s="1410"/>
      <c r="D177" s="1566"/>
      <c r="E177" s="1566"/>
      <c r="F177" s="1566"/>
      <c r="G177" s="1566"/>
      <c r="H177" s="1566"/>
      <c r="I177" s="1566"/>
    </row>
    <row r="178" spans="1:9" x14ac:dyDescent="0.3">
      <c r="A178" s="1410"/>
      <c r="B178" s="1410"/>
      <c r="C178" s="1410"/>
      <c r="D178" s="1566"/>
      <c r="E178" s="1566"/>
      <c r="F178" s="1566"/>
      <c r="G178" s="1566"/>
      <c r="H178" s="1566"/>
      <c r="I178" s="1566"/>
    </row>
    <row r="179" spans="1:9" x14ac:dyDescent="0.3">
      <c r="A179" s="1410"/>
      <c r="B179" s="1410"/>
      <c r="C179" s="1410"/>
      <c r="D179" s="1566"/>
      <c r="E179" s="1566"/>
      <c r="F179" s="1566"/>
      <c r="G179" s="1566"/>
      <c r="H179" s="1566"/>
      <c r="I179" s="1566"/>
    </row>
    <row r="180" spans="1:9" x14ac:dyDescent="0.3">
      <c r="A180" s="1410"/>
      <c r="B180" s="1410"/>
      <c r="C180" s="1410"/>
      <c r="D180" s="1566"/>
      <c r="E180" s="1566"/>
      <c r="F180" s="1566"/>
      <c r="G180" s="1566"/>
      <c r="H180" s="1566"/>
      <c r="I180" s="1566"/>
    </row>
    <row r="181" spans="1:9" x14ac:dyDescent="0.3">
      <c r="A181" s="1410"/>
      <c r="B181" s="1410"/>
      <c r="C181" s="1410"/>
      <c r="D181" s="1566"/>
      <c r="E181" s="1566"/>
      <c r="F181" s="1566"/>
      <c r="G181" s="1566"/>
      <c r="H181" s="1566"/>
      <c r="I181" s="1566"/>
    </row>
    <row r="182" spans="1:9" x14ac:dyDescent="0.3">
      <c r="A182" s="1410"/>
      <c r="B182" s="1410"/>
      <c r="C182" s="1410"/>
      <c r="D182" s="1566"/>
      <c r="E182" s="1566"/>
      <c r="F182" s="1566"/>
      <c r="G182" s="1566"/>
      <c r="H182" s="1566"/>
      <c r="I182" s="1566"/>
    </row>
    <row r="183" spans="1:9" x14ac:dyDescent="0.3">
      <c r="A183" s="1410"/>
      <c r="B183" s="1410"/>
      <c r="C183" s="1410"/>
      <c r="D183" s="1566"/>
      <c r="E183" s="1566"/>
      <c r="F183" s="1566"/>
      <c r="G183" s="1566"/>
      <c r="H183" s="1566"/>
      <c r="I183" s="1566"/>
    </row>
    <row r="184" spans="1:9" x14ac:dyDescent="0.3">
      <c r="A184" s="1410"/>
      <c r="B184" s="1410"/>
      <c r="C184" s="1410"/>
      <c r="D184" s="1566"/>
      <c r="E184" s="1566"/>
      <c r="F184" s="1566"/>
      <c r="G184" s="1566"/>
      <c r="H184" s="1566"/>
      <c r="I184" s="1566"/>
    </row>
    <row r="185" spans="1:9" x14ac:dyDescent="0.3">
      <c r="A185" s="1410"/>
      <c r="B185" s="1410"/>
      <c r="C185" s="1410"/>
      <c r="D185" s="1566"/>
      <c r="E185" s="1566"/>
      <c r="F185" s="1566"/>
      <c r="G185" s="1566"/>
      <c r="H185" s="1566"/>
      <c r="I185" s="1566"/>
    </row>
    <row r="186" spans="1:9" x14ac:dyDescent="0.3">
      <c r="A186" s="1410"/>
      <c r="B186" s="1410"/>
      <c r="C186" s="1410"/>
      <c r="D186" s="1566"/>
      <c r="E186" s="1566"/>
      <c r="F186" s="1566"/>
      <c r="G186" s="1566"/>
      <c r="H186" s="1566"/>
      <c r="I186" s="1566"/>
    </row>
    <row r="187" spans="1:9" x14ac:dyDescent="0.3">
      <c r="A187" s="1410"/>
      <c r="B187" s="1410"/>
      <c r="C187" s="1410"/>
      <c r="D187" s="1566"/>
      <c r="E187" s="1566"/>
      <c r="F187" s="1566"/>
      <c r="G187" s="1566"/>
      <c r="H187" s="1566"/>
      <c r="I187" s="1566"/>
    </row>
    <row r="188" spans="1:9" x14ac:dyDescent="0.3">
      <c r="A188" s="1410"/>
      <c r="B188" s="1410"/>
      <c r="C188" s="1410"/>
      <c r="D188" s="1566"/>
      <c r="E188" s="1566"/>
      <c r="F188" s="1566"/>
      <c r="G188" s="1566"/>
      <c r="H188" s="1566"/>
      <c r="I188" s="1566"/>
    </row>
    <row r="189" spans="1:9" x14ac:dyDescent="0.3">
      <c r="A189" s="1410"/>
      <c r="B189" s="1410"/>
      <c r="C189" s="1410"/>
      <c r="D189" s="1566"/>
      <c r="E189" s="1566"/>
      <c r="F189" s="1566"/>
      <c r="G189" s="1566"/>
      <c r="H189" s="1566"/>
      <c r="I189" s="1566"/>
    </row>
    <row r="190" spans="1:9" x14ac:dyDescent="0.3">
      <c r="A190" s="1410"/>
      <c r="B190" s="1410"/>
      <c r="C190" s="1410"/>
      <c r="D190" s="1566"/>
      <c r="E190" s="1566"/>
      <c r="F190" s="1566"/>
      <c r="G190" s="1566"/>
      <c r="H190" s="1566"/>
      <c r="I190" s="1566"/>
    </row>
    <row r="191" spans="1:9" x14ac:dyDescent="0.3">
      <c r="A191" s="1410"/>
      <c r="B191" s="1410"/>
      <c r="C191" s="1410"/>
      <c r="D191" s="1566"/>
      <c r="E191" s="1566"/>
      <c r="F191" s="1566"/>
      <c r="G191" s="1566"/>
      <c r="H191" s="1566"/>
      <c r="I191" s="1566"/>
    </row>
    <row r="192" spans="1:9" x14ac:dyDescent="0.3">
      <c r="A192" s="1410"/>
      <c r="B192" s="1410"/>
      <c r="C192" s="1410"/>
      <c r="D192" s="1566"/>
      <c r="E192" s="1566"/>
      <c r="F192" s="1566"/>
      <c r="G192" s="1566"/>
      <c r="H192" s="1566"/>
      <c r="I192" s="1566"/>
    </row>
    <row r="193" spans="1:9" x14ac:dyDescent="0.3">
      <c r="A193" s="1410"/>
      <c r="B193" s="1410"/>
      <c r="C193" s="1410"/>
      <c r="D193" s="1566"/>
      <c r="E193" s="1566"/>
      <c r="F193" s="1566"/>
      <c r="G193" s="1566"/>
      <c r="H193" s="1566"/>
      <c r="I193" s="1566"/>
    </row>
    <row r="194" spans="1:9" x14ac:dyDescent="0.3">
      <c r="A194" s="1410"/>
      <c r="B194" s="1410"/>
      <c r="C194" s="1410"/>
      <c r="D194" s="1566"/>
      <c r="E194" s="1566"/>
      <c r="F194" s="1566"/>
      <c r="G194" s="1566"/>
      <c r="H194" s="1566"/>
      <c r="I194" s="1566"/>
    </row>
    <row r="195" spans="1:9" x14ac:dyDescent="0.3">
      <c r="A195" s="1410"/>
      <c r="B195" s="1410"/>
      <c r="C195" s="1410"/>
      <c r="D195" s="1566"/>
      <c r="E195" s="1566"/>
      <c r="F195" s="1566"/>
      <c r="G195" s="1566"/>
      <c r="H195" s="1566"/>
      <c r="I195" s="1566"/>
    </row>
    <row r="196" spans="1:9" x14ac:dyDescent="0.3">
      <c r="A196" s="1410"/>
      <c r="B196" s="1410"/>
      <c r="C196" s="1410"/>
      <c r="D196" s="1566"/>
      <c r="E196" s="1566"/>
      <c r="F196" s="1566"/>
      <c r="G196" s="1566"/>
      <c r="H196" s="1566"/>
      <c r="I196" s="1566"/>
    </row>
    <row r="197" spans="1:9" x14ac:dyDescent="0.3">
      <c r="A197" s="1410"/>
      <c r="B197" s="1410"/>
      <c r="C197" s="1410"/>
      <c r="D197" s="1566"/>
      <c r="E197" s="1566"/>
      <c r="F197" s="1566"/>
      <c r="G197" s="1566"/>
      <c r="H197" s="1566"/>
      <c r="I197" s="1566"/>
    </row>
    <row r="198" spans="1:9" x14ac:dyDescent="0.3">
      <c r="A198" s="1410"/>
      <c r="B198" s="1410"/>
      <c r="C198" s="1410"/>
      <c r="D198" s="1566"/>
      <c r="E198" s="1566"/>
      <c r="F198" s="1566"/>
      <c r="G198" s="1566"/>
      <c r="H198" s="1566"/>
      <c r="I198" s="1566"/>
    </row>
    <row r="199" spans="1:9" x14ac:dyDescent="0.3">
      <c r="A199" s="1410"/>
      <c r="B199" s="1410"/>
      <c r="C199" s="1410"/>
      <c r="D199" s="1566"/>
      <c r="E199" s="1566"/>
      <c r="F199" s="1566"/>
      <c r="G199" s="1566"/>
      <c r="H199" s="1566"/>
      <c r="I199" s="1566"/>
    </row>
    <row r="200" spans="1:9" x14ac:dyDescent="0.3">
      <c r="A200" s="1410"/>
      <c r="B200" s="1410"/>
      <c r="C200" s="1410"/>
      <c r="D200" s="1566"/>
      <c r="E200" s="1566"/>
      <c r="F200" s="1566"/>
      <c r="G200" s="1566"/>
      <c r="H200" s="1566"/>
      <c r="I200" s="1566"/>
    </row>
    <row r="201" spans="1:9" x14ac:dyDescent="0.3">
      <c r="A201" s="1410"/>
      <c r="B201" s="1410"/>
      <c r="C201" s="1410"/>
      <c r="D201" s="1566"/>
      <c r="E201" s="1566"/>
      <c r="F201" s="1566"/>
      <c r="G201" s="1566"/>
      <c r="H201" s="1566"/>
      <c r="I201" s="1566"/>
    </row>
    <row r="202" spans="1:9" x14ac:dyDescent="0.3">
      <c r="A202" s="1410"/>
      <c r="B202" s="1410"/>
      <c r="C202" s="1410"/>
      <c r="D202" s="1566"/>
      <c r="E202" s="1566"/>
      <c r="F202" s="1566"/>
      <c r="G202" s="1566"/>
      <c r="H202" s="1566"/>
      <c r="I202" s="1566"/>
    </row>
    <row r="203" spans="1:9" x14ac:dyDescent="0.3">
      <c r="A203" s="1410"/>
      <c r="B203" s="1410"/>
      <c r="C203" s="1410"/>
      <c r="D203" s="1566"/>
      <c r="E203" s="1566"/>
      <c r="F203" s="1566"/>
      <c r="G203" s="1566"/>
      <c r="H203" s="1566"/>
      <c r="I203" s="1566"/>
    </row>
    <row r="204" spans="1:9" x14ac:dyDescent="0.3">
      <c r="A204" s="1410"/>
      <c r="B204" s="1410"/>
      <c r="C204" s="1410"/>
      <c r="D204" s="1566"/>
      <c r="E204" s="1566"/>
      <c r="F204" s="1566"/>
      <c r="G204" s="1566"/>
      <c r="H204" s="1566"/>
      <c r="I204" s="1566"/>
    </row>
    <row r="205" spans="1:9" x14ac:dyDescent="0.3">
      <c r="A205" s="1410"/>
      <c r="B205" s="1410"/>
      <c r="C205" s="1410"/>
      <c r="D205" s="1566"/>
      <c r="E205" s="1566"/>
      <c r="F205" s="1566"/>
      <c r="G205" s="1566"/>
      <c r="H205" s="1566"/>
      <c r="I205" s="1566"/>
    </row>
    <row r="206" spans="1:9" x14ac:dyDescent="0.3">
      <c r="A206" s="1410"/>
      <c r="B206" s="1410"/>
      <c r="C206" s="1410"/>
      <c r="D206" s="1566"/>
      <c r="E206" s="1566"/>
      <c r="F206" s="1566"/>
      <c r="G206" s="1566"/>
      <c r="H206" s="1566"/>
      <c r="I206" s="1566"/>
    </row>
    <row r="207" spans="1:9" x14ac:dyDescent="0.3">
      <c r="A207" s="1410"/>
      <c r="B207" s="1410"/>
      <c r="C207" s="1410"/>
      <c r="D207" s="1566"/>
      <c r="E207" s="1566"/>
      <c r="F207" s="1566"/>
      <c r="G207" s="1566"/>
      <c r="H207" s="1566"/>
      <c r="I207" s="1566"/>
    </row>
    <row r="208" spans="1:9" x14ac:dyDescent="0.3">
      <c r="A208" s="1410"/>
      <c r="B208" s="1410"/>
      <c r="C208" s="1410"/>
      <c r="D208" s="1566"/>
      <c r="E208" s="1566"/>
      <c r="F208" s="1566"/>
      <c r="G208" s="1566"/>
      <c r="H208" s="1566"/>
      <c r="I208" s="1566"/>
    </row>
    <row r="209" spans="1:9" x14ac:dyDescent="0.3">
      <c r="A209" s="1410"/>
      <c r="B209" s="1410"/>
      <c r="C209" s="1410"/>
      <c r="D209" s="1566"/>
      <c r="E209" s="1566"/>
      <c r="F209" s="1566"/>
      <c r="G209" s="1566"/>
      <c r="H209" s="1566"/>
      <c r="I209" s="1566"/>
    </row>
    <row r="210" spans="1:9" x14ac:dyDescent="0.3">
      <c r="A210" s="1410"/>
      <c r="B210" s="1410"/>
      <c r="C210" s="1410"/>
      <c r="D210" s="1566"/>
      <c r="E210" s="1566"/>
      <c r="F210" s="1566"/>
      <c r="G210" s="1566"/>
      <c r="H210" s="1566"/>
      <c r="I210" s="1566"/>
    </row>
    <row r="211" spans="1:9" x14ac:dyDescent="0.3">
      <c r="A211" s="1410"/>
      <c r="B211" s="1410"/>
      <c r="C211" s="1410"/>
      <c r="D211" s="1566"/>
      <c r="E211" s="1566"/>
      <c r="F211" s="1566"/>
      <c r="G211" s="1566"/>
      <c r="H211" s="1566"/>
      <c r="I211" s="1566"/>
    </row>
    <row r="212" spans="1:9" x14ac:dyDescent="0.3">
      <c r="A212" s="1410"/>
      <c r="B212" s="1410"/>
      <c r="C212" s="1410"/>
      <c r="D212" s="1566"/>
      <c r="E212" s="1566"/>
      <c r="F212" s="1566"/>
      <c r="G212" s="1566"/>
      <c r="H212" s="1566"/>
      <c r="I212" s="1566"/>
    </row>
    <row r="213" spans="1:9" x14ac:dyDescent="0.3">
      <c r="A213" s="1410"/>
      <c r="B213" s="1410"/>
      <c r="C213" s="1410"/>
      <c r="D213" s="1566"/>
      <c r="E213" s="1566"/>
      <c r="F213" s="1566"/>
      <c r="G213" s="1566"/>
      <c r="H213" s="1566"/>
      <c r="I213" s="1566"/>
    </row>
    <row r="214" spans="1:9" x14ac:dyDescent="0.3">
      <c r="A214" s="1410"/>
      <c r="B214" s="1410"/>
      <c r="C214" s="1410"/>
      <c r="D214" s="1566"/>
      <c r="E214" s="1566"/>
      <c r="F214" s="1566"/>
      <c r="G214" s="1566"/>
      <c r="H214" s="1566"/>
      <c r="I214" s="1566"/>
    </row>
    <row r="215" spans="1:9" x14ac:dyDescent="0.3">
      <c r="A215" s="1410"/>
      <c r="B215" s="1410"/>
      <c r="C215" s="1410"/>
      <c r="D215" s="1566"/>
      <c r="E215" s="1566"/>
      <c r="F215" s="1566"/>
      <c r="G215" s="1566"/>
      <c r="H215" s="1566"/>
      <c r="I215" s="1566"/>
    </row>
    <row r="216" spans="1:9" x14ac:dyDescent="0.3">
      <c r="A216" s="1410"/>
      <c r="B216" s="1410"/>
      <c r="C216" s="1410"/>
      <c r="D216" s="1566"/>
      <c r="E216" s="1566"/>
      <c r="F216" s="1566"/>
      <c r="G216" s="1566"/>
      <c r="H216" s="1566"/>
      <c r="I216" s="1566"/>
    </row>
    <row r="217" spans="1:9" x14ac:dyDescent="0.3">
      <c r="A217" s="1410"/>
      <c r="B217" s="1410"/>
      <c r="C217" s="1410"/>
      <c r="D217" s="1566"/>
      <c r="E217" s="1566"/>
      <c r="F217" s="1566"/>
      <c r="G217" s="1566"/>
      <c r="H217" s="1566"/>
      <c r="I217" s="1566"/>
    </row>
    <row r="218" spans="1:9" x14ac:dyDescent="0.3">
      <c r="A218" s="1410"/>
      <c r="B218" s="1410"/>
      <c r="C218" s="1410"/>
      <c r="D218" s="1566"/>
      <c r="E218" s="1566"/>
      <c r="F218" s="1566"/>
      <c r="G218" s="1566"/>
      <c r="H218" s="1566"/>
      <c r="I218" s="1566"/>
    </row>
    <row r="219" spans="1:9" x14ac:dyDescent="0.3">
      <c r="A219" s="1410"/>
      <c r="B219" s="1410"/>
      <c r="C219" s="1410"/>
      <c r="D219" s="1566"/>
      <c r="E219" s="1566"/>
      <c r="F219" s="1566"/>
      <c r="G219" s="1566"/>
      <c r="H219" s="1566"/>
      <c r="I219" s="1566"/>
    </row>
    <row r="220" spans="1:9" x14ac:dyDescent="0.3">
      <c r="A220" s="1410"/>
      <c r="B220" s="1410"/>
      <c r="C220" s="1410"/>
      <c r="D220" s="1566"/>
      <c r="E220" s="1566"/>
      <c r="F220" s="1566"/>
      <c r="G220" s="1566"/>
      <c r="H220" s="1566"/>
      <c r="I220" s="1566"/>
    </row>
    <row r="221" spans="1:9" x14ac:dyDescent="0.3">
      <c r="A221" s="1410"/>
      <c r="B221" s="1410"/>
      <c r="C221" s="1410"/>
      <c r="D221" s="1566"/>
      <c r="E221" s="1566"/>
      <c r="F221" s="1566"/>
      <c r="G221" s="1566"/>
      <c r="H221" s="1566"/>
      <c r="I221" s="1566"/>
    </row>
    <row r="222" spans="1:9" x14ac:dyDescent="0.3">
      <c r="A222" s="1410"/>
      <c r="B222" s="1410"/>
      <c r="C222" s="1410"/>
      <c r="D222" s="1566"/>
      <c r="E222" s="1566"/>
      <c r="F222" s="1566"/>
      <c r="G222" s="1566"/>
      <c r="H222" s="1566"/>
      <c r="I222" s="1566"/>
    </row>
    <row r="223" spans="1:9" x14ac:dyDescent="0.3">
      <c r="A223" s="1410"/>
      <c r="B223" s="1410"/>
      <c r="C223" s="1410"/>
      <c r="D223" s="1566"/>
      <c r="E223" s="1566"/>
      <c r="F223" s="1566"/>
      <c r="G223" s="1566"/>
      <c r="H223" s="1566"/>
      <c r="I223" s="1566"/>
    </row>
    <row r="224" spans="1:9" x14ac:dyDescent="0.3">
      <c r="A224" s="1410"/>
      <c r="B224" s="1410"/>
      <c r="C224" s="1410"/>
      <c r="D224" s="1566"/>
      <c r="E224" s="1566"/>
      <c r="F224" s="1566"/>
      <c r="G224" s="1566"/>
      <c r="H224" s="1566"/>
      <c r="I224" s="1566"/>
    </row>
    <row r="225" spans="1:9" x14ac:dyDescent="0.3">
      <c r="A225" s="1410"/>
      <c r="B225" s="1410"/>
      <c r="C225" s="1410"/>
      <c r="D225" s="1566"/>
      <c r="E225" s="1566"/>
      <c r="F225" s="1566"/>
      <c r="G225" s="1566"/>
      <c r="H225" s="1566"/>
      <c r="I225" s="1566"/>
    </row>
    <row r="226" spans="1:9" x14ac:dyDescent="0.3">
      <c r="A226" s="1410"/>
      <c r="B226" s="1410"/>
      <c r="C226" s="1410"/>
      <c r="D226" s="1566"/>
      <c r="E226" s="1566"/>
      <c r="F226" s="1566"/>
      <c r="G226" s="1566"/>
      <c r="H226" s="1566"/>
      <c r="I226" s="1566"/>
    </row>
    <row r="227" spans="1:9" x14ac:dyDescent="0.3">
      <c r="A227" s="1410"/>
      <c r="B227" s="1410"/>
      <c r="C227" s="1410"/>
      <c r="D227" s="1566"/>
      <c r="E227" s="1566"/>
      <c r="F227" s="1566"/>
      <c r="G227" s="1566"/>
      <c r="H227" s="1566"/>
      <c r="I227" s="1566"/>
    </row>
    <row r="228" spans="1:9" x14ac:dyDescent="0.3">
      <c r="A228" s="1410"/>
      <c r="B228" s="1410"/>
      <c r="C228" s="1410"/>
      <c r="D228" s="1566"/>
      <c r="E228" s="1566"/>
      <c r="F228" s="1566"/>
      <c r="G228" s="1566"/>
      <c r="H228" s="1566"/>
      <c r="I228" s="1566"/>
    </row>
    <row r="229" spans="1:9" x14ac:dyDescent="0.3">
      <c r="A229" s="1410"/>
      <c r="B229" s="1410"/>
      <c r="C229" s="1410"/>
      <c r="D229" s="1566"/>
      <c r="E229" s="1566"/>
      <c r="F229" s="1566"/>
      <c r="G229" s="1566"/>
      <c r="H229" s="1566"/>
      <c r="I229" s="1566"/>
    </row>
    <row r="230" spans="1:9" x14ac:dyDescent="0.3">
      <c r="A230" s="1410"/>
      <c r="B230" s="1410"/>
      <c r="C230" s="1410"/>
      <c r="D230" s="1566"/>
      <c r="E230" s="1566"/>
      <c r="F230" s="1566"/>
      <c r="G230" s="1566"/>
      <c r="H230" s="1566"/>
      <c r="I230" s="1566"/>
    </row>
    <row r="231" spans="1:9" x14ac:dyDescent="0.3">
      <c r="A231" s="1410"/>
      <c r="B231" s="1410"/>
      <c r="C231" s="1410"/>
      <c r="D231" s="1566"/>
      <c r="E231" s="1566"/>
      <c r="F231" s="1566"/>
      <c r="G231" s="1566"/>
      <c r="H231" s="1566"/>
      <c r="I231" s="1566"/>
    </row>
    <row r="232" spans="1:9" x14ac:dyDescent="0.3">
      <c r="A232" s="1410"/>
      <c r="B232" s="1410"/>
      <c r="C232" s="1410"/>
      <c r="D232" s="1566"/>
      <c r="E232" s="1566"/>
      <c r="F232" s="1566"/>
      <c r="G232" s="1566"/>
      <c r="H232" s="1566"/>
      <c r="I232" s="1566"/>
    </row>
    <row r="233" spans="1:9" x14ac:dyDescent="0.3">
      <c r="A233" s="1410"/>
      <c r="B233" s="1410"/>
      <c r="C233" s="1410"/>
      <c r="D233" s="1566"/>
      <c r="E233" s="1566"/>
      <c r="F233" s="1566"/>
      <c r="G233" s="1566"/>
      <c r="H233" s="1566"/>
      <c r="I233" s="1566"/>
    </row>
    <row r="234" spans="1:9" x14ac:dyDescent="0.3">
      <c r="A234" s="1410"/>
      <c r="B234" s="1410"/>
      <c r="C234" s="1410"/>
      <c r="D234" s="1566"/>
      <c r="E234" s="1566"/>
      <c r="F234" s="1566"/>
      <c r="G234" s="1566"/>
      <c r="H234" s="1566"/>
      <c r="I234" s="1566"/>
    </row>
    <row r="235" spans="1:9" x14ac:dyDescent="0.3">
      <c r="A235" s="1410"/>
      <c r="B235" s="1410"/>
      <c r="C235" s="1410"/>
      <c r="D235" s="1566"/>
      <c r="E235" s="1566"/>
      <c r="F235" s="1566"/>
      <c r="G235" s="1566"/>
      <c r="H235" s="1566"/>
      <c r="I235" s="1566"/>
    </row>
    <row r="236" spans="1:9" x14ac:dyDescent="0.3">
      <c r="A236" s="1410"/>
      <c r="B236" s="1410"/>
      <c r="C236" s="1410"/>
      <c r="D236" s="1566"/>
      <c r="E236" s="1566"/>
      <c r="F236" s="1566"/>
      <c r="G236" s="1566"/>
      <c r="H236" s="1566"/>
      <c r="I236" s="1566"/>
    </row>
    <row r="237" spans="1:9" x14ac:dyDescent="0.3">
      <c r="A237" s="1410"/>
      <c r="B237" s="1410"/>
      <c r="C237" s="1410"/>
      <c r="D237" s="1566"/>
      <c r="E237" s="1566"/>
      <c r="F237" s="1566"/>
      <c r="G237" s="1566"/>
      <c r="H237" s="1566"/>
      <c r="I237" s="1566"/>
    </row>
    <row r="238" spans="1:9" x14ac:dyDescent="0.3">
      <c r="A238" s="1410"/>
      <c r="B238" s="1410"/>
      <c r="C238" s="1410"/>
      <c r="D238" s="1566"/>
      <c r="E238" s="1566"/>
      <c r="F238" s="1566"/>
      <c r="G238" s="1566"/>
      <c r="H238" s="1566"/>
      <c r="I238" s="1566"/>
    </row>
    <row r="239" spans="1:9" x14ac:dyDescent="0.3">
      <c r="A239" s="1410"/>
      <c r="B239" s="1410"/>
      <c r="C239" s="1410"/>
      <c r="D239" s="1566"/>
      <c r="E239" s="1566"/>
      <c r="F239" s="1566"/>
      <c r="G239" s="1566"/>
      <c r="H239" s="1566"/>
      <c r="I239" s="1566"/>
    </row>
    <row r="240" spans="1:9" x14ac:dyDescent="0.3">
      <c r="A240" s="1410"/>
      <c r="B240" s="1410"/>
      <c r="C240" s="1410"/>
      <c r="D240" s="1566"/>
      <c r="E240" s="1566"/>
      <c r="F240" s="1566"/>
      <c r="G240" s="1566"/>
      <c r="H240" s="1566"/>
      <c r="I240" s="1566"/>
    </row>
    <row r="241" spans="1:9" x14ac:dyDescent="0.3">
      <c r="A241" s="1410"/>
      <c r="B241" s="1410"/>
      <c r="C241" s="1410"/>
      <c r="D241" s="1566"/>
      <c r="E241" s="1566"/>
      <c r="F241" s="1566"/>
      <c r="G241" s="1566"/>
      <c r="H241" s="1566"/>
      <c r="I241" s="1566"/>
    </row>
    <row r="242" spans="1:9" x14ac:dyDescent="0.3">
      <c r="A242" s="1410"/>
      <c r="B242" s="1410"/>
      <c r="C242" s="1410"/>
      <c r="D242" s="1566"/>
      <c r="E242" s="1566"/>
      <c r="F242" s="1566"/>
      <c r="G242" s="1566"/>
      <c r="H242" s="1566"/>
      <c r="I242" s="1566"/>
    </row>
    <row r="243" spans="1:9" x14ac:dyDescent="0.3">
      <c r="A243" s="1410"/>
      <c r="B243" s="1410"/>
      <c r="C243" s="1410"/>
      <c r="D243" s="1566"/>
      <c r="E243" s="1566"/>
      <c r="F243" s="1566"/>
      <c r="G243" s="1566"/>
      <c r="H243" s="1566"/>
      <c r="I243" s="1566"/>
    </row>
    <row r="244" spans="1:9" x14ac:dyDescent="0.3">
      <c r="A244" s="1410"/>
      <c r="B244" s="1410"/>
      <c r="C244" s="1410"/>
      <c r="D244" s="1566"/>
      <c r="E244" s="1566"/>
      <c r="F244" s="1566"/>
      <c r="G244" s="1566"/>
      <c r="H244" s="1566"/>
      <c r="I244" s="1566"/>
    </row>
    <row r="245" spans="1:9" x14ac:dyDescent="0.3">
      <c r="A245" s="1410"/>
      <c r="B245" s="1410"/>
      <c r="C245" s="1410"/>
      <c r="D245" s="1566"/>
      <c r="E245" s="1566"/>
      <c r="F245" s="1566"/>
      <c r="G245" s="1566"/>
      <c r="H245" s="1566"/>
      <c r="I245" s="1566"/>
    </row>
    <row r="246" spans="1:9" x14ac:dyDescent="0.3">
      <c r="A246" s="1410"/>
      <c r="B246" s="1410"/>
      <c r="C246" s="1410"/>
      <c r="D246" s="1566"/>
      <c r="E246" s="1566"/>
      <c r="F246" s="1566"/>
      <c r="G246" s="1566"/>
      <c r="H246" s="1566"/>
      <c r="I246" s="1566"/>
    </row>
    <row r="247" spans="1:9" x14ac:dyDescent="0.3">
      <c r="A247" s="1410"/>
      <c r="B247" s="1410"/>
      <c r="C247" s="1410"/>
      <c r="D247" s="1566"/>
      <c r="E247" s="1566"/>
      <c r="F247" s="1566"/>
      <c r="G247" s="1566"/>
      <c r="H247" s="1566"/>
      <c r="I247" s="1566"/>
    </row>
    <row r="248" spans="1:9" x14ac:dyDescent="0.3">
      <c r="A248" s="1410"/>
      <c r="B248" s="1410"/>
      <c r="C248" s="1410"/>
      <c r="D248" s="1566"/>
      <c r="E248" s="1566"/>
      <c r="F248" s="1566"/>
      <c r="G248" s="1566"/>
      <c r="H248" s="1566"/>
      <c r="I248" s="1566"/>
    </row>
    <row r="249" spans="1:9" x14ac:dyDescent="0.3">
      <c r="A249" s="1410"/>
      <c r="B249" s="1410"/>
      <c r="C249" s="1410"/>
      <c r="D249" s="1566"/>
      <c r="E249" s="1566"/>
      <c r="F249" s="1566"/>
      <c r="G249" s="1566"/>
      <c r="H249" s="1566"/>
      <c r="I249" s="1566"/>
    </row>
    <row r="250" spans="1:9" x14ac:dyDescent="0.3">
      <c r="A250" s="1410"/>
      <c r="B250" s="1410"/>
      <c r="C250" s="1410"/>
      <c r="D250" s="1566"/>
      <c r="E250" s="1566"/>
      <c r="F250" s="1566"/>
      <c r="G250" s="1566"/>
      <c r="H250" s="1566"/>
      <c r="I250" s="1566"/>
    </row>
    <row r="251" spans="1:9" x14ac:dyDescent="0.3">
      <c r="A251" s="1410"/>
      <c r="B251" s="1410"/>
      <c r="C251" s="1410"/>
      <c r="D251" s="1566"/>
      <c r="E251" s="1566"/>
      <c r="F251" s="1566"/>
      <c r="G251" s="1566"/>
      <c r="H251" s="1566"/>
      <c r="I251" s="1566"/>
    </row>
    <row r="252" spans="1:9" x14ac:dyDescent="0.3">
      <c r="A252" s="1410"/>
      <c r="B252" s="1410"/>
      <c r="C252" s="1410"/>
      <c r="D252" s="1566"/>
      <c r="E252" s="1566"/>
      <c r="F252" s="1566"/>
      <c r="G252" s="1566"/>
      <c r="H252" s="1566"/>
      <c r="I252" s="1566"/>
    </row>
    <row r="253" spans="1:9" x14ac:dyDescent="0.3">
      <c r="A253" s="1410"/>
      <c r="B253" s="1410"/>
      <c r="C253" s="1410"/>
      <c r="D253" s="1566"/>
      <c r="E253" s="1566"/>
      <c r="F253" s="1566"/>
      <c r="G253" s="1566"/>
      <c r="H253" s="1566"/>
      <c r="I253" s="1566"/>
    </row>
    <row r="254" spans="1:9" x14ac:dyDescent="0.3">
      <c r="A254" s="1410"/>
      <c r="B254" s="1410"/>
      <c r="C254" s="1410"/>
      <c r="D254" s="1566"/>
      <c r="E254" s="1566"/>
      <c r="F254" s="1566"/>
      <c r="G254" s="1566"/>
      <c r="H254" s="1566"/>
      <c r="I254" s="1566"/>
    </row>
    <row r="255" spans="1:9" x14ac:dyDescent="0.3">
      <c r="A255" s="1410"/>
      <c r="B255" s="1410"/>
      <c r="C255" s="1410"/>
      <c r="D255" s="1566"/>
      <c r="E255" s="1566"/>
      <c r="F255" s="1566"/>
      <c r="G255" s="1566"/>
      <c r="H255" s="1566"/>
      <c r="I255" s="1566"/>
    </row>
    <row r="256" spans="1:9" x14ac:dyDescent="0.3">
      <c r="A256" s="1410"/>
      <c r="B256" s="1410"/>
      <c r="C256" s="1410"/>
      <c r="D256" s="1566"/>
      <c r="E256" s="1566"/>
      <c r="F256" s="1566"/>
      <c r="G256" s="1566"/>
      <c r="H256" s="1566"/>
      <c r="I256" s="1566"/>
    </row>
    <row r="257" spans="1:9" x14ac:dyDescent="0.3">
      <c r="A257" s="1410"/>
      <c r="B257" s="1410"/>
      <c r="C257" s="1410"/>
      <c r="D257" s="1566"/>
      <c r="E257" s="1566"/>
      <c r="F257" s="1566"/>
      <c r="G257" s="1566"/>
      <c r="H257" s="1566"/>
      <c r="I257" s="1566"/>
    </row>
    <row r="258" spans="1:9" x14ac:dyDescent="0.3">
      <c r="A258" s="1410"/>
      <c r="B258" s="1410"/>
      <c r="C258" s="1410"/>
      <c r="D258" s="1566"/>
      <c r="E258" s="1566"/>
      <c r="F258" s="1566"/>
      <c r="G258" s="1566"/>
      <c r="H258" s="1566"/>
      <c r="I258" s="1566"/>
    </row>
    <row r="259" spans="1:9" x14ac:dyDescent="0.3">
      <c r="A259" s="1410"/>
      <c r="B259" s="1410"/>
      <c r="C259" s="1410"/>
      <c r="D259" s="1566"/>
      <c r="E259" s="1566"/>
      <c r="F259" s="1566"/>
      <c r="G259" s="1566"/>
      <c r="H259" s="1566"/>
      <c r="I259" s="1566"/>
    </row>
    <row r="260" spans="1:9" x14ac:dyDescent="0.3">
      <c r="A260" s="1410"/>
      <c r="B260" s="1410"/>
      <c r="C260" s="1410"/>
      <c r="D260" s="1566"/>
      <c r="E260" s="1566"/>
      <c r="F260" s="1566"/>
      <c r="G260" s="1566"/>
      <c r="H260" s="1566"/>
      <c r="I260" s="1566"/>
    </row>
    <row r="261" spans="1:9" x14ac:dyDescent="0.3">
      <c r="A261" s="1410"/>
      <c r="B261" s="1410"/>
      <c r="C261" s="1410"/>
      <c r="D261" s="1566"/>
      <c r="E261" s="1566"/>
      <c r="F261" s="1566"/>
      <c r="G261" s="1566"/>
      <c r="H261" s="1566"/>
      <c r="I261" s="1566"/>
    </row>
    <row r="262" spans="1:9" x14ac:dyDescent="0.3">
      <c r="A262" s="1410"/>
      <c r="B262" s="1410"/>
      <c r="C262" s="1410"/>
      <c r="D262" s="1566"/>
      <c r="E262" s="1566"/>
      <c r="F262" s="1566"/>
      <c r="G262" s="1566"/>
      <c r="H262" s="1566"/>
      <c r="I262" s="1566"/>
    </row>
    <row r="263" spans="1:9" x14ac:dyDescent="0.3">
      <c r="A263" s="1410"/>
      <c r="B263" s="1410"/>
      <c r="C263" s="1410"/>
      <c r="D263" s="1566"/>
      <c r="E263" s="1566"/>
      <c r="F263" s="1566"/>
      <c r="G263" s="1566"/>
      <c r="H263" s="1566"/>
      <c r="I263" s="1566"/>
    </row>
    <row r="264" spans="1:9" x14ac:dyDescent="0.3">
      <c r="A264" s="1410"/>
      <c r="B264" s="1410"/>
      <c r="C264" s="1410"/>
      <c r="D264" s="1566"/>
      <c r="E264" s="1566"/>
      <c r="F264" s="1566"/>
      <c r="G264" s="1566"/>
      <c r="H264" s="1566"/>
      <c r="I264" s="1566"/>
    </row>
    <row r="265" spans="1:9" x14ac:dyDescent="0.3">
      <c r="A265" s="1410"/>
      <c r="B265" s="1410"/>
      <c r="C265" s="1410"/>
      <c r="D265" s="1566"/>
      <c r="E265" s="1566"/>
      <c r="F265" s="1566"/>
      <c r="G265" s="1566"/>
      <c r="H265" s="1566"/>
      <c r="I265" s="1566"/>
    </row>
    <row r="266" spans="1:9" x14ac:dyDescent="0.3">
      <c r="A266" s="1410"/>
      <c r="B266" s="1410"/>
      <c r="C266" s="1410"/>
      <c r="D266" s="1566"/>
      <c r="E266" s="1566"/>
      <c r="F266" s="1566"/>
      <c r="G266" s="1566"/>
      <c r="H266" s="1566"/>
      <c r="I266" s="1566"/>
    </row>
    <row r="267" spans="1:9" x14ac:dyDescent="0.3">
      <c r="A267" s="1410"/>
      <c r="B267" s="1410"/>
      <c r="C267" s="1410"/>
      <c r="D267" s="1566"/>
      <c r="E267" s="1566"/>
      <c r="F267" s="1566"/>
      <c r="G267" s="1566"/>
      <c r="H267" s="1566"/>
      <c r="I267" s="1566"/>
    </row>
    <row r="268" spans="1:9" x14ac:dyDescent="0.3">
      <c r="A268" s="1410"/>
      <c r="B268" s="1410"/>
      <c r="C268" s="1410"/>
      <c r="D268" s="1566"/>
      <c r="E268" s="1566"/>
      <c r="F268" s="1566"/>
      <c r="G268" s="1566"/>
      <c r="H268" s="1566"/>
      <c r="I268" s="1566"/>
    </row>
    <row r="269" spans="1:9" x14ac:dyDescent="0.3">
      <c r="A269" s="1410"/>
      <c r="B269" s="1410"/>
      <c r="C269" s="1410"/>
      <c r="D269" s="1566"/>
      <c r="E269" s="1566"/>
      <c r="F269" s="1566"/>
      <c r="G269" s="1566"/>
      <c r="H269" s="1566"/>
      <c r="I269" s="1566"/>
    </row>
    <row r="270" spans="1:9" x14ac:dyDescent="0.3">
      <c r="A270" s="1410"/>
      <c r="B270" s="1410"/>
      <c r="C270" s="1410"/>
      <c r="D270" s="1566"/>
      <c r="E270" s="1566"/>
      <c r="F270" s="1566"/>
      <c r="G270" s="1566"/>
      <c r="H270" s="1566"/>
      <c r="I270" s="1566"/>
    </row>
    <row r="271" spans="1:9" x14ac:dyDescent="0.3">
      <c r="A271" s="1410"/>
      <c r="B271" s="1410"/>
      <c r="C271" s="1410"/>
      <c r="D271" s="1566"/>
      <c r="E271" s="1566"/>
      <c r="F271" s="1566"/>
      <c r="G271" s="1566"/>
      <c r="H271" s="1566"/>
      <c r="I271" s="1566"/>
    </row>
    <row r="272" spans="1:9" x14ac:dyDescent="0.3">
      <c r="A272" s="1410"/>
      <c r="B272" s="1410"/>
      <c r="C272" s="1410"/>
      <c r="D272" s="1566"/>
      <c r="E272" s="1566"/>
      <c r="F272" s="1566"/>
      <c r="G272" s="1566"/>
      <c r="H272" s="1566"/>
      <c r="I272" s="1566"/>
    </row>
    <row r="273" spans="1:9" x14ac:dyDescent="0.3">
      <c r="A273" s="1410"/>
      <c r="B273" s="1410"/>
      <c r="C273" s="1410"/>
      <c r="D273" s="1566"/>
      <c r="E273" s="1566"/>
      <c r="F273" s="1566"/>
      <c r="G273" s="1566"/>
      <c r="H273" s="1566"/>
      <c r="I273" s="1566"/>
    </row>
    <row r="274" spans="1:9" x14ac:dyDescent="0.3">
      <c r="A274" s="1410"/>
      <c r="B274" s="1410"/>
      <c r="C274" s="1410"/>
      <c r="D274" s="1566"/>
      <c r="E274" s="1566"/>
      <c r="F274" s="1566"/>
      <c r="G274" s="1566"/>
      <c r="H274" s="1566"/>
      <c r="I274" s="1566"/>
    </row>
    <row r="275" spans="1:9" x14ac:dyDescent="0.3">
      <c r="A275" s="1410"/>
      <c r="B275" s="1410"/>
      <c r="C275" s="1410"/>
      <c r="D275" s="1566"/>
      <c r="E275" s="1566"/>
      <c r="F275" s="1566"/>
      <c r="G275" s="1566"/>
      <c r="H275" s="1566"/>
      <c r="I275" s="1566"/>
    </row>
    <row r="276" spans="1:9" x14ac:dyDescent="0.3">
      <c r="A276" s="1410"/>
      <c r="B276" s="1410"/>
      <c r="C276" s="1410"/>
      <c r="D276" s="1566"/>
      <c r="E276" s="1566"/>
      <c r="F276" s="1566"/>
      <c r="G276" s="1566"/>
      <c r="H276" s="1566"/>
      <c r="I276" s="1566"/>
    </row>
    <row r="277" spans="1:9" x14ac:dyDescent="0.3">
      <c r="A277" s="1410"/>
      <c r="B277" s="1410"/>
      <c r="C277" s="1410"/>
      <c r="D277" s="1566"/>
      <c r="E277" s="1566"/>
      <c r="F277" s="1566"/>
      <c r="G277" s="1566"/>
      <c r="H277" s="1566"/>
      <c r="I277" s="1566"/>
    </row>
    <row r="278" spans="1:9" x14ac:dyDescent="0.3">
      <c r="A278" s="1410"/>
      <c r="B278" s="1410"/>
      <c r="C278" s="1410"/>
      <c r="D278" s="1566"/>
      <c r="E278" s="1566"/>
      <c r="F278" s="1566"/>
      <c r="G278" s="1566"/>
      <c r="H278" s="1566"/>
      <c r="I278" s="1566"/>
    </row>
    <row r="279" spans="1:9" x14ac:dyDescent="0.3">
      <c r="A279" s="1410"/>
      <c r="B279" s="1410"/>
      <c r="C279" s="1410"/>
      <c r="D279" s="1566"/>
      <c r="E279" s="1566"/>
      <c r="F279" s="1566"/>
      <c r="G279" s="1566"/>
      <c r="H279" s="1566"/>
      <c r="I279" s="1566"/>
    </row>
    <row r="280" spans="1:9" x14ac:dyDescent="0.3">
      <c r="A280" s="1410"/>
      <c r="B280" s="1410"/>
      <c r="C280" s="1410"/>
      <c r="D280" s="1566"/>
      <c r="E280" s="1566"/>
      <c r="F280" s="1566"/>
      <c r="G280" s="1566"/>
      <c r="H280" s="1566"/>
      <c r="I280" s="1566"/>
    </row>
    <row r="281" spans="1:9" x14ac:dyDescent="0.3">
      <c r="A281" s="1410"/>
      <c r="B281" s="1410"/>
      <c r="C281" s="1410"/>
      <c r="D281" s="1566"/>
      <c r="E281" s="1566"/>
      <c r="F281" s="1566"/>
      <c r="G281" s="1566"/>
      <c r="H281" s="1566"/>
      <c r="I281" s="1566"/>
    </row>
    <row r="282" spans="1:9" x14ac:dyDescent="0.3">
      <c r="A282" s="1410"/>
      <c r="B282" s="1410"/>
      <c r="C282" s="1410"/>
      <c r="D282" s="1566"/>
      <c r="E282" s="1566"/>
      <c r="F282" s="1566"/>
      <c r="G282" s="1566"/>
      <c r="H282" s="1566"/>
      <c r="I282" s="1566"/>
    </row>
    <row r="283" spans="1:9" x14ac:dyDescent="0.3">
      <c r="A283" s="1410"/>
      <c r="B283" s="1410"/>
      <c r="C283" s="1410"/>
      <c r="D283" s="1566"/>
      <c r="E283" s="1566"/>
      <c r="F283" s="1566"/>
      <c r="G283" s="1566"/>
      <c r="H283" s="1566"/>
      <c r="I283" s="1566"/>
    </row>
    <row r="284" spans="1:9" x14ac:dyDescent="0.3">
      <c r="A284" s="1410"/>
      <c r="B284" s="1410"/>
      <c r="C284" s="1410"/>
      <c r="D284" s="1566"/>
      <c r="E284" s="1566"/>
      <c r="F284" s="1566"/>
      <c r="G284" s="1566"/>
      <c r="H284" s="1566"/>
      <c r="I284" s="1566"/>
    </row>
    <row r="285" spans="1:9" x14ac:dyDescent="0.3">
      <c r="A285" s="1410"/>
      <c r="B285" s="1410"/>
      <c r="C285" s="1410"/>
      <c r="D285" s="1566"/>
      <c r="E285" s="1566"/>
      <c r="F285" s="1566"/>
      <c r="G285" s="1566"/>
      <c r="H285" s="1566"/>
      <c r="I285" s="1566"/>
    </row>
    <row r="286" spans="1:9" x14ac:dyDescent="0.3">
      <c r="A286" s="1410"/>
      <c r="B286" s="1410"/>
      <c r="C286" s="1410"/>
      <c r="D286" s="1566"/>
      <c r="E286" s="1566"/>
      <c r="F286" s="1566"/>
      <c r="G286" s="1566"/>
      <c r="H286" s="1566"/>
      <c r="I286" s="1566"/>
    </row>
    <row r="287" spans="1:9" x14ac:dyDescent="0.3">
      <c r="A287" s="1410"/>
      <c r="B287" s="1410"/>
      <c r="C287" s="1410"/>
      <c r="D287" s="1566"/>
      <c r="E287" s="1566"/>
      <c r="F287" s="1566"/>
      <c r="G287" s="1566"/>
      <c r="H287" s="1566"/>
      <c r="I287" s="1566"/>
    </row>
    <row r="288" spans="1:9" x14ac:dyDescent="0.3">
      <c r="A288" s="1410"/>
      <c r="B288" s="1410"/>
      <c r="C288" s="1410"/>
      <c r="D288" s="1566"/>
      <c r="E288" s="1566"/>
      <c r="F288" s="1566"/>
      <c r="G288" s="1566"/>
      <c r="H288" s="1566"/>
      <c r="I288" s="1566"/>
    </row>
    <row r="289" spans="1:9" x14ac:dyDescent="0.3">
      <c r="A289" s="1410"/>
      <c r="B289" s="1410"/>
      <c r="C289" s="1410"/>
      <c r="D289" s="1566"/>
      <c r="E289" s="1566"/>
      <c r="F289" s="1566"/>
      <c r="G289" s="1566"/>
      <c r="H289" s="1566"/>
      <c r="I289" s="1566"/>
    </row>
    <row r="290" spans="1:9" x14ac:dyDescent="0.3">
      <c r="A290" s="1410"/>
      <c r="B290" s="1410"/>
      <c r="C290" s="1410"/>
      <c r="D290" s="1566"/>
      <c r="E290" s="1566"/>
      <c r="F290" s="1566"/>
      <c r="G290" s="1566"/>
      <c r="H290" s="1566"/>
      <c r="I290" s="1566"/>
    </row>
    <row r="291" spans="1:9" x14ac:dyDescent="0.3">
      <c r="A291" s="1410"/>
      <c r="B291" s="1410"/>
      <c r="C291" s="1410"/>
      <c r="D291" s="1566"/>
      <c r="E291" s="1566"/>
      <c r="F291" s="1566"/>
      <c r="G291" s="1566"/>
      <c r="H291" s="1566"/>
      <c r="I291" s="1566"/>
    </row>
    <row r="292" spans="1:9" x14ac:dyDescent="0.3">
      <c r="A292" s="1410"/>
      <c r="B292" s="1410"/>
      <c r="C292" s="1410"/>
      <c r="D292" s="1566"/>
      <c r="E292" s="1566"/>
      <c r="F292" s="1566"/>
      <c r="G292" s="1566"/>
      <c r="H292" s="1566"/>
      <c r="I292" s="1566"/>
    </row>
    <row r="293" spans="1:9" x14ac:dyDescent="0.3">
      <c r="A293" s="1410"/>
      <c r="B293" s="1410"/>
      <c r="C293" s="1410"/>
      <c r="D293" s="1566"/>
      <c r="E293" s="1566"/>
      <c r="F293" s="1566"/>
      <c r="G293" s="1566"/>
      <c r="H293" s="1566"/>
      <c r="I293" s="1566"/>
    </row>
    <row r="294" spans="1:9" x14ac:dyDescent="0.3">
      <c r="A294" s="1410"/>
      <c r="B294" s="1410"/>
      <c r="C294" s="1410"/>
      <c r="D294" s="1566"/>
      <c r="E294" s="1566"/>
      <c r="F294" s="1566"/>
      <c r="G294" s="1566"/>
      <c r="H294" s="1566"/>
      <c r="I294" s="1566"/>
    </row>
    <row r="295" spans="1:9" x14ac:dyDescent="0.3">
      <c r="A295" s="1410"/>
      <c r="B295" s="1410"/>
      <c r="C295" s="1410"/>
      <c r="D295" s="1566"/>
      <c r="E295" s="1566"/>
      <c r="F295" s="1566"/>
      <c r="G295" s="1566"/>
      <c r="H295" s="1566"/>
      <c r="I295" s="1566"/>
    </row>
    <row r="296" spans="1:9" x14ac:dyDescent="0.3">
      <c r="A296" s="1410"/>
      <c r="B296" s="1410"/>
      <c r="C296" s="1410"/>
      <c r="D296" s="1566"/>
      <c r="E296" s="1566"/>
      <c r="F296" s="1566"/>
      <c r="G296" s="1566"/>
      <c r="H296" s="1566"/>
      <c r="I296" s="1566"/>
    </row>
    <row r="297" spans="1:9" x14ac:dyDescent="0.3">
      <c r="A297" s="1410"/>
      <c r="B297" s="1410"/>
      <c r="C297" s="1410"/>
      <c r="D297" s="1566"/>
      <c r="E297" s="1566"/>
      <c r="F297" s="1566"/>
      <c r="G297" s="1566"/>
      <c r="H297" s="1566"/>
      <c r="I297" s="1566"/>
    </row>
    <row r="298" spans="1:9" x14ac:dyDescent="0.3">
      <c r="A298" s="1410"/>
      <c r="B298" s="1410"/>
      <c r="C298" s="1410"/>
      <c r="D298" s="1566"/>
      <c r="E298" s="1566"/>
      <c r="F298" s="1566"/>
      <c r="G298" s="1566"/>
      <c r="H298" s="1566"/>
      <c r="I298" s="1566"/>
    </row>
    <row r="299" spans="1:9" x14ac:dyDescent="0.3">
      <c r="A299" s="1410"/>
      <c r="B299" s="1410"/>
      <c r="C299" s="1410"/>
      <c r="D299" s="1566"/>
      <c r="E299" s="1566"/>
      <c r="F299" s="1566"/>
      <c r="G299" s="1566"/>
      <c r="H299" s="1566"/>
      <c r="I299" s="1566"/>
    </row>
    <row r="300" spans="1:9" x14ac:dyDescent="0.3">
      <c r="A300" s="1410"/>
      <c r="B300" s="1410"/>
      <c r="C300" s="1410"/>
      <c r="D300" s="1566"/>
      <c r="E300" s="1566"/>
      <c r="F300" s="1566"/>
      <c r="G300" s="1566"/>
      <c r="H300" s="1566"/>
      <c r="I300" s="1566"/>
    </row>
    <row r="301" spans="1:9" x14ac:dyDescent="0.3">
      <c r="A301" s="1410"/>
      <c r="B301" s="1410"/>
      <c r="C301" s="1410"/>
      <c r="D301" s="1566"/>
      <c r="E301" s="1566"/>
      <c r="F301" s="1566"/>
      <c r="G301" s="1566"/>
      <c r="H301" s="1566"/>
      <c r="I301" s="1566"/>
    </row>
    <row r="302" spans="1:9" x14ac:dyDescent="0.3">
      <c r="A302" s="1410"/>
      <c r="B302" s="1410"/>
      <c r="C302" s="1410"/>
      <c r="D302" s="1566"/>
      <c r="E302" s="1566"/>
      <c r="F302" s="1566"/>
      <c r="G302" s="1566"/>
      <c r="H302" s="1566"/>
      <c r="I302" s="1566"/>
    </row>
    <row r="303" spans="1:9" x14ac:dyDescent="0.3">
      <c r="A303" s="1410"/>
      <c r="B303" s="1410"/>
      <c r="C303" s="1410"/>
      <c r="D303" s="1566"/>
      <c r="E303" s="1566"/>
      <c r="F303" s="1566"/>
      <c r="G303" s="1566"/>
      <c r="H303" s="1566"/>
      <c r="I303" s="1566"/>
    </row>
    <row r="304" spans="1:9" x14ac:dyDescent="0.3">
      <c r="A304" s="1410"/>
      <c r="B304" s="1410"/>
      <c r="C304" s="1410"/>
      <c r="D304" s="1566"/>
      <c r="E304" s="1566"/>
      <c r="F304" s="1566"/>
      <c r="G304" s="1566"/>
      <c r="H304" s="1566"/>
      <c r="I304" s="1566"/>
    </row>
    <row r="305" spans="1:9" x14ac:dyDescent="0.3">
      <c r="A305" s="1410"/>
      <c r="B305" s="1410"/>
      <c r="C305" s="1410"/>
      <c r="D305" s="1566"/>
      <c r="E305" s="1566"/>
      <c r="F305" s="1566"/>
      <c r="G305" s="1566"/>
      <c r="H305" s="1566"/>
      <c r="I305" s="1566"/>
    </row>
    <row r="306" spans="1:9" x14ac:dyDescent="0.3">
      <c r="A306" s="1410"/>
      <c r="B306" s="1410"/>
      <c r="C306" s="1410"/>
      <c r="D306" s="1566"/>
      <c r="E306" s="1566"/>
      <c r="F306" s="1566"/>
      <c r="G306" s="1566"/>
      <c r="H306" s="1566"/>
      <c r="I306" s="1566"/>
    </row>
    <row r="307" spans="1:9" x14ac:dyDescent="0.3">
      <c r="A307" s="1410"/>
      <c r="B307" s="1410"/>
      <c r="C307" s="1410"/>
      <c r="D307" s="1566"/>
      <c r="E307" s="1566"/>
      <c r="F307" s="1566"/>
      <c r="G307" s="1566"/>
      <c r="H307" s="1566"/>
      <c r="I307" s="1566"/>
    </row>
    <row r="308" spans="1:9" x14ac:dyDescent="0.3">
      <c r="A308" s="1410"/>
      <c r="B308" s="1410"/>
      <c r="C308" s="1410"/>
      <c r="D308" s="1566"/>
      <c r="E308" s="1566"/>
      <c r="F308" s="1566"/>
      <c r="G308" s="1566"/>
      <c r="H308" s="1566"/>
      <c r="I308" s="1566"/>
    </row>
    <row r="309" spans="1:9" x14ac:dyDescent="0.3">
      <c r="A309" s="1410"/>
      <c r="B309" s="1410"/>
      <c r="C309" s="1410"/>
      <c r="D309" s="1566"/>
      <c r="E309" s="1566"/>
      <c r="F309" s="1566"/>
      <c r="G309" s="1566"/>
      <c r="H309" s="1566"/>
      <c r="I309" s="1566"/>
    </row>
    <row r="310" spans="1:9" x14ac:dyDescent="0.3">
      <c r="A310" s="1410"/>
      <c r="B310" s="1410"/>
      <c r="C310" s="1410"/>
      <c r="D310" s="1566"/>
      <c r="E310" s="1566"/>
      <c r="F310" s="1566"/>
      <c r="G310" s="1566"/>
      <c r="H310" s="1566"/>
      <c r="I310" s="1566"/>
    </row>
    <row r="311" spans="1:9" x14ac:dyDescent="0.3">
      <c r="A311" s="1410"/>
      <c r="B311" s="1410"/>
      <c r="C311" s="1410"/>
      <c r="D311" s="1566"/>
      <c r="E311" s="1566"/>
      <c r="F311" s="1566"/>
      <c r="G311" s="1566"/>
      <c r="H311" s="1566"/>
      <c r="I311" s="1566"/>
    </row>
    <row r="312" spans="1:9" x14ac:dyDescent="0.3">
      <c r="A312" s="1410"/>
      <c r="B312" s="1410"/>
      <c r="C312" s="1410"/>
      <c r="D312" s="1566"/>
      <c r="E312" s="1566"/>
      <c r="F312" s="1566"/>
      <c r="G312" s="1566"/>
      <c r="H312" s="1566"/>
      <c r="I312" s="1566"/>
    </row>
    <row r="313" spans="1:9" x14ac:dyDescent="0.3">
      <c r="A313" s="1410"/>
      <c r="B313" s="1410"/>
      <c r="C313" s="1410"/>
      <c r="D313" s="1566"/>
      <c r="E313" s="1566"/>
      <c r="F313" s="1566"/>
      <c r="G313" s="1566"/>
      <c r="H313" s="1566"/>
      <c r="I313" s="1566"/>
    </row>
    <row r="314" spans="1:9" x14ac:dyDescent="0.3">
      <c r="A314" s="1410"/>
      <c r="B314" s="1410"/>
      <c r="C314" s="1410"/>
      <c r="D314" s="1566"/>
      <c r="E314" s="1566"/>
      <c r="F314" s="1566"/>
      <c r="G314" s="1566"/>
      <c r="H314" s="1566"/>
      <c r="I314" s="1566"/>
    </row>
    <row r="315" spans="1:9" x14ac:dyDescent="0.3">
      <c r="A315" s="1410"/>
      <c r="B315" s="1410"/>
      <c r="C315" s="1410"/>
      <c r="D315" s="1566"/>
      <c r="E315" s="1566"/>
      <c r="F315" s="1566"/>
      <c r="G315" s="1566"/>
      <c r="H315" s="1566"/>
      <c r="I315" s="1566"/>
    </row>
    <row r="316" spans="1:9" x14ac:dyDescent="0.3">
      <c r="A316" s="1410"/>
      <c r="B316" s="1410"/>
      <c r="C316" s="1410"/>
      <c r="D316" s="1566"/>
      <c r="E316" s="1566"/>
      <c r="F316" s="1566"/>
      <c r="G316" s="1566"/>
      <c r="H316" s="1566"/>
      <c r="I316" s="1566"/>
    </row>
    <row r="317" spans="1:9" x14ac:dyDescent="0.3">
      <c r="A317" s="1410"/>
      <c r="B317" s="1410"/>
      <c r="C317" s="1410"/>
      <c r="D317" s="1566"/>
      <c r="E317" s="1566"/>
      <c r="F317" s="1566"/>
      <c r="G317" s="1566"/>
      <c r="H317" s="1566"/>
      <c r="I317" s="1566"/>
    </row>
    <row r="318" spans="1:9" x14ac:dyDescent="0.3">
      <c r="A318" s="1410"/>
      <c r="B318" s="1410"/>
      <c r="C318" s="1410"/>
      <c r="D318" s="1566"/>
      <c r="E318" s="1566"/>
      <c r="F318" s="1566"/>
      <c r="G318" s="1566"/>
      <c r="H318" s="1566"/>
      <c r="I318" s="1566"/>
    </row>
    <row r="319" spans="1:9" x14ac:dyDescent="0.3">
      <c r="A319" s="1410"/>
      <c r="B319" s="1410"/>
      <c r="C319" s="1410"/>
      <c r="D319" s="1566"/>
      <c r="E319" s="1566"/>
      <c r="F319" s="1566"/>
      <c r="G319" s="1566"/>
      <c r="H319" s="1566"/>
      <c r="I319" s="1566"/>
    </row>
    <row r="320" spans="1:9" x14ac:dyDescent="0.3">
      <c r="A320" s="1410"/>
      <c r="B320" s="1410"/>
      <c r="C320" s="1410"/>
      <c r="D320" s="1566"/>
      <c r="E320" s="1566"/>
      <c r="F320" s="1566"/>
      <c r="G320" s="1566"/>
      <c r="H320" s="1566"/>
      <c r="I320" s="1566"/>
    </row>
    <row r="321" spans="1:9" x14ac:dyDescent="0.3">
      <c r="A321" s="1410"/>
      <c r="B321" s="1410"/>
      <c r="C321" s="1410"/>
      <c r="D321" s="1566"/>
      <c r="E321" s="1566"/>
      <c r="F321" s="1566"/>
      <c r="G321" s="1566"/>
      <c r="H321" s="1566"/>
      <c r="I321" s="1566"/>
    </row>
    <row r="322" spans="1:9" x14ac:dyDescent="0.3">
      <c r="A322" s="1410"/>
      <c r="B322" s="1410"/>
      <c r="C322" s="1410"/>
      <c r="D322" s="1566"/>
      <c r="E322" s="1566"/>
      <c r="F322" s="1566"/>
      <c r="G322" s="1566"/>
      <c r="H322" s="1566"/>
      <c r="I322" s="1566"/>
    </row>
    <row r="323" spans="1:9" x14ac:dyDescent="0.3">
      <c r="A323" s="1410"/>
      <c r="B323" s="1410"/>
      <c r="C323" s="1410"/>
      <c r="D323" s="1566"/>
      <c r="E323" s="1566"/>
      <c r="F323" s="1566"/>
      <c r="G323" s="1566"/>
      <c r="H323" s="1566"/>
      <c r="I323" s="1566"/>
    </row>
    <row r="324" spans="1:9" x14ac:dyDescent="0.3">
      <c r="A324" s="1410"/>
      <c r="B324" s="1410"/>
      <c r="C324" s="1410"/>
      <c r="D324" s="1566"/>
      <c r="E324" s="1566"/>
      <c r="F324" s="1566"/>
      <c r="G324" s="1566"/>
      <c r="H324" s="1566"/>
      <c r="I324" s="1566"/>
    </row>
    <row r="325" spans="1:9" x14ac:dyDescent="0.3">
      <c r="A325" s="1410"/>
      <c r="B325" s="1410"/>
      <c r="C325" s="1410"/>
      <c r="D325" s="1566"/>
      <c r="E325" s="1566"/>
      <c r="F325" s="1566"/>
      <c r="G325" s="1566"/>
      <c r="H325" s="1566"/>
      <c r="I325" s="1566"/>
    </row>
    <row r="326" spans="1:9" x14ac:dyDescent="0.3">
      <c r="A326" s="1410"/>
      <c r="B326" s="1410"/>
      <c r="C326" s="1410"/>
      <c r="D326" s="1566"/>
      <c r="E326" s="1566"/>
      <c r="F326" s="1566"/>
      <c r="G326" s="1566"/>
      <c r="H326" s="1566"/>
      <c r="I326" s="1566"/>
    </row>
    <row r="327" spans="1:9" x14ac:dyDescent="0.3">
      <c r="A327" s="1410"/>
      <c r="B327" s="1410"/>
      <c r="C327" s="1410"/>
      <c r="D327" s="1566"/>
      <c r="E327" s="1566"/>
      <c r="F327" s="1566"/>
      <c r="G327" s="1566"/>
      <c r="H327" s="1566"/>
      <c r="I327" s="1566"/>
    </row>
    <row r="328" spans="1:9" x14ac:dyDescent="0.3">
      <c r="A328" s="1410"/>
      <c r="B328" s="1410"/>
      <c r="C328" s="1410"/>
      <c r="D328" s="1566"/>
      <c r="E328" s="1566"/>
      <c r="F328" s="1566"/>
      <c r="G328" s="1566"/>
      <c r="H328" s="1566"/>
      <c r="I328" s="1566"/>
    </row>
    <row r="329" spans="1:9" x14ac:dyDescent="0.3">
      <c r="A329" s="1410"/>
      <c r="B329" s="1410"/>
      <c r="C329" s="1410"/>
      <c r="D329" s="1566"/>
      <c r="E329" s="1566"/>
      <c r="F329" s="1566"/>
      <c r="G329" s="1566"/>
      <c r="H329" s="1566"/>
      <c r="I329" s="1566"/>
    </row>
    <row r="330" spans="1:9" x14ac:dyDescent="0.3">
      <c r="A330" s="1410"/>
      <c r="B330" s="1410"/>
      <c r="C330" s="1410"/>
      <c r="D330" s="1566"/>
      <c r="E330" s="1566"/>
      <c r="F330" s="1566"/>
      <c r="G330" s="1566"/>
      <c r="H330" s="1566"/>
      <c r="I330" s="1566"/>
    </row>
    <row r="331" spans="1:9" x14ac:dyDescent="0.3">
      <c r="A331" s="1410"/>
      <c r="B331" s="1410"/>
      <c r="C331" s="1410"/>
      <c r="D331" s="1566"/>
      <c r="E331" s="1566"/>
      <c r="F331" s="1566"/>
      <c r="G331" s="1566"/>
      <c r="H331" s="1566"/>
      <c r="I331" s="1566"/>
    </row>
    <row r="332" spans="1:9" x14ac:dyDescent="0.3">
      <c r="A332" s="1410"/>
      <c r="B332" s="1410"/>
      <c r="C332" s="1410"/>
      <c r="D332" s="1566"/>
      <c r="E332" s="1566"/>
      <c r="F332" s="1566"/>
      <c r="G332" s="1566"/>
      <c r="H332" s="1566"/>
      <c r="I332" s="1566"/>
    </row>
    <row r="333" spans="1:9" x14ac:dyDescent="0.3">
      <c r="A333" s="1410"/>
      <c r="B333" s="1410"/>
      <c r="C333" s="1410"/>
      <c r="D333" s="1566"/>
      <c r="E333" s="1566"/>
      <c r="F333" s="1566"/>
      <c r="G333" s="1566"/>
      <c r="H333" s="1566"/>
      <c r="I333" s="1566"/>
    </row>
    <row r="334" spans="1:9" x14ac:dyDescent="0.3">
      <c r="A334" s="1410"/>
      <c r="B334" s="1410"/>
      <c r="C334" s="1410"/>
      <c r="D334" s="1566"/>
      <c r="E334" s="1566"/>
      <c r="F334" s="1566"/>
      <c r="G334" s="1566"/>
      <c r="H334" s="1566"/>
      <c r="I334" s="1566"/>
    </row>
    <row r="335" spans="1:9" x14ac:dyDescent="0.3">
      <c r="A335" s="1410"/>
      <c r="B335" s="1410"/>
      <c r="C335" s="1410"/>
      <c r="D335" s="1566"/>
      <c r="E335" s="1566"/>
      <c r="F335" s="1566"/>
      <c r="G335" s="1566"/>
      <c r="H335" s="1566"/>
      <c r="I335" s="1566"/>
    </row>
    <row r="336" spans="1:9" x14ac:dyDescent="0.3">
      <c r="A336" s="1410"/>
      <c r="B336" s="1410"/>
      <c r="C336" s="1410"/>
      <c r="D336" s="1566"/>
      <c r="E336" s="1566"/>
      <c r="F336" s="1566"/>
      <c r="G336" s="1566"/>
      <c r="H336" s="1566"/>
      <c r="I336" s="1566"/>
    </row>
    <row r="337" spans="1:9" x14ac:dyDescent="0.3">
      <c r="A337" s="1410"/>
      <c r="B337" s="1410"/>
      <c r="C337" s="1410"/>
      <c r="D337" s="1566"/>
      <c r="E337" s="1566"/>
      <c r="F337" s="1566"/>
      <c r="G337" s="1566"/>
      <c r="H337" s="1566"/>
      <c r="I337" s="1566"/>
    </row>
    <row r="338" spans="1:9" x14ac:dyDescent="0.3">
      <c r="A338" s="1410"/>
      <c r="B338" s="1410"/>
      <c r="C338" s="1410"/>
      <c r="D338" s="1566"/>
      <c r="E338" s="1566"/>
      <c r="F338" s="1566"/>
      <c r="G338" s="1566"/>
      <c r="H338" s="1566"/>
      <c r="I338" s="1566"/>
    </row>
    <row r="339" spans="1:9" x14ac:dyDescent="0.3">
      <c r="A339" s="1410"/>
      <c r="B339" s="1410"/>
      <c r="C339" s="1410"/>
      <c r="D339" s="1566"/>
      <c r="E339" s="1566"/>
      <c r="F339" s="1566"/>
      <c r="G339" s="1566"/>
      <c r="H339" s="1566"/>
      <c r="I339" s="1566"/>
    </row>
    <row r="340" spans="1:9" x14ac:dyDescent="0.3">
      <c r="A340" s="1410"/>
      <c r="B340" s="1410"/>
      <c r="C340" s="1410"/>
      <c r="D340" s="1566"/>
      <c r="E340" s="1566"/>
      <c r="F340" s="1566"/>
      <c r="G340" s="1566"/>
      <c r="H340" s="1566"/>
      <c r="I340" s="1566"/>
    </row>
    <row r="341" spans="1:9" x14ac:dyDescent="0.3">
      <c r="A341" s="1410"/>
      <c r="B341" s="1410"/>
      <c r="C341" s="1410"/>
      <c r="D341" s="1566"/>
      <c r="E341" s="1566"/>
      <c r="F341" s="1566"/>
      <c r="G341" s="1566"/>
      <c r="H341" s="1566"/>
      <c r="I341" s="1566"/>
    </row>
    <row r="342" spans="1:9" x14ac:dyDescent="0.3">
      <c r="A342" s="1410"/>
      <c r="B342" s="1410"/>
      <c r="C342" s="1410"/>
      <c r="D342" s="1566"/>
      <c r="E342" s="1566"/>
      <c r="F342" s="1566"/>
      <c r="G342" s="1566"/>
      <c r="H342" s="1566"/>
      <c r="I342" s="1566"/>
    </row>
    <row r="343" spans="1:9" x14ac:dyDescent="0.3">
      <c r="A343" s="1410"/>
      <c r="B343" s="1410"/>
      <c r="C343" s="1410"/>
      <c r="D343" s="1566"/>
      <c r="E343" s="1566"/>
      <c r="F343" s="1566"/>
      <c r="G343" s="1566"/>
      <c r="H343" s="1566"/>
      <c r="I343" s="1566"/>
    </row>
    <row r="344" spans="1:9" x14ac:dyDescent="0.3">
      <c r="A344" s="1410"/>
      <c r="B344" s="1410"/>
      <c r="C344" s="1410"/>
      <c r="D344" s="1566"/>
      <c r="E344" s="1566"/>
      <c r="F344" s="1566"/>
      <c r="G344" s="1566"/>
      <c r="H344" s="1566"/>
      <c r="I344" s="1566"/>
    </row>
    <row r="345" spans="1:9" x14ac:dyDescent="0.3">
      <c r="A345" s="1410"/>
      <c r="B345" s="1410"/>
      <c r="C345" s="1410"/>
      <c r="D345" s="1566"/>
      <c r="E345" s="1566"/>
      <c r="F345" s="1566"/>
      <c r="G345" s="1566"/>
      <c r="H345" s="1566"/>
      <c r="I345" s="1566"/>
    </row>
    <row r="346" spans="1:9" x14ac:dyDescent="0.3">
      <c r="A346" s="1410"/>
      <c r="B346" s="1410"/>
      <c r="C346" s="1410"/>
      <c r="D346" s="1566"/>
      <c r="E346" s="1566"/>
      <c r="F346" s="1566"/>
      <c r="G346" s="1566"/>
      <c r="H346" s="1566"/>
      <c r="I346" s="1566"/>
    </row>
    <row r="347" spans="1:9" x14ac:dyDescent="0.3">
      <c r="A347" s="1410"/>
      <c r="B347" s="1410"/>
      <c r="C347" s="1410"/>
      <c r="D347" s="1566"/>
      <c r="E347" s="1566"/>
      <c r="F347" s="1566"/>
      <c r="G347" s="1566"/>
      <c r="H347" s="1566"/>
      <c r="I347" s="1566"/>
    </row>
    <row r="348" spans="1:9" x14ac:dyDescent="0.3">
      <c r="A348" s="1410"/>
      <c r="B348" s="1410"/>
      <c r="C348" s="1410"/>
      <c r="D348" s="1566"/>
      <c r="E348" s="1566"/>
      <c r="F348" s="1566"/>
      <c r="G348" s="1566"/>
      <c r="H348" s="1566"/>
      <c r="I348" s="1566"/>
    </row>
    <row r="349" spans="1:9" x14ac:dyDescent="0.3">
      <c r="A349" s="1410"/>
      <c r="B349" s="1410"/>
      <c r="C349" s="1410"/>
      <c r="D349" s="1566"/>
      <c r="E349" s="1566"/>
      <c r="F349" s="1566"/>
      <c r="G349" s="1566"/>
      <c r="H349" s="1566"/>
      <c r="I349" s="1566"/>
    </row>
    <row r="350" spans="1:9" x14ac:dyDescent="0.3">
      <c r="A350" s="1410"/>
      <c r="B350" s="1410"/>
      <c r="C350" s="1410"/>
      <c r="D350" s="1566"/>
      <c r="E350" s="1566"/>
      <c r="F350" s="1566"/>
      <c r="G350" s="1566"/>
      <c r="H350" s="1566"/>
      <c r="I350" s="1566"/>
    </row>
    <row r="351" spans="1:9" x14ac:dyDescent="0.3">
      <c r="A351" s="1410"/>
      <c r="B351" s="1410"/>
      <c r="C351" s="1410"/>
      <c r="D351" s="1566"/>
      <c r="E351" s="1566"/>
      <c r="F351" s="1566"/>
      <c r="G351" s="1566"/>
      <c r="H351" s="1566"/>
      <c r="I351" s="1566"/>
    </row>
    <row r="352" spans="1:9" x14ac:dyDescent="0.3">
      <c r="A352" s="1410"/>
      <c r="B352" s="1410"/>
      <c r="C352" s="1410"/>
      <c r="D352" s="1566"/>
      <c r="E352" s="1566"/>
      <c r="F352" s="1566"/>
      <c r="G352" s="1566"/>
      <c r="H352" s="1566"/>
      <c r="I352" s="1566"/>
    </row>
    <row r="353" spans="1:9" x14ac:dyDescent="0.3">
      <c r="A353" s="1410"/>
      <c r="B353" s="1410"/>
      <c r="C353" s="1410"/>
      <c r="D353" s="1566"/>
      <c r="E353" s="1566"/>
      <c r="F353" s="1566"/>
      <c r="G353" s="1566"/>
      <c r="H353" s="1566"/>
      <c r="I353" s="1566"/>
    </row>
    <row r="354" spans="1:9" x14ac:dyDescent="0.3">
      <c r="A354" s="1410"/>
      <c r="B354" s="1410"/>
      <c r="C354" s="1410"/>
      <c r="D354" s="1566"/>
      <c r="E354" s="1566"/>
      <c r="F354" s="1566"/>
      <c r="G354" s="1566"/>
      <c r="H354" s="1566"/>
      <c r="I354" s="1566"/>
    </row>
    <row r="355" spans="1:9" x14ac:dyDescent="0.3">
      <c r="A355" s="1410"/>
      <c r="B355" s="1410"/>
      <c r="C355" s="1410"/>
      <c r="D355" s="1566"/>
      <c r="E355" s="1566"/>
      <c r="F355" s="1566"/>
      <c r="G355" s="1566"/>
      <c r="H355" s="1566"/>
      <c r="I355" s="1566"/>
    </row>
    <row r="356" spans="1:9" x14ac:dyDescent="0.3">
      <c r="A356" s="1410"/>
      <c r="B356" s="1410"/>
      <c r="C356" s="1410"/>
      <c r="D356" s="1566"/>
      <c r="E356" s="1566"/>
      <c r="F356" s="1566"/>
      <c r="G356" s="1566"/>
      <c r="H356" s="1566"/>
      <c r="I356" s="1566"/>
    </row>
    <row r="357" spans="1:9" x14ac:dyDescent="0.3">
      <c r="A357" s="1410"/>
      <c r="B357" s="1410"/>
      <c r="C357" s="1410"/>
      <c r="D357" s="1566"/>
      <c r="E357" s="1566"/>
      <c r="F357" s="1566"/>
      <c r="G357" s="1566"/>
      <c r="H357" s="1566"/>
      <c r="I357" s="1566"/>
    </row>
    <row r="358" spans="1:9" x14ac:dyDescent="0.3">
      <c r="A358" s="1410"/>
      <c r="B358" s="1410"/>
      <c r="C358" s="1410"/>
      <c r="D358" s="1566"/>
      <c r="E358" s="1566"/>
      <c r="F358" s="1566"/>
      <c r="G358" s="1566"/>
      <c r="H358" s="1566"/>
      <c r="I358" s="1566"/>
    </row>
    <row r="359" spans="1:9" x14ac:dyDescent="0.3">
      <c r="A359" s="1410"/>
      <c r="B359" s="1410"/>
      <c r="C359" s="1410"/>
      <c r="D359" s="1566"/>
      <c r="E359" s="1566"/>
      <c r="F359" s="1566"/>
      <c r="G359" s="1566"/>
      <c r="H359" s="1566"/>
      <c r="I359" s="1566"/>
    </row>
    <row r="360" spans="1:9" x14ac:dyDescent="0.3">
      <c r="A360" s="1410"/>
      <c r="B360" s="1410"/>
      <c r="C360" s="1410"/>
      <c r="D360" s="1566"/>
      <c r="E360" s="1566"/>
      <c r="F360" s="1566"/>
      <c r="G360" s="1566"/>
      <c r="H360" s="1566"/>
      <c r="I360" s="1566"/>
    </row>
    <row r="361" spans="1:9" x14ac:dyDescent="0.3">
      <c r="A361" s="1410"/>
      <c r="B361" s="1410"/>
      <c r="C361" s="1410"/>
      <c r="D361" s="1566"/>
      <c r="E361" s="1566"/>
      <c r="F361" s="1566"/>
      <c r="G361" s="1566"/>
      <c r="H361" s="1566"/>
      <c r="I361" s="1566"/>
    </row>
    <row r="362" spans="1:9" x14ac:dyDescent="0.3">
      <c r="A362" s="1410"/>
      <c r="B362" s="1410"/>
      <c r="C362" s="1410"/>
      <c r="D362" s="1566"/>
      <c r="E362" s="1566"/>
      <c r="F362" s="1566"/>
      <c r="G362" s="1566"/>
      <c r="H362" s="1566"/>
      <c r="I362" s="1566"/>
    </row>
    <row r="363" spans="1:9" x14ac:dyDescent="0.3">
      <c r="A363" s="1410"/>
      <c r="B363" s="1410"/>
      <c r="C363" s="1410"/>
      <c r="D363" s="1566"/>
      <c r="E363" s="1566"/>
      <c r="F363" s="1566"/>
      <c r="G363" s="1566"/>
      <c r="H363" s="1566"/>
      <c r="I363" s="1566"/>
    </row>
    <row r="364" spans="1:9" x14ac:dyDescent="0.3">
      <c r="A364" s="1410"/>
      <c r="B364" s="1410"/>
      <c r="C364" s="1410"/>
      <c r="D364" s="1566"/>
      <c r="E364" s="1566"/>
      <c r="F364" s="1566"/>
      <c r="G364" s="1566"/>
      <c r="H364" s="1566"/>
      <c r="I364" s="1566"/>
    </row>
    <row r="365" spans="1:9" x14ac:dyDescent="0.3">
      <c r="A365" s="1410"/>
      <c r="B365" s="1410"/>
      <c r="C365" s="1410"/>
      <c r="D365" s="1566"/>
      <c r="E365" s="1566"/>
      <c r="F365" s="1566"/>
      <c r="G365" s="1566"/>
      <c r="H365" s="1566"/>
      <c r="I365" s="1566"/>
    </row>
    <row r="366" spans="1:9" x14ac:dyDescent="0.3">
      <c r="A366" s="1410"/>
      <c r="B366" s="1410"/>
      <c r="C366" s="1410"/>
      <c r="D366" s="1566"/>
      <c r="E366" s="1566"/>
      <c r="F366" s="1566"/>
      <c r="G366" s="1566"/>
      <c r="H366" s="1566"/>
      <c r="I366" s="1566"/>
    </row>
    <row r="367" spans="1:9" x14ac:dyDescent="0.3">
      <c r="A367" s="1410"/>
      <c r="B367" s="1410"/>
      <c r="C367" s="1410"/>
      <c r="D367" s="1566"/>
      <c r="E367" s="1566"/>
      <c r="F367" s="1566"/>
      <c r="G367" s="1566"/>
      <c r="H367" s="1566"/>
      <c r="I367" s="1566"/>
    </row>
    <row r="368" spans="1:9" x14ac:dyDescent="0.3">
      <c r="A368" s="1410"/>
      <c r="B368" s="1410"/>
      <c r="C368" s="1410"/>
      <c r="D368" s="1566"/>
      <c r="E368" s="1566"/>
      <c r="F368" s="1566"/>
      <c r="G368" s="1566"/>
      <c r="H368" s="1566"/>
      <c r="I368" s="1566"/>
    </row>
    <row r="369" spans="1:9" x14ac:dyDescent="0.3">
      <c r="A369" s="1410"/>
      <c r="B369" s="1410"/>
      <c r="C369" s="1410"/>
      <c r="D369" s="1566"/>
      <c r="E369" s="1566"/>
      <c r="F369" s="1566"/>
      <c r="G369" s="1566"/>
      <c r="H369" s="1566"/>
      <c r="I369" s="1566"/>
    </row>
    <row r="370" spans="1:9" x14ac:dyDescent="0.3">
      <c r="A370" s="1410"/>
      <c r="B370" s="1410"/>
      <c r="C370" s="1410"/>
      <c r="D370" s="1566"/>
      <c r="E370" s="1566"/>
      <c r="F370" s="1566"/>
      <c r="G370" s="1566"/>
      <c r="H370" s="1566"/>
      <c r="I370" s="1566"/>
    </row>
    <row r="371" spans="1:9" x14ac:dyDescent="0.3">
      <c r="A371" s="1410"/>
      <c r="B371" s="1410"/>
      <c r="C371" s="1410"/>
      <c r="D371" s="1566"/>
      <c r="E371" s="1566"/>
      <c r="F371" s="1566"/>
      <c r="G371" s="1566"/>
      <c r="H371" s="1566"/>
      <c r="I371" s="1566"/>
    </row>
    <row r="372" spans="1:9" x14ac:dyDescent="0.3">
      <c r="A372" s="1410"/>
      <c r="B372" s="1410"/>
      <c r="C372" s="1410"/>
      <c r="D372" s="1566"/>
      <c r="E372" s="1566"/>
      <c r="F372" s="1566"/>
      <c r="G372" s="1566"/>
      <c r="H372" s="1566"/>
      <c r="I372" s="1566"/>
    </row>
    <row r="373" spans="1:9" x14ac:dyDescent="0.3">
      <c r="A373" s="1410"/>
      <c r="B373" s="1410"/>
      <c r="C373" s="1410"/>
      <c r="D373" s="1566"/>
      <c r="E373" s="1566"/>
      <c r="F373" s="1566"/>
      <c r="G373" s="1566"/>
      <c r="H373" s="1566"/>
      <c r="I373" s="1566"/>
    </row>
    <row r="374" spans="1:9" x14ac:dyDescent="0.3">
      <c r="A374" s="1410"/>
      <c r="B374" s="1410"/>
      <c r="C374" s="1410"/>
      <c r="D374" s="1566"/>
      <c r="E374" s="1566"/>
      <c r="F374" s="1566"/>
      <c r="G374" s="1566"/>
      <c r="H374" s="1566"/>
      <c r="I374" s="1566"/>
    </row>
    <row r="375" spans="1:9" x14ac:dyDescent="0.3">
      <c r="A375" s="1410"/>
      <c r="B375" s="1410"/>
      <c r="C375" s="1410"/>
      <c r="D375" s="1566"/>
      <c r="E375" s="1566"/>
      <c r="F375" s="1566"/>
      <c r="G375" s="1566"/>
      <c r="H375" s="1566"/>
      <c r="I375" s="1566"/>
    </row>
    <row r="376" spans="1:9" x14ac:dyDescent="0.3">
      <c r="A376" s="1410"/>
      <c r="B376" s="1410"/>
      <c r="C376" s="1410"/>
      <c r="D376" s="1566"/>
      <c r="E376" s="1566"/>
      <c r="F376" s="1566"/>
      <c r="G376" s="1566"/>
      <c r="H376" s="1566"/>
      <c r="I376" s="1566"/>
    </row>
    <row r="377" spans="1:9" x14ac:dyDescent="0.3">
      <c r="A377" s="1410"/>
      <c r="B377" s="1410"/>
      <c r="C377" s="1410"/>
      <c r="D377" s="1566"/>
      <c r="E377" s="1566"/>
      <c r="F377" s="1566"/>
      <c r="G377" s="1566"/>
      <c r="H377" s="1566"/>
      <c r="I377" s="1566"/>
    </row>
    <row r="378" spans="1:9" x14ac:dyDescent="0.3">
      <c r="A378" s="1410"/>
      <c r="B378" s="1410"/>
      <c r="C378" s="1410"/>
      <c r="D378" s="1566"/>
      <c r="E378" s="1566"/>
      <c r="F378" s="1566"/>
      <c r="G378" s="1566"/>
      <c r="H378" s="1566"/>
      <c r="I378" s="1566"/>
    </row>
    <row r="379" spans="1:9" x14ac:dyDescent="0.3">
      <c r="A379" s="1410"/>
      <c r="B379" s="1410"/>
      <c r="C379" s="1410"/>
      <c r="D379" s="1566"/>
      <c r="E379" s="1566"/>
      <c r="F379" s="1566"/>
      <c r="G379" s="1566"/>
      <c r="H379" s="1566"/>
      <c r="I379" s="1566"/>
    </row>
    <row r="380" spans="1:9" x14ac:dyDescent="0.3">
      <c r="A380" s="1410"/>
      <c r="B380" s="1410"/>
      <c r="C380" s="1410"/>
      <c r="D380" s="1566"/>
      <c r="E380" s="1566"/>
      <c r="F380" s="1566"/>
      <c r="G380" s="1566"/>
      <c r="H380" s="1566"/>
      <c r="I380" s="1566"/>
    </row>
    <row r="381" spans="1:9" x14ac:dyDescent="0.3">
      <c r="A381" s="1410"/>
      <c r="B381" s="1410"/>
      <c r="C381" s="1410"/>
      <c r="D381" s="1566"/>
      <c r="E381" s="1566"/>
      <c r="F381" s="1566"/>
      <c r="G381" s="1566"/>
      <c r="H381" s="1566"/>
      <c r="I381" s="1566"/>
    </row>
    <row r="382" spans="1:9" x14ac:dyDescent="0.3">
      <c r="A382" s="1410"/>
      <c r="B382" s="1410"/>
      <c r="C382" s="1410"/>
      <c r="D382" s="1566"/>
      <c r="E382" s="1566"/>
      <c r="F382" s="1566"/>
      <c r="G382" s="1566"/>
      <c r="H382" s="1566"/>
      <c r="I382" s="1566"/>
    </row>
    <row r="383" spans="1:9" x14ac:dyDescent="0.3">
      <c r="A383" s="1410"/>
      <c r="B383" s="1410"/>
      <c r="C383" s="1410"/>
      <c r="D383" s="1566"/>
      <c r="E383" s="1566"/>
      <c r="F383" s="1566"/>
      <c r="G383" s="1566"/>
      <c r="H383" s="1566"/>
      <c r="I383" s="1566"/>
    </row>
    <row r="384" spans="1:9" x14ac:dyDescent="0.3">
      <c r="A384" s="1410"/>
      <c r="B384" s="1410"/>
      <c r="C384" s="1410"/>
      <c r="D384" s="1566"/>
      <c r="E384" s="1566"/>
      <c r="F384" s="1566"/>
      <c r="G384" s="1566"/>
      <c r="H384" s="1566"/>
      <c r="I384" s="1566"/>
    </row>
    <row r="385" spans="1:9" x14ac:dyDescent="0.3">
      <c r="A385" s="1410"/>
      <c r="B385" s="1410"/>
      <c r="C385" s="1410"/>
      <c r="D385" s="1566"/>
      <c r="E385" s="1566"/>
      <c r="F385" s="1566"/>
      <c r="G385" s="1566"/>
      <c r="H385" s="1566"/>
      <c r="I385" s="1566"/>
    </row>
    <row r="386" spans="1:9" x14ac:dyDescent="0.3">
      <c r="A386" s="1410"/>
      <c r="B386" s="1410"/>
      <c r="C386" s="1410"/>
      <c r="D386" s="1566"/>
      <c r="E386" s="1566"/>
      <c r="F386" s="1566"/>
      <c r="G386" s="1566"/>
      <c r="H386" s="1566"/>
      <c r="I386" s="1566"/>
    </row>
    <row r="387" spans="1:9" x14ac:dyDescent="0.3">
      <c r="A387" s="1410"/>
      <c r="B387" s="1410"/>
      <c r="C387" s="1410"/>
      <c r="D387" s="1566"/>
      <c r="E387" s="1566"/>
      <c r="F387" s="1566"/>
      <c r="G387" s="1566"/>
      <c r="H387" s="1566"/>
      <c r="I387" s="1566"/>
    </row>
    <row r="388" spans="1:9" x14ac:dyDescent="0.3">
      <c r="A388" s="1410"/>
      <c r="B388" s="1410"/>
      <c r="C388" s="1410"/>
      <c r="D388" s="1566"/>
      <c r="E388" s="1566"/>
      <c r="F388" s="1566"/>
      <c r="G388" s="1566"/>
      <c r="H388" s="1566"/>
      <c r="I388" s="1566"/>
    </row>
    <row r="389" spans="1:9" x14ac:dyDescent="0.3">
      <c r="A389" s="1410"/>
      <c r="B389" s="1410"/>
      <c r="C389" s="1410"/>
      <c r="D389" s="1566"/>
      <c r="E389" s="1566"/>
      <c r="F389" s="1566"/>
      <c r="G389" s="1566"/>
      <c r="H389" s="1566"/>
      <c r="I389" s="1566"/>
    </row>
    <row r="390" spans="1:9" x14ac:dyDescent="0.3">
      <c r="A390" s="1410"/>
      <c r="B390" s="1410"/>
      <c r="C390" s="1410"/>
      <c r="D390" s="1566"/>
      <c r="E390" s="1566"/>
      <c r="F390" s="1566"/>
      <c r="G390" s="1566"/>
      <c r="H390" s="1566"/>
      <c r="I390" s="1566"/>
    </row>
    <row r="391" spans="1:9" x14ac:dyDescent="0.3">
      <c r="A391" s="1410"/>
      <c r="B391" s="1410"/>
      <c r="C391" s="1410"/>
      <c r="D391" s="1566"/>
      <c r="E391" s="1566"/>
      <c r="F391" s="1566"/>
      <c r="G391" s="1566"/>
      <c r="H391" s="1566"/>
      <c r="I391" s="1566"/>
    </row>
    <row r="392" spans="1:9" x14ac:dyDescent="0.3">
      <c r="A392" s="1410"/>
      <c r="B392" s="1410"/>
      <c r="C392" s="1410"/>
      <c r="D392" s="1566"/>
      <c r="E392" s="1566"/>
      <c r="F392" s="1566"/>
      <c r="G392" s="1566"/>
      <c r="H392" s="1566"/>
      <c r="I392" s="1566"/>
    </row>
    <row r="393" spans="1:9" x14ac:dyDescent="0.3">
      <c r="A393" s="1410"/>
      <c r="B393" s="1410"/>
      <c r="C393" s="1410"/>
      <c r="D393" s="1566"/>
      <c r="E393" s="1566"/>
      <c r="F393" s="1566"/>
      <c r="G393" s="1566"/>
      <c r="H393" s="1566"/>
      <c r="I393" s="1566"/>
    </row>
    <row r="394" spans="1:9" x14ac:dyDescent="0.3">
      <c r="A394" s="1410"/>
      <c r="B394" s="1410"/>
      <c r="C394" s="1410"/>
      <c r="D394" s="1566"/>
      <c r="E394" s="1566"/>
      <c r="F394" s="1566"/>
      <c r="G394" s="1566"/>
      <c r="H394" s="1566"/>
      <c r="I394" s="1566"/>
    </row>
    <row r="395" spans="1:9" x14ac:dyDescent="0.3">
      <c r="A395" s="1410"/>
      <c r="B395" s="1410"/>
      <c r="C395" s="1410"/>
      <c r="D395" s="1566"/>
      <c r="E395" s="1566"/>
      <c r="F395" s="1566"/>
      <c r="G395" s="1566"/>
      <c r="H395" s="1566"/>
      <c r="I395" s="1566"/>
    </row>
    <row r="396" spans="1:9" x14ac:dyDescent="0.3">
      <c r="A396" s="1410"/>
      <c r="B396" s="1410"/>
      <c r="C396" s="1410"/>
      <c r="D396" s="1566"/>
      <c r="E396" s="1566"/>
      <c r="F396" s="1566"/>
      <c r="G396" s="1566"/>
      <c r="H396" s="1566"/>
      <c r="I396" s="1566"/>
    </row>
    <row r="397" spans="1:9" x14ac:dyDescent="0.3">
      <c r="A397" s="1410"/>
      <c r="B397" s="1410"/>
      <c r="C397" s="1410"/>
      <c r="D397" s="1566"/>
      <c r="E397" s="1566"/>
      <c r="F397" s="1566"/>
      <c r="G397" s="1566"/>
      <c r="H397" s="1566"/>
      <c r="I397" s="1566"/>
    </row>
    <row r="398" spans="1:9" x14ac:dyDescent="0.3">
      <c r="A398" s="1410"/>
      <c r="B398" s="1410"/>
      <c r="C398" s="1410"/>
      <c r="D398" s="1566"/>
      <c r="E398" s="1566"/>
      <c r="F398" s="1566"/>
      <c r="G398" s="1566"/>
      <c r="H398" s="1566"/>
      <c r="I398" s="1566"/>
    </row>
    <row r="399" spans="1:9" x14ac:dyDescent="0.3">
      <c r="A399" s="1410"/>
      <c r="B399" s="1410"/>
      <c r="C399" s="1410"/>
      <c r="D399" s="1566"/>
      <c r="E399" s="1566"/>
      <c r="F399" s="1566"/>
      <c r="G399" s="1566"/>
      <c r="H399" s="1566"/>
      <c r="I399" s="1566"/>
    </row>
    <row r="400" spans="1:9" x14ac:dyDescent="0.3">
      <c r="A400" s="1410"/>
      <c r="B400" s="1410"/>
      <c r="C400" s="1410"/>
      <c r="D400" s="1566"/>
      <c r="E400" s="1566"/>
      <c r="F400" s="1566"/>
      <c r="G400" s="1566"/>
      <c r="H400" s="1566"/>
      <c r="I400" s="1566"/>
    </row>
    <row r="401" spans="1:9" x14ac:dyDescent="0.3">
      <c r="A401" s="1410"/>
      <c r="B401" s="1410"/>
      <c r="C401" s="1410"/>
      <c r="D401" s="1566"/>
      <c r="E401" s="1566"/>
      <c r="F401" s="1566"/>
      <c r="G401" s="1566"/>
      <c r="H401" s="1566"/>
      <c r="I401" s="1566"/>
    </row>
    <row r="402" spans="1:9" x14ac:dyDescent="0.3">
      <c r="A402" s="1410"/>
      <c r="B402" s="1410"/>
      <c r="C402" s="1410"/>
      <c r="D402" s="1566"/>
      <c r="E402" s="1566"/>
      <c r="F402" s="1566"/>
      <c r="G402" s="1566"/>
      <c r="H402" s="1566"/>
      <c r="I402" s="1566"/>
    </row>
    <row r="403" spans="1:9" x14ac:dyDescent="0.3">
      <c r="A403" s="1410"/>
      <c r="B403" s="1410"/>
      <c r="C403" s="1410"/>
      <c r="D403" s="1566"/>
      <c r="E403" s="1566"/>
      <c r="F403" s="1566"/>
      <c r="G403" s="1566"/>
      <c r="H403" s="1566"/>
      <c r="I403" s="1566"/>
    </row>
    <row r="404" spans="1:9" x14ac:dyDescent="0.3">
      <c r="A404" s="1410"/>
      <c r="B404" s="1410"/>
      <c r="C404" s="1410"/>
      <c r="D404" s="1566"/>
      <c r="E404" s="1566"/>
      <c r="F404" s="1566"/>
      <c r="G404" s="1566"/>
      <c r="H404" s="1566"/>
      <c r="I404" s="1566"/>
    </row>
    <row r="405" spans="1:9" x14ac:dyDescent="0.3">
      <c r="A405" s="1410"/>
      <c r="B405" s="1410"/>
      <c r="C405" s="1410"/>
      <c r="D405" s="1566"/>
      <c r="E405" s="1566"/>
      <c r="F405" s="1566"/>
      <c r="G405" s="1566"/>
      <c r="H405" s="1566"/>
      <c r="I405" s="1566"/>
    </row>
    <row r="406" spans="1:9" x14ac:dyDescent="0.3">
      <c r="A406" s="1410"/>
      <c r="B406" s="1410"/>
      <c r="C406" s="1410"/>
      <c r="D406" s="1566"/>
      <c r="E406" s="1566"/>
      <c r="F406" s="1566"/>
      <c r="G406" s="1566"/>
      <c r="H406" s="1566"/>
      <c r="I406" s="1566"/>
    </row>
    <row r="407" spans="1:9" x14ac:dyDescent="0.3">
      <c r="A407" s="1410"/>
      <c r="B407" s="1410"/>
      <c r="C407" s="1410"/>
      <c r="D407" s="1566"/>
      <c r="E407" s="1566"/>
      <c r="F407" s="1566"/>
      <c r="G407" s="1566"/>
      <c r="H407" s="1566"/>
      <c r="I407" s="1566"/>
    </row>
    <row r="408" spans="1:9" x14ac:dyDescent="0.3">
      <c r="A408" s="1410"/>
      <c r="B408" s="1410"/>
      <c r="C408" s="1410"/>
      <c r="D408" s="1566"/>
      <c r="E408" s="1566"/>
      <c r="F408" s="1566"/>
      <c r="G408" s="1566"/>
      <c r="H408" s="1566"/>
      <c r="I408" s="1566"/>
    </row>
    <row r="409" spans="1:9" x14ac:dyDescent="0.3">
      <c r="A409" s="1410"/>
      <c r="B409" s="1410"/>
      <c r="C409" s="1410"/>
      <c r="D409" s="1566"/>
      <c r="E409" s="1566"/>
      <c r="F409" s="1566"/>
      <c r="G409" s="1566"/>
      <c r="H409" s="1566"/>
      <c r="I409" s="1566"/>
    </row>
    <row r="410" spans="1:9" x14ac:dyDescent="0.3">
      <c r="A410" s="1410"/>
      <c r="B410" s="1410"/>
      <c r="C410" s="1410"/>
      <c r="D410" s="1566"/>
      <c r="E410" s="1566"/>
      <c r="F410" s="1566"/>
      <c r="G410" s="1566"/>
      <c r="H410" s="1566"/>
      <c r="I410" s="1566"/>
    </row>
    <row r="411" spans="1:9" x14ac:dyDescent="0.3">
      <c r="A411" s="1410"/>
      <c r="B411" s="1410"/>
      <c r="C411" s="1410"/>
      <c r="D411" s="1566"/>
      <c r="E411" s="1566"/>
      <c r="F411" s="1566"/>
      <c r="G411" s="1566"/>
      <c r="H411" s="1566"/>
      <c r="I411" s="1566"/>
    </row>
    <row r="412" spans="1:9" x14ac:dyDescent="0.3">
      <c r="A412" s="1410"/>
      <c r="B412" s="1410"/>
      <c r="C412" s="1410"/>
      <c r="D412" s="1566"/>
      <c r="E412" s="1566"/>
      <c r="F412" s="1566"/>
      <c r="G412" s="1566"/>
      <c r="H412" s="1566"/>
      <c r="I412" s="1566"/>
    </row>
    <row r="413" spans="1:9" x14ac:dyDescent="0.3">
      <c r="A413" s="1410"/>
      <c r="B413" s="1410"/>
      <c r="C413" s="1410"/>
      <c r="D413" s="1566"/>
      <c r="E413" s="1566"/>
      <c r="F413" s="1566"/>
      <c r="G413" s="1566"/>
      <c r="H413" s="1566"/>
      <c r="I413" s="1566"/>
    </row>
    <row r="414" spans="1:9" x14ac:dyDescent="0.3">
      <c r="A414" s="1410"/>
      <c r="B414" s="1410"/>
      <c r="C414" s="1410"/>
      <c r="D414" s="1566"/>
      <c r="E414" s="1566"/>
      <c r="F414" s="1566"/>
      <c r="G414" s="1566"/>
      <c r="H414" s="1566"/>
      <c r="I414" s="1566"/>
    </row>
    <row r="415" spans="1:9" x14ac:dyDescent="0.3">
      <c r="A415" s="1410"/>
      <c r="B415" s="1410"/>
      <c r="C415" s="1410"/>
      <c r="D415" s="1566"/>
      <c r="E415" s="1566"/>
      <c r="F415" s="1566"/>
      <c r="G415" s="1566"/>
      <c r="H415" s="1566"/>
      <c r="I415" s="1566"/>
    </row>
    <row r="416" spans="1:9" x14ac:dyDescent="0.3">
      <c r="A416" s="1410"/>
      <c r="B416" s="1410"/>
      <c r="C416" s="1410"/>
      <c r="D416" s="1566"/>
      <c r="E416" s="1566"/>
      <c r="F416" s="1566"/>
      <c r="G416" s="1566"/>
      <c r="H416" s="1566"/>
      <c r="I416" s="1566"/>
    </row>
    <row r="417" spans="1:9" x14ac:dyDescent="0.3">
      <c r="A417" s="1410"/>
      <c r="B417" s="1410"/>
      <c r="C417" s="1410"/>
      <c r="D417" s="1566"/>
      <c r="E417" s="1566"/>
      <c r="F417" s="1566"/>
      <c r="G417" s="1566"/>
      <c r="H417" s="1566"/>
      <c r="I417" s="1566"/>
    </row>
    <row r="418" spans="1:9" x14ac:dyDescent="0.3">
      <c r="A418" s="1410"/>
      <c r="B418" s="1410"/>
      <c r="C418" s="1410"/>
      <c r="D418" s="1566"/>
      <c r="E418" s="1566"/>
      <c r="F418" s="1566"/>
      <c r="G418" s="1566"/>
      <c r="H418" s="1566"/>
      <c r="I418" s="1566"/>
    </row>
    <row r="419" spans="1:9" x14ac:dyDescent="0.3">
      <c r="A419" s="1410"/>
      <c r="B419" s="1410"/>
      <c r="C419" s="1410"/>
      <c r="D419" s="1566"/>
      <c r="E419" s="1566"/>
      <c r="F419" s="1566"/>
      <c r="G419" s="1566"/>
      <c r="H419" s="1566"/>
      <c r="I419" s="1566"/>
    </row>
    <row r="420" spans="1:9" x14ac:dyDescent="0.3">
      <c r="A420" s="1410"/>
      <c r="B420" s="1410"/>
      <c r="C420" s="1410"/>
      <c r="D420" s="1566"/>
      <c r="E420" s="1566"/>
      <c r="F420" s="1566"/>
      <c r="G420" s="1566"/>
      <c r="H420" s="1566"/>
      <c r="I420" s="1566"/>
    </row>
    <row r="421" spans="1:9" x14ac:dyDescent="0.3">
      <c r="A421" s="1410"/>
      <c r="B421" s="1410"/>
      <c r="C421" s="1410"/>
      <c r="D421" s="1566"/>
      <c r="E421" s="1566"/>
      <c r="F421" s="1566"/>
      <c r="G421" s="1566"/>
      <c r="H421" s="1566"/>
      <c r="I421" s="1566"/>
    </row>
    <row r="422" spans="1:9" x14ac:dyDescent="0.3">
      <c r="A422" s="1410"/>
      <c r="B422" s="1410"/>
      <c r="C422" s="1410"/>
      <c r="D422" s="1566"/>
      <c r="E422" s="1566"/>
      <c r="F422" s="1566"/>
      <c r="G422" s="1566"/>
      <c r="H422" s="1566"/>
      <c r="I422" s="1566"/>
    </row>
    <row r="423" spans="1:9" x14ac:dyDescent="0.3">
      <c r="A423" s="1410"/>
      <c r="B423" s="1410"/>
      <c r="C423" s="1410"/>
      <c r="D423" s="1566"/>
      <c r="E423" s="1566"/>
      <c r="F423" s="1566"/>
      <c r="G423" s="1566"/>
      <c r="H423" s="1566"/>
      <c r="I423" s="1566"/>
    </row>
    <row r="424" spans="1:9" x14ac:dyDescent="0.3">
      <c r="A424" s="1410"/>
      <c r="B424" s="1410"/>
      <c r="C424" s="1410"/>
      <c r="D424" s="1566"/>
      <c r="E424" s="1566"/>
      <c r="F424" s="1566"/>
      <c r="G424" s="1566"/>
      <c r="H424" s="1566"/>
      <c r="I424" s="1566"/>
    </row>
    <row r="425" spans="1:9" x14ac:dyDescent="0.3">
      <c r="A425" s="1410"/>
      <c r="B425" s="1410"/>
      <c r="C425" s="1410"/>
      <c r="D425" s="1566"/>
      <c r="E425" s="1566"/>
      <c r="F425" s="1566"/>
      <c r="G425" s="1566"/>
      <c r="H425" s="1566"/>
      <c r="I425" s="1566"/>
    </row>
    <row r="426" spans="1:9" x14ac:dyDescent="0.3">
      <c r="A426" s="1410"/>
      <c r="B426" s="1410"/>
      <c r="C426" s="1410"/>
      <c r="D426" s="1566"/>
      <c r="E426" s="1566"/>
      <c r="F426" s="1566"/>
      <c r="G426" s="1566"/>
      <c r="H426" s="1566"/>
      <c r="I426" s="1566"/>
    </row>
    <row r="427" spans="1:9" x14ac:dyDescent="0.3">
      <c r="A427" s="1410"/>
      <c r="B427" s="1410"/>
      <c r="C427" s="1410"/>
      <c r="D427" s="1566"/>
      <c r="E427" s="1566"/>
      <c r="F427" s="1566"/>
      <c r="G427" s="1566"/>
      <c r="H427" s="1566"/>
      <c r="I427" s="1566"/>
    </row>
    <row r="428" spans="1:9" x14ac:dyDescent="0.3">
      <c r="A428" s="1410"/>
      <c r="B428" s="1410"/>
      <c r="C428" s="1410"/>
      <c r="D428" s="1566"/>
      <c r="E428" s="1566"/>
      <c r="F428" s="1566"/>
      <c r="G428" s="1566"/>
      <c r="H428" s="1566"/>
      <c r="I428" s="1566"/>
    </row>
    <row r="429" spans="1:9" x14ac:dyDescent="0.3">
      <c r="A429" s="1410"/>
      <c r="B429" s="1410"/>
      <c r="C429" s="1410"/>
      <c r="D429" s="1566"/>
      <c r="E429" s="1566"/>
      <c r="F429" s="1566"/>
      <c r="G429" s="1566"/>
      <c r="H429" s="1566"/>
      <c r="I429" s="1566"/>
    </row>
    <row r="430" spans="1:9" x14ac:dyDescent="0.3">
      <c r="A430" s="1410"/>
      <c r="B430" s="1410"/>
      <c r="C430" s="1410"/>
      <c r="D430" s="1566"/>
      <c r="E430" s="1566"/>
      <c r="F430" s="1566"/>
      <c r="G430" s="1566"/>
      <c r="H430" s="1566"/>
      <c r="I430" s="1566"/>
    </row>
    <row r="431" spans="1:9" x14ac:dyDescent="0.3">
      <c r="A431" s="1410"/>
      <c r="B431" s="1410"/>
      <c r="C431" s="1410"/>
      <c r="D431" s="1566"/>
      <c r="E431" s="1566"/>
      <c r="F431" s="1566"/>
      <c r="G431" s="1566"/>
      <c r="H431" s="1566"/>
      <c r="I431" s="1566"/>
    </row>
    <row r="432" spans="1:9" x14ac:dyDescent="0.3">
      <c r="A432" s="1410"/>
      <c r="B432" s="1410"/>
      <c r="C432" s="1410"/>
      <c r="D432" s="1566"/>
      <c r="E432" s="1566"/>
      <c r="F432" s="1566"/>
      <c r="G432" s="1566"/>
      <c r="H432" s="1566"/>
      <c r="I432" s="1566"/>
    </row>
    <row r="433" spans="1:9" x14ac:dyDescent="0.3">
      <c r="A433" s="1410"/>
      <c r="B433" s="1410"/>
      <c r="C433" s="1410"/>
      <c r="D433" s="1566"/>
      <c r="E433" s="1566"/>
      <c r="F433" s="1566"/>
      <c r="G433" s="1566"/>
      <c r="H433" s="1566"/>
      <c r="I433" s="1566"/>
    </row>
    <row r="434" spans="1:9" x14ac:dyDescent="0.3">
      <c r="A434" s="1410"/>
      <c r="B434" s="1410"/>
      <c r="C434" s="1410"/>
      <c r="D434" s="1566"/>
      <c r="E434" s="1566"/>
      <c r="F434" s="1566"/>
      <c r="G434" s="1566"/>
      <c r="H434" s="1566"/>
      <c r="I434" s="1566"/>
    </row>
    <row r="435" spans="1:9" x14ac:dyDescent="0.3">
      <c r="A435" s="1410"/>
      <c r="B435" s="1410"/>
      <c r="C435" s="1410"/>
      <c r="D435" s="1566"/>
      <c r="E435" s="1566"/>
      <c r="F435" s="1566"/>
      <c r="G435" s="1566"/>
      <c r="H435" s="1566"/>
      <c r="I435" s="1566"/>
    </row>
    <row r="436" spans="1:9" x14ac:dyDescent="0.3">
      <c r="A436" s="1410"/>
      <c r="B436" s="1410"/>
      <c r="C436" s="1410"/>
      <c r="D436" s="1566"/>
      <c r="E436" s="1566"/>
      <c r="F436" s="1566"/>
      <c r="G436" s="1566"/>
      <c r="H436" s="1566"/>
      <c r="I436" s="1566"/>
    </row>
    <row r="437" spans="1:9" x14ac:dyDescent="0.3">
      <c r="A437" s="1410"/>
      <c r="B437" s="1410"/>
      <c r="C437" s="1410"/>
      <c r="D437" s="1566"/>
      <c r="E437" s="1566"/>
      <c r="F437" s="1566"/>
      <c r="G437" s="1566"/>
      <c r="H437" s="1566"/>
      <c r="I437" s="1566"/>
    </row>
    <row r="438" spans="1:9" x14ac:dyDescent="0.3">
      <c r="A438" s="1410"/>
      <c r="B438" s="1410"/>
      <c r="C438" s="1410"/>
      <c r="D438" s="1566"/>
      <c r="E438" s="1566"/>
      <c r="F438" s="1566"/>
      <c r="G438" s="1566"/>
      <c r="H438" s="1566"/>
      <c r="I438" s="1566"/>
    </row>
    <row r="439" spans="1:9" x14ac:dyDescent="0.3">
      <c r="A439" s="1410"/>
      <c r="B439" s="1410"/>
      <c r="C439" s="1410"/>
      <c r="D439" s="1566"/>
      <c r="E439" s="1566"/>
      <c r="F439" s="1566"/>
      <c r="G439" s="1566"/>
      <c r="H439" s="1566"/>
      <c r="I439" s="1566"/>
    </row>
    <row r="440" spans="1:9" x14ac:dyDescent="0.3">
      <c r="A440" s="1410"/>
      <c r="B440" s="1410"/>
      <c r="C440" s="1410"/>
      <c r="D440" s="1566"/>
      <c r="E440" s="1566"/>
      <c r="F440" s="1566"/>
      <c r="G440" s="1566"/>
      <c r="H440" s="1566"/>
      <c r="I440" s="1566"/>
    </row>
    <row r="441" spans="1:9" x14ac:dyDescent="0.3">
      <c r="A441" s="1410"/>
      <c r="B441" s="1410"/>
      <c r="C441" s="1410"/>
      <c r="D441" s="1566"/>
      <c r="E441" s="1566"/>
      <c r="F441" s="1566"/>
      <c r="G441" s="1566"/>
      <c r="H441" s="1566"/>
      <c r="I441" s="1566"/>
    </row>
    <row r="442" spans="1:9" x14ac:dyDescent="0.3">
      <c r="A442" s="1410"/>
      <c r="B442" s="1410"/>
      <c r="C442" s="1410"/>
      <c r="D442" s="1566"/>
      <c r="E442" s="1566"/>
      <c r="F442" s="1566"/>
      <c r="G442" s="1566"/>
      <c r="H442" s="1566"/>
      <c r="I442" s="1566"/>
    </row>
    <row r="443" spans="1:9" x14ac:dyDescent="0.3">
      <c r="A443" s="1410"/>
      <c r="B443" s="1410"/>
      <c r="C443" s="1410"/>
      <c r="D443" s="1566"/>
      <c r="E443" s="1566"/>
      <c r="F443" s="1566"/>
      <c r="G443" s="1566"/>
      <c r="H443" s="1566"/>
      <c r="I443" s="1566"/>
    </row>
    <row r="444" spans="1:9" x14ac:dyDescent="0.3">
      <c r="A444" s="1410"/>
      <c r="B444" s="1410"/>
      <c r="C444" s="1410"/>
      <c r="D444" s="1566"/>
      <c r="E444" s="1566"/>
      <c r="F444" s="1566"/>
      <c r="G444" s="1566"/>
      <c r="H444" s="1566"/>
      <c r="I444" s="1566"/>
    </row>
    <row r="445" spans="1:9" x14ac:dyDescent="0.3">
      <c r="A445" s="1410"/>
      <c r="B445" s="1410"/>
      <c r="C445" s="1410"/>
      <c r="D445" s="1566"/>
      <c r="E445" s="1566"/>
      <c r="F445" s="1566"/>
      <c r="G445" s="1566"/>
      <c r="H445" s="1566"/>
      <c r="I445" s="1566"/>
    </row>
    <row r="446" spans="1:9" x14ac:dyDescent="0.3">
      <c r="A446" s="1410"/>
      <c r="B446" s="1410"/>
      <c r="C446" s="1410"/>
      <c r="D446" s="1566"/>
      <c r="E446" s="1566"/>
      <c r="F446" s="1566"/>
      <c r="G446" s="1566"/>
      <c r="H446" s="1566"/>
      <c r="I446" s="1566"/>
    </row>
    <row r="447" spans="1:9" x14ac:dyDescent="0.3">
      <c r="A447" s="1410"/>
      <c r="B447" s="1410"/>
      <c r="C447" s="1410"/>
      <c r="D447" s="1566"/>
      <c r="E447" s="1566"/>
      <c r="F447" s="1566"/>
      <c r="G447" s="1566"/>
      <c r="H447" s="1566"/>
      <c r="I447" s="1566"/>
    </row>
    <row r="448" spans="1:9" x14ac:dyDescent="0.3">
      <c r="A448" s="1410"/>
      <c r="B448" s="1410"/>
      <c r="C448" s="1410"/>
      <c r="D448" s="1566"/>
      <c r="E448" s="1566"/>
      <c r="F448" s="1566"/>
      <c r="G448" s="1566"/>
      <c r="H448" s="1566"/>
      <c r="I448" s="1566"/>
    </row>
    <row r="449" spans="1:9" x14ac:dyDescent="0.3">
      <c r="A449" s="1410"/>
      <c r="B449" s="1410"/>
      <c r="C449" s="1410"/>
      <c r="D449" s="1566"/>
      <c r="E449" s="1566"/>
      <c r="F449" s="1566"/>
      <c r="G449" s="1566"/>
      <c r="H449" s="1566"/>
      <c r="I449" s="1566"/>
    </row>
    <row r="450" spans="1:9" x14ac:dyDescent="0.3">
      <c r="A450" s="1410"/>
      <c r="B450" s="1410"/>
      <c r="C450" s="1410"/>
      <c r="D450" s="1566"/>
      <c r="E450" s="1566"/>
      <c r="F450" s="1566"/>
      <c r="G450" s="1566"/>
      <c r="H450" s="1566"/>
      <c r="I450" s="1566"/>
    </row>
    <row r="451" spans="1:9" x14ac:dyDescent="0.3">
      <c r="A451" s="1410"/>
      <c r="B451" s="1410"/>
      <c r="C451" s="1410"/>
      <c r="D451" s="1566"/>
      <c r="E451" s="1566"/>
      <c r="F451" s="1566"/>
      <c r="G451" s="1566"/>
      <c r="H451" s="1566"/>
      <c r="I451" s="1566"/>
    </row>
    <row r="452" spans="1:9" x14ac:dyDescent="0.3">
      <c r="A452" s="1410"/>
      <c r="B452" s="1410"/>
      <c r="C452" s="1410"/>
      <c r="D452" s="1566"/>
      <c r="E452" s="1566"/>
      <c r="F452" s="1566"/>
      <c r="G452" s="1566"/>
      <c r="H452" s="1566"/>
      <c r="I452" s="1566"/>
    </row>
    <row r="453" spans="1:9" x14ac:dyDescent="0.3">
      <c r="A453" s="1410"/>
      <c r="B453" s="1410"/>
      <c r="C453" s="1410"/>
      <c r="D453" s="1566"/>
      <c r="E453" s="1566"/>
      <c r="F453" s="1566"/>
      <c r="G453" s="1566"/>
      <c r="H453" s="1566"/>
      <c r="I453" s="1566"/>
    </row>
    <row r="454" spans="1:9" x14ac:dyDescent="0.3">
      <c r="A454" s="1410"/>
      <c r="B454" s="1410"/>
      <c r="C454" s="1410"/>
      <c r="D454" s="1566"/>
      <c r="E454" s="1566"/>
      <c r="F454" s="1566"/>
      <c r="G454" s="1566"/>
      <c r="H454" s="1566"/>
      <c r="I454" s="1566"/>
    </row>
    <row r="455" spans="1:9" x14ac:dyDescent="0.3">
      <c r="A455" s="1410"/>
      <c r="B455" s="1410"/>
      <c r="C455" s="1410"/>
      <c r="D455" s="1566"/>
      <c r="E455" s="1566"/>
      <c r="F455" s="1566"/>
      <c r="G455" s="1566"/>
      <c r="H455" s="1566"/>
      <c r="I455" s="1566"/>
    </row>
    <row r="456" spans="1:9" x14ac:dyDescent="0.3">
      <c r="A456" s="1410"/>
      <c r="B456" s="1410"/>
      <c r="C456" s="1410"/>
      <c r="D456" s="1566"/>
      <c r="E456" s="1566"/>
      <c r="F456" s="1566"/>
      <c r="G456" s="1566"/>
      <c r="H456" s="1566"/>
      <c r="I456" s="1566"/>
    </row>
    <row r="457" spans="1:9" x14ac:dyDescent="0.3">
      <c r="A457" s="1410"/>
      <c r="B457" s="1410"/>
      <c r="C457" s="1410"/>
      <c r="D457" s="1566"/>
      <c r="E457" s="1566"/>
      <c r="F457" s="1566"/>
      <c r="G457" s="1566"/>
      <c r="H457" s="1566"/>
      <c r="I457" s="1566"/>
    </row>
    <row r="458" spans="1:9" x14ac:dyDescent="0.3">
      <c r="A458" s="1410"/>
      <c r="B458" s="1410"/>
      <c r="C458" s="1410"/>
      <c r="D458" s="1566"/>
      <c r="E458" s="1566"/>
      <c r="F458" s="1566"/>
      <c r="G458" s="1566"/>
      <c r="H458" s="1566"/>
      <c r="I458" s="1566"/>
    </row>
    <row r="459" spans="1:9" x14ac:dyDescent="0.3">
      <c r="A459" s="1410"/>
      <c r="B459" s="1410"/>
      <c r="C459" s="1410"/>
      <c r="D459" s="1566"/>
      <c r="E459" s="1566"/>
      <c r="F459" s="1566"/>
      <c r="G459" s="1566"/>
      <c r="H459" s="1566"/>
      <c r="I459" s="1566"/>
    </row>
    <row r="460" spans="1:9" x14ac:dyDescent="0.3">
      <c r="A460" s="1410"/>
      <c r="B460" s="1410"/>
      <c r="C460" s="1410"/>
      <c r="D460" s="1566"/>
      <c r="E460" s="1566"/>
      <c r="F460" s="1566"/>
      <c r="G460" s="1566"/>
      <c r="H460" s="1566"/>
      <c r="I460" s="1566"/>
    </row>
    <row r="461" spans="1:9" x14ac:dyDescent="0.3">
      <c r="A461" s="1410"/>
      <c r="B461" s="1410"/>
      <c r="C461" s="1410"/>
      <c r="D461" s="1566"/>
      <c r="E461" s="1566"/>
      <c r="F461" s="1566"/>
      <c r="G461" s="1566"/>
      <c r="H461" s="1566"/>
      <c r="I461" s="1566"/>
    </row>
    <row r="462" spans="1:9" x14ac:dyDescent="0.3">
      <c r="A462" s="1410"/>
      <c r="B462" s="1410"/>
      <c r="C462" s="1410"/>
      <c r="D462" s="1566"/>
      <c r="E462" s="1566"/>
      <c r="F462" s="1566"/>
      <c r="G462" s="1566"/>
      <c r="H462" s="1566"/>
      <c r="I462" s="1566"/>
    </row>
    <row r="463" spans="1:9" x14ac:dyDescent="0.3">
      <c r="A463" s="1410"/>
      <c r="B463" s="1410"/>
      <c r="C463" s="1410"/>
      <c r="D463" s="1566"/>
      <c r="E463" s="1566"/>
      <c r="F463" s="1566"/>
      <c r="G463" s="1566"/>
      <c r="H463" s="1566"/>
      <c r="I463" s="1566"/>
    </row>
    <row r="464" spans="1:9" x14ac:dyDescent="0.3">
      <c r="A464" s="1410"/>
      <c r="B464" s="1410"/>
      <c r="C464" s="1410"/>
      <c r="D464" s="1566"/>
      <c r="E464" s="1566"/>
      <c r="F464" s="1566"/>
      <c r="G464" s="1566"/>
      <c r="H464" s="1566"/>
      <c r="I464" s="1566"/>
    </row>
    <row r="465" spans="1:9" x14ac:dyDescent="0.3">
      <c r="A465" s="1410"/>
      <c r="B465" s="1410"/>
      <c r="C465" s="1410"/>
      <c r="D465" s="1566"/>
      <c r="E465" s="1566"/>
      <c r="F465" s="1566"/>
      <c r="G465" s="1566"/>
      <c r="H465" s="1566"/>
      <c r="I465" s="1566"/>
    </row>
    <row r="466" spans="1:9" x14ac:dyDescent="0.3">
      <c r="A466" s="1410"/>
      <c r="B466" s="1410"/>
      <c r="C466" s="1410"/>
      <c r="D466" s="1566"/>
      <c r="E466" s="1566"/>
      <c r="F466" s="1566"/>
      <c r="G466" s="1566"/>
      <c r="H466" s="1566"/>
      <c r="I466" s="1566"/>
    </row>
    <row r="467" spans="1:9" x14ac:dyDescent="0.3">
      <c r="A467" s="1410"/>
      <c r="B467" s="1410"/>
      <c r="C467" s="1410"/>
      <c r="D467" s="1566"/>
      <c r="E467" s="1566"/>
      <c r="F467" s="1566"/>
      <c r="G467" s="1566"/>
      <c r="H467" s="1566"/>
      <c r="I467" s="1566"/>
    </row>
    <row r="468" spans="1:9" x14ac:dyDescent="0.3">
      <c r="A468" s="1410"/>
      <c r="B468" s="1410"/>
      <c r="C468" s="1410"/>
      <c r="D468" s="1566"/>
      <c r="E468" s="1566"/>
      <c r="F468" s="1566"/>
      <c r="G468" s="1566"/>
      <c r="H468" s="1566"/>
      <c r="I468" s="1566"/>
    </row>
    <row r="469" spans="1:9" x14ac:dyDescent="0.3">
      <c r="A469" s="1410"/>
      <c r="B469" s="1410"/>
      <c r="C469" s="1410"/>
      <c r="D469" s="1566"/>
      <c r="E469" s="1566"/>
      <c r="F469" s="1566"/>
      <c r="G469" s="1566"/>
      <c r="H469" s="1566"/>
      <c r="I469" s="1566"/>
    </row>
    <row r="470" spans="1:9" x14ac:dyDescent="0.3">
      <c r="A470" s="1410"/>
      <c r="B470" s="1410"/>
      <c r="C470" s="1410"/>
      <c r="D470" s="1566"/>
      <c r="E470" s="1566"/>
      <c r="F470" s="1566"/>
      <c r="G470" s="1566"/>
      <c r="H470" s="1566"/>
      <c r="I470" s="1566"/>
    </row>
    <row r="471" spans="1:9" x14ac:dyDescent="0.3">
      <c r="A471" s="1410"/>
      <c r="B471" s="1410"/>
      <c r="C471" s="1410"/>
      <c r="D471" s="1566"/>
      <c r="E471" s="1566"/>
      <c r="F471" s="1566"/>
      <c r="G471" s="1566"/>
      <c r="H471" s="1566"/>
      <c r="I471" s="1566"/>
    </row>
    <row r="472" spans="1:9" x14ac:dyDescent="0.3">
      <c r="A472" s="1410"/>
      <c r="B472" s="1410"/>
      <c r="C472" s="1410"/>
      <c r="D472" s="1566"/>
      <c r="E472" s="1566"/>
      <c r="F472" s="1566"/>
      <c r="G472" s="1566"/>
      <c r="H472" s="1566"/>
      <c r="I472" s="1566"/>
    </row>
    <row r="473" spans="1:9" x14ac:dyDescent="0.3">
      <c r="A473" s="1410"/>
      <c r="B473" s="1410"/>
      <c r="C473" s="1410"/>
      <c r="D473" s="1566"/>
      <c r="E473" s="1566"/>
      <c r="F473" s="1566"/>
      <c r="G473" s="1566"/>
      <c r="H473" s="1566"/>
      <c r="I473" s="1566"/>
    </row>
    <row r="474" spans="1:9" x14ac:dyDescent="0.3">
      <c r="A474" s="1410"/>
      <c r="B474" s="1410"/>
      <c r="C474" s="1410"/>
      <c r="D474" s="1566"/>
      <c r="E474" s="1566"/>
      <c r="F474" s="1566"/>
      <c r="G474" s="1566"/>
      <c r="H474" s="1566"/>
      <c r="I474" s="1566"/>
    </row>
    <row r="475" spans="1:9" x14ac:dyDescent="0.3">
      <c r="A475" s="1410"/>
      <c r="B475" s="1410"/>
      <c r="C475" s="1410"/>
      <c r="D475" s="1566"/>
      <c r="E475" s="1566"/>
      <c r="F475" s="1566"/>
      <c r="G475" s="1566"/>
      <c r="H475" s="1566"/>
      <c r="I475" s="1566"/>
    </row>
    <row r="476" spans="1:9" x14ac:dyDescent="0.3">
      <c r="A476" s="1410"/>
      <c r="B476" s="1410"/>
      <c r="C476" s="1410"/>
      <c r="D476" s="1566"/>
      <c r="E476" s="1566"/>
      <c r="F476" s="1566"/>
      <c r="G476" s="1566"/>
      <c r="H476" s="1566"/>
      <c r="I476" s="1566"/>
    </row>
    <row r="477" spans="1:9" x14ac:dyDescent="0.3">
      <c r="A477" s="1410"/>
      <c r="B477" s="1410"/>
      <c r="C477" s="1410"/>
      <c r="D477" s="1566"/>
      <c r="E477" s="1566"/>
      <c r="F477" s="1566"/>
      <c r="G477" s="1566"/>
      <c r="H477" s="1566"/>
      <c r="I477" s="1566"/>
    </row>
    <row r="478" spans="1:9" x14ac:dyDescent="0.3">
      <c r="A478" s="1410"/>
      <c r="B478" s="1410"/>
      <c r="C478" s="1410"/>
      <c r="D478" s="1566"/>
      <c r="E478" s="1566"/>
      <c r="F478" s="1566"/>
      <c r="G478" s="1566"/>
      <c r="H478" s="1566"/>
      <c r="I478" s="1566"/>
    </row>
    <row r="479" spans="1:9" x14ac:dyDescent="0.3">
      <c r="A479" s="1410"/>
      <c r="B479" s="1410"/>
      <c r="C479" s="1410"/>
      <c r="D479" s="1566"/>
      <c r="E479" s="1566"/>
      <c r="F479" s="1566"/>
      <c r="G479" s="1566"/>
      <c r="H479" s="1566"/>
      <c r="I479" s="1566"/>
    </row>
    <row r="480" spans="1:9" x14ac:dyDescent="0.3">
      <c r="A480" s="1410"/>
      <c r="B480" s="1410"/>
      <c r="C480" s="1410"/>
      <c r="D480" s="1566"/>
      <c r="E480" s="1566"/>
      <c r="F480" s="1566"/>
      <c r="G480" s="1566"/>
      <c r="H480" s="1566"/>
      <c r="I480" s="1566"/>
    </row>
    <row r="481" spans="1:9" x14ac:dyDescent="0.3">
      <c r="A481" s="1410"/>
      <c r="B481" s="1410"/>
      <c r="C481" s="1410"/>
      <c r="D481" s="1566"/>
      <c r="E481" s="1566"/>
      <c r="F481" s="1566"/>
      <c r="G481" s="1566"/>
      <c r="H481" s="1566"/>
      <c r="I481" s="1566"/>
    </row>
    <row r="482" spans="1:9" x14ac:dyDescent="0.3">
      <c r="A482" s="1410"/>
      <c r="B482" s="1410"/>
      <c r="C482" s="1410"/>
      <c r="D482" s="1566"/>
      <c r="E482" s="1566"/>
      <c r="F482" s="1566"/>
      <c r="G482" s="1566"/>
      <c r="H482" s="1566"/>
      <c r="I482" s="1566"/>
    </row>
    <row r="483" spans="1:9" x14ac:dyDescent="0.3">
      <c r="A483" s="1410"/>
      <c r="B483" s="1410"/>
      <c r="C483" s="1410"/>
      <c r="D483" s="1566"/>
      <c r="E483" s="1566"/>
      <c r="F483" s="1566"/>
      <c r="G483" s="1566"/>
      <c r="H483" s="1566"/>
      <c r="I483" s="1566"/>
    </row>
    <row r="484" spans="1:9" x14ac:dyDescent="0.3">
      <c r="A484" s="1410"/>
      <c r="B484" s="1410"/>
      <c r="C484" s="1410"/>
      <c r="D484" s="1566"/>
      <c r="E484" s="1566"/>
      <c r="F484" s="1566"/>
      <c r="G484" s="1566"/>
      <c r="H484" s="1566"/>
      <c r="I484" s="1566"/>
    </row>
    <row r="485" spans="1:9" x14ac:dyDescent="0.3">
      <c r="A485" s="1410"/>
      <c r="B485" s="1410"/>
      <c r="C485" s="1410"/>
      <c r="D485" s="1566"/>
      <c r="E485" s="1566"/>
      <c r="F485" s="1566"/>
      <c r="G485" s="1566"/>
      <c r="H485" s="1566"/>
      <c r="I485" s="1566"/>
    </row>
    <row r="486" spans="1:9" x14ac:dyDescent="0.3">
      <c r="A486" s="1410"/>
      <c r="B486" s="1410"/>
      <c r="C486" s="1410"/>
      <c r="D486" s="1566"/>
      <c r="E486" s="1566"/>
      <c r="F486" s="1566"/>
      <c r="G486" s="1566"/>
      <c r="H486" s="1566"/>
      <c r="I486" s="1566"/>
    </row>
    <row r="487" spans="1:9" x14ac:dyDescent="0.3">
      <c r="A487" s="1410"/>
      <c r="B487" s="1410"/>
      <c r="C487" s="1410"/>
      <c r="D487" s="1566"/>
      <c r="E487" s="1566"/>
      <c r="F487" s="1566"/>
      <c r="G487" s="1566"/>
      <c r="H487" s="1566"/>
      <c r="I487" s="1566"/>
    </row>
    <row r="488" spans="1:9" x14ac:dyDescent="0.3">
      <c r="A488" s="1410"/>
      <c r="B488" s="1410"/>
      <c r="C488" s="1410"/>
      <c r="D488" s="1566"/>
      <c r="E488" s="1566"/>
      <c r="F488" s="1566"/>
      <c r="G488" s="1566"/>
      <c r="H488" s="1566"/>
      <c r="I488" s="1566"/>
    </row>
    <row r="489" spans="1:9" x14ac:dyDescent="0.3">
      <c r="A489" s="1410"/>
      <c r="B489" s="1410"/>
      <c r="C489" s="1410"/>
      <c r="D489" s="1566"/>
      <c r="E489" s="1566"/>
      <c r="F489" s="1566"/>
      <c r="G489" s="1566"/>
      <c r="H489" s="1566"/>
      <c r="I489" s="1566"/>
    </row>
    <row r="490" spans="1:9" x14ac:dyDescent="0.3">
      <c r="A490" s="1410"/>
      <c r="B490" s="1410"/>
      <c r="C490" s="1410"/>
      <c r="D490" s="1566"/>
      <c r="E490" s="1566"/>
      <c r="F490" s="1566"/>
      <c r="G490" s="1566"/>
      <c r="H490" s="1566"/>
      <c r="I490" s="1566"/>
    </row>
    <row r="491" spans="1:9" x14ac:dyDescent="0.3">
      <c r="A491" s="1410"/>
      <c r="B491" s="1410"/>
      <c r="C491" s="1410"/>
      <c r="D491" s="1566"/>
      <c r="E491" s="1566"/>
      <c r="F491" s="1566"/>
      <c r="G491" s="1566"/>
      <c r="H491" s="1566"/>
      <c r="I491" s="1566"/>
    </row>
    <row r="492" spans="1:9" x14ac:dyDescent="0.3">
      <c r="A492" s="1410"/>
      <c r="B492" s="1410"/>
      <c r="C492" s="1410"/>
      <c r="D492" s="1566"/>
      <c r="E492" s="1566"/>
      <c r="F492" s="1566"/>
      <c r="G492" s="1566"/>
      <c r="H492" s="1566"/>
      <c r="I492" s="1566"/>
    </row>
    <row r="493" spans="1:9" x14ac:dyDescent="0.3">
      <c r="A493" s="1410"/>
      <c r="B493" s="1410"/>
      <c r="C493" s="1410"/>
      <c r="D493" s="1566"/>
      <c r="E493" s="1566"/>
      <c r="F493" s="1566"/>
      <c r="G493" s="1566"/>
      <c r="H493" s="1566"/>
      <c r="I493" s="1566"/>
    </row>
    <row r="494" spans="1:9" x14ac:dyDescent="0.3">
      <c r="A494" s="1410"/>
      <c r="B494" s="1410"/>
      <c r="C494" s="1410"/>
      <c r="D494" s="1566"/>
      <c r="E494" s="1566"/>
      <c r="F494" s="1566"/>
      <c r="G494" s="1566"/>
      <c r="H494" s="1566"/>
      <c r="I494" s="1566"/>
    </row>
    <row r="495" spans="1:9" x14ac:dyDescent="0.3">
      <c r="A495" s="1410"/>
      <c r="B495" s="1410"/>
      <c r="C495" s="1410"/>
      <c r="D495" s="1566"/>
      <c r="E495" s="1566"/>
      <c r="F495" s="1566"/>
      <c r="G495" s="1566"/>
      <c r="H495" s="1566"/>
      <c r="I495" s="1566"/>
    </row>
    <row r="496" spans="1:9" x14ac:dyDescent="0.3">
      <c r="A496" s="1410"/>
      <c r="B496" s="1410"/>
      <c r="C496" s="1410"/>
      <c r="D496" s="1566"/>
      <c r="E496" s="1566"/>
      <c r="F496" s="1566"/>
      <c r="G496" s="1566"/>
      <c r="H496" s="1566"/>
      <c r="I496" s="1566"/>
    </row>
    <row r="497" spans="1:9" x14ac:dyDescent="0.3">
      <c r="A497" s="1410"/>
      <c r="B497" s="1410"/>
      <c r="C497" s="1410"/>
      <c r="D497" s="1566"/>
      <c r="E497" s="1566"/>
      <c r="F497" s="1566"/>
      <c r="G497" s="1566"/>
      <c r="H497" s="1566"/>
      <c r="I497" s="1566"/>
    </row>
    <row r="498" spans="1:9" x14ac:dyDescent="0.3">
      <c r="A498" s="1410"/>
      <c r="B498" s="1410"/>
      <c r="C498" s="1410"/>
      <c r="D498" s="1566"/>
      <c r="E498" s="1566"/>
      <c r="F498" s="1566"/>
      <c r="G498" s="1566"/>
      <c r="H498" s="1566"/>
      <c r="I498" s="1566"/>
    </row>
    <row r="499" spans="1:9" x14ac:dyDescent="0.3">
      <c r="A499" s="1410"/>
      <c r="B499" s="1410"/>
      <c r="C499" s="1410"/>
      <c r="D499" s="1566"/>
      <c r="E499" s="1566"/>
      <c r="F499" s="1566"/>
      <c r="G499" s="1566"/>
      <c r="H499" s="1566"/>
      <c r="I499" s="1566"/>
    </row>
    <row r="500" spans="1:9" x14ac:dyDescent="0.3">
      <c r="A500" s="1410"/>
      <c r="B500" s="1410"/>
      <c r="C500" s="1410"/>
      <c r="D500" s="1566"/>
      <c r="E500" s="1566"/>
      <c r="F500" s="1566"/>
      <c r="G500" s="1566"/>
      <c r="H500" s="1566"/>
      <c r="I500" s="1566"/>
    </row>
    <row r="501" spans="1:9" x14ac:dyDescent="0.3">
      <c r="A501" s="1410"/>
      <c r="B501" s="1410"/>
      <c r="C501" s="1410"/>
      <c r="D501" s="1566"/>
      <c r="E501" s="1566"/>
      <c r="F501" s="1566"/>
      <c r="G501" s="1566"/>
      <c r="H501" s="1566"/>
      <c r="I501" s="1566"/>
    </row>
    <row r="502" spans="1:9" x14ac:dyDescent="0.3">
      <c r="A502" s="1410"/>
      <c r="B502" s="1410"/>
      <c r="C502" s="1410"/>
      <c r="D502" s="1566"/>
      <c r="E502" s="1566"/>
      <c r="F502" s="1566"/>
      <c r="G502" s="1566"/>
      <c r="H502" s="1566"/>
      <c r="I502" s="1566"/>
    </row>
    <row r="503" spans="1:9" x14ac:dyDescent="0.3">
      <c r="A503" s="1410"/>
      <c r="B503" s="1410"/>
      <c r="C503" s="1410"/>
      <c r="D503" s="1566"/>
      <c r="E503" s="1566"/>
      <c r="F503" s="1566"/>
      <c r="G503" s="1566"/>
      <c r="H503" s="1566"/>
      <c r="I503" s="1566"/>
    </row>
    <row r="504" spans="1:9" x14ac:dyDescent="0.3">
      <c r="A504" s="1410"/>
      <c r="B504" s="1410"/>
      <c r="C504" s="1410"/>
      <c r="D504" s="1566"/>
      <c r="E504" s="1566"/>
      <c r="F504" s="1566"/>
      <c r="G504" s="1566"/>
      <c r="H504" s="1566"/>
      <c r="I504" s="1566"/>
    </row>
    <row r="505" spans="1:9" x14ac:dyDescent="0.3">
      <c r="A505" s="1410"/>
      <c r="B505" s="1410"/>
      <c r="C505" s="1410"/>
      <c r="D505" s="1566"/>
      <c r="E505" s="1566"/>
      <c r="F505" s="1566"/>
      <c r="G505" s="1566"/>
      <c r="H505" s="1566"/>
      <c r="I505" s="1566"/>
    </row>
    <row r="506" spans="1:9" x14ac:dyDescent="0.3">
      <c r="A506" s="1410"/>
      <c r="B506" s="1410"/>
      <c r="C506" s="1410"/>
      <c r="D506" s="1566"/>
      <c r="E506" s="1566"/>
      <c r="F506" s="1566"/>
      <c r="G506" s="1566"/>
      <c r="H506" s="1566"/>
      <c r="I506" s="1566"/>
    </row>
    <row r="507" spans="1:9" x14ac:dyDescent="0.3">
      <c r="A507" s="1410"/>
      <c r="B507" s="1410"/>
      <c r="C507" s="1410"/>
      <c r="D507" s="1566"/>
      <c r="E507" s="1566"/>
      <c r="F507" s="1566"/>
      <c r="G507" s="1566"/>
      <c r="H507" s="1566"/>
      <c r="I507" s="1566"/>
    </row>
    <row r="508" spans="1:9" x14ac:dyDescent="0.3">
      <c r="A508" s="1410"/>
      <c r="B508" s="1410"/>
      <c r="C508" s="1410"/>
      <c r="D508" s="1566"/>
      <c r="E508" s="1566"/>
      <c r="F508" s="1566"/>
      <c r="G508" s="1566"/>
      <c r="H508" s="1566"/>
      <c r="I508" s="1566"/>
    </row>
    <row r="509" spans="1:9" x14ac:dyDescent="0.3">
      <c r="A509" s="1410"/>
      <c r="B509" s="1410"/>
      <c r="C509" s="1410"/>
      <c r="D509" s="1566"/>
      <c r="E509" s="1566"/>
      <c r="F509" s="1566"/>
      <c r="G509" s="1566"/>
      <c r="H509" s="1566"/>
      <c r="I509" s="1566"/>
    </row>
    <row r="510" spans="1:9" x14ac:dyDescent="0.3">
      <c r="A510" s="1410"/>
      <c r="B510" s="1410"/>
      <c r="C510" s="1410"/>
      <c r="D510" s="1566"/>
      <c r="E510" s="1566"/>
      <c r="F510" s="1566"/>
      <c r="G510" s="1566"/>
      <c r="H510" s="1566"/>
      <c r="I510" s="1566"/>
    </row>
    <row r="511" spans="1:9" x14ac:dyDescent="0.3">
      <c r="A511" s="1410"/>
      <c r="B511" s="1410"/>
      <c r="C511" s="1410"/>
      <c r="D511" s="1566"/>
      <c r="E511" s="1566"/>
      <c r="F511" s="1566"/>
      <c r="G511" s="1566"/>
      <c r="H511" s="1566"/>
      <c r="I511" s="1566"/>
    </row>
    <row r="512" spans="1:9" x14ac:dyDescent="0.3">
      <c r="A512" s="1410"/>
      <c r="B512" s="1410"/>
      <c r="C512" s="1410"/>
      <c r="D512" s="1566"/>
      <c r="E512" s="1566"/>
      <c r="F512" s="1566"/>
      <c r="G512" s="1566"/>
      <c r="H512" s="1566"/>
      <c r="I512" s="1566"/>
    </row>
    <row r="513" spans="1:9" x14ac:dyDescent="0.3">
      <c r="A513" s="1410"/>
      <c r="B513" s="1410"/>
      <c r="C513" s="1410"/>
      <c r="D513" s="1566"/>
      <c r="E513" s="1566"/>
      <c r="F513" s="1566"/>
      <c r="G513" s="1566"/>
      <c r="H513" s="1566"/>
      <c r="I513" s="1566"/>
    </row>
    <row r="514" spans="1:9" x14ac:dyDescent="0.3">
      <c r="A514" s="1410"/>
      <c r="B514" s="1410"/>
      <c r="C514" s="1410"/>
      <c r="D514" s="1566"/>
      <c r="E514" s="1566"/>
      <c r="F514" s="1566"/>
      <c r="G514" s="1566"/>
      <c r="H514" s="1566"/>
      <c r="I514" s="1566"/>
    </row>
    <row r="515" spans="1:9" x14ac:dyDescent="0.3">
      <c r="A515" s="1410"/>
      <c r="B515" s="1410"/>
      <c r="C515" s="1410"/>
      <c r="D515" s="1566"/>
      <c r="E515" s="1566"/>
      <c r="F515" s="1566"/>
      <c r="G515" s="1566"/>
      <c r="H515" s="1566"/>
      <c r="I515" s="1566"/>
    </row>
    <row r="516" spans="1:9" x14ac:dyDescent="0.3">
      <c r="A516" s="1410"/>
      <c r="B516" s="1410"/>
      <c r="C516" s="1410"/>
      <c r="D516" s="1566"/>
      <c r="E516" s="1566"/>
      <c r="F516" s="1566"/>
      <c r="G516" s="1566"/>
      <c r="H516" s="1566"/>
      <c r="I516" s="1566"/>
    </row>
    <row r="517" spans="1:9" x14ac:dyDescent="0.3">
      <c r="A517" s="1410"/>
      <c r="B517" s="1410"/>
      <c r="C517" s="1410"/>
      <c r="D517" s="1566"/>
      <c r="E517" s="1566"/>
      <c r="F517" s="1566"/>
      <c r="G517" s="1566"/>
      <c r="H517" s="1566"/>
      <c r="I517" s="1566"/>
    </row>
    <row r="518" spans="1:9" x14ac:dyDescent="0.3">
      <c r="A518" s="1410"/>
      <c r="B518" s="1410"/>
      <c r="C518" s="1410"/>
      <c r="D518" s="1566"/>
      <c r="E518" s="1566"/>
      <c r="F518" s="1566"/>
      <c r="G518" s="1566"/>
      <c r="H518" s="1566"/>
      <c r="I518" s="1566"/>
    </row>
    <row r="519" spans="1:9" x14ac:dyDescent="0.3">
      <c r="A519" s="1410"/>
      <c r="B519" s="1410"/>
      <c r="C519" s="1410"/>
      <c r="D519" s="1566"/>
      <c r="E519" s="1566"/>
      <c r="F519" s="1566"/>
      <c r="G519" s="1566"/>
      <c r="H519" s="1566"/>
      <c r="I519" s="1566"/>
    </row>
    <row r="520" spans="1:9" x14ac:dyDescent="0.3">
      <c r="A520" s="1410"/>
      <c r="B520" s="1410"/>
      <c r="C520" s="1410"/>
      <c r="D520" s="1566"/>
      <c r="E520" s="1566"/>
      <c r="F520" s="1566"/>
      <c r="G520" s="1566"/>
      <c r="H520" s="1566"/>
      <c r="I520" s="1566"/>
    </row>
    <row r="521" spans="1:9" x14ac:dyDescent="0.3">
      <c r="A521" s="1410"/>
      <c r="B521" s="1410"/>
      <c r="C521" s="1410"/>
      <c r="D521" s="1566"/>
      <c r="E521" s="1566"/>
      <c r="F521" s="1566"/>
      <c r="G521" s="1566"/>
      <c r="H521" s="1566"/>
      <c r="I521" s="1566"/>
    </row>
    <row r="522" spans="1:9" x14ac:dyDescent="0.3">
      <c r="A522" s="1410"/>
      <c r="B522" s="1410"/>
      <c r="C522" s="1410"/>
      <c r="D522" s="1566"/>
      <c r="E522" s="1566"/>
      <c r="F522" s="1566"/>
      <c r="G522" s="1566"/>
      <c r="H522" s="1566"/>
      <c r="I522" s="1566"/>
    </row>
    <row r="523" spans="1:9" x14ac:dyDescent="0.3">
      <c r="A523" s="1410"/>
      <c r="B523" s="1410"/>
      <c r="C523" s="1410"/>
      <c r="D523" s="1566"/>
      <c r="E523" s="1566"/>
      <c r="F523" s="1566"/>
      <c r="G523" s="1566"/>
      <c r="H523" s="1566"/>
      <c r="I523" s="1566"/>
    </row>
    <row r="524" spans="1:9" x14ac:dyDescent="0.3">
      <c r="A524" s="1410"/>
      <c r="B524" s="1410"/>
      <c r="C524" s="1410"/>
      <c r="D524" s="1566"/>
      <c r="E524" s="1566"/>
      <c r="F524" s="1566"/>
      <c r="G524" s="1566"/>
      <c r="H524" s="1566"/>
      <c r="I524" s="1566"/>
    </row>
    <row r="525" spans="1:9" x14ac:dyDescent="0.3">
      <c r="A525" s="1410"/>
      <c r="B525" s="1410"/>
      <c r="C525" s="1410"/>
      <c r="D525" s="1566"/>
      <c r="E525" s="1566"/>
      <c r="F525" s="1566"/>
      <c r="G525" s="1566"/>
      <c r="H525" s="1566"/>
      <c r="I525" s="1566"/>
    </row>
    <row r="526" spans="1:9" x14ac:dyDescent="0.3">
      <c r="A526" s="1410"/>
      <c r="B526" s="1410"/>
      <c r="C526" s="1410"/>
      <c r="D526" s="1566"/>
      <c r="E526" s="1566"/>
      <c r="F526" s="1566"/>
      <c r="G526" s="1566"/>
      <c r="H526" s="1566"/>
      <c r="I526" s="1566"/>
    </row>
    <row r="527" spans="1:9" x14ac:dyDescent="0.3">
      <c r="A527" s="1410"/>
      <c r="B527" s="1410"/>
      <c r="C527" s="1410"/>
      <c r="D527" s="1566"/>
      <c r="E527" s="1566"/>
      <c r="F527" s="1566"/>
      <c r="G527" s="1566"/>
      <c r="H527" s="1566"/>
      <c r="I527" s="1566"/>
    </row>
    <row r="528" spans="1:9" x14ac:dyDescent="0.3">
      <c r="A528" s="1410"/>
      <c r="B528" s="1410"/>
      <c r="C528" s="1410"/>
      <c r="D528" s="1566"/>
      <c r="E528" s="1566"/>
      <c r="F528" s="1566"/>
      <c r="G528" s="1566"/>
      <c r="H528" s="1566"/>
      <c r="I528" s="1566"/>
    </row>
    <row r="529" spans="1:9" x14ac:dyDescent="0.3">
      <c r="A529" s="1410"/>
      <c r="B529" s="1410"/>
      <c r="C529" s="1410"/>
      <c r="D529" s="1566"/>
      <c r="E529" s="1566"/>
      <c r="F529" s="1566"/>
      <c r="G529" s="1566"/>
      <c r="H529" s="1566"/>
      <c r="I529" s="1566"/>
    </row>
    <row r="530" spans="1:9" x14ac:dyDescent="0.3">
      <c r="A530" s="1410"/>
      <c r="B530" s="1410"/>
      <c r="C530" s="1410"/>
      <c r="D530" s="1566"/>
      <c r="E530" s="1566"/>
      <c r="F530" s="1566"/>
      <c r="G530" s="1566"/>
      <c r="H530" s="1566"/>
      <c r="I530" s="1566"/>
    </row>
    <row r="531" spans="1:9" x14ac:dyDescent="0.3">
      <c r="A531" s="1410"/>
      <c r="B531" s="1410"/>
      <c r="C531" s="1410"/>
      <c r="D531" s="1566"/>
      <c r="E531" s="1566"/>
      <c r="F531" s="1566"/>
      <c r="G531" s="1566"/>
      <c r="H531" s="1566"/>
      <c r="I531" s="1566"/>
    </row>
    <row r="532" spans="1:9" x14ac:dyDescent="0.3">
      <c r="A532" s="1410"/>
      <c r="B532" s="1410"/>
      <c r="C532" s="1410"/>
      <c r="D532" s="1566"/>
      <c r="E532" s="1566"/>
      <c r="F532" s="1566"/>
      <c r="G532" s="1566"/>
      <c r="H532" s="1566"/>
      <c r="I532" s="1566"/>
    </row>
    <row r="533" spans="1:9" x14ac:dyDescent="0.3">
      <c r="A533" s="1410"/>
      <c r="B533" s="1410"/>
      <c r="C533" s="1410"/>
      <c r="D533" s="1566"/>
      <c r="E533" s="1566"/>
      <c r="F533" s="1566"/>
      <c r="G533" s="1566"/>
      <c r="H533" s="1566"/>
      <c r="I533" s="1566"/>
    </row>
    <row r="534" spans="1:9" x14ac:dyDescent="0.3">
      <c r="A534" s="1410"/>
      <c r="B534" s="1410"/>
      <c r="C534" s="1410"/>
      <c r="D534" s="1566"/>
      <c r="E534" s="1566"/>
      <c r="F534" s="1566"/>
      <c r="G534" s="1566"/>
      <c r="H534" s="1566"/>
      <c r="I534" s="1566"/>
    </row>
    <row r="535" spans="1:9" x14ac:dyDescent="0.3">
      <c r="A535" s="1410"/>
      <c r="B535" s="1410"/>
      <c r="C535" s="1410"/>
      <c r="D535" s="1566"/>
      <c r="E535" s="1566"/>
      <c r="F535" s="1566"/>
      <c r="G535" s="1566"/>
      <c r="H535" s="1566"/>
      <c r="I535" s="1566"/>
    </row>
    <row r="536" spans="1:9" x14ac:dyDescent="0.3">
      <c r="A536" s="1410"/>
      <c r="B536" s="1410"/>
      <c r="C536" s="1410"/>
      <c r="D536" s="1566"/>
      <c r="E536" s="1566"/>
      <c r="F536" s="1566"/>
      <c r="G536" s="1566"/>
      <c r="H536" s="1566"/>
      <c r="I536" s="1566"/>
    </row>
    <row r="537" spans="1:9" x14ac:dyDescent="0.3">
      <c r="A537" s="1410"/>
      <c r="B537" s="1410"/>
      <c r="C537" s="1410"/>
      <c r="D537" s="1566"/>
      <c r="E537" s="1566"/>
      <c r="F537" s="1566"/>
      <c r="G537" s="1566"/>
      <c r="H537" s="1566"/>
      <c r="I537" s="1566"/>
    </row>
    <row r="538" spans="1:9" x14ac:dyDescent="0.3">
      <c r="A538" s="1410"/>
      <c r="B538" s="1410"/>
      <c r="C538" s="1410"/>
      <c r="D538" s="1566"/>
      <c r="E538" s="1566"/>
      <c r="F538" s="1566"/>
      <c r="G538" s="1566"/>
      <c r="H538" s="1566"/>
      <c r="I538" s="1566"/>
    </row>
    <row r="539" spans="1:9" x14ac:dyDescent="0.3">
      <c r="A539" s="1410"/>
      <c r="B539" s="1410"/>
      <c r="C539" s="1410"/>
      <c r="D539" s="1566"/>
      <c r="E539" s="1566"/>
      <c r="F539" s="1566"/>
      <c r="G539" s="1566"/>
      <c r="H539" s="1566"/>
      <c r="I539" s="1566"/>
    </row>
    <row r="540" spans="1:9" x14ac:dyDescent="0.3">
      <c r="A540" s="1410"/>
      <c r="B540" s="1410"/>
      <c r="C540" s="1410"/>
      <c r="D540" s="1566"/>
      <c r="E540" s="1566"/>
      <c r="F540" s="1566"/>
      <c r="G540" s="1566"/>
      <c r="H540" s="1566"/>
      <c r="I540" s="1566"/>
    </row>
    <row r="541" spans="1:9" x14ac:dyDescent="0.3">
      <c r="A541" s="1410"/>
      <c r="B541" s="1410"/>
      <c r="C541" s="1410"/>
      <c r="D541" s="1566"/>
      <c r="E541" s="1566"/>
      <c r="F541" s="1566"/>
      <c r="G541" s="1566"/>
      <c r="H541" s="1566"/>
      <c r="I541" s="1566"/>
    </row>
    <row r="542" spans="1:9" x14ac:dyDescent="0.3">
      <c r="A542" s="1410"/>
      <c r="B542" s="1410"/>
      <c r="C542" s="1410"/>
      <c r="D542" s="1566"/>
      <c r="E542" s="1566"/>
      <c r="F542" s="1566"/>
      <c r="G542" s="1566"/>
      <c r="H542" s="1566"/>
      <c r="I542" s="1566"/>
    </row>
    <row r="543" spans="1:9" x14ac:dyDescent="0.3">
      <c r="A543" s="1410"/>
      <c r="B543" s="1410"/>
      <c r="C543" s="1410"/>
      <c r="D543" s="1566"/>
      <c r="E543" s="1566"/>
      <c r="F543" s="1566"/>
      <c r="G543" s="1566"/>
      <c r="H543" s="1566"/>
      <c r="I543" s="1566"/>
    </row>
    <row r="544" spans="1:9" x14ac:dyDescent="0.3">
      <c r="A544" s="1410"/>
      <c r="B544" s="1410"/>
      <c r="C544" s="1410"/>
      <c r="D544" s="1566"/>
      <c r="E544" s="1566"/>
      <c r="F544" s="1566"/>
      <c r="G544" s="1566"/>
      <c r="H544" s="1566"/>
      <c r="I544" s="1566"/>
    </row>
    <row r="545" spans="1:9" x14ac:dyDescent="0.3">
      <c r="A545" s="1410"/>
      <c r="B545" s="1410"/>
      <c r="C545" s="1410"/>
      <c r="D545" s="1566"/>
      <c r="E545" s="1566"/>
      <c r="F545" s="1566"/>
      <c r="G545" s="1566"/>
      <c r="H545" s="1566"/>
      <c r="I545" s="1566"/>
    </row>
    <row r="546" spans="1:9" x14ac:dyDescent="0.3">
      <c r="A546" s="1410"/>
      <c r="B546" s="1410"/>
      <c r="C546" s="1410"/>
      <c r="D546" s="1566"/>
      <c r="E546" s="1566"/>
      <c r="F546" s="1566"/>
      <c r="G546" s="1566"/>
      <c r="H546" s="1566"/>
      <c r="I546" s="1566"/>
    </row>
    <row r="547" spans="1:9" x14ac:dyDescent="0.3">
      <c r="A547" s="1410"/>
      <c r="B547" s="1410"/>
      <c r="C547" s="1410"/>
      <c r="D547" s="1566"/>
      <c r="E547" s="1566"/>
      <c r="F547" s="1566"/>
      <c r="G547" s="1566"/>
      <c r="H547" s="1566"/>
      <c r="I547" s="1566"/>
    </row>
    <row r="548" spans="1:9" x14ac:dyDescent="0.3">
      <c r="A548" s="1410"/>
      <c r="B548" s="1410"/>
      <c r="C548" s="1410"/>
      <c r="D548" s="1566"/>
      <c r="E548" s="1566"/>
      <c r="F548" s="1566"/>
      <c r="G548" s="1566"/>
      <c r="H548" s="1566"/>
      <c r="I548" s="1566"/>
    </row>
    <row r="549" spans="1:9" x14ac:dyDescent="0.3">
      <c r="A549" s="1410"/>
      <c r="B549" s="1410"/>
      <c r="C549" s="1410"/>
      <c r="D549" s="1566"/>
      <c r="E549" s="1566"/>
      <c r="F549" s="1566"/>
      <c r="G549" s="1566"/>
      <c r="H549" s="1566"/>
      <c r="I549" s="1566"/>
    </row>
    <row r="550" spans="1:9" x14ac:dyDescent="0.3">
      <c r="A550" s="1410"/>
      <c r="B550" s="1410"/>
      <c r="C550" s="1410"/>
      <c r="D550" s="1566"/>
      <c r="E550" s="1566"/>
      <c r="F550" s="1566"/>
      <c r="G550" s="1566"/>
      <c r="H550" s="1566"/>
      <c r="I550" s="1566"/>
    </row>
    <row r="551" spans="1:9" x14ac:dyDescent="0.3">
      <c r="A551" s="1410"/>
      <c r="B551" s="1410"/>
      <c r="C551" s="1410"/>
      <c r="D551" s="1566"/>
      <c r="E551" s="1566"/>
      <c r="F551" s="1566"/>
      <c r="G551" s="1566"/>
      <c r="H551" s="1566"/>
      <c r="I551" s="1566"/>
    </row>
    <row r="552" spans="1:9" x14ac:dyDescent="0.3">
      <c r="A552" s="1410"/>
      <c r="B552" s="1410"/>
      <c r="C552" s="1410"/>
      <c r="D552" s="1566"/>
      <c r="E552" s="1566"/>
      <c r="F552" s="1566"/>
      <c r="G552" s="1566"/>
      <c r="H552" s="1566"/>
      <c r="I552" s="1566"/>
    </row>
    <row r="553" spans="1:9" x14ac:dyDescent="0.3">
      <c r="A553" s="1410"/>
      <c r="B553" s="1410"/>
      <c r="C553" s="1410"/>
      <c r="D553" s="1566"/>
      <c r="E553" s="1566"/>
      <c r="F553" s="1566"/>
      <c r="G553" s="1566"/>
      <c r="H553" s="1566"/>
      <c r="I553" s="1566"/>
    </row>
    <row r="554" spans="1:9" x14ac:dyDescent="0.3">
      <c r="A554" s="1410"/>
      <c r="B554" s="1410"/>
      <c r="C554" s="1410"/>
      <c r="D554" s="1566"/>
      <c r="E554" s="1566"/>
      <c r="F554" s="1566"/>
      <c r="G554" s="1566"/>
      <c r="H554" s="1566"/>
      <c r="I554" s="1566"/>
    </row>
    <row r="555" spans="1:9" x14ac:dyDescent="0.3">
      <c r="A555" s="1410"/>
      <c r="B555" s="1410"/>
      <c r="C555" s="1410"/>
      <c r="D555" s="1566"/>
      <c r="E555" s="1566"/>
      <c r="F555" s="1566"/>
      <c r="G555" s="1566"/>
      <c r="H555" s="1566"/>
      <c r="I555" s="1566"/>
    </row>
    <row r="556" spans="1:9" x14ac:dyDescent="0.3">
      <c r="A556" s="1410"/>
      <c r="B556" s="1410"/>
      <c r="C556" s="1410"/>
      <c r="D556" s="1566"/>
      <c r="E556" s="1566"/>
      <c r="F556" s="1566"/>
      <c r="G556" s="1566"/>
      <c r="H556" s="1566"/>
      <c r="I556" s="1566"/>
    </row>
    <row r="557" spans="1:9" x14ac:dyDescent="0.3">
      <c r="A557" s="1410"/>
      <c r="B557" s="1410"/>
      <c r="C557" s="1410"/>
      <c r="D557" s="1566"/>
      <c r="E557" s="1566"/>
      <c r="F557" s="1566"/>
      <c r="G557" s="1566"/>
      <c r="H557" s="1566"/>
      <c r="I557" s="1566"/>
    </row>
    <row r="558" spans="1:9" x14ac:dyDescent="0.3">
      <c r="A558" s="1410"/>
      <c r="B558" s="1410"/>
      <c r="C558" s="1410"/>
      <c r="D558" s="1566"/>
      <c r="E558" s="1566"/>
      <c r="F558" s="1566"/>
      <c r="G558" s="1566"/>
      <c r="H558" s="1566"/>
      <c r="I558" s="1566"/>
    </row>
    <row r="559" spans="1:9" x14ac:dyDescent="0.3">
      <c r="A559" s="1410"/>
      <c r="B559" s="1410"/>
      <c r="C559" s="1410"/>
      <c r="D559" s="1566"/>
      <c r="E559" s="1566"/>
      <c r="F559" s="1566"/>
      <c r="G559" s="1566"/>
      <c r="H559" s="1566"/>
      <c r="I559" s="1566"/>
    </row>
    <row r="560" spans="1:9" x14ac:dyDescent="0.3">
      <c r="A560" s="1410"/>
      <c r="B560" s="1410"/>
      <c r="C560" s="1410"/>
      <c r="D560" s="1566"/>
      <c r="E560" s="1566"/>
      <c r="F560" s="1566"/>
      <c r="G560" s="1566"/>
      <c r="H560" s="1566"/>
      <c r="I560" s="1566"/>
    </row>
    <row r="561" spans="1:9" x14ac:dyDescent="0.3">
      <c r="A561" s="1410"/>
      <c r="B561" s="1410"/>
      <c r="C561" s="1410"/>
      <c r="D561" s="1566"/>
      <c r="E561" s="1566"/>
      <c r="F561" s="1566"/>
      <c r="G561" s="1566"/>
      <c r="H561" s="1566"/>
      <c r="I561" s="1566"/>
    </row>
    <row r="562" spans="1:9" x14ac:dyDescent="0.3">
      <c r="A562" s="1410"/>
      <c r="B562" s="1410"/>
      <c r="C562" s="1410"/>
      <c r="D562" s="1566"/>
      <c r="E562" s="1566"/>
      <c r="F562" s="1566"/>
      <c r="G562" s="1566"/>
      <c r="H562" s="1566"/>
      <c r="I562" s="1566"/>
    </row>
    <row r="563" spans="1:9" x14ac:dyDescent="0.3">
      <c r="A563" s="1410"/>
      <c r="B563" s="1410"/>
      <c r="C563" s="1410"/>
      <c r="D563" s="1566"/>
      <c r="E563" s="1566"/>
      <c r="F563" s="1566"/>
      <c r="G563" s="1566"/>
      <c r="H563" s="1566"/>
      <c r="I563" s="1566"/>
    </row>
    <row r="564" spans="1:9" x14ac:dyDescent="0.3">
      <c r="A564" s="1410"/>
      <c r="B564" s="1410"/>
      <c r="C564" s="1410"/>
      <c r="D564" s="1566"/>
      <c r="E564" s="1566"/>
      <c r="F564" s="1566"/>
      <c r="G564" s="1566"/>
      <c r="H564" s="1566"/>
      <c r="I564" s="1566"/>
    </row>
    <row r="565" spans="1:9" x14ac:dyDescent="0.3">
      <c r="A565" s="1410"/>
      <c r="B565" s="1410"/>
      <c r="C565" s="1410"/>
      <c r="D565" s="1566"/>
      <c r="E565" s="1566"/>
      <c r="F565" s="1566"/>
      <c r="G565" s="1566"/>
      <c r="H565" s="1566"/>
      <c r="I565" s="1566"/>
    </row>
    <row r="566" spans="1:9" x14ac:dyDescent="0.3">
      <c r="A566" s="1410"/>
      <c r="B566" s="1410"/>
      <c r="C566" s="1410"/>
      <c r="D566" s="1566"/>
      <c r="E566" s="1566"/>
      <c r="F566" s="1566"/>
      <c r="G566" s="1566"/>
      <c r="H566" s="1566"/>
      <c r="I566" s="1566"/>
    </row>
    <row r="567" spans="1:9" x14ac:dyDescent="0.3">
      <c r="A567" s="1410"/>
      <c r="B567" s="1410"/>
      <c r="C567" s="1410"/>
      <c r="D567" s="1566"/>
      <c r="E567" s="1566"/>
      <c r="F567" s="1566"/>
      <c r="G567" s="1566"/>
      <c r="H567" s="1566"/>
      <c r="I567" s="1566"/>
    </row>
    <row r="568" spans="1:9" x14ac:dyDescent="0.3">
      <c r="A568" s="1410"/>
      <c r="B568" s="1410"/>
      <c r="C568" s="1410"/>
      <c r="D568" s="1566"/>
      <c r="E568" s="1566"/>
      <c r="F568" s="1566"/>
      <c r="G568" s="1566"/>
      <c r="H568" s="1566"/>
      <c r="I568" s="1566"/>
    </row>
    <row r="569" spans="1:9" x14ac:dyDescent="0.3">
      <c r="A569" s="1410"/>
      <c r="B569" s="1410"/>
      <c r="C569" s="1410"/>
      <c r="D569" s="1566"/>
      <c r="E569" s="1566"/>
      <c r="F569" s="1566"/>
      <c r="G569" s="1566"/>
      <c r="H569" s="1566"/>
      <c r="I569" s="1566"/>
    </row>
    <row r="570" spans="1:9" x14ac:dyDescent="0.3">
      <c r="A570" s="1410"/>
      <c r="B570" s="1410"/>
      <c r="C570" s="1410"/>
      <c r="D570" s="1566"/>
      <c r="E570" s="1566"/>
      <c r="F570" s="1566"/>
      <c r="G570" s="1566"/>
      <c r="H570" s="1566"/>
      <c r="I570" s="1566"/>
    </row>
    <row r="571" spans="1:9" x14ac:dyDescent="0.3">
      <c r="A571" s="1410"/>
      <c r="B571" s="1410"/>
      <c r="C571" s="1410"/>
      <c r="D571" s="1566"/>
      <c r="E571" s="1566"/>
      <c r="F571" s="1566"/>
      <c r="G571" s="1566"/>
      <c r="H571" s="1566"/>
      <c r="I571" s="1566"/>
    </row>
    <row r="572" spans="1:9" x14ac:dyDescent="0.3">
      <c r="A572" s="1410"/>
      <c r="B572" s="1410"/>
      <c r="C572" s="1410"/>
      <c r="D572" s="1566"/>
      <c r="E572" s="1566"/>
      <c r="F572" s="1566"/>
      <c r="G572" s="1566"/>
      <c r="H572" s="1566"/>
      <c r="I572" s="1566"/>
    </row>
    <row r="573" spans="1:9" x14ac:dyDescent="0.3">
      <c r="A573" s="1410"/>
      <c r="B573" s="1410"/>
      <c r="C573" s="1410"/>
      <c r="D573" s="1566"/>
      <c r="E573" s="1566"/>
      <c r="F573" s="1566"/>
      <c r="G573" s="1566"/>
      <c r="H573" s="1566"/>
      <c r="I573" s="1566"/>
    </row>
    <row r="574" spans="1:9" x14ac:dyDescent="0.3">
      <c r="A574" s="1410"/>
      <c r="B574" s="1410"/>
      <c r="C574" s="1410"/>
      <c r="D574" s="1566"/>
      <c r="E574" s="1566"/>
      <c r="F574" s="1566"/>
      <c r="G574" s="1566"/>
      <c r="H574" s="1566"/>
      <c r="I574" s="1566"/>
    </row>
    <row r="575" spans="1:9" x14ac:dyDescent="0.3">
      <c r="A575" s="1410"/>
      <c r="B575" s="1410"/>
      <c r="C575" s="1410"/>
      <c r="D575" s="1566"/>
      <c r="E575" s="1566"/>
      <c r="F575" s="1566"/>
      <c r="G575" s="1566"/>
      <c r="H575" s="1566"/>
      <c r="I575" s="1566"/>
    </row>
    <row r="576" spans="1:9" x14ac:dyDescent="0.3">
      <c r="A576" s="1410"/>
      <c r="B576" s="1410"/>
      <c r="C576" s="1410"/>
      <c r="D576" s="1566"/>
      <c r="E576" s="1566"/>
      <c r="F576" s="1566"/>
      <c r="G576" s="1566"/>
      <c r="H576" s="1566"/>
      <c r="I576" s="1566"/>
    </row>
    <row r="577" spans="1:9" x14ac:dyDescent="0.3">
      <c r="A577" s="1410"/>
      <c r="B577" s="1410"/>
      <c r="C577" s="1410"/>
      <c r="D577" s="1566"/>
      <c r="E577" s="1566"/>
      <c r="F577" s="1566"/>
      <c r="G577" s="1566"/>
      <c r="H577" s="1566"/>
      <c r="I577" s="1566"/>
    </row>
    <row r="578" spans="1:9" x14ac:dyDescent="0.3">
      <c r="A578" s="1410"/>
      <c r="B578" s="1410"/>
      <c r="C578" s="1410"/>
      <c r="D578" s="1566"/>
      <c r="E578" s="1566"/>
      <c r="F578" s="1566"/>
      <c r="G578" s="1566"/>
      <c r="H578" s="1566"/>
      <c r="I578" s="1566"/>
    </row>
    <row r="579" spans="1:9" x14ac:dyDescent="0.3">
      <c r="A579" s="1410"/>
      <c r="B579" s="1410"/>
      <c r="C579" s="1410"/>
      <c r="D579" s="1566"/>
      <c r="E579" s="1566"/>
      <c r="F579" s="1566"/>
      <c r="G579" s="1566"/>
      <c r="H579" s="1566"/>
      <c r="I579" s="1566"/>
    </row>
    <row r="580" spans="1:9" x14ac:dyDescent="0.3">
      <c r="A580" s="1410"/>
      <c r="B580" s="1410"/>
      <c r="C580" s="1410"/>
      <c r="D580" s="1566"/>
      <c r="E580" s="1566"/>
      <c r="F580" s="1566"/>
      <c r="G580" s="1566"/>
      <c r="H580" s="1566"/>
      <c r="I580" s="1566"/>
    </row>
    <row r="581" spans="1:9" x14ac:dyDescent="0.3">
      <c r="A581" s="1410"/>
      <c r="B581" s="1410"/>
      <c r="C581" s="1410"/>
      <c r="D581" s="1566"/>
      <c r="E581" s="1566"/>
      <c r="F581" s="1566"/>
      <c r="G581" s="1566"/>
      <c r="H581" s="1566"/>
      <c r="I581" s="1566"/>
    </row>
    <row r="582" spans="1:9" x14ac:dyDescent="0.3">
      <c r="A582" s="1410"/>
      <c r="B582" s="1410"/>
      <c r="C582" s="1410"/>
      <c r="D582" s="1566"/>
      <c r="E582" s="1566"/>
      <c r="F582" s="1566"/>
      <c r="G582" s="1566"/>
      <c r="H582" s="1566"/>
      <c r="I582" s="1566"/>
    </row>
    <row r="583" spans="1:9" x14ac:dyDescent="0.3">
      <c r="A583" s="1410"/>
      <c r="B583" s="1410"/>
      <c r="C583" s="1410"/>
      <c r="D583" s="1566"/>
      <c r="E583" s="1566"/>
      <c r="F583" s="1566"/>
      <c r="G583" s="1566"/>
      <c r="H583" s="1566"/>
      <c r="I583" s="1566"/>
    </row>
    <row r="584" spans="1:9" x14ac:dyDescent="0.3">
      <c r="A584" s="1410"/>
      <c r="B584" s="1410"/>
      <c r="C584" s="1410"/>
      <c r="D584" s="1566"/>
      <c r="E584" s="1566"/>
      <c r="F584" s="1566"/>
      <c r="G584" s="1566"/>
      <c r="H584" s="1566"/>
      <c r="I584" s="1566"/>
    </row>
    <row r="585" spans="1:9" x14ac:dyDescent="0.3">
      <c r="A585" s="1410"/>
      <c r="B585" s="1410"/>
      <c r="C585" s="1410"/>
      <c r="D585" s="1566"/>
      <c r="E585" s="1566"/>
      <c r="F585" s="1566"/>
      <c r="G585" s="1566"/>
      <c r="H585" s="1566"/>
      <c r="I585" s="1566"/>
    </row>
    <row r="586" spans="1:9" x14ac:dyDescent="0.3">
      <c r="A586" s="1410"/>
      <c r="B586" s="1410"/>
      <c r="C586" s="1410"/>
      <c r="D586" s="1566"/>
      <c r="E586" s="1566"/>
      <c r="F586" s="1566"/>
      <c r="G586" s="1566"/>
      <c r="H586" s="1566"/>
      <c r="I586" s="1566"/>
    </row>
    <row r="587" spans="1:9" x14ac:dyDescent="0.3">
      <c r="A587" s="1410"/>
      <c r="B587" s="1410"/>
      <c r="C587" s="1410"/>
      <c r="D587" s="1566"/>
      <c r="E587" s="1566"/>
      <c r="F587" s="1566"/>
      <c r="G587" s="1566"/>
      <c r="H587" s="1566"/>
      <c r="I587" s="1566"/>
    </row>
    <row r="588" spans="1:9" x14ac:dyDescent="0.3">
      <c r="A588" s="1410"/>
      <c r="B588" s="1410"/>
      <c r="C588" s="1410"/>
      <c r="D588" s="1566"/>
      <c r="E588" s="1566"/>
      <c r="F588" s="1566"/>
      <c r="G588" s="1566"/>
      <c r="H588" s="1566"/>
      <c r="I588" s="1566"/>
    </row>
    <row r="589" spans="1:9" x14ac:dyDescent="0.3">
      <c r="A589" s="1410"/>
      <c r="B589" s="1410"/>
      <c r="C589" s="1410"/>
      <c r="D589" s="1566"/>
      <c r="E589" s="1566"/>
      <c r="F589" s="1566"/>
      <c r="G589" s="1566"/>
      <c r="H589" s="1566"/>
      <c r="I589" s="1566"/>
    </row>
    <row r="590" spans="1:9" x14ac:dyDescent="0.3">
      <c r="A590" s="1410"/>
      <c r="B590" s="1410"/>
      <c r="C590" s="1410"/>
      <c r="D590" s="1566"/>
      <c r="E590" s="1566"/>
      <c r="F590" s="1566"/>
      <c r="G590" s="1566"/>
      <c r="H590" s="1566"/>
      <c r="I590" s="1566"/>
    </row>
    <row r="591" spans="1:9" x14ac:dyDescent="0.3">
      <c r="A591" s="1410"/>
      <c r="B591" s="1410"/>
      <c r="C591" s="1410"/>
      <c r="D591" s="1566"/>
      <c r="E591" s="1566"/>
      <c r="F591" s="1566"/>
      <c r="G591" s="1566"/>
      <c r="H591" s="1566"/>
      <c r="I591" s="1566"/>
    </row>
    <row r="592" spans="1:9" x14ac:dyDescent="0.3">
      <c r="A592" s="1410"/>
      <c r="B592" s="1410"/>
      <c r="C592" s="1410"/>
      <c r="D592" s="1566"/>
      <c r="E592" s="1566"/>
      <c r="F592" s="1566"/>
      <c r="G592" s="1566"/>
      <c r="H592" s="1566"/>
      <c r="I592" s="1566"/>
    </row>
    <row r="593" spans="1:9" x14ac:dyDescent="0.3">
      <c r="A593" s="1410"/>
      <c r="B593" s="1410"/>
      <c r="C593" s="1410"/>
      <c r="D593" s="1566"/>
      <c r="E593" s="1566"/>
      <c r="F593" s="1566"/>
      <c r="G593" s="1566"/>
      <c r="H593" s="1566"/>
      <c r="I593" s="1566"/>
    </row>
    <row r="594" spans="1:9" x14ac:dyDescent="0.3">
      <c r="A594" s="1410"/>
      <c r="B594" s="1410"/>
      <c r="C594" s="1410"/>
      <c r="D594" s="1566"/>
      <c r="E594" s="1566"/>
      <c r="F594" s="1566"/>
      <c r="G594" s="1566"/>
      <c r="H594" s="1566"/>
      <c r="I594" s="1566"/>
    </row>
    <row r="595" spans="1:9" x14ac:dyDescent="0.3">
      <c r="A595" s="1410"/>
      <c r="B595" s="1410"/>
      <c r="C595" s="1410"/>
      <c r="D595" s="1566"/>
      <c r="E595" s="1566"/>
      <c r="F595" s="1566"/>
      <c r="G595" s="1566"/>
      <c r="H595" s="1566"/>
      <c r="I595" s="1566"/>
    </row>
    <row r="596" spans="1:9" x14ac:dyDescent="0.3">
      <c r="A596" s="1410"/>
      <c r="B596" s="1410"/>
      <c r="C596" s="1410"/>
      <c r="D596" s="1566"/>
      <c r="E596" s="1566"/>
      <c r="F596" s="1566"/>
      <c r="G596" s="1566"/>
      <c r="H596" s="1566"/>
      <c r="I596" s="1566"/>
    </row>
    <row r="597" spans="1:9" x14ac:dyDescent="0.3">
      <c r="A597" s="1410"/>
      <c r="B597" s="1410"/>
      <c r="C597" s="1410"/>
      <c r="D597" s="1566"/>
      <c r="E597" s="1566"/>
      <c r="F597" s="1566"/>
      <c r="G597" s="1566"/>
      <c r="H597" s="1566"/>
      <c r="I597" s="1566"/>
    </row>
    <row r="598" spans="1:9" x14ac:dyDescent="0.3">
      <c r="A598" s="1410"/>
      <c r="B598" s="1410"/>
      <c r="C598" s="1410"/>
      <c r="D598" s="1566"/>
      <c r="E598" s="1566"/>
      <c r="F598" s="1566"/>
      <c r="G598" s="1566"/>
      <c r="H598" s="1566"/>
      <c r="I598" s="1566"/>
    </row>
    <row r="599" spans="1:9" x14ac:dyDescent="0.3">
      <c r="A599" s="1410"/>
      <c r="B599" s="1410"/>
      <c r="C599" s="1410"/>
      <c r="D599" s="1566"/>
      <c r="E599" s="1566"/>
      <c r="F599" s="1566"/>
      <c r="G599" s="1566"/>
      <c r="H599" s="1566"/>
      <c r="I599" s="1566"/>
    </row>
    <row r="600" spans="1:9" x14ac:dyDescent="0.3">
      <c r="A600" s="1410"/>
      <c r="B600" s="1410"/>
      <c r="C600" s="1410"/>
      <c r="D600" s="1566"/>
      <c r="E600" s="1566"/>
      <c r="F600" s="1566"/>
      <c r="G600" s="1566"/>
      <c r="H600" s="1566"/>
      <c r="I600" s="1566"/>
    </row>
    <row r="601" spans="1:9" x14ac:dyDescent="0.3">
      <c r="A601" s="1410"/>
      <c r="B601" s="1410"/>
      <c r="C601" s="1410"/>
      <c r="D601" s="1566"/>
      <c r="E601" s="1566"/>
      <c r="F601" s="1566"/>
      <c r="G601" s="1566"/>
      <c r="H601" s="1566"/>
      <c r="I601" s="1566"/>
    </row>
    <row r="602" spans="1:9" x14ac:dyDescent="0.3">
      <c r="A602" s="1410"/>
      <c r="B602" s="1410"/>
      <c r="C602" s="1410"/>
      <c r="D602" s="1566"/>
      <c r="E602" s="1566"/>
      <c r="F602" s="1566"/>
      <c r="G602" s="1566"/>
      <c r="H602" s="1566"/>
      <c r="I602" s="1566"/>
    </row>
    <row r="603" spans="1:9" x14ac:dyDescent="0.3">
      <c r="A603" s="1410"/>
      <c r="B603" s="1410"/>
      <c r="C603" s="1410"/>
      <c r="D603" s="1566"/>
      <c r="E603" s="1566"/>
      <c r="F603" s="1566"/>
      <c r="G603" s="1566"/>
      <c r="H603" s="1566"/>
      <c r="I603" s="1566"/>
    </row>
    <row r="604" spans="1:9" x14ac:dyDescent="0.3">
      <c r="A604" s="1410"/>
      <c r="B604" s="1410"/>
      <c r="C604" s="1410"/>
      <c r="D604" s="1566"/>
      <c r="E604" s="1566"/>
      <c r="F604" s="1566"/>
      <c r="G604" s="1566"/>
      <c r="H604" s="1566"/>
      <c r="I604" s="1566"/>
    </row>
    <row r="605" spans="1:9" x14ac:dyDescent="0.3">
      <c r="A605" s="1410"/>
      <c r="B605" s="1410"/>
      <c r="C605" s="1410"/>
      <c r="D605" s="1566"/>
      <c r="E605" s="1566"/>
      <c r="F605" s="1566"/>
      <c r="G605" s="1566"/>
      <c r="H605" s="1566"/>
      <c r="I605" s="1566"/>
    </row>
    <row r="606" spans="1:9" x14ac:dyDescent="0.3">
      <c r="A606" s="1410"/>
      <c r="B606" s="1410"/>
      <c r="C606" s="1410"/>
      <c r="D606" s="1566"/>
      <c r="E606" s="1566"/>
      <c r="F606" s="1566"/>
      <c r="G606" s="1566"/>
      <c r="H606" s="1566"/>
      <c r="I606" s="1566"/>
    </row>
    <row r="607" spans="1:9" x14ac:dyDescent="0.3">
      <c r="A607" s="1410"/>
      <c r="B607" s="1410"/>
      <c r="C607" s="1410"/>
      <c r="D607" s="1566"/>
      <c r="E607" s="1566"/>
      <c r="F607" s="1566"/>
      <c r="G607" s="1566"/>
      <c r="H607" s="1566"/>
      <c r="I607" s="1566"/>
    </row>
    <row r="608" spans="1:9" x14ac:dyDescent="0.3">
      <c r="A608" s="1410"/>
      <c r="B608" s="1410"/>
      <c r="C608" s="1410"/>
      <c r="D608" s="1566"/>
      <c r="E608" s="1566"/>
      <c r="F608" s="1566"/>
      <c r="G608" s="1566"/>
      <c r="H608" s="1566"/>
      <c r="I608" s="1566"/>
    </row>
    <row r="609" spans="1:9" x14ac:dyDescent="0.3">
      <c r="A609" s="1410"/>
      <c r="B609" s="1410"/>
      <c r="C609" s="1410"/>
      <c r="D609" s="1566"/>
      <c r="E609" s="1566"/>
      <c r="F609" s="1566"/>
      <c r="G609" s="1566"/>
      <c r="H609" s="1566"/>
      <c r="I609" s="1566"/>
    </row>
    <row r="610" spans="1:9" x14ac:dyDescent="0.3">
      <c r="A610" s="1410"/>
      <c r="B610" s="1410"/>
      <c r="C610" s="1410"/>
      <c r="D610" s="1566"/>
      <c r="E610" s="1566"/>
      <c r="F610" s="1566"/>
      <c r="G610" s="1566"/>
      <c r="H610" s="1566"/>
      <c r="I610" s="1566"/>
    </row>
    <row r="611" spans="1:9" x14ac:dyDescent="0.3">
      <c r="A611" s="1410"/>
      <c r="B611" s="1410"/>
      <c r="C611" s="1410"/>
      <c r="D611" s="1566"/>
      <c r="E611" s="1566"/>
      <c r="F611" s="1566"/>
      <c r="G611" s="1566"/>
      <c r="H611" s="1566"/>
      <c r="I611" s="1566"/>
    </row>
    <row r="612" spans="1:9" x14ac:dyDescent="0.3">
      <c r="A612" s="1410"/>
      <c r="B612" s="1410"/>
      <c r="C612" s="1410"/>
      <c r="D612" s="1566"/>
      <c r="E612" s="1566"/>
      <c r="F612" s="1566"/>
      <c r="G612" s="1566"/>
      <c r="H612" s="1566"/>
      <c r="I612" s="1566"/>
    </row>
    <row r="613" spans="1:9" x14ac:dyDescent="0.3">
      <c r="A613" s="1410"/>
      <c r="B613" s="1410"/>
      <c r="C613" s="1410"/>
      <c r="D613" s="1566"/>
      <c r="E613" s="1566"/>
      <c r="F613" s="1566"/>
      <c r="G613" s="1566"/>
      <c r="H613" s="1566"/>
      <c r="I613" s="1566"/>
    </row>
    <row r="614" spans="1:9" x14ac:dyDescent="0.3">
      <c r="A614" s="1410"/>
      <c r="B614" s="1410"/>
      <c r="C614" s="1410"/>
      <c r="D614" s="1566"/>
      <c r="E614" s="1566"/>
      <c r="F614" s="1566"/>
      <c r="G614" s="1566"/>
      <c r="H614" s="1566"/>
      <c r="I614" s="1566"/>
    </row>
    <row r="615" spans="1:9" x14ac:dyDescent="0.3">
      <c r="A615" s="1410"/>
      <c r="B615" s="1410"/>
      <c r="C615" s="1410"/>
      <c r="D615" s="1566"/>
      <c r="E615" s="1566"/>
      <c r="F615" s="1566"/>
      <c r="G615" s="1566"/>
      <c r="H615" s="1566"/>
      <c r="I615" s="1566"/>
    </row>
    <row r="616" spans="1:9" x14ac:dyDescent="0.3">
      <c r="A616" s="1410"/>
      <c r="B616" s="1410"/>
      <c r="C616" s="1410"/>
      <c r="D616" s="1566"/>
      <c r="E616" s="1566"/>
      <c r="F616" s="1566"/>
      <c r="G616" s="1566"/>
      <c r="H616" s="1566"/>
      <c r="I616" s="1566"/>
    </row>
    <row r="617" spans="1:9" x14ac:dyDescent="0.3">
      <c r="A617" s="1410"/>
      <c r="B617" s="1410"/>
      <c r="C617" s="1410"/>
      <c r="D617" s="1566"/>
      <c r="E617" s="1566"/>
      <c r="F617" s="1566"/>
      <c r="G617" s="1566"/>
      <c r="H617" s="1566"/>
      <c r="I617" s="1566"/>
    </row>
    <row r="618" spans="1:9" x14ac:dyDescent="0.3">
      <c r="A618" s="1410"/>
      <c r="B618" s="1410"/>
      <c r="C618" s="1410"/>
      <c r="D618" s="1566"/>
      <c r="E618" s="1566"/>
      <c r="F618" s="1566"/>
      <c r="G618" s="1566"/>
      <c r="H618" s="1566"/>
      <c r="I618" s="1566"/>
    </row>
    <row r="619" spans="1:9" x14ac:dyDescent="0.3">
      <c r="A619" s="1410"/>
      <c r="B619" s="1410"/>
      <c r="C619" s="1410"/>
      <c r="D619" s="1566"/>
      <c r="E619" s="1566"/>
      <c r="F619" s="1566"/>
      <c r="G619" s="1566"/>
      <c r="H619" s="1566"/>
      <c r="I619" s="1566"/>
    </row>
    <row r="620" spans="1:9" x14ac:dyDescent="0.3">
      <c r="A620" s="1410"/>
      <c r="B620" s="1410"/>
      <c r="C620" s="1410"/>
      <c r="D620" s="1566"/>
      <c r="E620" s="1566"/>
      <c r="F620" s="1566"/>
      <c r="G620" s="1566"/>
      <c r="H620" s="1566"/>
      <c r="I620" s="1566"/>
    </row>
    <row r="621" spans="1:9" x14ac:dyDescent="0.3">
      <c r="A621" s="1410"/>
      <c r="B621" s="1410"/>
      <c r="C621" s="1410"/>
      <c r="D621" s="1566"/>
      <c r="E621" s="1566"/>
      <c r="F621" s="1566"/>
      <c r="G621" s="1566"/>
      <c r="H621" s="1566"/>
      <c r="I621" s="1566"/>
    </row>
    <row r="622" spans="1:9" x14ac:dyDescent="0.3">
      <c r="A622" s="1410"/>
      <c r="B622" s="1410"/>
      <c r="C622" s="1410"/>
      <c r="D622" s="1566"/>
      <c r="E622" s="1566"/>
      <c r="F622" s="1566"/>
      <c r="G622" s="1566"/>
      <c r="H622" s="1566"/>
      <c r="I622" s="1566"/>
    </row>
    <row r="623" spans="1:9" x14ac:dyDescent="0.3">
      <c r="A623" s="1410"/>
      <c r="B623" s="1410"/>
      <c r="C623" s="1410"/>
      <c r="D623" s="1566"/>
      <c r="E623" s="1566"/>
      <c r="F623" s="1566"/>
      <c r="G623" s="1566"/>
      <c r="H623" s="1566"/>
      <c r="I623" s="1566"/>
    </row>
    <row r="624" spans="1:9" x14ac:dyDescent="0.3">
      <c r="A624" s="1410"/>
      <c r="B624" s="1410"/>
      <c r="C624" s="1410"/>
      <c r="D624" s="1566"/>
      <c r="E624" s="1566"/>
      <c r="F624" s="1566"/>
      <c r="G624" s="1566"/>
      <c r="H624" s="1566"/>
      <c r="I624" s="1566"/>
    </row>
    <row r="625" spans="1:9" x14ac:dyDescent="0.3">
      <c r="A625" s="1410"/>
      <c r="B625" s="1410"/>
      <c r="C625" s="1410"/>
      <c r="D625" s="1566"/>
      <c r="E625" s="1566"/>
      <c r="F625" s="1566"/>
      <c r="G625" s="1566"/>
      <c r="H625" s="1566"/>
      <c r="I625" s="1566"/>
    </row>
    <row r="626" spans="1:9" x14ac:dyDescent="0.3">
      <c r="A626" s="1410"/>
      <c r="B626" s="1410"/>
      <c r="C626" s="1410"/>
      <c r="D626" s="1566"/>
      <c r="E626" s="1566"/>
      <c r="F626" s="1566"/>
      <c r="G626" s="1566"/>
      <c r="H626" s="1566"/>
      <c r="I626" s="1566"/>
    </row>
    <row r="627" spans="1:9" x14ac:dyDescent="0.3">
      <c r="A627" s="1410"/>
      <c r="B627" s="1410"/>
      <c r="C627" s="1410"/>
      <c r="D627" s="1566"/>
      <c r="E627" s="1566"/>
      <c r="F627" s="1566"/>
      <c r="G627" s="1566"/>
      <c r="H627" s="1566"/>
      <c r="I627" s="1566"/>
    </row>
    <row r="628" spans="1:9" x14ac:dyDescent="0.3">
      <c r="A628" s="1410"/>
      <c r="B628" s="1410"/>
      <c r="C628" s="1410"/>
      <c r="D628" s="1566"/>
      <c r="E628" s="1566"/>
      <c r="F628" s="1566"/>
      <c r="G628" s="1566"/>
      <c r="H628" s="1566"/>
      <c r="I628" s="1566"/>
    </row>
    <row r="629" spans="1:9" x14ac:dyDescent="0.3">
      <c r="A629" s="1410"/>
      <c r="B629" s="1410"/>
      <c r="C629" s="1410"/>
      <c r="D629" s="1566"/>
      <c r="E629" s="1566"/>
      <c r="F629" s="1566"/>
      <c r="G629" s="1566"/>
      <c r="H629" s="1566"/>
      <c r="I629" s="1566"/>
    </row>
    <row r="630" spans="1:9" x14ac:dyDescent="0.3">
      <c r="A630" s="1410"/>
      <c r="B630" s="1410"/>
      <c r="C630" s="1410"/>
      <c r="D630" s="1566"/>
      <c r="E630" s="1566"/>
      <c r="F630" s="1566"/>
      <c r="G630" s="1566"/>
      <c r="H630" s="1566"/>
      <c r="I630" s="1566"/>
    </row>
    <row r="631" spans="1:9" x14ac:dyDescent="0.3">
      <c r="A631" s="1410"/>
      <c r="B631" s="1410"/>
      <c r="C631" s="1410"/>
      <c r="D631" s="1566"/>
      <c r="E631" s="1566"/>
      <c r="F631" s="1566"/>
      <c r="G631" s="1566"/>
      <c r="H631" s="1566"/>
      <c r="I631" s="1566"/>
    </row>
    <row r="632" spans="1:9" x14ac:dyDescent="0.3">
      <c r="A632" s="1410"/>
      <c r="B632" s="1410"/>
      <c r="C632" s="1410"/>
      <c r="D632" s="1566"/>
      <c r="E632" s="1566"/>
      <c r="F632" s="1566"/>
      <c r="G632" s="1566"/>
      <c r="H632" s="1566"/>
      <c r="I632" s="1566"/>
    </row>
    <row r="633" spans="1:9" x14ac:dyDescent="0.3">
      <c r="A633" s="1410"/>
      <c r="B633" s="1410"/>
      <c r="C633" s="1410"/>
      <c r="D633" s="1566"/>
      <c r="E633" s="1566"/>
      <c r="F633" s="1566"/>
      <c r="G633" s="1566"/>
      <c r="H633" s="1566"/>
      <c r="I633" s="1566"/>
    </row>
    <row r="634" spans="1:9" x14ac:dyDescent="0.3">
      <c r="A634" s="1410"/>
      <c r="B634" s="1410"/>
      <c r="C634" s="1410"/>
      <c r="D634" s="1566"/>
      <c r="E634" s="1566"/>
      <c r="F634" s="1566"/>
      <c r="G634" s="1566"/>
      <c r="H634" s="1566"/>
      <c r="I634" s="1566"/>
    </row>
    <row r="635" spans="1:9" x14ac:dyDescent="0.3">
      <c r="A635" s="1410"/>
      <c r="B635" s="1410"/>
      <c r="C635" s="1410"/>
      <c r="D635" s="1566"/>
      <c r="E635" s="1566"/>
      <c r="F635" s="1566"/>
      <c r="G635" s="1566"/>
      <c r="H635" s="1566"/>
      <c r="I635" s="1566"/>
    </row>
    <row r="636" spans="1:9" x14ac:dyDescent="0.3">
      <c r="A636" s="1410"/>
      <c r="B636" s="1410"/>
      <c r="C636" s="1410"/>
      <c r="D636" s="1566"/>
      <c r="E636" s="1566"/>
      <c r="F636" s="1566"/>
      <c r="G636" s="1566"/>
      <c r="H636" s="1566"/>
      <c r="I636" s="1566"/>
    </row>
    <row r="637" spans="1:9" x14ac:dyDescent="0.3">
      <c r="A637" s="1410"/>
      <c r="B637" s="1410"/>
      <c r="C637" s="1410"/>
      <c r="D637" s="1566"/>
      <c r="E637" s="1566"/>
      <c r="F637" s="1566"/>
      <c r="G637" s="1566"/>
      <c r="H637" s="1566"/>
      <c r="I637" s="1566"/>
    </row>
    <row r="638" spans="1:9" x14ac:dyDescent="0.3">
      <c r="A638" s="1410"/>
      <c r="B638" s="1410"/>
      <c r="C638" s="1410"/>
      <c r="D638" s="1566"/>
      <c r="E638" s="1566"/>
      <c r="F638" s="1566"/>
      <c r="G638" s="1566"/>
      <c r="H638" s="1566"/>
      <c r="I638" s="1566"/>
    </row>
    <row r="639" spans="1:9" x14ac:dyDescent="0.3">
      <c r="A639" s="1410"/>
      <c r="B639" s="1410"/>
      <c r="C639" s="1410"/>
      <c r="D639" s="1566"/>
      <c r="E639" s="1566"/>
      <c r="F639" s="1566"/>
      <c r="G639" s="1566"/>
      <c r="H639" s="1566"/>
      <c r="I639" s="1566"/>
    </row>
    <row r="640" spans="1:9" x14ac:dyDescent="0.3">
      <c r="A640" s="1410"/>
      <c r="B640" s="1410"/>
      <c r="C640" s="1410"/>
      <c r="D640" s="1566"/>
      <c r="E640" s="1566"/>
      <c r="F640" s="1566"/>
      <c r="G640" s="1566"/>
      <c r="H640" s="1566"/>
      <c r="I640" s="1566"/>
    </row>
    <row r="641" spans="1:9" x14ac:dyDescent="0.3">
      <c r="A641" s="1410"/>
      <c r="B641" s="1410"/>
      <c r="C641" s="1410"/>
      <c r="D641" s="1566"/>
      <c r="E641" s="1566"/>
      <c r="F641" s="1566"/>
      <c r="G641" s="1566"/>
      <c r="H641" s="1566"/>
      <c r="I641" s="1566"/>
    </row>
    <row r="642" spans="1:9" x14ac:dyDescent="0.3">
      <c r="A642" s="1410"/>
      <c r="B642" s="1410"/>
      <c r="C642" s="1410"/>
      <c r="D642" s="1566"/>
      <c r="E642" s="1566"/>
      <c r="F642" s="1566"/>
      <c r="G642" s="1566"/>
      <c r="H642" s="1566"/>
      <c r="I642" s="1566"/>
    </row>
    <row r="643" spans="1:9" x14ac:dyDescent="0.3">
      <c r="A643" s="1410"/>
      <c r="B643" s="1410"/>
      <c r="C643" s="1410"/>
      <c r="D643" s="1566"/>
      <c r="E643" s="1566"/>
      <c r="F643" s="1566"/>
      <c r="G643" s="1566"/>
      <c r="H643" s="1566"/>
      <c r="I643" s="1566"/>
    </row>
    <row r="644" spans="1:9" x14ac:dyDescent="0.3">
      <c r="A644" s="1410"/>
      <c r="B644" s="1410"/>
      <c r="C644" s="1410"/>
      <c r="D644" s="1566"/>
      <c r="E644" s="1566"/>
      <c r="F644" s="1566"/>
      <c r="G644" s="1566"/>
      <c r="H644" s="1566"/>
      <c r="I644" s="1566"/>
    </row>
    <row r="645" spans="1:9" x14ac:dyDescent="0.3">
      <c r="A645" s="1410"/>
      <c r="B645" s="1410"/>
      <c r="C645" s="1410"/>
      <c r="D645" s="1566"/>
      <c r="E645" s="1566"/>
      <c r="F645" s="1566"/>
      <c r="G645" s="1566"/>
      <c r="H645" s="1566"/>
      <c r="I645" s="1566"/>
    </row>
    <row r="646" spans="1:9" x14ac:dyDescent="0.3">
      <c r="A646" s="1410"/>
      <c r="B646" s="1410"/>
      <c r="C646" s="1410"/>
      <c r="D646" s="1566"/>
      <c r="E646" s="1566"/>
      <c r="F646" s="1566"/>
      <c r="G646" s="1566"/>
      <c r="H646" s="1566"/>
      <c r="I646" s="1566"/>
    </row>
    <row r="647" spans="1:9" x14ac:dyDescent="0.3">
      <c r="A647" s="1410"/>
      <c r="B647" s="1410"/>
      <c r="C647" s="1410"/>
      <c r="D647" s="1566"/>
      <c r="E647" s="1566"/>
      <c r="F647" s="1566"/>
      <c r="G647" s="1566"/>
      <c r="H647" s="1566"/>
      <c r="I647" s="1566"/>
    </row>
    <row r="648" spans="1:9" x14ac:dyDescent="0.3">
      <c r="A648" s="1410"/>
      <c r="B648" s="1410"/>
      <c r="C648" s="1410"/>
      <c r="D648" s="1566"/>
      <c r="E648" s="1566"/>
      <c r="F648" s="1566"/>
      <c r="G648" s="1566"/>
      <c r="H648" s="1566"/>
      <c r="I648" s="1566"/>
    </row>
    <row r="649" spans="1:9" x14ac:dyDescent="0.3">
      <c r="A649" s="1410"/>
      <c r="B649" s="1410"/>
      <c r="C649" s="1410"/>
      <c r="D649" s="1566"/>
      <c r="E649" s="1566"/>
      <c r="F649" s="1566"/>
      <c r="G649" s="1566"/>
      <c r="H649" s="1566"/>
      <c r="I649" s="1566"/>
    </row>
    <row r="650" spans="1:9" x14ac:dyDescent="0.3">
      <c r="A650" s="1410"/>
      <c r="B650" s="1410"/>
      <c r="C650" s="1410"/>
      <c r="D650" s="1566"/>
      <c r="E650" s="1566"/>
      <c r="F650" s="1566"/>
      <c r="G650" s="1566"/>
      <c r="H650" s="1566"/>
      <c r="I650" s="1566"/>
    </row>
    <row r="651" spans="1:9" x14ac:dyDescent="0.3">
      <c r="A651" s="1410"/>
      <c r="B651" s="1410"/>
      <c r="C651" s="1410"/>
      <c r="D651" s="1566"/>
      <c r="E651" s="1566"/>
      <c r="F651" s="1566"/>
      <c r="G651" s="1566"/>
      <c r="H651" s="1566"/>
      <c r="I651" s="1566"/>
    </row>
    <row r="652" spans="1:9" x14ac:dyDescent="0.3">
      <c r="A652" s="1410"/>
      <c r="B652" s="1410"/>
      <c r="C652" s="1410"/>
      <c r="D652" s="1566"/>
      <c r="E652" s="1566"/>
      <c r="F652" s="1566"/>
      <c r="G652" s="1566"/>
      <c r="H652" s="1566"/>
      <c r="I652" s="1566"/>
    </row>
    <row r="653" spans="1:9" x14ac:dyDescent="0.3">
      <c r="A653" s="1410"/>
      <c r="B653" s="1410"/>
      <c r="C653" s="1410"/>
      <c r="D653" s="1566"/>
      <c r="E653" s="1566"/>
      <c r="F653" s="1566"/>
      <c r="G653" s="1566"/>
      <c r="H653" s="1566"/>
      <c r="I653" s="1566"/>
    </row>
    <row r="654" spans="1:9" x14ac:dyDescent="0.3">
      <c r="A654" s="1410"/>
      <c r="B654" s="1410"/>
      <c r="C654" s="1410"/>
      <c r="D654" s="1566"/>
      <c r="E654" s="1566"/>
      <c r="F654" s="1566"/>
      <c r="G654" s="1566"/>
      <c r="H654" s="1566"/>
      <c r="I654" s="1566"/>
    </row>
    <row r="655" spans="1:9" x14ac:dyDescent="0.3">
      <c r="A655" s="1410"/>
      <c r="B655" s="1410"/>
      <c r="C655" s="1410"/>
      <c r="D655" s="1566"/>
      <c r="E655" s="1566"/>
      <c r="F655" s="1566"/>
      <c r="G655" s="1566"/>
      <c r="H655" s="1566"/>
      <c r="I655" s="1566"/>
    </row>
    <row r="656" spans="1:9" x14ac:dyDescent="0.3">
      <c r="A656" s="1410"/>
      <c r="B656" s="1410"/>
      <c r="C656" s="1410"/>
      <c r="D656" s="1566"/>
      <c r="E656" s="1566"/>
      <c r="F656" s="1566"/>
      <c r="G656" s="1566"/>
      <c r="H656" s="1566"/>
      <c r="I656" s="1566"/>
    </row>
    <row r="657" spans="1:9" x14ac:dyDescent="0.3">
      <c r="A657" s="1410"/>
      <c r="B657" s="1410"/>
      <c r="C657" s="1410"/>
      <c r="D657" s="1566"/>
      <c r="E657" s="1566"/>
      <c r="F657" s="1566"/>
      <c r="G657" s="1566"/>
      <c r="H657" s="1566"/>
      <c r="I657" s="1566"/>
    </row>
    <row r="658" spans="1:9" x14ac:dyDescent="0.3">
      <c r="A658" s="1410"/>
      <c r="B658" s="1410"/>
      <c r="C658" s="1410"/>
      <c r="D658" s="1566"/>
      <c r="E658" s="1566"/>
      <c r="F658" s="1566"/>
      <c r="G658" s="1566"/>
      <c r="H658" s="1566"/>
      <c r="I658" s="1566"/>
    </row>
    <row r="659" spans="1:9" x14ac:dyDescent="0.3">
      <c r="A659" s="1410"/>
      <c r="B659" s="1410"/>
      <c r="C659" s="1410"/>
      <c r="D659" s="1566"/>
      <c r="E659" s="1566"/>
      <c r="F659" s="1566"/>
      <c r="G659" s="1566"/>
      <c r="H659" s="1566"/>
      <c r="I659" s="1566"/>
    </row>
    <row r="660" spans="1:9" x14ac:dyDescent="0.3">
      <c r="A660" s="1410"/>
      <c r="B660" s="1410"/>
      <c r="C660" s="1410"/>
      <c r="D660" s="1566"/>
      <c r="E660" s="1566"/>
      <c r="F660" s="1566"/>
      <c r="G660" s="1566"/>
      <c r="H660" s="1566"/>
      <c r="I660" s="1566"/>
    </row>
    <row r="661" spans="1:9" x14ac:dyDescent="0.3">
      <c r="A661" s="1410"/>
      <c r="B661" s="1410"/>
      <c r="C661" s="1410"/>
      <c r="D661" s="1566"/>
      <c r="E661" s="1566"/>
      <c r="F661" s="1566"/>
      <c r="G661" s="1566"/>
      <c r="H661" s="1566"/>
      <c r="I661" s="1566"/>
    </row>
    <row r="662" spans="1:9" x14ac:dyDescent="0.3">
      <c r="A662" s="1410"/>
      <c r="B662" s="1410"/>
      <c r="C662" s="1410"/>
      <c r="D662" s="1566"/>
      <c r="E662" s="1566"/>
      <c r="F662" s="1566"/>
      <c r="G662" s="1566"/>
      <c r="H662" s="1566"/>
      <c r="I662" s="1566"/>
    </row>
    <row r="663" spans="1:9" x14ac:dyDescent="0.3">
      <c r="A663" s="1410"/>
      <c r="B663" s="1410"/>
      <c r="C663" s="1410"/>
      <c r="D663" s="1566"/>
      <c r="E663" s="1566"/>
      <c r="F663" s="1566"/>
      <c r="G663" s="1566"/>
      <c r="H663" s="1566"/>
      <c r="I663" s="1566"/>
    </row>
    <row r="664" spans="1:9" x14ac:dyDescent="0.3">
      <c r="A664" s="1410"/>
      <c r="B664" s="1410"/>
      <c r="C664" s="1410"/>
      <c r="D664" s="1566"/>
      <c r="E664" s="1566"/>
      <c r="F664" s="1566"/>
      <c r="G664" s="1566"/>
      <c r="H664" s="1566"/>
      <c r="I664" s="1566"/>
    </row>
    <row r="665" spans="1:9" x14ac:dyDescent="0.3">
      <c r="A665" s="1410"/>
      <c r="B665" s="1410"/>
      <c r="C665" s="1410"/>
      <c r="D665" s="1566"/>
      <c r="E665" s="1566"/>
      <c r="F665" s="1566"/>
      <c r="G665" s="1566"/>
      <c r="H665" s="1566"/>
      <c r="I665" s="1566"/>
    </row>
    <row r="666" spans="1:9" x14ac:dyDescent="0.3">
      <c r="A666" s="1410"/>
      <c r="B666" s="1410"/>
      <c r="C666" s="1410"/>
      <c r="D666" s="1566"/>
      <c r="E666" s="1566"/>
      <c r="F666" s="1566"/>
      <c r="G666" s="1566"/>
      <c r="H666" s="1566"/>
      <c r="I666" s="1566"/>
    </row>
    <row r="667" spans="1:9" x14ac:dyDescent="0.3">
      <c r="A667" s="1410"/>
      <c r="B667" s="1410"/>
      <c r="C667" s="1410"/>
      <c r="D667" s="1566"/>
      <c r="E667" s="1566"/>
      <c r="F667" s="1566"/>
      <c r="G667" s="1566"/>
      <c r="H667" s="1566"/>
      <c r="I667" s="1566"/>
    </row>
    <row r="668" spans="1:9" x14ac:dyDescent="0.3">
      <c r="A668" s="1410"/>
      <c r="B668" s="1410"/>
      <c r="C668" s="1410"/>
      <c r="D668" s="1566"/>
      <c r="E668" s="1566"/>
      <c r="F668" s="1566"/>
      <c r="G668" s="1566"/>
      <c r="H668" s="1566"/>
      <c r="I668" s="1566"/>
    </row>
    <row r="669" spans="1:9" x14ac:dyDescent="0.3">
      <c r="A669" s="1410"/>
      <c r="B669" s="1410"/>
      <c r="C669" s="1410"/>
      <c r="D669" s="1566"/>
      <c r="E669" s="1566"/>
      <c r="F669" s="1566"/>
      <c r="G669" s="1566"/>
      <c r="H669" s="1566"/>
      <c r="I669" s="1566"/>
    </row>
    <row r="670" spans="1:9" x14ac:dyDescent="0.3">
      <c r="A670" s="1410"/>
      <c r="B670" s="1410"/>
      <c r="C670" s="1410"/>
      <c r="D670" s="1566"/>
      <c r="E670" s="1566"/>
      <c r="F670" s="1566"/>
      <c r="G670" s="1566"/>
      <c r="H670" s="1566"/>
      <c r="I670" s="1566"/>
    </row>
    <row r="671" spans="1:9" x14ac:dyDescent="0.3">
      <c r="A671" s="1410"/>
      <c r="B671" s="1410"/>
      <c r="C671" s="1410"/>
      <c r="D671" s="1566"/>
      <c r="E671" s="1566"/>
      <c r="F671" s="1566"/>
      <c r="G671" s="1566"/>
      <c r="H671" s="1566"/>
      <c r="I671" s="1566"/>
    </row>
    <row r="672" spans="1:9" x14ac:dyDescent="0.3">
      <c r="A672" s="1410"/>
      <c r="B672" s="1410"/>
      <c r="C672" s="1410"/>
      <c r="D672" s="1566"/>
      <c r="E672" s="1566"/>
      <c r="F672" s="1566"/>
      <c r="G672" s="1566"/>
      <c r="H672" s="1566"/>
      <c r="I672" s="1566"/>
    </row>
    <row r="673" spans="1:9" x14ac:dyDescent="0.3">
      <c r="A673" s="1410"/>
      <c r="B673" s="1410"/>
      <c r="C673" s="1410"/>
      <c r="D673" s="1566"/>
      <c r="E673" s="1566"/>
      <c r="F673" s="1566"/>
      <c r="G673" s="1566"/>
      <c r="H673" s="1566"/>
      <c r="I673" s="1566"/>
    </row>
    <row r="674" spans="1:9" x14ac:dyDescent="0.3">
      <c r="A674" s="1410"/>
      <c r="B674" s="1410"/>
      <c r="C674" s="1410"/>
      <c r="D674" s="1566"/>
      <c r="E674" s="1566"/>
      <c r="F674" s="1566"/>
      <c r="G674" s="1566"/>
      <c r="H674" s="1566"/>
      <c r="I674" s="1566"/>
    </row>
    <row r="675" spans="1:9" x14ac:dyDescent="0.3">
      <c r="A675" s="1410"/>
      <c r="B675" s="1410"/>
      <c r="C675" s="1410"/>
      <c r="D675" s="1566"/>
      <c r="E675" s="1566"/>
      <c r="F675" s="1566"/>
      <c r="G675" s="1566"/>
      <c r="H675" s="1566"/>
      <c r="I675" s="1566"/>
    </row>
    <row r="676" spans="1:9" x14ac:dyDescent="0.3">
      <c r="A676" s="1410"/>
      <c r="B676" s="1410"/>
      <c r="C676" s="1410"/>
      <c r="D676" s="1566"/>
      <c r="E676" s="1566"/>
      <c r="F676" s="1566"/>
      <c r="G676" s="1566"/>
      <c r="H676" s="1566"/>
      <c r="I676" s="1566"/>
    </row>
    <row r="677" spans="1:9" x14ac:dyDescent="0.3">
      <c r="A677" s="1410"/>
      <c r="B677" s="1410"/>
      <c r="C677" s="1410"/>
      <c r="D677" s="1566"/>
      <c r="E677" s="1566"/>
      <c r="F677" s="1566"/>
      <c r="G677" s="1566"/>
      <c r="H677" s="1566"/>
      <c r="I677" s="1566"/>
    </row>
    <row r="678" spans="1:9" x14ac:dyDescent="0.3">
      <c r="A678" s="1410"/>
      <c r="B678" s="1410"/>
      <c r="C678" s="1410"/>
      <c r="D678" s="1566"/>
      <c r="E678" s="1566"/>
      <c r="F678" s="1566"/>
      <c r="G678" s="1566"/>
      <c r="H678" s="1566"/>
      <c r="I678" s="1566"/>
    </row>
    <row r="679" spans="1:9" x14ac:dyDescent="0.3">
      <c r="A679" s="1410"/>
      <c r="B679" s="1410"/>
      <c r="C679" s="1410"/>
      <c r="D679" s="1566"/>
      <c r="E679" s="1566"/>
      <c r="F679" s="1566"/>
      <c r="G679" s="1566"/>
      <c r="H679" s="1566"/>
      <c r="I679" s="1566"/>
    </row>
    <row r="680" spans="1:9" x14ac:dyDescent="0.3">
      <c r="A680" s="1410"/>
      <c r="B680" s="1410"/>
      <c r="C680" s="1410"/>
      <c r="D680" s="1566"/>
      <c r="E680" s="1566"/>
      <c r="F680" s="1566"/>
      <c r="G680" s="1566"/>
      <c r="H680" s="1566"/>
      <c r="I680" s="1566"/>
    </row>
    <row r="681" spans="1:9" x14ac:dyDescent="0.3">
      <c r="A681" s="1410"/>
      <c r="B681" s="1410"/>
      <c r="C681" s="1410"/>
      <c r="D681" s="1566"/>
      <c r="E681" s="1566"/>
      <c r="F681" s="1566"/>
      <c r="G681" s="1566"/>
      <c r="H681" s="1566"/>
      <c r="I681" s="1566"/>
    </row>
    <row r="682" spans="1:9" x14ac:dyDescent="0.3">
      <c r="A682" s="1410"/>
      <c r="B682" s="1410"/>
      <c r="C682" s="1410"/>
      <c r="D682" s="1566"/>
      <c r="E682" s="1566"/>
      <c r="F682" s="1566"/>
      <c r="G682" s="1566"/>
      <c r="H682" s="1566"/>
      <c r="I682" s="1566"/>
    </row>
    <row r="683" spans="1:9" x14ac:dyDescent="0.3">
      <c r="A683" s="1410"/>
      <c r="B683" s="1410"/>
      <c r="C683" s="1410"/>
      <c r="D683" s="1566"/>
      <c r="E683" s="1566"/>
      <c r="F683" s="1566"/>
      <c r="G683" s="1566"/>
      <c r="H683" s="1566"/>
      <c r="I683" s="1566"/>
    </row>
    <row r="684" spans="1:9" x14ac:dyDescent="0.3">
      <c r="A684" s="1410"/>
      <c r="B684" s="1410"/>
      <c r="C684" s="1410"/>
      <c r="D684" s="1566"/>
      <c r="E684" s="1566"/>
      <c r="F684" s="1566"/>
      <c r="G684" s="1566"/>
      <c r="H684" s="1566"/>
      <c r="I684" s="1566"/>
    </row>
    <row r="685" spans="1:9" x14ac:dyDescent="0.3">
      <c r="A685" s="1410"/>
      <c r="B685" s="1410"/>
      <c r="C685" s="1410"/>
      <c r="D685" s="1566"/>
      <c r="E685" s="1566"/>
      <c r="F685" s="1566"/>
      <c r="G685" s="1566"/>
      <c r="H685" s="1566"/>
      <c r="I685" s="1566"/>
    </row>
    <row r="686" spans="1:9" x14ac:dyDescent="0.3">
      <c r="A686" s="1410"/>
      <c r="B686" s="1410"/>
      <c r="C686" s="1410"/>
      <c r="D686" s="1566"/>
      <c r="E686" s="1566"/>
      <c r="F686" s="1566"/>
      <c r="G686" s="1566"/>
      <c r="H686" s="1566"/>
      <c r="I686" s="1566"/>
    </row>
    <row r="687" spans="1:9" x14ac:dyDescent="0.3">
      <c r="A687" s="1410"/>
      <c r="B687" s="1410"/>
      <c r="C687" s="1410"/>
      <c r="D687" s="1566"/>
      <c r="E687" s="1566"/>
      <c r="F687" s="1566"/>
      <c r="G687" s="1566"/>
      <c r="H687" s="1566"/>
      <c r="I687" s="1566"/>
    </row>
    <row r="688" spans="1:9" x14ac:dyDescent="0.3">
      <c r="A688" s="1410"/>
      <c r="B688" s="1410"/>
      <c r="C688" s="1410"/>
      <c r="D688" s="1566"/>
      <c r="E688" s="1566"/>
      <c r="F688" s="1566"/>
      <c r="G688" s="1566"/>
      <c r="H688" s="1566"/>
      <c r="I688" s="1566"/>
    </row>
    <row r="689" spans="1:9" x14ac:dyDescent="0.3">
      <c r="A689" s="1410"/>
      <c r="B689" s="1410"/>
      <c r="C689" s="1410"/>
      <c r="D689" s="1566"/>
      <c r="E689" s="1566"/>
      <c r="F689" s="1566"/>
      <c r="G689" s="1566"/>
      <c r="H689" s="1566"/>
      <c r="I689" s="1566"/>
    </row>
    <row r="690" spans="1:9" x14ac:dyDescent="0.3">
      <c r="A690" s="1410"/>
      <c r="B690" s="1410"/>
      <c r="C690" s="1410"/>
      <c r="D690" s="1566"/>
      <c r="E690" s="1566"/>
      <c r="F690" s="1566"/>
      <c r="G690" s="1566"/>
      <c r="H690" s="1566"/>
      <c r="I690" s="1566"/>
    </row>
    <row r="691" spans="1:9" x14ac:dyDescent="0.3">
      <c r="A691" s="1410"/>
      <c r="B691" s="1410"/>
      <c r="C691" s="1410"/>
      <c r="D691" s="1566"/>
      <c r="E691" s="1566"/>
      <c r="F691" s="1566"/>
      <c r="G691" s="1566"/>
      <c r="H691" s="1566"/>
      <c r="I691" s="1566"/>
    </row>
    <row r="692" spans="1:9" x14ac:dyDescent="0.3">
      <c r="A692" s="1410"/>
      <c r="B692" s="1410"/>
      <c r="C692" s="1410"/>
      <c r="D692" s="1566"/>
      <c r="E692" s="1566"/>
      <c r="F692" s="1566"/>
      <c r="G692" s="1566"/>
      <c r="H692" s="1566"/>
      <c r="I692" s="1566"/>
    </row>
    <row r="693" spans="1:9" x14ac:dyDescent="0.3">
      <c r="A693" s="1410"/>
      <c r="B693" s="1410"/>
      <c r="C693" s="1410"/>
      <c r="D693" s="1566"/>
      <c r="E693" s="1566"/>
      <c r="F693" s="1566"/>
      <c r="G693" s="1566"/>
      <c r="H693" s="1566"/>
      <c r="I693" s="1566"/>
    </row>
    <row r="694" spans="1:9" x14ac:dyDescent="0.3">
      <c r="A694" s="1410"/>
      <c r="B694" s="1410"/>
      <c r="C694" s="1410"/>
      <c r="D694" s="1566"/>
      <c r="E694" s="1566"/>
      <c r="F694" s="1566"/>
      <c r="G694" s="1566"/>
      <c r="H694" s="1566"/>
      <c r="I694" s="1566"/>
    </row>
    <row r="695" spans="1:9" x14ac:dyDescent="0.3">
      <c r="A695" s="1410"/>
      <c r="B695" s="1410"/>
      <c r="C695" s="1410"/>
      <c r="D695" s="1566"/>
      <c r="E695" s="1566"/>
      <c r="F695" s="1566"/>
      <c r="G695" s="1566"/>
      <c r="H695" s="1566"/>
      <c r="I695" s="1566"/>
    </row>
    <row r="696" spans="1:9" x14ac:dyDescent="0.3">
      <c r="A696" s="1410"/>
      <c r="B696" s="1410"/>
      <c r="C696" s="1410"/>
      <c r="D696" s="1566"/>
      <c r="E696" s="1566"/>
      <c r="F696" s="1566"/>
      <c r="G696" s="1566"/>
      <c r="H696" s="1566"/>
      <c r="I696" s="1566"/>
    </row>
    <row r="697" spans="1:9" x14ac:dyDescent="0.3">
      <c r="A697" s="1410"/>
      <c r="B697" s="1410"/>
      <c r="C697" s="1410"/>
      <c r="D697" s="1566"/>
      <c r="E697" s="1566"/>
      <c r="F697" s="1566"/>
      <c r="G697" s="1566"/>
      <c r="H697" s="1566"/>
      <c r="I697" s="1566"/>
    </row>
    <row r="698" spans="1:9" x14ac:dyDescent="0.3">
      <c r="A698" s="1410"/>
      <c r="B698" s="1410"/>
      <c r="C698" s="1410"/>
      <c r="D698" s="1566"/>
      <c r="E698" s="1566"/>
      <c r="F698" s="1566"/>
      <c r="G698" s="1566"/>
      <c r="H698" s="1566"/>
      <c r="I698" s="1566"/>
    </row>
    <row r="699" spans="1:9" x14ac:dyDescent="0.3">
      <c r="A699" s="1410"/>
      <c r="B699" s="1410"/>
      <c r="C699" s="1410"/>
      <c r="D699" s="1566"/>
      <c r="E699" s="1566"/>
      <c r="F699" s="1566"/>
      <c r="G699" s="1566"/>
      <c r="H699" s="1566"/>
      <c r="I699" s="1566"/>
    </row>
    <row r="700" spans="1:9" x14ac:dyDescent="0.3">
      <c r="A700" s="1410"/>
      <c r="B700" s="1410"/>
      <c r="C700" s="1410"/>
      <c r="D700" s="1566"/>
      <c r="E700" s="1566"/>
      <c r="F700" s="1566"/>
      <c r="G700" s="1566"/>
      <c r="H700" s="1566"/>
      <c r="I700" s="1566"/>
    </row>
    <row r="701" spans="1:9" x14ac:dyDescent="0.3">
      <c r="A701" s="1410"/>
      <c r="B701" s="1410"/>
      <c r="C701" s="1410"/>
      <c r="D701" s="1566"/>
      <c r="E701" s="1566"/>
      <c r="F701" s="1566"/>
      <c r="G701" s="1566"/>
      <c r="H701" s="1566"/>
      <c r="I701" s="1566"/>
    </row>
    <row r="702" spans="1:9" x14ac:dyDescent="0.3">
      <c r="A702" s="1410"/>
      <c r="B702" s="1410"/>
      <c r="C702" s="1410"/>
      <c r="D702" s="1566"/>
      <c r="E702" s="1566"/>
      <c r="F702" s="1566"/>
      <c r="G702" s="1566"/>
      <c r="H702" s="1566"/>
      <c r="I702" s="1566"/>
    </row>
    <row r="703" spans="1:9" x14ac:dyDescent="0.3">
      <c r="A703" s="1410"/>
      <c r="B703" s="1410"/>
      <c r="C703" s="1410"/>
      <c r="D703" s="1566"/>
      <c r="E703" s="1566"/>
      <c r="F703" s="1566"/>
      <c r="G703" s="1566"/>
      <c r="H703" s="1566"/>
      <c r="I703" s="1566"/>
    </row>
    <row r="704" spans="1:9" x14ac:dyDescent="0.3">
      <c r="A704" s="1410"/>
      <c r="B704" s="1410"/>
      <c r="C704" s="1410"/>
      <c r="D704" s="1566"/>
      <c r="E704" s="1566"/>
      <c r="F704" s="1566"/>
      <c r="G704" s="1566"/>
      <c r="H704" s="1566"/>
      <c r="I704" s="1566"/>
    </row>
    <row r="705" spans="1:9" x14ac:dyDescent="0.3">
      <c r="A705" s="1410"/>
      <c r="B705" s="1410"/>
      <c r="C705" s="1410"/>
      <c r="D705" s="1566"/>
      <c r="E705" s="1566"/>
      <c r="F705" s="1566"/>
      <c r="G705" s="1566"/>
      <c r="H705" s="1566"/>
      <c r="I705" s="1566"/>
    </row>
    <row r="706" spans="1:9" x14ac:dyDescent="0.3">
      <c r="A706" s="1410"/>
      <c r="B706" s="1410"/>
      <c r="C706" s="1410"/>
      <c r="D706" s="1566"/>
      <c r="E706" s="1566"/>
      <c r="F706" s="1566"/>
      <c r="G706" s="1566"/>
      <c r="H706" s="1566"/>
      <c r="I706" s="1566"/>
    </row>
    <row r="707" spans="1:9" x14ac:dyDescent="0.3">
      <c r="A707" s="1410"/>
      <c r="B707" s="1410"/>
      <c r="C707" s="1410"/>
      <c r="D707" s="1566"/>
      <c r="E707" s="1566"/>
      <c r="F707" s="1566"/>
      <c r="G707" s="1566"/>
      <c r="H707" s="1566"/>
      <c r="I707" s="1566"/>
    </row>
    <row r="708" spans="1:9" x14ac:dyDescent="0.3">
      <c r="A708" s="1410"/>
      <c r="B708" s="1410"/>
      <c r="C708" s="1410"/>
      <c r="D708" s="1566"/>
      <c r="E708" s="1566"/>
      <c r="F708" s="1566"/>
      <c r="G708" s="1566"/>
      <c r="H708" s="1566"/>
      <c r="I708" s="1566"/>
    </row>
    <row r="709" spans="1:9" x14ac:dyDescent="0.3">
      <c r="A709" s="1410"/>
      <c r="B709" s="1410"/>
      <c r="C709" s="1410"/>
      <c r="D709" s="1566"/>
      <c r="E709" s="1566"/>
      <c r="F709" s="1566"/>
      <c r="G709" s="1566"/>
      <c r="H709" s="1566"/>
      <c r="I709" s="1566"/>
    </row>
    <row r="710" spans="1:9" x14ac:dyDescent="0.3">
      <c r="A710" s="1410"/>
      <c r="B710" s="1410"/>
      <c r="C710" s="1410"/>
      <c r="D710" s="1566"/>
      <c r="E710" s="1566"/>
      <c r="F710" s="1566"/>
      <c r="G710" s="1566"/>
      <c r="H710" s="1566"/>
      <c r="I710" s="1566"/>
    </row>
    <row r="711" spans="1:9" x14ac:dyDescent="0.3">
      <c r="A711" s="1410"/>
      <c r="B711" s="1410"/>
      <c r="C711" s="1410"/>
      <c r="D711" s="1566"/>
      <c r="E711" s="1566"/>
      <c r="F711" s="1566"/>
      <c r="G711" s="1566"/>
      <c r="H711" s="1566"/>
      <c r="I711" s="1566"/>
    </row>
    <row r="712" spans="1:9" x14ac:dyDescent="0.3">
      <c r="A712" s="1410"/>
      <c r="B712" s="1410"/>
      <c r="C712" s="1410"/>
      <c r="D712" s="1566"/>
      <c r="E712" s="1566"/>
      <c r="F712" s="1566"/>
      <c r="G712" s="1566"/>
      <c r="H712" s="1566"/>
      <c r="I712" s="1566"/>
    </row>
    <row r="713" spans="1:9" x14ac:dyDescent="0.3">
      <c r="A713" s="1410"/>
      <c r="B713" s="1410"/>
      <c r="C713" s="1410"/>
      <c r="D713" s="1566"/>
      <c r="E713" s="1566"/>
      <c r="F713" s="1566"/>
      <c r="G713" s="1566"/>
      <c r="H713" s="1566"/>
      <c r="I713" s="1566"/>
    </row>
    <row r="714" spans="1:9" x14ac:dyDescent="0.3">
      <c r="A714" s="1410"/>
      <c r="B714" s="1410"/>
      <c r="C714" s="1410"/>
      <c r="D714" s="1566"/>
      <c r="E714" s="1566"/>
      <c r="F714" s="1566"/>
      <c r="G714" s="1566"/>
      <c r="H714" s="1566"/>
      <c r="I714" s="1566"/>
    </row>
    <row r="715" spans="1:9" x14ac:dyDescent="0.3">
      <c r="A715" s="1410"/>
      <c r="B715" s="1410"/>
      <c r="C715" s="1410"/>
      <c r="D715" s="1566"/>
      <c r="E715" s="1566"/>
      <c r="F715" s="1566"/>
      <c r="G715" s="1566"/>
      <c r="H715" s="1566"/>
      <c r="I715" s="1566"/>
    </row>
    <row r="716" spans="1:9" x14ac:dyDescent="0.3">
      <c r="A716" s="1410"/>
      <c r="B716" s="1410"/>
      <c r="C716" s="1410"/>
      <c r="D716" s="1566"/>
      <c r="E716" s="1566"/>
      <c r="F716" s="1566"/>
      <c r="G716" s="1566"/>
      <c r="H716" s="1566"/>
      <c r="I716" s="1566"/>
    </row>
    <row r="717" spans="1:9" x14ac:dyDescent="0.3">
      <c r="A717" s="1410"/>
      <c r="B717" s="1410"/>
      <c r="C717" s="1410"/>
      <c r="D717" s="1566"/>
      <c r="E717" s="1566"/>
      <c r="F717" s="1566"/>
      <c r="G717" s="1566"/>
      <c r="H717" s="1566"/>
      <c r="I717" s="1566"/>
    </row>
    <row r="718" spans="1:9" x14ac:dyDescent="0.3">
      <c r="A718" s="1410"/>
      <c r="B718" s="1410"/>
      <c r="C718" s="1410"/>
      <c r="D718" s="1566"/>
      <c r="E718" s="1566"/>
      <c r="F718" s="1566"/>
      <c r="G718" s="1566"/>
      <c r="H718" s="1566"/>
      <c r="I718" s="1566"/>
    </row>
    <row r="719" spans="1:9" x14ac:dyDescent="0.3">
      <c r="A719" s="1410"/>
      <c r="B719" s="1410"/>
      <c r="C719" s="1410"/>
      <c r="D719" s="1566"/>
      <c r="E719" s="1566"/>
      <c r="F719" s="1566"/>
      <c r="G719" s="1566"/>
      <c r="H719" s="1566"/>
      <c r="I719" s="1566"/>
    </row>
    <row r="720" spans="1:9" x14ac:dyDescent="0.3">
      <c r="A720" s="1410"/>
      <c r="B720" s="1410"/>
      <c r="C720" s="1410"/>
      <c r="D720" s="1566"/>
      <c r="E720" s="1566"/>
      <c r="F720" s="1566"/>
      <c r="G720" s="1566"/>
      <c r="H720" s="1566"/>
      <c r="I720" s="1566"/>
    </row>
    <row r="721" spans="1:9" x14ac:dyDescent="0.3">
      <c r="A721" s="1410"/>
      <c r="B721" s="1410"/>
      <c r="C721" s="1410"/>
      <c r="D721" s="1566"/>
      <c r="E721" s="1566"/>
      <c r="F721" s="1566"/>
      <c r="G721" s="1566"/>
      <c r="H721" s="1566"/>
      <c r="I721" s="1566"/>
    </row>
    <row r="722" spans="1:9" x14ac:dyDescent="0.3">
      <c r="A722" s="1410"/>
      <c r="B722" s="1410"/>
      <c r="C722" s="1410"/>
      <c r="D722" s="1566"/>
      <c r="E722" s="1566"/>
      <c r="F722" s="1566"/>
      <c r="G722" s="1566"/>
      <c r="H722" s="1566"/>
      <c r="I722" s="1566"/>
    </row>
    <row r="723" spans="1:9" x14ac:dyDescent="0.3">
      <c r="A723" s="1410"/>
      <c r="B723" s="1410"/>
      <c r="C723" s="1410"/>
      <c r="D723" s="1566"/>
      <c r="E723" s="1566"/>
      <c r="F723" s="1566"/>
      <c r="G723" s="1566"/>
      <c r="H723" s="1566"/>
      <c r="I723" s="1566"/>
    </row>
    <row r="724" spans="1:9" x14ac:dyDescent="0.3">
      <c r="A724" s="1410"/>
      <c r="B724" s="1410"/>
      <c r="C724" s="1410"/>
      <c r="D724" s="1566"/>
      <c r="E724" s="1566"/>
      <c r="F724" s="1566"/>
      <c r="G724" s="1566"/>
      <c r="H724" s="1566"/>
      <c r="I724" s="1566"/>
    </row>
    <row r="725" spans="1:9" x14ac:dyDescent="0.3">
      <c r="A725" s="1410"/>
      <c r="B725" s="1410"/>
      <c r="C725" s="1410"/>
      <c r="D725" s="1566"/>
      <c r="E725" s="1566"/>
      <c r="F725" s="1566"/>
      <c r="G725" s="1566"/>
      <c r="H725" s="1566"/>
      <c r="I725" s="1566"/>
    </row>
    <row r="726" spans="1:9" x14ac:dyDescent="0.3">
      <c r="A726" s="1410"/>
      <c r="B726" s="1410"/>
      <c r="C726" s="1410"/>
      <c r="D726" s="1566"/>
      <c r="E726" s="1566"/>
      <c r="F726" s="1566"/>
      <c r="G726" s="1566"/>
      <c r="H726" s="1566"/>
      <c r="I726" s="1566"/>
    </row>
    <row r="727" spans="1:9" x14ac:dyDescent="0.3">
      <c r="A727" s="1410"/>
      <c r="B727" s="1410"/>
      <c r="C727" s="1410"/>
      <c r="D727" s="1566"/>
      <c r="E727" s="1566"/>
      <c r="F727" s="1566"/>
      <c r="G727" s="1566"/>
      <c r="H727" s="1566"/>
      <c r="I727" s="1566"/>
    </row>
    <row r="728" spans="1:9" x14ac:dyDescent="0.3">
      <c r="A728" s="1410"/>
      <c r="B728" s="1410"/>
      <c r="C728" s="1410"/>
      <c r="D728" s="1566"/>
      <c r="E728" s="1566"/>
      <c r="F728" s="1566"/>
      <c r="G728" s="1566"/>
      <c r="H728" s="1566"/>
      <c r="I728" s="1566"/>
    </row>
    <row r="729" spans="1:9" x14ac:dyDescent="0.3">
      <c r="A729" s="1410"/>
      <c r="B729" s="1410"/>
      <c r="C729" s="1410"/>
      <c r="D729" s="1566"/>
      <c r="E729" s="1566"/>
      <c r="F729" s="1566"/>
      <c r="G729" s="1566"/>
      <c r="H729" s="1566"/>
      <c r="I729" s="1566"/>
    </row>
    <row r="730" spans="1:9" x14ac:dyDescent="0.3">
      <c r="A730" s="1410"/>
      <c r="B730" s="1410"/>
      <c r="C730" s="1410"/>
      <c r="D730" s="1566"/>
      <c r="E730" s="1566"/>
      <c r="F730" s="1566"/>
      <c r="G730" s="1566"/>
      <c r="H730" s="1566"/>
      <c r="I730" s="1566"/>
    </row>
    <row r="731" spans="1:9" x14ac:dyDescent="0.3">
      <c r="A731" s="1410"/>
      <c r="B731" s="1410"/>
      <c r="C731" s="1410"/>
      <c r="D731" s="1566"/>
      <c r="E731" s="1566"/>
      <c r="F731" s="1566"/>
      <c r="G731" s="1566"/>
      <c r="H731" s="1566"/>
      <c r="I731" s="1566"/>
    </row>
    <row r="732" spans="1:9" x14ac:dyDescent="0.3">
      <c r="A732" s="1410"/>
      <c r="B732" s="1410"/>
      <c r="C732" s="1410"/>
      <c r="D732" s="1566"/>
      <c r="E732" s="1566"/>
      <c r="F732" s="1566"/>
      <c r="G732" s="1566"/>
      <c r="H732" s="1566"/>
      <c r="I732" s="1566"/>
    </row>
    <row r="733" spans="1:9" x14ac:dyDescent="0.3">
      <c r="A733" s="1410"/>
      <c r="B733" s="1410"/>
      <c r="C733" s="1410"/>
      <c r="D733" s="1566"/>
      <c r="E733" s="1566"/>
      <c r="F733" s="1566"/>
      <c r="G733" s="1566"/>
      <c r="H733" s="1566"/>
      <c r="I733" s="1566"/>
    </row>
    <row r="734" spans="1:9" x14ac:dyDescent="0.3">
      <c r="A734" s="1410"/>
      <c r="B734" s="1410"/>
      <c r="C734" s="1410"/>
      <c r="D734" s="1566"/>
      <c r="E734" s="1566"/>
      <c r="F734" s="1566"/>
      <c r="G734" s="1566"/>
      <c r="H734" s="1566"/>
      <c r="I734" s="1566"/>
    </row>
    <row r="735" spans="1:9" x14ac:dyDescent="0.3">
      <c r="A735" s="1410"/>
      <c r="B735" s="1410"/>
      <c r="C735" s="1410"/>
      <c r="D735" s="1566"/>
      <c r="E735" s="1566"/>
      <c r="F735" s="1566"/>
      <c r="G735" s="1566"/>
      <c r="H735" s="1566"/>
      <c r="I735" s="1566"/>
    </row>
    <row r="736" spans="1:9" x14ac:dyDescent="0.3">
      <c r="A736" s="1410"/>
      <c r="B736" s="1410"/>
      <c r="C736" s="1410"/>
      <c r="D736" s="1566"/>
      <c r="E736" s="1566"/>
      <c r="F736" s="1566"/>
      <c r="G736" s="1566"/>
      <c r="H736" s="1566"/>
      <c r="I736" s="1566"/>
    </row>
    <row r="737" spans="1:9" x14ac:dyDescent="0.3">
      <c r="A737" s="1410"/>
      <c r="B737" s="1410"/>
      <c r="C737" s="1410"/>
      <c r="D737" s="1566"/>
      <c r="E737" s="1566"/>
      <c r="F737" s="1566"/>
      <c r="G737" s="1566"/>
      <c r="H737" s="1566"/>
      <c r="I737" s="1566"/>
    </row>
    <row r="738" spans="1:9" x14ac:dyDescent="0.3">
      <c r="A738" s="1410"/>
      <c r="B738" s="1410"/>
      <c r="C738" s="1410"/>
      <c r="D738" s="1566"/>
      <c r="E738" s="1566"/>
      <c r="F738" s="1566"/>
      <c r="G738" s="1566"/>
      <c r="H738" s="1566"/>
      <c r="I738" s="1566"/>
    </row>
    <row r="739" spans="1:9" x14ac:dyDescent="0.3">
      <c r="A739" s="1410"/>
      <c r="B739" s="1410"/>
      <c r="C739" s="1410"/>
      <c r="D739" s="1566"/>
      <c r="E739" s="1566"/>
      <c r="F739" s="1566"/>
      <c r="G739" s="1566"/>
      <c r="H739" s="1566"/>
      <c r="I739" s="1566"/>
    </row>
    <row r="740" spans="1:9" x14ac:dyDescent="0.3">
      <c r="A740" s="1410"/>
      <c r="B740" s="1410"/>
      <c r="C740" s="1410"/>
      <c r="D740" s="1566"/>
      <c r="E740" s="1566"/>
      <c r="F740" s="1566"/>
      <c r="G740" s="1566"/>
      <c r="H740" s="1566"/>
      <c r="I740" s="1566"/>
    </row>
    <row r="741" spans="1:9" x14ac:dyDescent="0.3">
      <c r="A741" s="1410"/>
      <c r="B741" s="1410"/>
      <c r="C741" s="1410"/>
      <c r="D741" s="1566"/>
      <c r="E741" s="1566"/>
      <c r="F741" s="1566"/>
      <c r="G741" s="1566"/>
      <c r="H741" s="1566"/>
      <c r="I741" s="1566"/>
    </row>
    <row r="742" spans="1:9" x14ac:dyDescent="0.3">
      <c r="A742" s="1410"/>
      <c r="B742" s="1410"/>
      <c r="C742" s="1410"/>
      <c r="D742" s="1566"/>
      <c r="E742" s="1566"/>
      <c r="F742" s="1566"/>
      <c r="G742" s="1566"/>
      <c r="H742" s="1566"/>
      <c r="I742" s="1566"/>
    </row>
    <row r="743" spans="1:9" x14ac:dyDescent="0.3">
      <c r="A743" s="1410"/>
      <c r="B743" s="1410"/>
      <c r="C743" s="1410"/>
      <c r="D743" s="1566"/>
      <c r="E743" s="1566"/>
      <c r="F743" s="1566"/>
      <c r="G743" s="1566"/>
      <c r="H743" s="1566"/>
      <c r="I743" s="1566"/>
    </row>
    <row r="744" spans="1:9" x14ac:dyDescent="0.3">
      <c r="A744" s="1410"/>
      <c r="B744" s="1410"/>
      <c r="C744" s="1410"/>
      <c r="D744" s="1566"/>
      <c r="E744" s="1566"/>
      <c r="F744" s="1566"/>
      <c r="G744" s="1566"/>
      <c r="H744" s="1566"/>
      <c r="I744" s="1566"/>
    </row>
    <row r="745" spans="1:9" x14ac:dyDescent="0.3">
      <c r="A745" s="1410"/>
      <c r="B745" s="1410"/>
      <c r="C745" s="1410"/>
      <c r="D745" s="1566"/>
      <c r="E745" s="1566"/>
      <c r="F745" s="1566"/>
      <c r="G745" s="1566"/>
      <c r="H745" s="1566"/>
      <c r="I745" s="1566"/>
    </row>
    <row r="746" spans="1:9" x14ac:dyDescent="0.3">
      <c r="A746" s="1410"/>
      <c r="B746" s="1410"/>
      <c r="C746" s="1410"/>
      <c r="D746" s="1566"/>
      <c r="E746" s="1566"/>
      <c r="F746" s="1566"/>
      <c r="G746" s="1566"/>
      <c r="H746" s="1566"/>
      <c r="I746" s="1566"/>
    </row>
    <row r="747" spans="1:9" x14ac:dyDescent="0.3">
      <c r="A747" s="1410"/>
      <c r="B747" s="1410"/>
      <c r="C747" s="1410"/>
      <c r="D747" s="1566"/>
      <c r="E747" s="1566"/>
      <c r="F747" s="1566"/>
      <c r="G747" s="1566"/>
      <c r="H747" s="1566"/>
      <c r="I747" s="1566"/>
    </row>
    <row r="748" spans="1:9" x14ac:dyDescent="0.3">
      <c r="A748" s="1410"/>
      <c r="B748" s="1410"/>
      <c r="C748" s="1410"/>
      <c r="D748" s="1566"/>
      <c r="E748" s="1566"/>
      <c r="F748" s="1566"/>
      <c r="G748" s="1566"/>
      <c r="H748" s="1566"/>
      <c r="I748" s="1566"/>
    </row>
    <row r="749" spans="1:9" x14ac:dyDescent="0.3">
      <c r="A749" s="1410"/>
      <c r="B749" s="1410"/>
      <c r="C749" s="1410"/>
      <c r="D749" s="1566"/>
      <c r="E749" s="1566"/>
      <c r="F749" s="1566"/>
      <c r="G749" s="1566"/>
      <c r="H749" s="1566"/>
      <c r="I749" s="1566"/>
    </row>
    <row r="750" spans="1:9" x14ac:dyDescent="0.3">
      <c r="A750" s="1410"/>
      <c r="B750" s="1410"/>
      <c r="C750" s="1410"/>
      <c r="D750" s="1566"/>
      <c r="E750" s="1566"/>
      <c r="F750" s="1566"/>
      <c r="G750" s="1566"/>
      <c r="H750" s="1566"/>
      <c r="I750" s="1566"/>
    </row>
    <row r="751" spans="1:9" x14ac:dyDescent="0.3">
      <c r="A751" s="1410"/>
      <c r="B751" s="1410"/>
      <c r="C751" s="1410"/>
      <c r="D751" s="1566"/>
      <c r="E751" s="1566"/>
      <c r="F751" s="1566"/>
      <c r="G751" s="1566"/>
      <c r="H751" s="1566"/>
      <c r="I751" s="1566"/>
    </row>
    <row r="752" spans="1:9" x14ac:dyDescent="0.3">
      <c r="A752" s="1410"/>
      <c r="B752" s="1410"/>
      <c r="C752" s="1410"/>
      <c r="D752" s="1566"/>
      <c r="E752" s="1566"/>
      <c r="F752" s="1566"/>
      <c r="G752" s="1566"/>
      <c r="H752" s="1566"/>
      <c r="I752" s="1566"/>
    </row>
    <row r="753" spans="1:9" x14ac:dyDescent="0.3">
      <c r="A753" s="1410"/>
      <c r="B753" s="1410"/>
      <c r="C753" s="1410"/>
      <c r="D753" s="1566"/>
      <c r="E753" s="1566"/>
      <c r="F753" s="1566"/>
      <c r="G753" s="1566"/>
      <c r="H753" s="1566"/>
      <c r="I753" s="1566"/>
    </row>
    <row r="754" spans="1:9" x14ac:dyDescent="0.3">
      <c r="A754" s="1410"/>
      <c r="B754" s="1410"/>
      <c r="C754" s="1410"/>
      <c r="D754" s="1566"/>
      <c r="E754" s="1566"/>
      <c r="F754" s="1566"/>
      <c r="G754" s="1566"/>
      <c r="H754" s="1566"/>
      <c r="I754" s="1566"/>
    </row>
    <row r="755" spans="1:9" x14ac:dyDescent="0.3">
      <c r="A755" s="1410"/>
      <c r="B755" s="1410"/>
      <c r="C755" s="1410"/>
      <c r="D755" s="1566"/>
      <c r="E755" s="1566"/>
      <c r="F755" s="1566"/>
      <c r="G755" s="1566"/>
      <c r="H755" s="1566"/>
      <c r="I755" s="1566"/>
    </row>
    <row r="756" spans="1:9" x14ac:dyDescent="0.3">
      <c r="A756" s="1410"/>
      <c r="B756" s="1410"/>
      <c r="C756" s="1410"/>
      <c r="D756" s="1566"/>
      <c r="E756" s="1566"/>
      <c r="F756" s="1566"/>
      <c r="G756" s="1566"/>
      <c r="H756" s="1566"/>
      <c r="I756" s="1566"/>
    </row>
    <row r="757" spans="1:9" x14ac:dyDescent="0.3">
      <c r="A757" s="1410"/>
      <c r="B757" s="1410"/>
      <c r="C757" s="1410"/>
      <c r="D757" s="1566"/>
      <c r="E757" s="1566"/>
      <c r="F757" s="1566"/>
      <c r="G757" s="1566"/>
      <c r="H757" s="1566"/>
      <c r="I757" s="1566"/>
    </row>
    <row r="758" spans="1:9" x14ac:dyDescent="0.3">
      <c r="A758" s="1410"/>
      <c r="B758" s="1410"/>
      <c r="C758" s="1410"/>
      <c r="D758" s="1566"/>
      <c r="E758" s="1566"/>
      <c r="F758" s="1566"/>
      <c r="G758" s="1566"/>
      <c r="H758" s="1566"/>
      <c r="I758" s="1566"/>
    </row>
    <row r="759" spans="1:9" x14ac:dyDescent="0.3">
      <c r="A759" s="1410"/>
      <c r="B759" s="1410"/>
      <c r="C759" s="1410"/>
      <c r="D759" s="1566"/>
      <c r="E759" s="1566"/>
      <c r="F759" s="1566"/>
      <c r="G759" s="1566"/>
      <c r="H759" s="1566"/>
      <c r="I759" s="1566"/>
    </row>
    <row r="760" spans="1:9" x14ac:dyDescent="0.3">
      <c r="A760" s="1410"/>
      <c r="B760" s="1410"/>
      <c r="C760" s="1410"/>
      <c r="D760" s="1566"/>
      <c r="E760" s="1566"/>
      <c r="F760" s="1566"/>
      <c r="G760" s="1566"/>
      <c r="H760" s="1566"/>
      <c r="I760" s="1566"/>
    </row>
    <row r="761" spans="1:9" x14ac:dyDescent="0.3">
      <c r="A761" s="1410"/>
      <c r="B761" s="1410"/>
      <c r="C761" s="1410"/>
      <c r="D761" s="1566"/>
      <c r="E761" s="1566"/>
      <c r="F761" s="1566"/>
      <c r="G761" s="1566"/>
      <c r="H761" s="1566"/>
      <c r="I761" s="1566"/>
    </row>
    <row r="762" spans="1:9" x14ac:dyDescent="0.3">
      <c r="A762" s="1410"/>
      <c r="B762" s="1410"/>
      <c r="C762" s="1410"/>
      <c r="D762" s="1566"/>
      <c r="E762" s="1566"/>
      <c r="F762" s="1566"/>
      <c r="G762" s="1566"/>
      <c r="H762" s="1566"/>
      <c r="I762" s="1566"/>
    </row>
    <row r="763" spans="1:9" x14ac:dyDescent="0.3">
      <c r="A763" s="1410"/>
      <c r="B763" s="1410"/>
      <c r="C763" s="1410"/>
      <c r="D763" s="1566"/>
      <c r="E763" s="1566"/>
      <c r="F763" s="1566"/>
      <c r="G763" s="1566"/>
      <c r="H763" s="1566"/>
      <c r="I763" s="1566"/>
    </row>
    <row r="764" spans="1:9" x14ac:dyDescent="0.3">
      <c r="A764" s="1410"/>
      <c r="B764" s="1410"/>
      <c r="C764" s="1410"/>
      <c r="D764" s="1566"/>
      <c r="E764" s="1566"/>
      <c r="F764" s="1566"/>
      <c r="G764" s="1566"/>
      <c r="H764" s="1566"/>
      <c r="I764" s="1566"/>
    </row>
    <row r="765" spans="1:9" x14ac:dyDescent="0.3">
      <c r="A765" s="1410"/>
      <c r="B765" s="1410"/>
      <c r="C765" s="1410"/>
      <c r="D765" s="1566"/>
      <c r="E765" s="1566"/>
      <c r="F765" s="1566"/>
      <c r="G765" s="1566"/>
      <c r="H765" s="1566"/>
      <c r="I765" s="1566"/>
    </row>
    <row r="766" spans="1:9" x14ac:dyDescent="0.3">
      <c r="A766" s="1410"/>
      <c r="B766" s="1410"/>
      <c r="C766" s="1410"/>
      <c r="D766" s="1566"/>
      <c r="E766" s="1566"/>
      <c r="F766" s="1566"/>
      <c r="G766" s="1566"/>
      <c r="H766" s="1566"/>
      <c r="I766" s="1566"/>
    </row>
    <row r="767" spans="1:9" x14ac:dyDescent="0.3">
      <c r="A767" s="1410"/>
      <c r="B767" s="1410"/>
      <c r="C767" s="1410"/>
      <c r="D767" s="1566"/>
      <c r="E767" s="1566"/>
      <c r="F767" s="1566"/>
      <c r="G767" s="1566"/>
      <c r="H767" s="1566"/>
      <c r="I767" s="1566"/>
    </row>
    <row r="768" spans="1:9" x14ac:dyDescent="0.3">
      <c r="A768" s="1410"/>
      <c r="B768" s="1410"/>
      <c r="C768" s="1410"/>
      <c r="D768" s="1566"/>
      <c r="E768" s="1566"/>
      <c r="F768" s="1566"/>
      <c r="G768" s="1566"/>
      <c r="H768" s="1566"/>
      <c r="I768" s="1566"/>
    </row>
    <row r="769" spans="1:9" x14ac:dyDescent="0.3">
      <c r="A769" s="1410"/>
      <c r="B769" s="1410"/>
      <c r="C769" s="1410"/>
      <c r="D769" s="1566"/>
      <c r="E769" s="1566"/>
      <c r="F769" s="1566"/>
      <c r="G769" s="1566"/>
      <c r="H769" s="1566"/>
      <c r="I769" s="1566"/>
    </row>
    <row r="770" spans="1:9" x14ac:dyDescent="0.3">
      <c r="A770" s="1410"/>
      <c r="B770" s="1410"/>
      <c r="C770" s="1410"/>
      <c r="D770" s="1566"/>
      <c r="E770" s="1566"/>
      <c r="F770" s="1566"/>
      <c r="G770" s="1566"/>
      <c r="H770" s="1566"/>
      <c r="I770" s="1566"/>
    </row>
    <row r="771" spans="1:9" x14ac:dyDescent="0.3">
      <c r="A771" s="1410"/>
      <c r="B771" s="1410"/>
      <c r="C771" s="1410"/>
      <c r="D771" s="1566"/>
      <c r="E771" s="1566"/>
      <c r="F771" s="1566"/>
      <c r="G771" s="1566"/>
      <c r="H771" s="1566"/>
      <c r="I771" s="1566"/>
    </row>
    <row r="772" spans="1:9" x14ac:dyDescent="0.3">
      <c r="A772" s="1410"/>
      <c r="B772" s="1410"/>
      <c r="C772" s="1410"/>
      <c r="D772" s="1566"/>
      <c r="E772" s="1566"/>
      <c r="F772" s="1566"/>
      <c r="G772" s="1566"/>
      <c r="H772" s="1566"/>
      <c r="I772" s="1566"/>
    </row>
    <row r="773" spans="1:9" x14ac:dyDescent="0.3">
      <c r="A773" s="1410"/>
      <c r="B773" s="1410"/>
      <c r="C773" s="1410"/>
      <c r="D773" s="1566"/>
      <c r="E773" s="1566"/>
      <c r="F773" s="1566"/>
      <c r="G773" s="1566"/>
      <c r="H773" s="1566"/>
      <c r="I773" s="1566"/>
    </row>
    <row r="774" spans="1:9" x14ac:dyDescent="0.3">
      <c r="A774" s="1410"/>
      <c r="B774" s="1410"/>
      <c r="C774" s="1410"/>
      <c r="D774" s="1566"/>
      <c r="E774" s="1566"/>
      <c r="F774" s="1566"/>
      <c r="G774" s="1566"/>
      <c r="H774" s="1566"/>
      <c r="I774" s="1566"/>
    </row>
    <row r="775" spans="1:9" x14ac:dyDescent="0.3">
      <c r="A775" s="1410"/>
      <c r="B775" s="1410"/>
      <c r="C775" s="1410"/>
      <c r="D775" s="1566"/>
      <c r="E775" s="1566"/>
      <c r="F775" s="1566"/>
      <c r="G775" s="1566"/>
      <c r="H775" s="1566"/>
      <c r="I775" s="1566"/>
    </row>
    <row r="776" spans="1:9" x14ac:dyDescent="0.3">
      <c r="A776" s="1410"/>
      <c r="B776" s="1410"/>
      <c r="C776" s="1410"/>
      <c r="D776" s="1566"/>
      <c r="E776" s="1566"/>
      <c r="F776" s="1566"/>
      <c r="G776" s="1566"/>
      <c r="H776" s="1566"/>
      <c r="I776" s="1566"/>
    </row>
    <row r="777" spans="1:9" x14ac:dyDescent="0.3">
      <c r="A777" s="1410"/>
      <c r="B777" s="1410"/>
      <c r="C777" s="1410"/>
      <c r="D777" s="1566"/>
      <c r="E777" s="1566"/>
      <c r="F777" s="1566"/>
      <c r="G777" s="1566"/>
      <c r="H777" s="1566"/>
      <c r="I777" s="1566"/>
    </row>
    <row r="778" spans="1:9" x14ac:dyDescent="0.3">
      <c r="A778" s="1410"/>
      <c r="B778" s="1410"/>
      <c r="C778" s="1410"/>
      <c r="D778" s="1566"/>
      <c r="E778" s="1566"/>
      <c r="F778" s="1566"/>
      <c r="G778" s="1566"/>
      <c r="H778" s="1566"/>
      <c r="I778" s="1566"/>
    </row>
    <row r="779" spans="1:9" x14ac:dyDescent="0.3">
      <c r="A779" s="1410"/>
      <c r="B779" s="1410"/>
      <c r="C779" s="1410"/>
      <c r="D779" s="1566"/>
      <c r="E779" s="1566"/>
      <c r="F779" s="1566"/>
      <c r="G779" s="1566"/>
      <c r="H779" s="1566"/>
      <c r="I779" s="1566"/>
    </row>
    <row r="780" spans="1:9" x14ac:dyDescent="0.3">
      <c r="A780" s="1410"/>
      <c r="B780" s="1410"/>
      <c r="C780" s="1410"/>
      <c r="D780" s="1566"/>
      <c r="E780" s="1566"/>
      <c r="F780" s="1566"/>
      <c r="G780" s="1566"/>
      <c r="H780" s="1566"/>
      <c r="I780" s="1566"/>
    </row>
    <row r="781" spans="1:9" x14ac:dyDescent="0.3">
      <c r="A781" s="1410"/>
      <c r="B781" s="1410"/>
      <c r="C781" s="1410"/>
      <c r="D781" s="1566"/>
      <c r="E781" s="1566"/>
      <c r="F781" s="1566"/>
      <c r="G781" s="1566"/>
      <c r="H781" s="1566"/>
      <c r="I781" s="1566"/>
    </row>
    <row r="782" spans="1:9" x14ac:dyDescent="0.3">
      <c r="A782" s="1410"/>
      <c r="B782" s="1410"/>
      <c r="C782" s="1410"/>
      <c r="D782" s="1566"/>
      <c r="E782" s="1566"/>
      <c r="F782" s="1566"/>
      <c r="G782" s="1566"/>
      <c r="H782" s="1566"/>
      <c r="I782" s="1566"/>
    </row>
    <row r="783" spans="1:9" x14ac:dyDescent="0.3">
      <c r="A783" s="1410"/>
      <c r="B783" s="1410"/>
      <c r="C783" s="1410"/>
      <c r="D783" s="1566"/>
      <c r="E783" s="1566"/>
      <c r="F783" s="1566"/>
      <c r="G783" s="1566"/>
      <c r="H783" s="1566"/>
      <c r="I783" s="1566"/>
    </row>
    <row r="784" spans="1:9" x14ac:dyDescent="0.3">
      <c r="A784" s="1410"/>
      <c r="B784" s="1410"/>
      <c r="C784" s="1410"/>
      <c r="D784" s="1566"/>
      <c r="E784" s="1566"/>
      <c r="F784" s="1566"/>
      <c r="G784" s="1566"/>
      <c r="H784" s="1566"/>
      <c r="I784" s="1566"/>
    </row>
    <row r="785" spans="1:9" x14ac:dyDescent="0.3">
      <c r="A785" s="1410"/>
      <c r="B785" s="1410"/>
      <c r="C785" s="1410"/>
      <c r="D785" s="1566"/>
      <c r="E785" s="1566"/>
      <c r="F785" s="1566"/>
      <c r="G785" s="1566"/>
      <c r="H785" s="1566"/>
      <c r="I785" s="1566"/>
    </row>
    <row r="786" spans="1:9" x14ac:dyDescent="0.3">
      <c r="A786" s="1410"/>
      <c r="B786" s="1410"/>
      <c r="C786" s="1410"/>
      <c r="D786" s="1566"/>
      <c r="E786" s="1566"/>
      <c r="F786" s="1566"/>
      <c r="G786" s="1566"/>
      <c r="H786" s="1566"/>
      <c r="I786" s="1566"/>
    </row>
    <row r="787" spans="1:9" x14ac:dyDescent="0.3">
      <c r="A787" s="1410"/>
      <c r="B787" s="1410"/>
      <c r="C787" s="1410"/>
      <c r="D787" s="1566"/>
      <c r="E787" s="1566"/>
      <c r="F787" s="1566"/>
      <c r="G787" s="1566"/>
      <c r="H787" s="1566"/>
      <c r="I787" s="1566"/>
    </row>
    <row r="788" spans="1:9" x14ac:dyDescent="0.3">
      <c r="A788" s="1410"/>
      <c r="B788" s="1410"/>
      <c r="C788" s="1410"/>
      <c r="D788" s="1566"/>
      <c r="E788" s="1566"/>
      <c r="F788" s="1566"/>
      <c r="G788" s="1566"/>
      <c r="H788" s="1566"/>
      <c r="I788" s="1566"/>
    </row>
    <row r="789" spans="1:9" x14ac:dyDescent="0.3">
      <c r="A789" s="1410"/>
      <c r="B789" s="1410"/>
      <c r="C789" s="1410"/>
      <c r="D789" s="1566"/>
      <c r="E789" s="1566"/>
      <c r="F789" s="1566"/>
      <c r="G789" s="1566"/>
      <c r="H789" s="1566"/>
      <c r="I789" s="1566"/>
    </row>
    <row r="790" spans="1:9" x14ac:dyDescent="0.3">
      <c r="A790" s="1410"/>
      <c r="B790" s="1410"/>
      <c r="C790" s="1410"/>
      <c r="D790" s="1566"/>
      <c r="E790" s="1566"/>
      <c r="F790" s="1566"/>
      <c r="G790" s="1566"/>
      <c r="H790" s="1566"/>
      <c r="I790" s="1566"/>
    </row>
    <row r="791" spans="1:9" x14ac:dyDescent="0.3">
      <c r="A791" s="1410"/>
      <c r="B791" s="1410"/>
      <c r="C791" s="1410"/>
      <c r="D791" s="1566"/>
      <c r="E791" s="1566"/>
      <c r="F791" s="1566"/>
      <c r="G791" s="1566"/>
      <c r="H791" s="1566"/>
      <c r="I791" s="1566"/>
    </row>
    <row r="792" spans="1:9" x14ac:dyDescent="0.3">
      <c r="A792" s="1410"/>
      <c r="B792" s="1410"/>
      <c r="C792" s="1410"/>
      <c r="D792" s="1566"/>
      <c r="E792" s="1566"/>
      <c r="F792" s="1566"/>
      <c r="G792" s="1566"/>
      <c r="H792" s="1566"/>
      <c r="I792" s="1566"/>
    </row>
    <row r="793" spans="1:9" x14ac:dyDescent="0.3">
      <c r="A793" s="1410"/>
      <c r="B793" s="1410"/>
      <c r="C793" s="1410"/>
      <c r="D793" s="1566"/>
      <c r="E793" s="1566"/>
      <c r="F793" s="1566"/>
      <c r="G793" s="1566"/>
      <c r="H793" s="1566"/>
      <c r="I793" s="1566"/>
    </row>
    <row r="794" spans="1:9" x14ac:dyDescent="0.3">
      <c r="A794" s="1410"/>
      <c r="B794" s="1410"/>
      <c r="C794" s="1410"/>
      <c r="D794" s="1566"/>
      <c r="E794" s="1566"/>
      <c r="F794" s="1566"/>
      <c r="G794" s="1566"/>
      <c r="H794" s="1566"/>
      <c r="I794" s="1566"/>
    </row>
    <row r="795" spans="1:9" x14ac:dyDescent="0.3">
      <c r="A795" s="1410"/>
      <c r="B795" s="1410"/>
      <c r="C795" s="1410"/>
      <c r="D795" s="1566"/>
      <c r="E795" s="1566"/>
      <c r="F795" s="1566"/>
      <c r="G795" s="1566"/>
      <c r="H795" s="1566"/>
      <c r="I795" s="1566"/>
    </row>
    <row r="796" spans="1:9" x14ac:dyDescent="0.3">
      <c r="A796" s="1410"/>
      <c r="B796" s="1410"/>
      <c r="C796" s="1410"/>
      <c r="D796" s="1566"/>
      <c r="E796" s="1566"/>
      <c r="F796" s="1566"/>
      <c r="G796" s="1566"/>
      <c r="H796" s="1566"/>
      <c r="I796" s="1566"/>
    </row>
    <row r="797" spans="1:9" x14ac:dyDescent="0.3">
      <c r="A797" s="1410"/>
      <c r="B797" s="1410"/>
      <c r="C797" s="1410"/>
      <c r="D797" s="1566"/>
      <c r="E797" s="1566"/>
      <c r="F797" s="1566"/>
      <c r="G797" s="1566"/>
      <c r="H797" s="1566"/>
      <c r="I797" s="1566"/>
    </row>
    <row r="798" spans="1:9" x14ac:dyDescent="0.3">
      <c r="A798" s="1410"/>
      <c r="B798" s="1410"/>
      <c r="C798" s="1410"/>
      <c r="D798" s="1566"/>
      <c r="E798" s="1566"/>
      <c r="F798" s="1566"/>
      <c r="G798" s="1566"/>
      <c r="H798" s="1566"/>
      <c r="I798" s="1566"/>
    </row>
    <row r="799" spans="1:9" x14ac:dyDescent="0.3">
      <c r="A799" s="1410"/>
      <c r="B799" s="1410"/>
      <c r="C799" s="1410"/>
      <c r="D799" s="1566"/>
      <c r="E799" s="1566"/>
      <c r="F799" s="1566"/>
      <c r="G799" s="1566"/>
      <c r="H799" s="1566"/>
      <c r="I799" s="1566"/>
    </row>
    <row r="800" spans="1:9" x14ac:dyDescent="0.3">
      <c r="A800" s="1410"/>
      <c r="B800" s="1410"/>
      <c r="C800" s="1410"/>
      <c r="D800" s="1566"/>
      <c r="E800" s="1566"/>
      <c r="F800" s="1566"/>
      <c r="G800" s="1566"/>
      <c r="H800" s="1566"/>
      <c r="I800" s="1566"/>
    </row>
    <row r="801" spans="1:9" x14ac:dyDescent="0.3">
      <c r="A801" s="1410"/>
      <c r="B801" s="1410"/>
      <c r="C801" s="1410"/>
      <c r="D801" s="1566"/>
      <c r="E801" s="1566"/>
      <c r="F801" s="1566"/>
      <c r="G801" s="1566"/>
      <c r="H801" s="1566"/>
      <c r="I801" s="1566"/>
    </row>
    <row r="802" spans="1:9" x14ac:dyDescent="0.3">
      <c r="A802" s="1410"/>
      <c r="B802" s="1410"/>
      <c r="C802" s="1410"/>
      <c r="D802" s="1566"/>
      <c r="E802" s="1566"/>
      <c r="F802" s="1566"/>
      <c r="G802" s="1566"/>
      <c r="H802" s="1566"/>
      <c r="I802" s="1566"/>
    </row>
    <row r="803" spans="1:9" x14ac:dyDescent="0.3">
      <c r="A803" s="1410"/>
      <c r="B803" s="1410"/>
      <c r="C803" s="1410"/>
      <c r="D803" s="1566"/>
      <c r="E803" s="1566"/>
      <c r="F803" s="1566"/>
      <c r="G803" s="1566"/>
      <c r="H803" s="1566"/>
      <c r="I803" s="1566"/>
    </row>
    <row r="804" spans="1:9" x14ac:dyDescent="0.3">
      <c r="A804" s="1410"/>
      <c r="B804" s="1410"/>
      <c r="C804" s="1410"/>
      <c r="D804" s="1566"/>
      <c r="E804" s="1566"/>
      <c r="F804" s="1566"/>
      <c r="G804" s="1566"/>
      <c r="H804" s="1566"/>
      <c r="I804" s="1566"/>
    </row>
    <row r="805" spans="1:9" x14ac:dyDescent="0.3">
      <c r="A805" s="1410"/>
      <c r="B805" s="1410"/>
      <c r="C805" s="1410"/>
      <c r="D805" s="1566"/>
      <c r="E805" s="1566"/>
      <c r="F805" s="1566"/>
      <c r="G805" s="1566"/>
      <c r="H805" s="1566"/>
      <c r="I805" s="1566"/>
    </row>
    <row r="806" spans="1:9" x14ac:dyDescent="0.3">
      <c r="A806" s="1410"/>
      <c r="B806" s="1410"/>
      <c r="C806" s="1410"/>
      <c r="D806" s="1566"/>
      <c r="E806" s="1566"/>
      <c r="F806" s="1566"/>
      <c r="G806" s="1566"/>
      <c r="H806" s="1566"/>
      <c r="I806" s="1566"/>
    </row>
    <row r="807" spans="1:9" x14ac:dyDescent="0.3">
      <c r="A807" s="1410"/>
      <c r="B807" s="1410"/>
      <c r="C807" s="1410"/>
      <c r="D807" s="1566"/>
      <c r="E807" s="1566"/>
      <c r="F807" s="1566"/>
      <c r="G807" s="1566"/>
      <c r="H807" s="1566"/>
      <c r="I807" s="1566"/>
    </row>
    <row r="808" spans="1:9" x14ac:dyDescent="0.3">
      <c r="A808" s="1410"/>
      <c r="B808" s="1410"/>
      <c r="C808" s="1410"/>
      <c r="D808" s="1566"/>
      <c r="E808" s="1566"/>
      <c r="F808" s="1566"/>
      <c r="G808" s="1566"/>
      <c r="H808" s="1566"/>
      <c r="I808" s="1566"/>
    </row>
    <row r="809" spans="1:9" x14ac:dyDescent="0.3">
      <c r="A809" s="1410"/>
      <c r="B809" s="1410"/>
      <c r="C809" s="1410"/>
      <c r="D809" s="1566"/>
      <c r="E809" s="1566"/>
      <c r="F809" s="1566"/>
      <c r="G809" s="1566"/>
      <c r="H809" s="1566"/>
      <c r="I809" s="1566"/>
    </row>
    <row r="810" spans="1:9" x14ac:dyDescent="0.3">
      <c r="A810" s="1410"/>
      <c r="B810" s="1410"/>
      <c r="C810" s="1410"/>
      <c r="D810" s="1566"/>
      <c r="E810" s="1566"/>
      <c r="F810" s="1566"/>
      <c r="G810" s="1566"/>
      <c r="H810" s="1566"/>
      <c r="I810" s="1566"/>
    </row>
    <row r="811" spans="1:9" x14ac:dyDescent="0.3">
      <c r="A811" s="1410"/>
      <c r="B811" s="1410"/>
      <c r="C811" s="1410"/>
      <c r="D811" s="1566"/>
      <c r="E811" s="1566"/>
      <c r="F811" s="1566"/>
      <c r="G811" s="1566"/>
      <c r="H811" s="1566"/>
      <c r="I811" s="1566"/>
    </row>
    <row r="812" spans="1:9" x14ac:dyDescent="0.3">
      <c r="A812" s="1410"/>
      <c r="B812" s="1410"/>
      <c r="C812" s="1410"/>
      <c r="D812" s="1566"/>
      <c r="E812" s="1566"/>
      <c r="F812" s="1566"/>
      <c r="G812" s="1566"/>
      <c r="H812" s="1566"/>
      <c r="I812" s="1566"/>
    </row>
    <row r="813" spans="1:9" x14ac:dyDescent="0.3">
      <c r="A813" s="1410"/>
      <c r="B813" s="1410"/>
      <c r="C813" s="1410"/>
      <c r="D813" s="1566"/>
      <c r="E813" s="1566"/>
      <c r="F813" s="1566"/>
      <c r="G813" s="1566"/>
      <c r="H813" s="1566"/>
      <c r="I813" s="1566"/>
    </row>
    <row r="814" spans="1:9" x14ac:dyDescent="0.3">
      <c r="A814" s="1410"/>
      <c r="B814" s="1410"/>
      <c r="C814" s="1410"/>
      <c r="D814" s="1566"/>
      <c r="E814" s="1566"/>
      <c r="F814" s="1566"/>
      <c r="G814" s="1566"/>
      <c r="H814" s="1566"/>
      <c r="I814" s="1566"/>
    </row>
    <row r="815" spans="1:9" x14ac:dyDescent="0.3">
      <c r="A815" s="1410"/>
      <c r="B815" s="1410"/>
      <c r="C815" s="1410"/>
      <c r="D815" s="1566"/>
      <c r="E815" s="1566"/>
      <c r="F815" s="1566"/>
      <c r="G815" s="1566"/>
      <c r="H815" s="1566"/>
      <c r="I815" s="1566"/>
    </row>
    <row r="816" spans="1:9" x14ac:dyDescent="0.3">
      <c r="A816" s="1410"/>
      <c r="B816" s="1410"/>
      <c r="C816" s="1410"/>
      <c r="D816" s="1566"/>
      <c r="E816" s="1566"/>
      <c r="F816" s="1566"/>
      <c r="G816" s="1566"/>
      <c r="H816" s="1566"/>
      <c r="I816" s="1566"/>
    </row>
    <row r="817" spans="1:9" x14ac:dyDescent="0.3">
      <c r="A817" s="1410"/>
      <c r="B817" s="1410"/>
      <c r="C817" s="1410"/>
      <c r="D817" s="1566"/>
      <c r="E817" s="1566"/>
      <c r="F817" s="1566"/>
      <c r="G817" s="1566"/>
      <c r="H817" s="1566"/>
      <c r="I817" s="1566"/>
    </row>
    <row r="818" spans="1:9" x14ac:dyDescent="0.3">
      <c r="A818" s="1410"/>
      <c r="B818" s="1410"/>
      <c r="C818" s="1410"/>
      <c r="D818" s="1566"/>
      <c r="E818" s="1566"/>
      <c r="F818" s="1566"/>
      <c r="G818" s="1566"/>
      <c r="H818" s="1566"/>
      <c r="I818" s="1566"/>
    </row>
    <row r="819" spans="1:9" x14ac:dyDescent="0.3">
      <c r="A819" s="1410"/>
      <c r="B819" s="1410"/>
      <c r="C819" s="1410"/>
      <c r="D819" s="1566"/>
      <c r="E819" s="1566"/>
      <c r="F819" s="1566"/>
      <c r="G819" s="1566"/>
      <c r="H819" s="1566"/>
      <c r="I819" s="1566"/>
    </row>
    <row r="820" spans="1:9" x14ac:dyDescent="0.3">
      <c r="A820" s="1410"/>
      <c r="B820" s="1410"/>
      <c r="C820" s="1410"/>
      <c r="D820" s="1566"/>
      <c r="E820" s="1566"/>
      <c r="F820" s="1566"/>
      <c r="G820" s="1566"/>
      <c r="H820" s="1566"/>
      <c r="I820" s="1566"/>
    </row>
    <row r="821" spans="1:9" x14ac:dyDescent="0.3">
      <c r="A821" s="1410"/>
      <c r="B821" s="1410"/>
      <c r="C821" s="1410"/>
      <c r="D821" s="1566"/>
      <c r="E821" s="1566"/>
      <c r="F821" s="1566"/>
      <c r="G821" s="1566"/>
      <c r="H821" s="1566"/>
      <c r="I821" s="1566"/>
    </row>
    <row r="822" spans="1:9" x14ac:dyDescent="0.3">
      <c r="A822" s="1410"/>
      <c r="B822" s="1410"/>
      <c r="C822" s="1410"/>
      <c r="D822" s="1566"/>
      <c r="E822" s="1566"/>
      <c r="F822" s="1566"/>
      <c r="G822" s="1566"/>
      <c r="H822" s="1566"/>
      <c r="I822" s="1566"/>
    </row>
    <row r="823" spans="1:9" x14ac:dyDescent="0.3">
      <c r="A823" s="1410"/>
      <c r="B823" s="1410"/>
      <c r="C823" s="1410"/>
      <c r="D823" s="1566"/>
      <c r="E823" s="1566"/>
      <c r="F823" s="1566"/>
      <c r="G823" s="1566"/>
      <c r="H823" s="1566"/>
      <c r="I823" s="1566"/>
    </row>
    <row r="824" spans="1:9" x14ac:dyDescent="0.3">
      <c r="A824" s="1410"/>
      <c r="B824" s="1410"/>
      <c r="C824" s="1410"/>
      <c r="D824" s="1566"/>
      <c r="E824" s="1566"/>
      <c r="F824" s="1566"/>
      <c r="G824" s="1566"/>
      <c r="H824" s="1566"/>
      <c r="I824" s="1566"/>
    </row>
    <row r="825" spans="1:9" x14ac:dyDescent="0.3">
      <c r="A825" s="1410"/>
      <c r="B825" s="1410"/>
      <c r="C825" s="1410"/>
      <c r="D825" s="1566"/>
      <c r="E825" s="1566"/>
      <c r="F825" s="1566"/>
      <c r="G825" s="1566"/>
      <c r="H825" s="1566"/>
      <c r="I825" s="1566"/>
    </row>
    <row r="826" spans="1:9" x14ac:dyDescent="0.3">
      <c r="A826" s="1410"/>
      <c r="B826" s="1410"/>
      <c r="C826" s="1410"/>
      <c r="D826" s="1566"/>
      <c r="E826" s="1566"/>
      <c r="F826" s="1566"/>
      <c r="G826" s="1566"/>
      <c r="H826" s="1566"/>
      <c r="I826" s="1566"/>
    </row>
    <row r="827" spans="1:9" x14ac:dyDescent="0.3">
      <c r="A827" s="1410"/>
      <c r="B827" s="1410"/>
      <c r="C827" s="1410"/>
      <c r="D827" s="1566"/>
      <c r="E827" s="1566"/>
      <c r="F827" s="1566"/>
      <c r="G827" s="1566"/>
      <c r="H827" s="1566"/>
      <c r="I827" s="1566"/>
    </row>
    <row r="828" spans="1:9" x14ac:dyDescent="0.3">
      <c r="A828" s="1410"/>
      <c r="B828" s="1410"/>
      <c r="C828" s="1410"/>
      <c r="D828" s="1566"/>
      <c r="E828" s="1566"/>
      <c r="F828" s="1566"/>
      <c r="G828" s="1566"/>
      <c r="H828" s="1566"/>
      <c r="I828" s="1566"/>
    </row>
    <row r="829" spans="1:9" x14ac:dyDescent="0.3">
      <c r="A829" s="1410"/>
      <c r="B829" s="1410"/>
      <c r="C829" s="1410"/>
      <c r="D829" s="1566"/>
      <c r="E829" s="1566"/>
      <c r="F829" s="1566"/>
      <c r="G829" s="1566"/>
      <c r="H829" s="1566"/>
      <c r="I829" s="1566"/>
    </row>
    <row r="830" spans="1:9" x14ac:dyDescent="0.3">
      <c r="A830" s="1410"/>
      <c r="B830" s="1410"/>
      <c r="C830" s="1410"/>
      <c r="D830" s="1566"/>
      <c r="E830" s="1566"/>
      <c r="F830" s="1566"/>
      <c r="G830" s="1566"/>
      <c r="H830" s="1566"/>
      <c r="I830" s="1566"/>
    </row>
    <row r="831" spans="1:9" x14ac:dyDescent="0.3">
      <c r="A831" s="1410"/>
      <c r="B831" s="1410"/>
      <c r="C831" s="1410"/>
      <c r="D831" s="1566"/>
      <c r="E831" s="1566"/>
      <c r="F831" s="1566"/>
      <c r="G831" s="1566"/>
      <c r="H831" s="1566"/>
      <c r="I831" s="1566"/>
    </row>
    <row r="832" spans="1:9" x14ac:dyDescent="0.3">
      <c r="A832" s="1410"/>
      <c r="B832" s="1410"/>
      <c r="C832" s="1410"/>
      <c r="D832" s="1566"/>
      <c r="E832" s="1566"/>
      <c r="F832" s="1566"/>
      <c r="G832" s="1566"/>
      <c r="H832" s="1566"/>
      <c r="I832" s="1566"/>
    </row>
    <row r="833" spans="1:9" x14ac:dyDescent="0.3">
      <c r="A833" s="1410"/>
      <c r="B833" s="1410"/>
      <c r="C833" s="1410"/>
      <c r="D833" s="1566"/>
      <c r="E833" s="1566"/>
      <c r="F833" s="1566"/>
      <c r="G833" s="1566"/>
      <c r="H833" s="1566"/>
      <c r="I833" s="1566"/>
    </row>
    <row r="834" spans="1:9" x14ac:dyDescent="0.3">
      <c r="A834" s="1410"/>
      <c r="B834" s="1410"/>
      <c r="C834" s="1410"/>
      <c r="D834" s="1566"/>
      <c r="E834" s="1566"/>
      <c r="F834" s="1566"/>
      <c r="G834" s="1566"/>
      <c r="H834" s="1566"/>
      <c r="I834" s="1566"/>
    </row>
    <row r="835" spans="1:9" x14ac:dyDescent="0.3">
      <c r="A835" s="1410"/>
      <c r="B835" s="1410"/>
      <c r="C835" s="1410"/>
      <c r="D835" s="1566"/>
      <c r="E835" s="1566"/>
      <c r="F835" s="1566"/>
      <c r="G835" s="1566"/>
      <c r="H835" s="1566"/>
      <c r="I835" s="1566"/>
    </row>
    <row r="836" spans="1:9" x14ac:dyDescent="0.3">
      <c r="A836" s="1410"/>
      <c r="B836" s="1410"/>
      <c r="C836" s="1410"/>
      <c r="D836" s="1566"/>
      <c r="E836" s="1566"/>
      <c r="F836" s="1566"/>
      <c r="G836" s="1566"/>
      <c r="H836" s="1566"/>
      <c r="I836" s="1566"/>
    </row>
    <row r="837" spans="1:9" x14ac:dyDescent="0.3">
      <c r="A837" s="1410"/>
      <c r="B837" s="1410"/>
      <c r="C837" s="1410"/>
      <c r="D837" s="1566"/>
      <c r="E837" s="1566"/>
      <c r="F837" s="1566"/>
      <c r="G837" s="1566"/>
      <c r="H837" s="1566"/>
      <c r="I837" s="1566"/>
    </row>
    <row r="838" spans="1:9" x14ac:dyDescent="0.3">
      <c r="A838" s="1410"/>
      <c r="B838" s="1410"/>
      <c r="C838" s="1410"/>
      <c r="D838" s="1566"/>
      <c r="E838" s="1566"/>
      <c r="F838" s="1566"/>
      <c r="G838" s="1566"/>
      <c r="H838" s="1566"/>
      <c r="I838" s="1566"/>
    </row>
    <row r="839" spans="1:9" x14ac:dyDescent="0.3">
      <c r="A839" s="1410"/>
      <c r="B839" s="1410"/>
      <c r="C839" s="1410"/>
      <c r="D839" s="1566"/>
      <c r="E839" s="1566"/>
      <c r="F839" s="1566"/>
      <c r="G839" s="1566"/>
      <c r="H839" s="1566"/>
      <c r="I839" s="1566"/>
    </row>
    <row r="840" spans="1:9" x14ac:dyDescent="0.3">
      <c r="A840" s="1410"/>
      <c r="B840" s="1410"/>
      <c r="C840" s="1410"/>
      <c r="D840" s="1566"/>
      <c r="E840" s="1566"/>
      <c r="F840" s="1566"/>
      <c r="G840" s="1566"/>
      <c r="H840" s="1566"/>
      <c r="I840" s="1566"/>
    </row>
    <row r="841" spans="1:9" x14ac:dyDescent="0.3">
      <c r="A841" s="1410"/>
      <c r="B841" s="1410"/>
      <c r="C841" s="1410"/>
      <c r="D841" s="1566"/>
      <c r="E841" s="1566"/>
      <c r="F841" s="1566"/>
      <c r="G841" s="1566"/>
      <c r="H841" s="1566"/>
      <c r="I841" s="1566"/>
    </row>
    <row r="842" spans="1:9" x14ac:dyDescent="0.3">
      <c r="A842" s="1410"/>
      <c r="B842" s="1410"/>
      <c r="C842" s="1410"/>
      <c r="D842" s="1566"/>
      <c r="E842" s="1566"/>
      <c r="F842" s="1566"/>
      <c r="G842" s="1566"/>
      <c r="H842" s="1566"/>
      <c r="I842" s="1566"/>
    </row>
    <row r="843" spans="1:9" x14ac:dyDescent="0.3">
      <c r="A843" s="1410"/>
      <c r="B843" s="1410"/>
      <c r="C843" s="1410"/>
      <c r="D843" s="1566"/>
      <c r="E843" s="1566"/>
      <c r="F843" s="1566"/>
      <c r="G843" s="1566"/>
      <c r="H843" s="1566"/>
      <c r="I843" s="1566"/>
    </row>
    <row r="844" spans="1:9" x14ac:dyDescent="0.3">
      <c r="A844" s="1410"/>
      <c r="B844" s="1410"/>
      <c r="C844" s="1410"/>
      <c r="D844" s="1566"/>
      <c r="E844" s="1566"/>
      <c r="F844" s="1566"/>
      <c r="G844" s="1566"/>
      <c r="H844" s="1566"/>
      <c r="I844" s="1566"/>
    </row>
    <row r="845" spans="1:9" x14ac:dyDescent="0.3">
      <c r="A845" s="1410"/>
      <c r="B845" s="1410"/>
      <c r="C845" s="1410"/>
      <c r="D845" s="1566"/>
      <c r="E845" s="1566"/>
      <c r="F845" s="1566"/>
      <c r="G845" s="1566"/>
      <c r="H845" s="1566"/>
      <c r="I845" s="1566"/>
    </row>
    <row r="846" spans="1:9" x14ac:dyDescent="0.3">
      <c r="A846" s="1410"/>
      <c r="B846" s="1410"/>
      <c r="C846" s="1410"/>
      <c r="D846" s="1566"/>
      <c r="E846" s="1566"/>
      <c r="F846" s="1566"/>
      <c r="G846" s="1566"/>
      <c r="H846" s="1566"/>
      <c r="I846" s="1566"/>
    </row>
    <row r="847" spans="1:9" x14ac:dyDescent="0.3">
      <c r="A847" s="1410"/>
      <c r="B847" s="1410"/>
      <c r="C847" s="1410"/>
      <c r="D847" s="1566"/>
      <c r="E847" s="1566"/>
      <c r="F847" s="1566"/>
      <c r="G847" s="1566"/>
      <c r="H847" s="1566"/>
      <c r="I847" s="1566"/>
    </row>
    <row r="848" spans="1:9" x14ac:dyDescent="0.3">
      <c r="A848" s="1410"/>
      <c r="B848" s="1410"/>
      <c r="C848" s="1410"/>
      <c r="D848" s="1566"/>
      <c r="E848" s="1566"/>
      <c r="F848" s="1566"/>
      <c r="G848" s="1566"/>
      <c r="H848" s="1566"/>
      <c r="I848" s="1566"/>
    </row>
    <row r="849" spans="1:9" x14ac:dyDescent="0.3">
      <c r="A849" s="1410"/>
      <c r="B849" s="1410"/>
      <c r="C849" s="1410"/>
      <c r="D849" s="1566"/>
      <c r="E849" s="1566"/>
      <c r="F849" s="1566"/>
      <c r="G849" s="1566"/>
      <c r="H849" s="1566"/>
      <c r="I849" s="1566"/>
    </row>
    <row r="850" spans="1:9" x14ac:dyDescent="0.3">
      <c r="A850" s="1410"/>
      <c r="B850" s="1410"/>
      <c r="C850" s="1410"/>
      <c r="D850" s="1566"/>
      <c r="E850" s="1566"/>
      <c r="F850" s="1566"/>
      <c r="G850" s="1566"/>
      <c r="H850" s="1566"/>
      <c r="I850" s="1566"/>
    </row>
    <row r="851" spans="1:9" x14ac:dyDescent="0.3">
      <c r="A851" s="1410"/>
      <c r="B851" s="1410"/>
      <c r="C851" s="1410"/>
      <c r="D851" s="1566"/>
      <c r="E851" s="1566"/>
      <c r="F851" s="1566"/>
      <c r="G851" s="1566"/>
      <c r="H851" s="1566"/>
      <c r="I851" s="1566"/>
    </row>
  </sheetData>
  <mergeCells count="6">
    <mergeCell ref="D2:E2"/>
    <mergeCell ref="F2:G2"/>
    <mergeCell ref="H2:I2"/>
    <mergeCell ref="D3:E3"/>
    <mergeCell ref="F3:G3"/>
    <mergeCell ref="H3:I3"/>
  </mergeCells>
  <pageMargins left="0.7" right="0.7" top="0.75" bottom="0.75" header="0.3" footer="0.3"/>
  <customProperties>
    <customPr name="SaaSBIProperties" r:id="rId1"/>
    <customPr name="SSCustomColumnsMapping" r:id="rId2"/>
  </customPropertie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1E4E-B810-4A3B-9A1A-86FCD2839EAA}">
  <sheetPr>
    <tabColor rgb="FF24A205"/>
  </sheetPr>
  <dimension ref="A1:I941"/>
  <sheetViews>
    <sheetView workbookViewId="0"/>
  </sheetViews>
  <sheetFormatPr defaultRowHeight="14.4" x14ac:dyDescent="0.3"/>
  <cols>
    <col min="1" max="1" width="10.5546875" bestFit="1" customWidth="1"/>
    <col min="2" max="2" width="38.21875" bestFit="1" customWidth="1"/>
    <col min="3" max="3" width="7.109375" style="159" bestFit="1" customWidth="1"/>
    <col min="4" max="9" width="17.33203125" style="792" bestFit="1" customWidth="1"/>
  </cols>
  <sheetData>
    <row r="1" spans="1:9" ht="31.35" customHeight="1" x14ac:dyDescent="0.3">
      <c r="A1" s="1522" t="s">
        <v>2002</v>
      </c>
      <c r="B1" s="1523"/>
      <c r="C1" s="1523"/>
      <c r="D1" s="1523"/>
      <c r="E1" s="1523"/>
      <c r="F1" s="1523"/>
      <c r="G1" s="1523"/>
      <c r="H1" s="1523"/>
      <c r="I1" s="1523"/>
    </row>
    <row r="2" spans="1:9" s="1410" customFormat="1" ht="15" thickBot="1" x14ac:dyDescent="0.35">
      <c r="A2" s="1524" t="s">
        <v>643</v>
      </c>
      <c r="B2" s="1524" t="s">
        <v>643</v>
      </c>
      <c r="C2" s="1527" t="s">
        <v>2003</v>
      </c>
      <c r="D2" s="1609" t="s">
        <v>496</v>
      </c>
      <c r="E2" s="1609"/>
      <c r="F2" s="1609" t="s">
        <v>642</v>
      </c>
      <c r="G2" s="1609"/>
      <c r="H2" s="1610" t="s">
        <v>71</v>
      </c>
      <c r="I2" s="1610"/>
    </row>
    <row r="3" spans="1:9" s="1410" customFormat="1" ht="15" thickTop="1" x14ac:dyDescent="0.3">
      <c r="A3" s="1524"/>
      <c r="B3" s="1524"/>
      <c r="C3" s="1524"/>
      <c r="D3" s="1611" t="s">
        <v>2040</v>
      </c>
      <c r="E3" s="1611"/>
      <c r="F3" s="1611" t="s">
        <v>2040</v>
      </c>
      <c r="G3" s="1611"/>
      <c r="H3" s="1612" t="s">
        <v>2040</v>
      </c>
      <c r="I3" s="1612"/>
    </row>
    <row r="4" spans="1:9" s="1410" customFormat="1" x14ac:dyDescent="0.3">
      <c r="A4" s="1525" t="s">
        <v>2004</v>
      </c>
      <c r="B4" s="1525" t="s">
        <v>894</v>
      </c>
      <c r="C4" s="1524"/>
      <c r="D4" s="1525" t="s">
        <v>251</v>
      </c>
      <c r="E4" s="1525" t="s">
        <v>252</v>
      </c>
      <c r="F4" s="1525" t="s">
        <v>251</v>
      </c>
      <c r="G4" s="1525" t="s">
        <v>252</v>
      </c>
      <c r="H4" s="1531" t="s">
        <v>251</v>
      </c>
      <c r="I4" s="1531" t="s">
        <v>252</v>
      </c>
    </row>
    <row r="5" spans="1:9" x14ac:dyDescent="0.3">
      <c r="A5" s="1525" t="s">
        <v>2041</v>
      </c>
      <c r="B5" s="1525" t="s">
        <v>2042</v>
      </c>
      <c r="C5" s="1524" t="s">
        <v>2006</v>
      </c>
      <c r="D5" s="1526">
        <v>0</v>
      </c>
      <c r="E5" s="1526">
        <v>0</v>
      </c>
      <c r="F5" s="1526">
        <v>449.4</v>
      </c>
      <c r="G5" s="1526">
        <v>0</v>
      </c>
      <c r="H5" s="1532">
        <v>449.4</v>
      </c>
      <c r="I5" s="1532">
        <v>0</v>
      </c>
    </row>
    <row r="6" spans="1:9" x14ac:dyDescent="0.3">
      <c r="A6" s="1525" t="s">
        <v>2005</v>
      </c>
      <c r="B6" s="1525" t="s">
        <v>1870</v>
      </c>
      <c r="C6" s="1524" t="s">
        <v>2006</v>
      </c>
      <c r="D6" s="1526">
        <v>0</v>
      </c>
      <c r="E6" s="1526">
        <v>0</v>
      </c>
      <c r="F6" s="1526">
        <v>0</v>
      </c>
      <c r="G6" s="1526">
        <v>175040.55</v>
      </c>
      <c r="H6" s="1532">
        <v>0</v>
      </c>
      <c r="I6" s="1532">
        <v>175040.55</v>
      </c>
    </row>
    <row r="7" spans="1:9" x14ac:dyDescent="0.3">
      <c r="A7" s="1525" t="s">
        <v>2005</v>
      </c>
      <c r="B7" s="1525" t="s">
        <v>1674</v>
      </c>
      <c r="C7" s="1524" t="s">
        <v>2006</v>
      </c>
      <c r="D7" s="1526">
        <v>0</v>
      </c>
      <c r="E7" s="1526">
        <v>307036.95</v>
      </c>
      <c r="F7" s="1526">
        <v>0</v>
      </c>
      <c r="G7" s="1526">
        <v>0</v>
      </c>
      <c r="H7" s="1532">
        <v>0</v>
      </c>
      <c r="I7" s="1532">
        <v>307036.95</v>
      </c>
    </row>
    <row r="8" spans="1:9" x14ac:dyDescent="0.3">
      <c r="A8" s="1525" t="s">
        <v>2010</v>
      </c>
      <c r="B8" s="1525" t="s">
        <v>2007</v>
      </c>
      <c r="C8" s="1524" t="s">
        <v>2006</v>
      </c>
      <c r="D8" s="1526">
        <v>0</v>
      </c>
      <c r="E8" s="1526">
        <v>0</v>
      </c>
      <c r="F8" s="1526">
        <v>0</v>
      </c>
      <c r="G8" s="1526">
        <v>373.45</v>
      </c>
      <c r="H8" s="1532">
        <v>0</v>
      </c>
      <c r="I8" s="1532">
        <v>373.45</v>
      </c>
    </row>
    <row r="9" spans="1:9" x14ac:dyDescent="0.3">
      <c r="A9" s="1525" t="s">
        <v>2008</v>
      </c>
      <c r="B9" s="1525" t="s">
        <v>2009</v>
      </c>
      <c r="C9" s="1524" t="s">
        <v>2006</v>
      </c>
      <c r="D9" s="1526">
        <v>0</v>
      </c>
      <c r="E9" s="1526">
        <v>0</v>
      </c>
      <c r="F9" s="1526">
        <v>0</v>
      </c>
      <c r="G9" s="1526">
        <v>0</v>
      </c>
      <c r="H9" s="1532">
        <v>0</v>
      </c>
      <c r="I9" s="1532">
        <v>0</v>
      </c>
    </row>
    <row r="10" spans="1:9" x14ac:dyDescent="0.3">
      <c r="A10" s="1525" t="s">
        <v>2027</v>
      </c>
      <c r="B10" s="1525" t="s">
        <v>1369</v>
      </c>
      <c r="C10" s="1524" t="s">
        <v>2006</v>
      </c>
      <c r="D10" s="1526">
        <v>31956.79</v>
      </c>
      <c r="E10" s="1526">
        <v>0</v>
      </c>
      <c r="F10" s="1526">
        <v>0</v>
      </c>
      <c r="G10" s="1526">
        <v>0</v>
      </c>
      <c r="H10" s="1532">
        <v>31956.79</v>
      </c>
      <c r="I10" s="1532">
        <v>0</v>
      </c>
    </row>
    <row r="11" spans="1:9" x14ac:dyDescent="0.3">
      <c r="A11" s="1525" t="s">
        <v>2043</v>
      </c>
      <c r="B11" s="1525" t="s">
        <v>2011</v>
      </c>
      <c r="C11" s="1524" t="s">
        <v>2006</v>
      </c>
      <c r="D11" s="1526">
        <v>0</v>
      </c>
      <c r="E11" s="1526">
        <v>53625</v>
      </c>
      <c r="F11" s="1526">
        <v>0</v>
      </c>
      <c r="G11" s="1526">
        <v>0</v>
      </c>
      <c r="H11" s="1532">
        <v>0</v>
      </c>
      <c r="I11" s="1532">
        <v>53625</v>
      </c>
    </row>
    <row r="12" spans="1:9" x14ac:dyDescent="0.3">
      <c r="A12" s="1525" t="s">
        <v>2044</v>
      </c>
      <c r="B12" s="1525" t="s">
        <v>2011</v>
      </c>
      <c r="C12" s="1524" t="s">
        <v>2006</v>
      </c>
      <c r="D12" s="1526">
        <v>0</v>
      </c>
      <c r="E12" s="1526">
        <v>0</v>
      </c>
      <c r="F12" s="1526">
        <v>0</v>
      </c>
      <c r="G12" s="1526">
        <v>60000</v>
      </c>
      <c r="H12" s="1532">
        <v>0</v>
      </c>
      <c r="I12" s="1532">
        <v>60000</v>
      </c>
    </row>
    <row r="13" spans="1:9" x14ac:dyDescent="0.3">
      <c r="A13" s="1525" t="s">
        <v>2180</v>
      </c>
      <c r="B13" s="1525" t="s">
        <v>2181</v>
      </c>
      <c r="C13" s="1524" t="s">
        <v>2006</v>
      </c>
      <c r="D13" s="1526">
        <v>0</v>
      </c>
      <c r="E13" s="1526">
        <v>67204</v>
      </c>
      <c r="F13" s="1526">
        <v>0</v>
      </c>
      <c r="G13" s="1526">
        <v>0</v>
      </c>
      <c r="H13" s="1532">
        <v>0</v>
      </c>
      <c r="I13" s="1532">
        <v>67204</v>
      </c>
    </row>
    <row r="14" spans="1:9" x14ac:dyDescent="0.3">
      <c r="A14" s="1525" t="s">
        <v>2023</v>
      </c>
      <c r="B14" s="1525" t="s">
        <v>2045</v>
      </c>
      <c r="C14" s="1524" t="s">
        <v>2006</v>
      </c>
      <c r="D14" s="1526">
        <v>0</v>
      </c>
      <c r="E14" s="1526">
        <v>0</v>
      </c>
      <c r="F14" s="1526">
        <v>65281.8</v>
      </c>
      <c r="G14" s="1526">
        <v>0</v>
      </c>
      <c r="H14" s="1532">
        <v>65281.8</v>
      </c>
      <c r="I14" s="1532">
        <v>0</v>
      </c>
    </row>
    <row r="15" spans="1:9" x14ac:dyDescent="0.3">
      <c r="A15" s="1525" t="s">
        <v>2046</v>
      </c>
      <c r="B15" s="1525" t="s">
        <v>2047</v>
      </c>
      <c r="C15" s="1524" t="s">
        <v>2006</v>
      </c>
      <c r="D15" s="1526">
        <v>0</v>
      </c>
      <c r="E15" s="1526">
        <v>0</v>
      </c>
      <c r="F15" s="1526">
        <v>0</v>
      </c>
      <c r="G15" s="1526">
        <v>5.5</v>
      </c>
      <c r="H15" s="1532">
        <v>0</v>
      </c>
      <c r="I15" s="1532">
        <v>5.5</v>
      </c>
    </row>
    <row r="16" spans="1:9" x14ac:dyDescent="0.3">
      <c r="A16" s="1525" t="s">
        <v>2031</v>
      </c>
      <c r="B16" s="1525" t="s">
        <v>1727</v>
      </c>
      <c r="C16" s="1524" t="s">
        <v>2006</v>
      </c>
      <c r="D16" s="1526">
        <v>1602.05</v>
      </c>
      <c r="E16" s="1526">
        <v>0</v>
      </c>
      <c r="F16" s="1526">
        <v>678.5</v>
      </c>
      <c r="G16" s="1526">
        <v>0</v>
      </c>
      <c r="H16" s="1532">
        <v>2280.5500000000002</v>
      </c>
      <c r="I16" s="1532">
        <v>0</v>
      </c>
    </row>
    <row r="17" spans="1:9" x14ac:dyDescent="0.3">
      <c r="A17" s="1525" t="s">
        <v>2048</v>
      </c>
      <c r="B17" s="1525" t="s">
        <v>2049</v>
      </c>
      <c r="C17" s="1524" t="s">
        <v>2006</v>
      </c>
      <c r="D17" s="1526">
        <v>0</v>
      </c>
      <c r="E17" s="1526">
        <v>0</v>
      </c>
      <c r="F17" s="1526">
        <v>0</v>
      </c>
      <c r="G17" s="1526">
        <v>0</v>
      </c>
      <c r="H17" s="1532">
        <v>0</v>
      </c>
      <c r="I17" s="1532">
        <v>0</v>
      </c>
    </row>
    <row r="18" spans="1:9" x14ac:dyDescent="0.3">
      <c r="A18" s="1525" t="s">
        <v>2050</v>
      </c>
      <c r="B18" s="1525" t="s">
        <v>2051</v>
      </c>
      <c r="C18" s="1524" t="s">
        <v>2006</v>
      </c>
      <c r="D18" s="1526">
        <v>0</v>
      </c>
      <c r="E18" s="1526">
        <v>0</v>
      </c>
      <c r="F18" s="1526">
        <v>0</v>
      </c>
      <c r="G18" s="1526">
        <v>59349.72</v>
      </c>
      <c r="H18" s="1532">
        <v>0</v>
      </c>
      <c r="I18" s="1532">
        <v>59349.72</v>
      </c>
    </row>
    <row r="19" spans="1:9" x14ac:dyDescent="0.3">
      <c r="A19" s="1525" t="s">
        <v>2012</v>
      </c>
      <c r="B19" s="1525" t="s">
        <v>2052</v>
      </c>
      <c r="C19" s="1524" t="s">
        <v>2006</v>
      </c>
      <c r="D19" s="1526">
        <v>0</v>
      </c>
      <c r="E19" s="1526">
        <v>101.64</v>
      </c>
      <c r="F19" s="1526">
        <v>0</v>
      </c>
      <c r="G19" s="1526">
        <v>0</v>
      </c>
      <c r="H19" s="1532">
        <v>0</v>
      </c>
      <c r="I19" s="1532">
        <v>101.64</v>
      </c>
    </row>
    <row r="20" spans="1:9" x14ac:dyDescent="0.3">
      <c r="A20" s="1525" t="s">
        <v>2053</v>
      </c>
      <c r="B20" s="1525" t="s">
        <v>2054</v>
      </c>
      <c r="C20" s="1524" t="s">
        <v>2006</v>
      </c>
      <c r="D20" s="1526">
        <v>0</v>
      </c>
      <c r="E20" s="1526">
        <v>0</v>
      </c>
      <c r="F20" s="1526">
        <v>0</v>
      </c>
      <c r="G20" s="1526">
        <v>24</v>
      </c>
      <c r="H20" s="1532">
        <v>0</v>
      </c>
      <c r="I20" s="1532">
        <v>24</v>
      </c>
    </row>
    <row r="21" spans="1:9" x14ac:dyDescent="0.3">
      <c r="A21" s="1525" t="s">
        <v>2055</v>
      </c>
      <c r="B21" s="1525" t="s">
        <v>2056</v>
      </c>
      <c r="C21" s="1524" t="s">
        <v>2006</v>
      </c>
      <c r="D21" s="1526">
        <v>0</v>
      </c>
      <c r="E21" s="1526">
        <v>0</v>
      </c>
      <c r="F21" s="1526">
        <v>0</v>
      </c>
      <c r="G21" s="1526">
        <v>12</v>
      </c>
      <c r="H21" s="1532">
        <v>0</v>
      </c>
      <c r="I21" s="1532">
        <v>12</v>
      </c>
    </row>
    <row r="22" spans="1:9" x14ac:dyDescent="0.3">
      <c r="A22" s="1525" t="s">
        <v>2057</v>
      </c>
      <c r="B22" s="1525" t="s">
        <v>2058</v>
      </c>
      <c r="C22" s="1524" t="s">
        <v>2006</v>
      </c>
      <c r="D22" s="1526">
        <v>0</v>
      </c>
      <c r="E22" s="1526">
        <v>0</v>
      </c>
      <c r="F22" s="1526">
        <v>0</v>
      </c>
      <c r="G22" s="1526">
        <v>12</v>
      </c>
      <c r="H22" s="1532">
        <v>0</v>
      </c>
      <c r="I22" s="1532">
        <v>12</v>
      </c>
    </row>
    <row r="23" spans="1:9" x14ac:dyDescent="0.3">
      <c r="A23" s="1525" t="s">
        <v>2059</v>
      </c>
      <c r="B23" s="1525" t="s">
        <v>1162</v>
      </c>
      <c r="C23" s="1524" t="s">
        <v>2006</v>
      </c>
      <c r="D23" s="1526">
        <v>0</v>
      </c>
      <c r="E23" s="1526">
        <v>0</v>
      </c>
      <c r="F23" s="1526">
        <v>225291.05</v>
      </c>
      <c r="G23" s="1526">
        <v>0</v>
      </c>
      <c r="H23" s="1532">
        <v>225291.05</v>
      </c>
      <c r="I23" s="1532">
        <v>0</v>
      </c>
    </row>
    <row r="24" spans="1:9" x14ac:dyDescent="0.3">
      <c r="A24" s="1525" t="s">
        <v>2060</v>
      </c>
      <c r="B24" s="1525" t="s">
        <v>1177</v>
      </c>
      <c r="C24" s="1524" t="s">
        <v>2006</v>
      </c>
      <c r="D24" s="1526">
        <v>93000</v>
      </c>
      <c r="E24" s="1526">
        <v>0</v>
      </c>
      <c r="F24" s="1526">
        <v>0</v>
      </c>
      <c r="G24" s="1526">
        <v>0</v>
      </c>
      <c r="H24" s="1532">
        <v>93000</v>
      </c>
      <c r="I24" s="1532">
        <v>0</v>
      </c>
    </row>
    <row r="25" spans="1:9" x14ac:dyDescent="0.3">
      <c r="A25" s="1525" t="s">
        <v>2020</v>
      </c>
      <c r="B25" s="1525" t="s">
        <v>2061</v>
      </c>
      <c r="C25" s="1524" t="s">
        <v>2006</v>
      </c>
      <c r="D25" s="1526">
        <v>0</v>
      </c>
      <c r="E25" s="1526">
        <v>0</v>
      </c>
      <c r="F25" s="1526">
        <v>0</v>
      </c>
      <c r="G25" s="1526">
        <v>98.09</v>
      </c>
      <c r="H25" s="1532">
        <v>0</v>
      </c>
      <c r="I25" s="1532">
        <v>98.09</v>
      </c>
    </row>
    <row r="26" spans="1:9" x14ac:dyDescent="0.3">
      <c r="A26" s="1525" t="s">
        <v>2189</v>
      </c>
      <c r="B26" s="1525" t="s">
        <v>1047</v>
      </c>
      <c r="C26" s="1524" t="s">
        <v>2006</v>
      </c>
      <c r="D26" s="1526">
        <v>0</v>
      </c>
      <c r="E26" s="1526">
        <v>0</v>
      </c>
      <c r="F26" s="1526">
        <v>322512.24</v>
      </c>
      <c r="G26" s="1526">
        <v>0</v>
      </c>
      <c r="H26" s="1532">
        <v>322512.24</v>
      </c>
      <c r="I26" s="1532">
        <v>0</v>
      </c>
    </row>
    <row r="27" spans="1:9" x14ac:dyDescent="0.3">
      <c r="A27" s="1525" t="s">
        <v>2062</v>
      </c>
      <c r="B27" s="1525" t="s">
        <v>2063</v>
      </c>
      <c r="C27" s="1524" t="s">
        <v>2006</v>
      </c>
      <c r="D27" s="1526">
        <v>0</v>
      </c>
      <c r="E27" s="1526">
        <v>0</v>
      </c>
      <c r="F27" s="1526">
        <v>4655.68</v>
      </c>
      <c r="G27" s="1526">
        <v>0</v>
      </c>
      <c r="H27" s="1532">
        <v>4655.68</v>
      </c>
      <c r="I27" s="1532">
        <v>0</v>
      </c>
    </row>
    <row r="28" spans="1:9" x14ac:dyDescent="0.3">
      <c r="A28" s="1525" t="s">
        <v>2064</v>
      </c>
      <c r="B28" s="1525" t="s">
        <v>2065</v>
      </c>
      <c r="C28" s="1524" t="s">
        <v>2006</v>
      </c>
      <c r="D28" s="1526">
        <v>0</v>
      </c>
      <c r="E28" s="1526">
        <v>0</v>
      </c>
      <c r="F28" s="1526">
        <v>887.29</v>
      </c>
      <c r="G28" s="1526">
        <v>0</v>
      </c>
      <c r="H28" s="1532">
        <v>887.29</v>
      </c>
      <c r="I28" s="1532">
        <v>0</v>
      </c>
    </row>
    <row r="29" spans="1:9" x14ac:dyDescent="0.3">
      <c r="A29" s="1525" t="s">
        <v>2019</v>
      </c>
      <c r="B29" s="1525" t="s">
        <v>685</v>
      </c>
      <c r="C29" s="1524" t="s">
        <v>2006</v>
      </c>
      <c r="D29" s="1526">
        <v>0</v>
      </c>
      <c r="E29" s="1526">
        <v>206894.93</v>
      </c>
      <c r="F29" s="1526">
        <v>0</v>
      </c>
      <c r="G29" s="1526">
        <v>0</v>
      </c>
      <c r="H29" s="1532">
        <v>0</v>
      </c>
      <c r="I29" s="1532">
        <v>206894.93</v>
      </c>
    </row>
    <row r="30" spans="1:9" x14ac:dyDescent="0.3">
      <c r="A30" s="1525" t="s">
        <v>2018</v>
      </c>
      <c r="B30" s="1525" t="s">
        <v>502</v>
      </c>
      <c r="C30" s="1524" t="s">
        <v>2006</v>
      </c>
      <c r="D30" s="1526">
        <v>556400</v>
      </c>
      <c r="E30" s="1526">
        <v>0</v>
      </c>
      <c r="F30" s="1526">
        <v>0</v>
      </c>
      <c r="G30" s="1526">
        <v>0</v>
      </c>
      <c r="H30" s="1532">
        <v>556400</v>
      </c>
      <c r="I30" s="1532">
        <v>0</v>
      </c>
    </row>
    <row r="31" spans="1:9" x14ac:dyDescent="0.3">
      <c r="A31" s="1525" t="s">
        <v>2066</v>
      </c>
      <c r="B31" s="1525" t="s">
        <v>2067</v>
      </c>
      <c r="C31" s="1524" t="s">
        <v>2006</v>
      </c>
      <c r="D31" s="1526">
        <v>0</v>
      </c>
      <c r="E31" s="1526">
        <v>0</v>
      </c>
      <c r="F31" s="1526">
        <v>0</v>
      </c>
      <c r="G31" s="1526">
        <v>0</v>
      </c>
      <c r="H31" s="1532">
        <v>0</v>
      </c>
      <c r="I31" s="1532">
        <v>0</v>
      </c>
    </row>
    <row r="32" spans="1:9" x14ac:dyDescent="0.3">
      <c r="A32" s="1525" t="s">
        <v>2182</v>
      </c>
      <c r="B32" s="1525" t="s">
        <v>686</v>
      </c>
      <c r="C32" s="1524" t="s">
        <v>2006</v>
      </c>
      <c r="D32" s="1526">
        <v>0</v>
      </c>
      <c r="E32" s="1526">
        <v>0</v>
      </c>
      <c r="F32" s="1526">
        <v>0</v>
      </c>
      <c r="G32" s="1526">
        <v>0</v>
      </c>
      <c r="H32" s="1532">
        <v>0</v>
      </c>
      <c r="I32" s="1532">
        <v>0</v>
      </c>
    </row>
    <row r="33" spans="1:9" x14ac:dyDescent="0.3">
      <c r="A33" s="1525" t="s">
        <v>2068</v>
      </c>
      <c r="B33" s="1525" t="s">
        <v>2069</v>
      </c>
      <c r="C33" s="1524" t="s">
        <v>2006</v>
      </c>
      <c r="D33" s="1526">
        <v>0</v>
      </c>
      <c r="E33" s="1526">
        <v>0</v>
      </c>
      <c r="F33" s="1526">
        <v>5306.24</v>
      </c>
      <c r="G33" s="1526">
        <v>0</v>
      </c>
      <c r="H33" s="1532">
        <v>5306.24</v>
      </c>
      <c r="I33" s="1532">
        <v>0</v>
      </c>
    </row>
    <row r="34" spans="1:9" x14ac:dyDescent="0.3">
      <c r="A34" s="1525" t="s">
        <v>2070</v>
      </c>
      <c r="B34" s="1525" t="s">
        <v>2071</v>
      </c>
      <c r="C34" s="1524" t="s">
        <v>2006</v>
      </c>
      <c r="D34" s="1526">
        <v>0</v>
      </c>
      <c r="E34" s="1526">
        <v>0</v>
      </c>
      <c r="F34" s="1526">
        <v>0</v>
      </c>
      <c r="G34" s="1526">
        <v>0</v>
      </c>
      <c r="H34" s="1532">
        <v>0</v>
      </c>
      <c r="I34" s="1532">
        <v>0</v>
      </c>
    </row>
    <row r="35" spans="1:9" x14ac:dyDescent="0.3">
      <c r="A35" s="1525" t="s">
        <v>2033</v>
      </c>
      <c r="B35" s="1525" t="s">
        <v>2072</v>
      </c>
      <c r="C35" s="1524" t="s">
        <v>2006</v>
      </c>
      <c r="D35" s="1526">
        <v>0</v>
      </c>
      <c r="E35" s="1526">
        <v>0</v>
      </c>
      <c r="F35" s="1526">
        <v>0</v>
      </c>
      <c r="G35" s="1526">
        <v>0</v>
      </c>
      <c r="H35" s="1532">
        <v>0</v>
      </c>
      <c r="I35" s="1532">
        <v>0</v>
      </c>
    </row>
    <row r="36" spans="1:9" x14ac:dyDescent="0.3">
      <c r="A36" s="1525" t="s">
        <v>2073</v>
      </c>
      <c r="B36" s="1525" t="s">
        <v>2074</v>
      </c>
      <c r="C36" s="1524" t="s">
        <v>2006</v>
      </c>
      <c r="D36" s="1526">
        <v>0</v>
      </c>
      <c r="E36" s="1526">
        <v>0</v>
      </c>
      <c r="F36" s="1526">
        <v>0</v>
      </c>
      <c r="G36" s="1526">
        <v>0</v>
      </c>
      <c r="H36" s="1532">
        <v>0</v>
      </c>
      <c r="I36" s="1532">
        <v>0</v>
      </c>
    </row>
    <row r="37" spans="1:9" x14ac:dyDescent="0.3">
      <c r="A37" s="1525" t="s">
        <v>2075</v>
      </c>
      <c r="B37" s="1525" t="s">
        <v>2076</v>
      </c>
      <c r="C37" s="1524" t="s">
        <v>2006</v>
      </c>
      <c r="D37" s="1526">
        <v>0</v>
      </c>
      <c r="E37" s="1526">
        <v>0</v>
      </c>
      <c r="F37" s="1526">
        <v>0</v>
      </c>
      <c r="G37" s="1526">
        <v>0</v>
      </c>
      <c r="H37" s="1532">
        <v>0</v>
      </c>
      <c r="I37" s="1532">
        <v>0</v>
      </c>
    </row>
    <row r="38" spans="1:9" x14ac:dyDescent="0.3">
      <c r="A38" s="1525" t="s">
        <v>2077</v>
      </c>
      <c r="B38" s="1525" t="s">
        <v>2078</v>
      </c>
      <c r="C38" s="1524" t="s">
        <v>2006</v>
      </c>
      <c r="D38" s="1526">
        <v>0</v>
      </c>
      <c r="E38" s="1526">
        <v>0</v>
      </c>
      <c r="F38" s="1526">
        <v>0</v>
      </c>
      <c r="G38" s="1526">
        <v>0</v>
      </c>
      <c r="H38" s="1532">
        <v>0</v>
      </c>
      <c r="I38" s="1532">
        <v>0</v>
      </c>
    </row>
    <row r="39" spans="1:9" x14ac:dyDescent="0.3">
      <c r="A39" s="1525" t="s">
        <v>2079</v>
      </c>
      <c r="B39" s="1525" t="s">
        <v>2080</v>
      </c>
      <c r="C39" s="1524" t="s">
        <v>2006</v>
      </c>
      <c r="D39" s="1526">
        <v>0</v>
      </c>
      <c r="E39" s="1526">
        <v>937.65</v>
      </c>
      <c r="F39" s="1526">
        <v>0</v>
      </c>
      <c r="G39" s="1526">
        <v>0</v>
      </c>
      <c r="H39" s="1532">
        <v>0</v>
      </c>
      <c r="I39" s="1532">
        <v>937.65</v>
      </c>
    </row>
    <row r="40" spans="1:9" x14ac:dyDescent="0.3">
      <c r="A40" s="1525" t="s">
        <v>2081</v>
      </c>
      <c r="B40" s="1525" t="s">
        <v>2082</v>
      </c>
      <c r="C40" s="1524" t="s">
        <v>2006</v>
      </c>
      <c r="D40" s="1526">
        <v>0</v>
      </c>
      <c r="E40" s="1526">
        <v>900</v>
      </c>
      <c r="F40" s="1526">
        <v>0</v>
      </c>
      <c r="G40" s="1526">
        <v>0</v>
      </c>
      <c r="H40" s="1532">
        <v>0</v>
      </c>
      <c r="I40" s="1532">
        <v>900</v>
      </c>
    </row>
    <row r="41" spans="1:9" x14ac:dyDescent="0.3">
      <c r="A41" s="1525" t="s">
        <v>2083</v>
      </c>
      <c r="B41" s="1525" t="s">
        <v>2084</v>
      </c>
      <c r="C41" s="1524" t="s">
        <v>2006</v>
      </c>
      <c r="D41" s="1526">
        <v>0</v>
      </c>
      <c r="E41" s="1526">
        <v>0</v>
      </c>
      <c r="F41" s="1526">
        <v>0</v>
      </c>
      <c r="G41" s="1526">
        <v>0</v>
      </c>
      <c r="H41" s="1532">
        <v>0</v>
      </c>
      <c r="I41" s="1532">
        <v>0</v>
      </c>
    </row>
    <row r="42" spans="1:9" x14ac:dyDescent="0.3">
      <c r="A42" s="1525" t="s">
        <v>2085</v>
      </c>
      <c r="B42" s="1525" t="s">
        <v>2086</v>
      </c>
      <c r="C42" s="1524" t="s">
        <v>2006</v>
      </c>
      <c r="D42" s="1526">
        <v>0</v>
      </c>
      <c r="E42" s="1526">
        <v>3500</v>
      </c>
      <c r="F42" s="1526">
        <v>0</v>
      </c>
      <c r="G42" s="1526">
        <v>0</v>
      </c>
      <c r="H42" s="1532">
        <v>0</v>
      </c>
      <c r="I42" s="1532">
        <v>3500</v>
      </c>
    </row>
    <row r="43" spans="1:9" x14ac:dyDescent="0.3">
      <c r="A43" s="1525" t="s">
        <v>2087</v>
      </c>
      <c r="B43" s="1525" t="s">
        <v>2088</v>
      </c>
      <c r="C43" s="1524" t="s">
        <v>2006</v>
      </c>
      <c r="D43" s="1526">
        <v>0</v>
      </c>
      <c r="E43" s="1526">
        <v>0</v>
      </c>
      <c r="F43" s="1526">
        <v>0</v>
      </c>
      <c r="G43" s="1526">
        <v>29.16</v>
      </c>
      <c r="H43" s="1532">
        <v>0</v>
      </c>
      <c r="I43" s="1532">
        <v>29.16</v>
      </c>
    </row>
    <row r="44" spans="1:9" x14ac:dyDescent="0.3">
      <c r="A44" s="1525" t="s">
        <v>2089</v>
      </c>
      <c r="B44" s="1525" t="s">
        <v>2016</v>
      </c>
      <c r="C44" s="1524" t="s">
        <v>2006</v>
      </c>
      <c r="D44" s="1526">
        <v>1771.23</v>
      </c>
      <c r="E44" s="1526">
        <v>0</v>
      </c>
      <c r="F44" s="1526">
        <v>0</v>
      </c>
      <c r="G44" s="1526">
        <v>0</v>
      </c>
      <c r="H44" s="1532">
        <v>1771.23</v>
      </c>
      <c r="I44" s="1532">
        <v>0</v>
      </c>
    </row>
    <row r="45" spans="1:9" x14ac:dyDescent="0.3">
      <c r="A45" s="1525" t="s">
        <v>2090</v>
      </c>
      <c r="B45" s="1525" t="s">
        <v>2017</v>
      </c>
      <c r="C45" s="1524" t="s">
        <v>2006</v>
      </c>
      <c r="D45" s="1526">
        <v>0</v>
      </c>
      <c r="E45" s="1526">
        <v>0</v>
      </c>
      <c r="F45" s="1526">
        <v>42.78</v>
      </c>
      <c r="G45" s="1526">
        <v>0</v>
      </c>
      <c r="H45" s="1532">
        <v>42.78</v>
      </c>
      <c r="I45" s="1532">
        <v>0</v>
      </c>
    </row>
    <row r="46" spans="1:9" x14ac:dyDescent="0.3">
      <c r="A46" s="1525" t="s">
        <v>2091</v>
      </c>
      <c r="B46" s="1525" t="s">
        <v>2092</v>
      </c>
      <c r="C46" s="1524" t="s">
        <v>2006</v>
      </c>
      <c r="D46" s="1526">
        <v>0</v>
      </c>
      <c r="E46" s="1526">
        <v>0</v>
      </c>
      <c r="F46" s="1526">
        <v>1350.8</v>
      </c>
      <c r="G46" s="1526">
        <v>0</v>
      </c>
      <c r="H46" s="1532">
        <v>1350.8</v>
      </c>
      <c r="I46" s="1532">
        <v>0</v>
      </c>
    </row>
    <row r="47" spans="1:9" x14ac:dyDescent="0.3">
      <c r="A47" s="1525" t="s">
        <v>2093</v>
      </c>
      <c r="B47" s="1525" t="s">
        <v>2094</v>
      </c>
      <c r="C47" s="1524" t="s">
        <v>2006</v>
      </c>
      <c r="D47" s="1526">
        <v>0</v>
      </c>
      <c r="E47" s="1526">
        <v>0</v>
      </c>
      <c r="F47" s="1526">
        <v>4540.67</v>
      </c>
      <c r="G47" s="1526">
        <v>0</v>
      </c>
      <c r="H47" s="1532">
        <v>4540.67</v>
      </c>
      <c r="I47" s="1532">
        <v>0</v>
      </c>
    </row>
    <row r="48" spans="1:9" x14ac:dyDescent="0.3">
      <c r="A48" s="1525" t="s">
        <v>2095</v>
      </c>
      <c r="B48" s="1525" t="s">
        <v>2096</v>
      </c>
      <c r="C48" s="1524" t="s">
        <v>2006</v>
      </c>
      <c r="D48" s="1526">
        <v>0</v>
      </c>
      <c r="E48" s="1526">
        <v>0</v>
      </c>
      <c r="F48" s="1526">
        <v>1288.7</v>
      </c>
      <c r="G48" s="1526">
        <v>0</v>
      </c>
      <c r="H48" s="1532">
        <v>1288.7</v>
      </c>
      <c r="I48" s="1532">
        <v>0</v>
      </c>
    </row>
    <row r="49" spans="1:9" x14ac:dyDescent="0.3">
      <c r="A49" s="1525" t="s">
        <v>2097</v>
      </c>
      <c r="B49" s="1525" t="s">
        <v>2098</v>
      </c>
      <c r="C49" s="1524" t="s">
        <v>2006</v>
      </c>
      <c r="D49" s="1526">
        <v>0</v>
      </c>
      <c r="E49" s="1526">
        <v>0</v>
      </c>
      <c r="F49" s="1526">
        <v>389.61</v>
      </c>
      <c r="G49" s="1526">
        <v>0</v>
      </c>
      <c r="H49" s="1532">
        <v>389.61</v>
      </c>
      <c r="I49" s="1532">
        <v>0</v>
      </c>
    </row>
    <row r="50" spans="1:9" x14ac:dyDescent="0.3">
      <c r="A50" s="1525" t="s">
        <v>2099</v>
      </c>
      <c r="B50" s="1525" t="s">
        <v>2100</v>
      </c>
      <c r="C50" s="1524" t="s">
        <v>2006</v>
      </c>
      <c r="D50" s="1526">
        <v>0</v>
      </c>
      <c r="E50" s="1526">
        <v>0</v>
      </c>
      <c r="F50" s="1526">
        <v>0</v>
      </c>
      <c r="G50" s="1526">
        <v>0</v>
      </c>
      <c r="H50" s="1532">
        <v>0</v>
      </c>
      <c r="I50" s="1532">
        <v>0</v>
      </c>
    </row>
    <row r="51" spans="1:9" x14ac:dyDescent="0.3">
      <c r="A51" s="1525" t="s">
        <v>2095</v>
      </c>
      <c r="B51" s="1525" t="s">
        <v>1713</v>
      </c>
      <c r="C51" s="1524" t="s">
        <v>2006</v>
      </c>
      <c r="D51" s="1526">
        <v>31778.63</v>
      </c>
      <c r="E51" s="1526">
        <v>0</v>
      </c>
      <c r="F51" s="1526">
        <v>0</v>
      </c>
      <c r="G51" s="1526">
        <v>0</v>
      </c>
      <c r="H51" s="1532">
        <v>31778.63</v>
      </c>
      <c r="I51" s="1532">
        <v>0</v>
      </c>
    </row>
    <row r="52" spans="1:9" x14ac:dyDescent="0.3">
      <c r="A52" s="1525" t="s">
        <v>2101</v>
      </c>
      <c r="B52" s="1525" t="s">
        <v>2102</v>
      </c>
      <c r="C52" s="1524" t="s">
        <v>2006</v>
      </c>
      <c r="D52" s="1526">
        <v>0</v>
      </c>
      <c r="E52" s="1526">
        <v>0</v>
      </c>
      <c r="F52" s="1526">
        <v>2566.8200000000002</v>
      </c>
      <c r="G52" s="1526">
        <v>0</v>
      </c>
      <c r="H52" s="1532">
        <v>2566.8200000000002</v>
      </c>
      <c r="I52" s="1532">
        <v>0</v>
      </c>
    </row>
    <row r="53" spans="1:9" x14ac:dyDescent="0.3">
      <c r="A53" s="1525" t="s">
        <v>2025</v>
      </c>
      <c r="B53" s="1525" t="s">
        <v>494</v>
      </c>
      <c r="C53" s="1524" t="s">
        <v>2006</v>
      </c>
      <c r="D53" s="1526">
        <v>26182.36</v>
      </c>
      <c r="E53" s="1526">
        <v>0</v>
      </c>
      <c r="F53" s="1526">
        <v>0</v>
      </c>
      <c r="G53" s="1526">
        <v>0</v>
      </c>
      <c r="H53" s="1532">
        <v>26182.36</v>
      </c>
      <c r="I53" s="1532">
        <v>0</v>
      </c>
    </row>
    <row r="54" spans="1:9" x14ac:dyDescent="0.3">
      <c r="A54" s="1525" t="s">
        <v>2183</v>
      </c>
      <c r="B54" s="1525" t="s">
        <v>732</v>
      </c>
      <c r="C54" s="1524" t="s">
        <v>2006</v>
      </c>
      <c r="D54" s="1526">
        <v>450000</v>
      </c>
      <c r="E54" s="1526">
        <v>0</v>
      </c>
      <c r="F54" s="1526">
        <v>0</v>
      </c>
      <c r="G54" s="1526">
        <v>0</v>
      </c>
      <c r="H54" s="1532">
        <v>450000</v>
      </c>
      <c r="I54" s="1532">
        <v>0</v>
      </c>
    </row>
    <row r="55" spans="1:9" x14ac:dyDescent="0.3">
      <c r="A55" s="1525" t="s">
        <v>2103</v>
      </c>
      <c r="B55" s="1525" t="s">
        <v>2104</v>
      </c>
      <c r="C55" s="1524" t="s">
        <v>2006</v>
      </c>
      <c r="D55" s="1526">
        <v>109064.08</v>
      </c>
      <c r="E55" s="1526">
        <v>0</v>
      </c>
      <c r="F55" s="1526">
        <v>0</v>
      </c>
      <c r="G55" s="1526">
        <v>0</v>
      </c>
      <c r="H55" s="1532">
        <v>109064.08</v>
      </c>
      <c r="I55" s="1532">
        <v>0</v>
      </c>
    </row>
    <row r="56" spans="1:9" x14ac:dyDescent="0.3">
      <c r="A56" s="1525" t="s">
        <v>2105</v>
      </c>
      <c r="B56" s="1525" t="s">
        <v>2106</v>
      </c>
      <c r="C56" s="1524" t="s">
        <v>2006</v>
      </c>
      <c r="D56" s="1526">
        <v>0</v>
      </c>
      <c r="E56" s="1526">
        <v>0</v>
      </c>
      <c r="F56" s="1526">
        <v>0</v>
      </c>
      <c r="G56" s="1526">
        <v>109089.96</v>
      </c>
      <c r="H56" s="1532">
        <v>0</v>
      </c>
      <c r="I56" s="1532">
        <v>109089.96</v>
      </c>
    </row>
    <row r="57" spans="1:9" x14ac:dyDescent="0.3">
      <c r="A57" s="1525" t="s">
        <v>2014</v>
      </c>
      <c r="B57" s="1525" t="s">
        <v>26</v>
      </c>
      <c r="C57" s="1524" t="s">
        <v>2006</v>
      </c>
      <c r="D57" s="1526">
        <v>37565</v>
      </c>
      <c r="E57" s="1526">
        <v>0</v>
      </c>
      <c r="F57" s="1526">
        <v>7666.57</v>
      </c>
      <c r="G57" s="1526">
        <v>0</v>
      </c>
      <c r="H57" s="1532">
        <v>45231.57</v>
      </c>
      <c r="I57" s="1532">
        <v>0</v>
      </c>
    </row>
    <row r="58" spans="1:9" x14ac:dyDescent="0.3">
      <c r="A58" s="1525" t="s">
        <v>2107</v>
      </c>
      <c r="B58" s="1525" t="s">
        <v>37</v>
      </c>
      <c r="C58" s="1524" t="s">
        <v>2006</v>
      </c>
      <c r="D58" s="1526">
        <v>0</v>
      </c>
      <c r="E58" s="1526">
        <v>0</v>
      </c>
      <c r="F58" s="1526">
        <v>0</v>
      </c>
      <c r="G58" s="1526">
        <v>13.5</v>
      </c>
      <c r="H58" s="1532">
        <v>0</v>
      </c>
      <c r="I58" s="1532">
        <v>13.5</v>
      </c>
    </row>
    <row r="59" spans="1:9" x14ac:dyDescent="0.3">
      <c r="A59" s="1525" t="s">
        <v>2108</v>
      </c>
      <c r="B59" s="1525" t="s">
        <v>2109</v>
      </c>
      <c r="C59" s="1524" t="s">
        <v>2006</v>
      </c>
      <c r="D59" s="1526">
        <v>0</v>
      </c>
      <c r="E59" s="1526">
        <v>0</v>
      </c>
      <c r="F59" s="1526">
        <v>242.6</v>
      </c>
      <c r="G59" s="1526">
        <v>0</v>
      </c>
      <c r="H59" s="1532">
        <v>242.6</v>
      </c>
      <c r="I59" s="1532">
        <v>0</v>
      </c>
    </row>
    <row r="60" spans="1:9" x14ac:dyDescent="0.3">
      <c r="A60" s="1525" t="s">
        <v>2110</v>
      </c>
      <c r="B60" s="1525" t="s">
        <v>2111</v>
      </c>
      <c r="C60" s="1524" t="s">
        <v>2006</v>
      </c>
      <c r="D60" s="1526">
        <v>0</v>
      </c>
      <c r="E60" s="1526">
        <v>0</v>
      </c>
      <c r="F60" s="1526">
        <v>6.04</v>
      </c>
      <c r="G60" s="1526">
        <v>0</v>
      </c>
      <c r="H60" s="1532">
        <v>6.04</v>
      </c>
      <c r="I60" s="1532">
        <v>0</v>
      </c>
    </row>
    <row r="61" spans="1:9" x14ac:dyDescent="0.3">
      <c r="A61" s="1525" t="s">
        <v>2184</v>
      </c>
      <c r="B61" s="1525" t="s">
        <v>2185</v>
      </c>
      <c r="C61" s="1524" t="s">
        <v>2006</v>
      </c>
      <c r="D61" s="1526">
        <v>6000000</v>
      </c>
      <c r="E61" s="1526">
        <v>0</v>
      </c>
      <c r="F61" s="1526">
        <v>0</v>
      </c>
      <c r="G61" s="1526">
        <v>0</v>
      </c>
      <c r="H61" s="1532">
        <v>6000000</v>
      </c>
      <c r="I61" s="1532">
        <v>0</v>
      </c>
    </row>
    <row r="62" spans="1:9" x14ac:dyDescent="0.3">
      <c r="A62" s="1525" t="s">
        <v>2059</v>
      </c>
      <c r="B62" s="1525" t="s">
        <v>1730</v>
      </c>
      <c r="C62" s="1524" t="s">
        <v>2006</v>
      </c>
      <c r="D62" s="1526">
        <v>133276.85</v>
      </c>
      <c r="E62" s="1526">
        <v>0</v>
      </c>
      <c r="F62" s="1526">
        <v>0</v>
      </c>
      <c r="G62" s="1526">
        <v>0</v>
      </c>
      <c r="H62" s="1532">
        <v>133276.85</v>
      </c>
      <c r="I62" s="1532">
        <v>0</v>
      </c>
    </row>
    <row r="63" spans="1:9" x14ac:dyDescent="0.3">
      <c r="A63" s="1525" t="s">
        <v>2112</v>
      </c>
      <c r="B63" s="1525" t="s">
        <v>2113</v>
      </c>
      <c r="C63" s="1524" t="s">
        <v>2006</v>
      </c>
      <c r="D63" s="1526">
        <v>0</v>
      </c>
      <c r="E63" s="1526">
        <v>0</v>
      </c>
      <c r="F63" s="1526">
        <v>0</v>
      </c>
      <c r="G63" s="1526">
        <v>556400</v>
      </c>
      <c r="H63" s="1532">
        <v>0</v>
      </c>
      <c r="I63" s="1532">
        <v>556400</v>
      </c>
    </row>
    <row r="64" spans="1:9" x14ac:dyDescent="0.3">
      <c r="A64" s="1525" t="s">
        <v>2032</v>
      </c>
      <c r="B64" s="1525" t="s">
        <v>27</v>
      </c>
      <c r="C64" s="1524" t="s">
        <v>2006</v>
      </c>
      <c r="D64" s="1526">
        <v>0</v>
      </c>
      <c r="E64" s="1526">
        <v>0</v>
      </c>
      <c r="F64" s="1526">
        <v>934.17</v>
      </c>
      <c r="G64" s="1526">
        <v>0</v>
      </c>
      <c r="H64" s="1532">
        <v>934.17</v>
      </c>
      <c r="I64" s="1532">
        <v>0</v>
      </c>
    </row>
    <row r="65" spans="1:9" x14ac:dyDescent="0.3">
      <c r="A65" s="1525" t="s">
        <v>2114</v>
      </c>
      <c r="B65" s="1525" t="s">
        <v>1775</v>
      </c>
      <c r="C65" s="1524" t="s">
        <v>2006</v>
      </c>
      <c r="D65" s="1526">
        <v>0</v>
      </c>
      <c r="E65" s="1526">
        <v>0</v>
      </c>
      <c r="F65" s="1526">
        <v>116.46</v>
      </c>
      <c r="G65" s="1526">
        <v>0</v>
      </c>
      <c r="H65" s="1532">
        <v>116.46</v>
      </c>
      <c r="I65" s="1532">
        <v>0</v>
      </c>
    </row>
    <row r="66" spans="1:9" x14ac:dyDescent="0.3">
      <c r="A66" s="1525" t="s">
        <v>2024</v>
      </c>
      <c r="B66" s="1525" t="s">
        <v>200</v>
      </c>
      <c r="C66" s="1524" t="s">
        <v>2006</v>
      </c>
      <c r="D66" s="1526">
        <v>64.319999999999993</v>
      </c>
      <c r="E66" s="1526">
        <v>0</v>
      </c>
      <c r="F66" s="1526">
        <v>0</v>
      </c>
      <c r="G66" s="1526">
        <v>0</v>
      </c>
      <c r="H66" s="1532">
        <v>64.319999999999993</v>
      </c>
      <c r="I66" s="1532">
        <v>0</v>
      </c>
    </row>
    <row r="67" spans="1:9" x14ac:dyDescent="0.3">
      <c r="A67" s="1525" t="s">
        <v>2115</v>
      </c>
      <c r="B67" s="1525" t="s">
        <v>2116</v>
      </c>
      <c r="C67" s="1524" t="s">
        <v>2006</v>
      </c>
      <c r="D67" s="1526">
        <v>0</v>
      </c>
      <c r="E67" s="1526">
        <v>0</v>
      </c>
      <c r="F67" s="1526">
        <v>1697.62</v>
      </c>
      <c r="G67" s="1526">
        <v>0</v>
      </c>
      <c r="H67" s="1532">
        <v>1697.62</v>
      </c>
      <c r="I67" s="1532">
        <v>0</v>
      </c>
    </row>
    <row r="68" spans="1:9" x14ac:dyDescent="0.3">
      <c r="A68" s="1525" t="s">
        <v>2117</v>
      </c>
      <c r="B68" s="1525" t="s">
        <v>2118</v>
      </c>
      <c r="C68" s="1524" t="s">
        <v>2006</v>
      </c>
      <c r="D68" s="1526">
        <v>0</v>
      </c>
      <c r="E68" s="1526">
        <v>0</v>
      </c>
      <c r="F68" s="1526">
        <v>1713.44</v>
      </c>
      <c r="G68" s="1526">
        <v>0</v>
      </c>
      <c r="H68" s="1532">
        <v>1713.44</v>
      </c>
      <c r="I68" s="1532">
        <v>0</v>
      </c>
    </row>
    <row r="69" spans="1:9" x14ac:dyDescent="0.3">
      <c r="A69" s="1525" t="s">
        <v>2015</v>
      </c>
      <c r="B69" s="1525" t="s">
        <v>2028</v>
      </c>
      <c r="C69" s="1524" t="s">
        <v>2006</v>
      </c>
      <c r="D69" s="1526">
        <v>3.78</v>
      </c>
      <c r="E69" s="1526">
        <v>0</v>
      </c>
      <c r="F69" s="1526">
        <v>0</v>
      </c>
      <c r="G69" s="1526">
        <v>0</v>
      </c>
      <c r="H69" s="1532">
        <v>3.78</v>
      </c>
      <c r="I69" s="1532">
        <v>0</v>
      </c>
    </row>
    <row r="70" spans="1:9" x14ac:dyDescent="0.3">
      <c r="A70" s="1525" t="s">
        <v>2119</v>
      </c>
      <c r="B70" s="1525" t="s">
        <v>2120</v>
      </c>
      <c r="C70" s="1524" t="s">
        <v>2006</v>
      </c>
      <c r="D70" s="1526">
        <v>0</v>
      </c>
      <c r="E70" s="1526">
        <v>0</v>
      </c>
      <c r="F70" s="1526">
        <v>0</v>
      </c>
      <c r="G70" s="1526">
        <v>396</v>
      </c>
      <c r="H70" s="1532">
        <v>0</v>
      </c>
      <c r="I70" s="1532">
        <v>396</v>
      </c>
    </row>
    <row r="71" spans="1:9" x14ac:dyDescent="0.3">
      <c r="A71" s="1525" t="s">
        <v>2121</v>
      </c>
      <c r="B71" s="1525" t="s">
        <v>2122</v>
      </c>
      <c r="C71" s="1524" t="s">
        <v>2006</v>
      </c>
      <c r="D71" s="1526">
        <v>0</v>
      </c>
      <c r="E71" s="1526">
        <v>0</v>
      </c>
      <c r="F71" s="1526">
        <v>0</v>
      </c>
      <c r="G71" s="1526">
        <v>0</v>
      </c>
      <c r="H71" s="1532">
        <v>0</v>
      </c>
      <c r="I71" s="1532">
        <v>0</v>
      </c>
    </row>
    <row r="72" spans="1:9" x14ac:dyDescent="0.3">
      <c r="A72" s="1525" t="s">
        <v>2038</v>
      </c>
      <c r="B72" s="1525" t="s">
        <v>2123</v>
      </c>
      <c r="C72" s="1524" t="s">
        <v>2006</v>
      </c>
      <c r="D72" s="1526">
        <v>0</v>
      </c>
      <c r="E72" s="1526">
        <v>0</v>
      </c>
      <c r="F72" s="1526">
        <v>198</v>
      </c>
      <c r="G72" s="1526">
        <v>0</v>
      </c>
      <c r="H72" s="1532">
        <v>198</v>
      </c>
      <c r="I72" s="1532">
        <v>0</v>
      </c>
    </row>
    <row r="73" spans="1:9" x14ac:dyDescent="0.3">
      <c r="A73" s="1525" t="s">
        <v>2124</v>
      </c>
      <c r="B73" s="1525" t="s">
        <v>3</v>
      </c>
      <c r="C73" s="1524" t="s">
        <v>2006</v>
      </c>
      <c r="D73" s="1526">
        <v>0</v>
      </c>
      <c r="E73" s="1526">
        <v>0</v>
      </c>
      <c r="F73" s="1526">
        <v>0</v>
      </c>
      <c r="G73" s="1526">
        <v>0</v>
      </c>
      <c r="H73" s="1532">
        <v>0</v>
      </c>
      <c r="I73" s="1532">
        <v>0</v>
      </c>
    </row>
    <row r="74" spans="1:9" x14ac:dyDescent="0.3">
      <c r="A74" s="1525" t="s">
        <v>2125</v>
      </c>
      <c r="B74" s="1525" t="s">
        <v>2126</v>
      </c>
      <c r="C74" s="1524" t="s">
        <v>2006</v>
      </c>
      <c r="D74" s="1526">
        <v>0</v>
      </c>
      <c r="E74" s="1526">
        <v>0</v>
      </c>
      <c r="F74" s="1526">
        <v>395.6</v>
      </c>
      <c r="G74" s="1526">
        <v>0</v>
      </c>
      <c r="H74" s="1532">
        <v>395.6</v>
      </c>
      <c r="I74" s="1532">
        <v>0</v>
      </c>
    </row>
    <row r="75" spans="1:9" x14ac:dyDescent="0.3">
      <c r="A75" s="1525" t="s">
        <v>2127</v>
      </c>
      <c r="B75" s="1525" t="s">
        <v>1725</v>
      </c>
      <c r="C75" s="1524" t="s">
        <v>2006</v>
      </c>
      <c r="D75" s="1526">
        <v>1700383.98</v>
      </c>
      <c r="E75" s="1526">
        <v>0</v>
      </c>
      <c r="F75" s="1526">
        <v>0</v>
      </c>
      <c r="G75" s="1526">
        <v>0</v>
      </c>
      <c r="H75" s="1532">
        <v>1700383.98</v>
      </c>
      <c r="I75" s="1532">
        <v>0</v>
      </c>
    </row>
    <row r="76" spans="1:9" x14ac:dyDescent="0.3">
      <c r="A76" s="1525" t="s">
        <v>2128</v>
      </c>
      <c r="B76" s="1525" t="s">
        <v>1725</v>
      </c>
      <c r="C76" s="1524" t="s">
        <v>2006</v>
      </c>
      <c r="D76" s="1526">
        <v>0</v>
      </c>
      <c r="E76" s="1526">
        <v>0</v>
      </c>
      <c r="F76" s="1526">
        <v>502637.82</v>
      </c>
      <c r="G76" s="1526">
        <v>0</v>
      </c>
      <c r="H76" s="1532">
        <v>502637.82</v>
      </c>
      <c r="I76" s="1532">
        <v>0</v>
      </c>
    </row>
    <row r="77" spans="1:9" x14ac:dyDescent="0.3">
      <c r="A77" s="1525" t="s">
        <v>2115</v>
      </c>
      <c r="B77" s="1525" t="s">
        <v>5</v>
      </c>
      <c r="C77" s="1524" t="s">
        <v>2006</v>
      </c>
      <c r="D77" s="1526">
        <v>0</v>
      </c>
      <c r="E77" s="1526">
        <v>6450000</v>
      </c>
      <c r="F77" s="1526">
        <v>0</v>
      </c>
      <c r="G77" s="1526">
        <v>0</v>
      </c>
      <c r="H77" s="1532">
        <v>0</v>
      </c>
      <c r="I77" s="1532">
        <v>6450000</v>
      </c>
    </row>
    <row r="78" spans="1:9" x14ac:dyDescent="0.3">
      <c r="A78" s="1525" t="s">
        <v>2129</v>
      </c>
      <c r="B78" s="1525" t="s">
        <v>2130</v>
      </c>
      <c r="C78" s="1524" t="s">
        <v>2006</v>
      </c>
      <c r="D78" s="1526">
        <v>0</v>
      </c>
      <c r="E78" s="1526">
        <v>1801251</v>
      </c>
      <c r="F78" s="1526">
        <v>0</v>
      </c>
      <c r="G78" s="1526">
        <v>0</v>
      </c>
      <c r="H78" s="1532">
        <v>0</v>
      </c>
      <c r="I78" s="1532">
        <v>1801251</v>
      </c>
    </row>
    <row r="79" spans="1:9" x14ac:dyDescent="0.3">
      <c r="A79" s="1525" t="s">
        <v>2131</v>
      </c>
      <c r="B79" s="1525" t="s">
        <v>2132</v>
      </c>
      <c r="C79" s="1524" t="s">
        <v>2006</v>
      </c>
      <c r="D79" s="1526">
        <v>27152.1</v>
      </c>
      <c r="E79" s="1526">
        <v>0</v>
      </c>
      <c r="F79" s="1526">
        <v>0</v>
      </c>
      <c r="G79" s="1526">
        <v>0</v>
      </c>
      <c r="H79" s="1532">
        <v>27152.1</v>
      </c>
      <c r="I79" s="1532">
        <v>0</v>
      </c>
    </row>
    <row r="80" spans="1:9" x14ac:dyDescent="0.3">
      <c r="A80" s="1525" t="s">
        <v>2133</v>
      </c>
      <c r="B80" s="1525" t="s">
        <v>2134</v>
      </c>
      <c r="C80" s="1524" t="s">
        <v>2006</v>
      </c>
      <c r="D80" s="1526">
        <v>0</v>
      </c>
      <c r="E80" s="1526">
        <v>0</v>
      </c>
      <c r="F80" s="1526">
        <v>6288.98</v>
      </c>
      <c r="G80" s="1526">
        <v>0</v>
      </c>
      <c r="H80" s="1532">
        <v>6288.98</v>
      </c>
      <c r="I80" s="1532">
        <v>0</v>
      </c>
    </row>
    <row r="81" spans="1:9" x14ac:dyDescent="0.3">
      <c r="A81" s="1525" t="s">
        <v>2135</v>
      </c>
      <c r="B81" s="1525" t="s">
        <v>2136</v>
      </c>
      <c r="C81" s="1524" t="s">
        <v>2006</v>
      </c>
      <c r="D81" s="1526">
        <v>0</v>
      </c>
      <c r="E81" s="1526">
        <v>0</v>
      </c>
      <c r="F81" s="1526">
        <v>0</v>
      </c>
      <c r="G81" s="1526">
        <v>948.31</v>
      </c>
      <c r="H81" s="1532">
        <v>0</v>
      </c>
      <c r="I81" s="1532">
        <v>948.31</v>
      </c>
    </row>
    <row r="82" spans="1:9" x14ac:dyDescent="0.3">
      <c r="A82" s="1525" t="s">
        <v>2021</v>
      </c>
      <c r="B82" s="1525" t="s">
        <v>2137</v>
      </c>
      <c r="C82" s="1524" t="s">
        <v>2006</v>
      </c>
      <c r="D82" s="1526">
        <v>0</v>
      </c>
      <c r="E82" s="1526">
        <v>0</v>
      </c>
      <c r="F82" s="1526">
        <v>241.4</v>
      </c>
      <c r="G82" s="1526">
        <v>0</v>
      </c>
      <c r="H82" s="1532">
        <v>241.4</v>
      </c>
      <c r="I82" s="1532">
        <v>0</v>
      </c>
    </row>
    <row r="83" spans="1:9" x14ac:dyDescent="0.3">
      <c r="A83" s="1525" t="s">
        <v>2138</v>
      </c>
      <c r="B83" s="1525" t="s">
        <v>1096</v>
      </c>
      <c r="C83" s="1524" t="s">
        <v>2006</v>
      </c>
      <c r="D83" s="1526">
        <v>0</v>
      </c>
      <c r="E83" s="1526">
        <v>0</v>
      </c>
      <c r="F83" s="1526">
        <v>103.12</v>
      </c>
      <c r="G83" s="1526">
        <v>0</v>
      </c>
      <c r="H83" s="1532">
        <v>103.12</v>
      </c>
      <c r="I83" s="1532">
        <v>0</v>
      </c>
    </row>
    <row r="84" spans="1:9" x14ac:dyDescent="0.3">
      <c r="A84" s="1525" t="s">
        <v>2013</v>
      </c>
      <c r="B84" s="1525" t="s">
        <v>2139</v>
      </c>
      <c r="C84" s="1524" t="s">
        <v>2006</v>
      </c>
      <c r="D84" s="1526">
        <v>0</v>
      </c>
      <c r="E84" s="1526">
        <v>0</v>
      </c>
      <c r="F84" s="1526">
        <v>52.7</v>
      </c>
      <c r="G84" s="1526">
        <v>0</v>
      </c>
      <c r="H84" s="1532">
        <v>52.7</v>
      </c>
      <c r="I84" s="1532">
        <v>0</v>
      </c>
    </row>
    <row r="85" spans="1:9" x14ac:dyDescent="0.3">
      <c r="A85" s="1525" t="s">
        <v>2140</v>
      </c>
      <c r="B85" s="1525" t="s">
        <v>2141</v>
      </c>
      <c r="C85" s="1524" t="s">
        <v>2006</v>
      </c>
      <c r="D85" s="1526">
        <v>0</v>
      </c>
      <c r="E85" s="1526">
        <v>0</v>
      </c>
      <c r="F85" s="1526">
        <v>0.03</v>
      </c>
      <c r="G85" s="1526">
        <v>0</v>
      </c>
      <c r="H85" s="1532">
        <v>0.03</v>
      </c>
      <c r="I85" s="1532">
        <v>0</v>
      </c>
    </row>
    <row r="86" spans="1:9" x14ac:dyDescent="0.3">
      <c r="A86" s="1525" t="s">
        <v>2142</v>
      </c>
      <c r="B86" s="1525" t="s">
        <v>2143</v>
      </c>
      <c r="C86" s="1524" t="s">
        <v>2006</v>
      </c>
      <c r="D86" s="1526">
        <v>0</v>
      </c>
      <c r="E86" s="1526">
        <v>0</v>
      </c>
      <c r="F86" s="1526">
        <v>0</v>
      </c>
      <c r="G86" s="1526">
        <v>7199.51</v>
      </c>
      <c r="H86" s="1532">
        <v>0</v>
      </c>
      <c r="I86" s="1532">
        <v>7199.51</v>
      </c>
    </row>
    <row r="87" spans="1:9" x14ac:dyDescent="0.3">
      <c r="A87" s="1525" t="s">
        <v>2144</v>
      </c>
      <c r="B87" s="1525" t="s">
        <v>2145</v>
      </c>
      <c r="C87" s="1524" t="s">
        <v>2006</v>
      </c>
      <c r="D87" s="1526">
        <v>0</v>
      </c>
      <c r="E87" s="1526">
        <v>0</v>
      </c>
      <c r="F87" s="1526">
        <v>5675.68</v>
      </c>
      <c r="G87" s="1526">
        <v>0</v>
      </c>
      <c r="H87" s="1532">
        <v>5675.68</v>
      </c>
      <c r="I87" s="1532">
        <v>0</v>
      </c>
    </row>
    <row r="88" spans="1:9" x14ac:dyDescent="0.3">
      <c r="A88" s="1525" t="s">
        <v>2146</v>
      </c>
      <c r="B88" s="1525" t="s">
        <v>2034</v>
      </c>
      <c r="C88" s="1524" t="s">
        <v>2006</v>
      </c>
      <c r="D88" s="1526">
        <v>0</v>
      </c>
      <c r="E88" s="1526">
        <v>0</v>
      </c>
      <c r="F88" s="1526">
        <v>4325.18</v>
      </c>
      <c r="G88" s="1526">
        <v>0</v>
      </c>
      <c r="H88" s="1532">
        <v>4325.18</v>
      </c>
      <c r="I88" s="1532">
        <v>0</v>
      </c>
    </row>
    <row r="89" spans="1:9" x14ac:dyDescent="0.3">
      <c r="A89" s="1525" t="s">
        <v>2147</v>
      </c>
      <c r="B89" s="1525" t="s">
        <v>2148</v>
      </c>
      <c r="C89" s="1524" t="s">
        <v>2006</v>
      </c>
      <c r="D89" s="1526">
        <v>0</v>
      </c>
      <c r="E89" s="1526">
        <v>0</v>
      </c>
      <c r="F89" s="1526">
        <v>198.61</v>
      </c>
      <c r="G89" s="1526">
        <v>0</v>
      </c>
      <c r="H89" s="1532">
        <v>198.61</v>
      </c>
      <c r="I89" s="1532">
        <v>0</v>
      </c>
    </row>
    <row r="90" spans="1:9" x14ac:dyDescent="0.3">
      <c r="A90" s="1525" t="s">
        <v>2036</v>
      </c>
      <c r="B90" s="1525" t="s">
        <v>2035</v>
      </c>
      <c r="C90" s="1524" t="s">
        <v>2006</v>
      </c>
      <c r="D90" s="1526">
        <v>0</v>
      </c>
      <c r="E90" s="1526">
        <v>0</v>
      </c>
      <c r="F90" s="1526">
        <v>0</v>
      </c>
      <c r="G90" s="1526">
        <v>0</v>
      </c>
      <c r="H90" s="1532">
        <v>0</v>
      </c>
      <c r="I90" s="1532">
        <v>0</v>
      </c>
    </row>
    <row r="91" spans="1:9" x14ac:dyDescent="0.3">
      <c r="A91" s="1525" t="s">
        <v>2022</v>
      </c>
      <c r="B91" s="1525" t="s">
        <v>2149</v>
      </c>
      <c r="C91" s="1524" t="s">
        <v>2006</v>
      </c>
      <c r="D91" s="1526">
        <v>0</v>
      </c>
      <c r="E91" s="1526">
        <v>0</v>
      </c>
      <c r="F91" s="1526">
        <v>0</v>
      </c>
      <c r="G91" s="1526">
        <v>360000</v>
      </c>
      <c r="H91" s="1532">
        <v>0</v>
      </c>
      <c r="I91" s="1532">
        <v>360000</v>
      </c>
    </row>
    <row r="92" spans="1:9" x14ac:dyDescent="0.3">
      <c r="A92" s="1525" t="s">
        <v>2150</v>
      </c>
      <c r="B92" s="1525" t="s">
        <v>2151</v>
      </c>
      <c r="C92" s="1524" t="s">
        <v>2006</v>
      </c>
      <c r="D92" s="1526">
        <v>0</v>
      </c>
      <c r="E92" s="1526">
        <v>308750</v>
      </c>
      <c r="F92" s="1526">
        <v>0</v>
      </c>
      <c r="G92" s="1526">
        <v>0</v>
      </c>
      <c r="H92" s="1532">
        <v>0</v>
      </c>
      <c r="I92" s="1532">
        <v>308750</v>
      </c>
    </row>
    <row r="93" spans="1:9" ht="15" thickBot="1" x14ac:dyDescent="0.35">
      <c r="A93" s="1525" t="s">
        <v>2152</v>
      </c>
      <c r="B93" s="1525" t="s">
        <v>1224</v>
      </c>
      <c r="C93" s="1524" t="s">
        <v>2006</v>
      </c>
      <c r="D93" s="1526">
        <v>0</v>
      </c>
      <c r="E93" s="1526">
        <v>0</v>
      </c>
      <c r="F93" s="1526">
        <v>161256.15</v>
      </c>
      <c r="G93" s="1526">
        <v>0</v>
      </c>
      <c r="H93" s="1532">
        <v>161256.15</v>
      </c>
      <c r="I93" s="1532">
        <v>0</v>
      </c>
    </row>
    <row r="94" spans="1:9" ht="15" thickBot="1" x14ac:dyDescent="0.35">
      <c r="A94" s="1528"/>
      <c r="B94" s="1528" t="s">
        <v>0</v>
      </c>
      <c r="C94" s="1528" t="s">
        <v>2006</v>
      </c>
      <c r="D94" s="1529">
        <v>9200201.1699999999</v>
      </c>
      <c r="E94" s="1529">
        <v>9200201.1699999999</v>
      </c>
      <c r="F94" s="1529">
        <v>1328991.75</v>
      </c>
      <c r="G94" s="1529">
        <v>1328991.75</v>
      </c>
      <c r="H94" s="1533">
        <v>10529192.92</v>
      </c>
      <c r="I94" s="1533">
        <v>10529192.92</v>
      </c>
    </row>
    <row r="95" spans="1:9" ht="15" thickTop="1" x14ac:dyDescent="0.3">
      <c r="A95" s="1410"/>
      <c r="B95" s="1410"/>
      <c r="C95" s="1494"/>
      <c r="D95" s="1485"/>
      <c r="E95" s="1485"/>
      <c r="F95" s="1485"/>
      <c r="G95" s="1485"/>
      <c r="H95" s="1485"/>
      <c r="I95" s="1485"/>
    </row>
    <row r="96" spans="1:9" x14ac:dyDescent="0.3">
      <c r="A96" s="1410"/>
      <c r="B96" s="1410"/>
      <c r="C96" s="1494"/>
      <c r="D96" s="1485"/>
      <c r="E96" s="1485"/>
      <c r="F96" s="1485"/>
      <c r="G96" s="1485"/>
      <c r="H96" s="1485"/>
      <c r="I96" s="1485"/>
    </row>
    <row r="97" spans="1:9" x14ac:dyDescent="0.3">
      <c r="A97" s="1410"/>
      <c r="B97" s="1410"/>
      <c r="C97" s="1494"/>
      <c r="D97" s="1485"/>
      <c r="E97" s="1485"/>
      <c r="F97" s="1485"/>
      <c r="G97" s="1485"/>
      <c r="H97" s="1485"/>
      <c r="I97" s="1485"/>
    </row>
    <row r="98" spans="1:9" x14ac:dyDescent="0.3">
      <c r="A98" s="1410"/>
      <c r="B98" s="1410"/>
      <c r="C98" s="1494"/>
      <c r="D98" s="1485"/>
      <c r="E98" s="1485"/>
      <c r="F98" s="1485"/>
      <c r="G98" s="1485"/>
      <c r="H98" s="1485"/>
      <c r="I98" s="1485"/>
    </row>
    <row r="99" spans="1:9" x14ac:dyDescent="0.3">
      <c r="A99" s="1410"/>
      <c r="B99" s="1410"/>
      <c r="C99" s="1494"/>
      <c r="D99" s="1485"/>
      <c r="E99" s="1485"/>
      <c r="F99" s="1485"/>
      <c r="G99" s="1485"/>
      <c r="H99" s="1485"/>
      <c r="I99" s="1485"/>
    </row>
    <row r="100" spans="1:9" x14ac:dyDescent="0.3">
      <c r="A100" s="1410"/>
      <c r="B100" s="1410"/>
      <c r="C100" s="1494"/>
      <c r="D100" s="1485"/>
      <c r="E100" s="1485"/>
      <c r="F100" s="1485"/>
      <c r="G100" s="1485"/>
      <c r="H100" s="1485"/>
      <c r="I100" s="1485"/>
    </row>
    <row r="101" spans="1:9" x14ac:dyDescent="0.3">
      <c r="A101" s="1410"/>
      <c r="B101" s="1410"/>
      <c r="C101" s="1494"/>
      <c r="D101" s="1485"/>
      <c r="E101" s="1485"/>
      <c r="F101" s="1485"/>
      <c r="G101" s="1485"/>
      <c r="H101" s="1485"/>
      <c r="I101" s="1485"/>
    </row>
    <row r="102" spans="1:9" x14ac:dyDescent="0.3">
      <c r="A102" s="1410"/>
      <c r="B102" s="1410"/>
      <c r="C102" s="1494"/>
      <c r="D102" s="1485"/>
      <c r="E102" s="1485"/>
      <c r="F102" s="1485"/>
      <c r="G102" s="1485"/>
      <c r="H102" s="1485"/>
      <c r="I102" s="1485"/>
    </row>
    <row r="103" spans="1:9" x14ac:dyDescent="0.3">
      <c r="A103" s="1410"/>
      <c r="B103" s="1410"/>
      <c r="C103" s="1494"/>
      <c r="D103" s="1485"/>
      <c r="E103" s="1485"/>
      <c r="F103" s="1485"/>
      <c r="G103" s="1485"/>
      <c r="H103" s="1485"/>
      <c r="I103" s="1485"/>
    </row>
    <row r="104" spans="1:9" x14ac:dyDescent="0.3">
      <c r="A104" s="1410"/>
      <c r="B104" s="1410"/>
      <c r="C104" s="1494"/>
      <c r="D104" s="1485"/>
      <c r="E104" s="1485"/>
      <c r="F104" s="1485"/>
      <c r="G104" s="1485"/>
      <c r="H104" s="1485"/>
      <c r="I104" s="1485"/>
    </row>
    <row r="105" spans="1:9" x14ac:dyDescent="0.3">
      <c r="A105" s="1410"/>
      <c r="B105" s="1410"/>
      <c r="C105" s="1494"/>
      <c r="D105" s="1485"/>
      <c r="E105" s="1485"/>
      <c r="F105" s="1485"/>
      <c r="G105" s="1485"/>
      <c r="H105" s="1485"/>
      <c r="I105" s="1485"/>
    </row>
    <row r="106" spans="1:9" x14ac:dyDescent="0.3">
      <c r="A106" s="1410"/>
      <c r="B106" s="1410"/>
      <c r="C106" s="1494"/>
      <c r="D106" s="1485"/>
      <c r="E106" s="1485"/>
      <c r="F106" s="1485"/>
      <c r="G106" s="1485"/>
      <c r="H106" s="1485"/>
      <c r="I106" s="1485"/>
    </row>
    <row r="107" spans="1:9" x14ac:dyDescent="0.3">
      <c r="A107" s="1410"/>
      <c r="B107" s="1410"/>
      <c r="C107" s="1494"/>
      <c r="D107" s="1485"/>
      <c r="E107" s="1485"/>
      <c r="F107" s="1485"/>
      <c r="G107" s="1485"/>
      <c r="H107" s="1485"/>
      <c r="I107" s="1485"/>
    </row>
    <row r="108" spans="1:9" x14ac:dyDescent="0.3">
      <c r="A108" s="1410"/>
      <c r="B108" s="1410"/>
      <c r="C108" s="1494"/>
      <c r="D108" s="1485"/>
      <c r="E108" s="1485"/>
      <c r="F108" s="1485"/>
      <c r="G108" s="1485"/>
      <c r="H108" s="1485"/>
      <c r="I108" s="1485"/>
    </row>
    <row r="109" spans="1:9" x14ac:dyDescent="0.3">
      <c r="A109" s="1410"/>
      <c r="B109" s="1410"/>
      <c r="C109" s="1494"/>
      <c r="D109" s="1485"/>
      <c r="E109" s="1485"/>
      <c r="F109" s="1485"/>
      <c r="G109" s="1485"/>
      <c r="H109" s="1485"/>
      <c r="I109" s="1485"/>
    </row>
    <row r="110" spans="1:9" x14ac:dyDescent="0.3">
      <c r="A110" s="1410"/>
      <c r="B110" s="1410"/>
      <c r="C110" s="1494"/>
      <c r="D110" s="1485"/>
      <c r="E110" s="1485"/>
      <c r="F110" s="1485"/>
      <c r="G110" s="1485"/>
      <c r="H110" s="1485"/>
      <c r="I110" s="1485"/>
    </row>
    <row r="111" spans="1:9" x14ac:dyDescent="0.3">
      <c r="A111" s="1410"/>
      <c r="B111" s="1410"/>
      <c r="C111" s="1494"/>
      <c r="D111" s="1485"/>
      <c r="E111" s="1485"/>
      <c r="F111" s="1485"/>
      <c r="G111" s="1485"/>
      <c r="H111" s="1485"/>
      <c r="I111" s="1485"/>
    </row>
    <row r="112" spans="1:9" x14ac:dyDescent="0.3">
      <c r="A112" s="1410"/>
      <c r="B112" s="1410"/>
      <c r="C112" s="1494"/>
      <c r="D112" s="1485"/>
      <c r="E112" s="1485"/>
      <c r="F112" s="1485"/>
      <c r="G112" s="1485"/>
      <c r="H112" s="1485"/>
      <c r="I112" s="1485"/>
    </row>
    <row r="113" spans="1:9" x14ac:dyDescent="0.3">
      <c r="A113" s="1410"/>
      <c r="B113" s="1410"/>
      <c r="C113" s="1494"/>
      <c r="D113" s="1485"/>
      <c r="E113" s="1485"/>
      <c r="F113" s="1485"/>
      <c r="G113" s="1485"/>
      <c r="H113" s="1485"/>
      <c r="I113" s="1485"/>
    </row>
    <row r="114" spans="1:9" x14ac:dyDescent="0.3">
      <c r="A114" s="1410"/>
      <c r="B114" s="1410"/>
      <c r="C114" s="1494"/>
      <c r="D114" s="1485"/>
      <c r="E114" s="1485"/>
      <c r="F114" s="1485"/>
      <c r="G114" s="1485"/>
      <c r="H114" s="1485"/>
      <c r="I114" s="1485"/>
    </row>
    <row r="115" spans="1:9" x14ac:dyDescent="0.3">
      <c r="A115" s="1410"/>
      <c r="B115" s="1410"/>
      <c r="C115" s="1494"/>
      <c r="D115" s="1485"/>
      <c r="E115" s="1485"/>
      <c r="F115" s="1485"/>
      <c r="G115" s="1485"/>
      <c r="H115" s="1485"/>
      <c r="I115" s="1485"/>
    </row>
    <row r="116" spans="1:9" x14ac:dyDescent="0.3">
      <c r="A116" s="1410"/>
      <c r="B116" s="1410"/>
      <c r="C116" s="1494"/>
      <c r="D116" s="1485"/>
      <c r="E116" s="1485"/>
      <c r="F116" s="1485"/>
      <c r="G116" s="1485"/>
      <c r="H116" s="1485"/>
      <c r="I116" s="1485"/>
    </row>
    <row r="117" spans="1:9" x14ac:dyDescent="0.3">
      <c r="A117" s="1410"/>
      <c r="B117" s="1410"/>
      <c r="C117" s="1494"/>
      <c r="D117" s="1485"/>
      <c r="E117" s="1485"/>
      <c r="F117" s="1485"/>
      <c r="G117" s="1485"/>
      <c r="H117" s="1485"/>
      <c r="I117" s="1485"/>
    </row>
    <row r="118" spans="1:9" x14ac:dyDescent="0.3">
      <c r="A118" s="1410"/>
      <c r="B118" s="1410"/>
      <c r="C118" s="1494"/>
      <c r="D118" s="1485"/>
      <c r="E118" s="1485"/>
      <c r="F118" s="1485"/>
      <c r="G118" s="1485"/>
      <c r="H118" s="1485"/>
      <c r="I118" s="1485"/>
    </row>
    <row r="119" spans="1:9" x14ac:dyDescent="0.3">
      <c r="A119" s="1410"/>
      <c r="B119" s="1410"/>
      <c r="C119" s="1494"/>
      <c r="D119" s="1485"/>
      <c r="E119" s="1485"/>
      <c r="F119" s="1485"/>
      <c r="G119" s="1485"/>
      <c r="H119" s="1485"/>
      <c r="I119" s="1485"/>
    </row>
    <row r="120" spans="1:9" x14ac:dyDescent="0.3">
      <c r="A120" s="1410"/>
      <c r="B120" s="1410"/>
      <c r="C120" s="1494"/>
      <c r="D120" s="1485"/>
      <c r="E120" s="1485"/>
      <c r="F120" s="1485"/>
      <c r="G120" s="1485"/>
      <c r="H120" s="1485"/>
      <c r="I120" s="1485"/>
    </row>
    <row r="121" spans="1:9" x14ac:dyDescent="0.3">
      <c r="A121" s="1410"/>
      <c r="B121" s="1410"/>
      <c r="C121" s="1494"/>
      <c r="D121" s="1485"/>
      <c r="E121" s="1485"/>
      <c r="F121" s="1485"/>
      <c r="G121" s="1485"/>
      <c r="H121" s="1485"/>
      <c r="I121" s="1485"/>
    </row>
    <row r="122" spans="1:9" x14ac:dyDescent="0.3">
      <c r="A122" s="1410"/>
      <c r="B122" s="1410"/>
      <c r="C122" s="1494"/>
      <c r="D122" s="1485"/>
      <c r="E122" s="1485"/>
      <c r="F122" s="1485"/>
      <c r="G122" s="1485"/>
      <c r="H122" s="1485"/>
      <c r="I122" s="1485"/>
    </row>
    <row r="123" spans="1:9" x14ac:dyDescent="0.3">
      <c r="A123" s="1410"/>
      <c r="B123" s="1410"/>
      <c r="C123" s="1494"/>
      <c r="D123" s="1485"/>
      <c r="E123" s="1485"/>
      <c r="F123" s="1485"/>
      <c r="G123" s="1485"/>
      <c r="H123" s="1485"/>
      <c r="I123" s="1485"/>
    </row>
    <row r="124" spans="1:9" x14ac:dyDescent="0.3">
      <c r="A124" s="1410"/>
      <c r="B124" s="1410"/>
      <c r="C124" s="1494"/>
      <c r="D124" s="1485"/>
      <c r="E124" s="1485"/>
      <c r="F124" s="1485"/>
      <c r="G124" s="1485"/>
      <c r="H124" s="1485"/>
      <c r="I124" s="1485"/>
    </row>
    <row r="125" spans="1:9" x14ac:dyDescent="0.3">
      <c r="A125" s="1410"/>
      <c r="B125" s="1410"/>
      <c r="C125" s="1494"/>
      <c r="D125" s="1485"/>
      <c r="E125" s="1485"/>
      <c r="F125" s="1485"/>
      <c r="G125" s="1485"/>
      <c r="H125" s="1485"/>
      <c r="I125" s="1485"/>
    </row>
    <row r="126" spans="1:9" x14ac:dyDescent="0.3">
      <c r="A126" s="1410"/>
      <c r="B126" s="1410"/>
      <c r="C126" s="1494"/>
      <c r="D126" s="1485"/>
      <c r="E126" s="1485"/>
      <c r="F126" s="1485"/>
      <c r="G126" s="1485"/>
      <c r="H126" s="1485"/>
      <c r="I126" s="1485"/>
    </row>
    <row r="127" spans="1:9" x14ac:dyDescent="0.3">
      <c r="A127" s="1410"/>
      <c r="B127" s="1410"/>
      <c r="C127" s="1494"/>
      <c r="D127" s="1485"/>
      <c r="E127" s="1485"/>
      <c r="F127" s="1485"/>
      <c r="G127" s="1485"/>
      <c r="H127" s="1485"/>
      <c r="I127" s="1485"/>
    </row>
    <row r="128" spans="1:9" x14ac:dyDescent="0.3">
      <c r="A128" s="1410"/>
      <c r="B128" s="1410"/>
      <c r="C128" s="1494"/>
      <c r="D128" s="1485"/>
      <c r="E128" s="1485"/>
      <c r="F128" s="1485"/>
      <c r="G128" s="1485"/>
      <c r="H128" s="1485"/>
      <c r="I128" s="1485"/>
    </row>
    <row r="129" spans="1:9" x14ac:dyDescent="0.3">
      <c r="A129" s="1410"/>
      <c r="B129" s="1410"/>
      <c r="C129" s="1494"/>
      <c r="D129" s="1485"/>
      <c r="E129" s="1485"/>
      <c r="F129" s="1485"/>
      <c r="G129" s="1485"/>
      <c r="H129" s="1485"/>
      <c r="I129" s="1485"/>
    </row>
    <row r="130" spans="1:9" x14ac:dyDescent="0.3">
      <c r="A130" s="1410"/>
      <c r="B130" s="1410"/>
      <c r="C130" s="1494"/>
      <c r="D130" s="1485"/>
      <c r="E130" s="1485"/>
      <c r="F130" s="1485"/>
      <c r="G130" s="1485"/>
      <c r="H130" s="1485"/>
      <c r="I130" s="1485"/>
    </row>
    <row r="131" spans="1:9" x14ac:dyDescent="0.3">
      <c r="A131" s="1410"/>
      <c r="B131" s="1410"/>
      <c r="C131" s="1494"/>
      <c r="D131" s="1485"/>
      <c r="E131" s="1485"/>
      <c r="F131" s="1485"/>
      <c r="G131" s="1485"/>
      <c r="H131" s="1485"/>
      <c r="I131" s="1485"/>
    </row>
    <row r="132" spans="1:9" x14ac:dyDescent="0.3">
      <c r="A132" s="1410"/>
      <c r="B132" s="1410"/>
      <c r="C132" s="1494"/>
      <c r="D132" s="1485"/>
      <c r="E132" s="1485"/>
      <c r="F132" s="1485"/>
      <c r="G132" s="1485"/>
      <c r="H132" s="1485"/>
      <c r="I132" s="1485"/>
    </row>
    <row r="133" spans="1:9" x14ac:dyDescent="0.3">
      <c r="A133" s="1410"/>
      <c r="B133" s="1410"/>
      <c r="C133" s="1494"/>
      <c r="D133" s="1485"/>
      <c r="E133" s="1485"/>
      <c r="F133" s="1485"/>
      <c r="G133" s="1485"/>
      <c r="H133" s="1485"/>
      <c r="I133" s="1485"/>
    </row>
    <row r="134" spans="1:9" x14ac:dyDescent="0.3">
      <c r="A134" s="1410"/>
      <c r="B134" s="1410"/>
      <c r="C134" s="1494"/>
      <c r="D134" s="1485"/>
      <c r="E134" s="1485"/>
      <c r="F134" s="1485"/>
      <c r="G134" s="1485"/>
      <c r="H134" s="1485"/>
      <c r="I134" s="1485"/>
    </row>
    <row r="135" spans="1:9" x14ac:dyDescent="0.3">
      <c r="A135" s="1410"/>
      <c r="B135" s="1410"/>
      <c r="C135" s="1494"/>
      <c r="D135" s="1485"/>
      <c r="E135" s="1485"/>
      <c r="F135" s="1485"/>
      <c r="G135" s="1485"/>
      <c r="H135" s="1485"/>
      <c r="I135" s="1485"/>
    </row>
    <row r="136" spans="1:9" x14ac:dyDescent="0.3">
      <c r="A136" s="1410"/>
      <c r="B136" s="1410"/>
      <c r="C136" s="1494"/>
      <c r="D136" s="1485"/>
      <c r="E136" s="1485"/>
      <c r="F136" s="1485"/>
      <c r="G136" s="1485"/>
      <c r="H136" s="1485"/>
      <c r="I136" s="1485"/>
    </row>
    <row r="137" spans="1:9" x14ac:dyDescent="0.3">
      <c r="A137" s="1410"/>
      <c r="B137" s="1410"/>
      <c r="C137" s="1494"/>
      <c r="D137" s="1485"/>
      <c r="E137" s="1485"/>
      <c r="F137" s="1485"/>
      <c r="G137" s="1485"/>
      <c r="H137" s="1485"/>
      <c r="I137" s="1485"/>
    </row>
    <row r="138" spans="1:9" x14ac:dyDescent="0.3">
      <c r="A138" s="1410"/>
      <c r="B138" s="1410"/>
      <c r="C138" s="1494"/>
      <c r="D138" s="1485"/>
      <c r="E138" s="1485"/>
      <c r="F138" s="1485"/>
      <c r="G138" s="1485"/>
      <c r="H138" s="1485"/>
      <c r="I138" s="1485"/>
    </row>
    <row r="139" spans="1:9" x14ac:dyDescent="0.3">
      <c r="A139" s="1410"/>
      <c r="B139" s="1410"/>
      <c r="C139" s="1494"/>
      <c r="D139" s="1485"/>
      <c r="E139" s="1485"/>
      <c r="F139" s="1485"/>
      <c r="G139" s="1485"/>
      <c r="H139" s="1485"/>
      <c r="I139" s="1485"/>
    </row>
    <row r="140" spans="1:9" x14ac:dyDescent="0.3">
      <c r="A140" s="1410"/>
      <c r="B140" s="1410"/>
      <c r="C140" s="1494"/>
      <c r="D140" s="1485"/>
      <c r="E140" s="1485"/>
      <c r="F140" s="1485"/>
      <c r="G140" s="1485"/>
      <c r="H140" s="1485"/>
      <c r="I140" s="1485"/>
    </row>
    <row r="141" spans="1:9" x14ac:dyDescent="0.3">
      <c r="A141" s="1410"/>
      <c r="B141" s="1410"/>
      <c r="C141" s="1494"/>
      <c r="D141" s="1485"/>
      <c r="E141" s="1485"/>
      <c r="F141" s="1485"/>
      <c r="G141" s="1485"/>
      <c r="H141" s="1485"/>
      <c r="I141" s="1485"/>
    </row>
    <row r="142" spans="1:9" x14ac:dyDescent="0.3">
      <c r="A142" s="1410"/>
      <c r="B142" s="1410"/>
      <c r="C142" s="1494"/>
      <c r="D142" s="1485"/>
      <c r="E142" s="1485"/>
      <c r="F142" s="1485"/>
      <c r="G142" s="1485"/>
      <c r="H142" s="1485"/>
      <c r="I142" s="1485"/>
    </row>
    <row r="143" spans="1:9" x14ac:dyDescent="0.3">
      <c r="A143" s="1410"/>
      <c r="B143" s="1410"/>
      <c r="C143" s="1494"/>
      <c r="D143" s="1485"/>
      <c r="E143" s="1485"/>
      <c r="F143" s="1485"/>
      <c r="G143" s="1485"/>
      <c r="H143" s="1485"/>
      <c r="I143" s="1485"/>
    </row>
    <row r="144" spans="1:9" x14ac:dyDescent="0.3">
      <c r="A144" s="1410"/>
      <c r="B144" s="1410"/>
      <c r="C144" s="1494"/>
      <c r="D144" s="1485"/>
      <c r="E144" s="1485"/>
      <c r="F144" s="1485"/>
      <c r="G144" s="1485"/>
      <c r="H144" s="1485"/>
      <c r="I144" s="1485"/>
    </row>
    <row r="145" spans="1:9" x14ac:dyDescent="0.3">
      <c r="A145" s="1410"/>
      <c r="B145" s="1410"/>
      <c r="C145" s="1494"/>
      <c r="D145" s="1485"/>
      <c r="E145" s="1485"/>
      <c r="F145" s="1485"/>
      <c r="G145" s="1485"/>
      <c r="H145" s="1485"/>
      <c r="I145" s="1485"/>
    </row>
    <row r="146" spans="1:9" x14ac:dyDescent="0.3">
      <c r="A146" s="1410"/>
      <c r="B146" s="1410"/>
      <c r="C146" s="1494"/>
      <c r="D146" s="1485"/>
      <c r="E146" s="1485"/>
      <c r="F146" s="1485"/>
      <c r="G146" s="1485"/>
      <c r="H146" s="1485"/>
      <c r="I146" s="1485"/>
    </row>
    <row r="147" spans="1:9" x14ac:dyDescent="0.3">
      <c r="A147" s="1410"/>
      <c r="B147" s="1410"/>
      <c r="C147" s="1494"/>
      <c r="D147" s="1485"/>
      <c r="E147" s="1485"/>
      <c r="F147" s="1485"/>
      <c r="G147" s="1485"/>
      <c r="H147" s="1485"/>
      <c r="I147" s="1485"/>
    </row>
    <row r="148" spans="1:9" x14ac:dyDescent="0.3">
      <c r="A148" s="1410"/>
      <c r="B148" s="1410"/>
      <c r="C148" s="1494"/>
      <c r="D148" s="1485"/>
      <c r="E148" s="1485"/>
      <c r="F148" s="1485"/>
      <c r="G148" s="1485"/>
      <c r="H148" s="1485"/>
      <c r="I148" s="1485"/>
    </row>
    <row r="149" spans="1:9" x14ac:dyDescent="0.3">
      <c r="A149" s="1410"/>
      <c r="B149" s="1410"/>
      <c r="C149" s="1494"/>
      <c r="D149" s="1485"/>
      <c r="E149" s="1485"/>
      <c r="F149" s="1485"/>
      <c r="G149" s="1485"/>
      <c r="H149" s="1485"/>
      <c r="I149" s="1485"/>
    </row>
    <row r="150" spans="1:9" x14ac:dyDescent="0.3">
      <c r="A150" s="1410"/>
      <c r="B150" s="1410"/>
      <c r="C150" s="1494"/>
      <c r="D150" s="1485"/>
      <c r="E150" s="1485"/>
      <c r="F150" s="1485"/>
      <c r="G150" s="1485"/>
      <c r="H150" s="1485"/>
      <c r="I150" s="1485"/>
    </row>
    <row r="151" spans="1:9" x14ac:dyDescent="0.3">
      <c r="A151" s="1410"/>
      <c r="B151" s="1410"/>
      <c r="C151" s="1494"/>
      <c r="D151" s="1485"/>
      <c r="E151" s="1485"/>
      <c r="F151" s="1485"/>
      <c r="G151" s="1485"/>
      <c r="H151" s="1485"/>
      <c r="I151" s="1485"/>
    </row>
    <row r="152" spans="1:9" x14ac:dyDescent="0.3">
      <c r="A152" s="1410"/>
      <c r="B152" s="1410"/>
      <c r="C152" s="1494"/>
      <c r="D152" s="1485"/>
      <c r="E152" s="1485"/>
      <c r="F152" s="1485"/>
      <c r="G152" s="1485"/>
      <c r="H152" s="1485"/>
      <c r="I152" s="1485"/>
    </row>
    <row r="153" spans="1:9" x14ac:dyDescent="0.3">
      <c r="A153" s="1410"/>
      <c r="B153" s="1410"/>
      <c r="C153" s="1494"/>
      <c r="D153" s="1485"/>
      <c r="E153" s="1485"/>
      <c r="F153" s="1485"/>
      <c r="G153" s="1485"/>
      <c r="H153" s="1485"/>
      <c r="I153" s="1485"/>
    </row>
    <row r="154" spans="1:9" x14ac:dyDescent="0.3">
      <c r="A154" s="1410"/>
      <c r="B154" s="1410"/>
      <c r="C154" s="1494"/>
      <c r="D154" s="1485"/>
      <c r="E154" s="1485"/>
      <c r="F154" s="1485"/>
      <c r="G154" s="1485"/>
      <c r="H154" s="1485"/>
      <c r="I154" s="1485"/>
    </row>
    <row r="155" spans="1:9" x14ac:dyDescent="0.3">
      <c r="A155" s="1410"/>
      <c r="B155" s="1410"/>
      <c r="C155" s="1494"/>
      <c r="D155" s="1485"/>
      <c r="E155" s="1485"/>
      <c r="F155" s="1485"/>
      <c r="G155" s="1485"/>
      <c r="H155" s="1485"/>
      <c r="I155" s="1485"/>
    </row>
    <row r="156" spans="1:9" x14ac:dyDescent="0.3">
      <c r="A156" s="1410"/>
      <c r="B156" s="1410"/>
      <c r="C156" s="1494"/>
      <c r="D156" s="1485"/>
      <c r="E156" s="1485"/>
      <c r="F156" s="1485"/>
      <c r="G156" s="1485"/>
      <c r="H156" s="1485"/>
      <c r="I156" s="1485"/>
    </row>
    <row r="157" spans="1:9" x14ac:dyDescent="0.3">
      <c r="A157" s="1410"/>
      <c r="B157" s="1410"/>
      <c r="C157" s="1494"/>
      <c r="D157" s="1485"/>
      <c r="E157" s="1485"/>
      <c r="F157" s="1485"/>
      <c r="G157" s="1485"/>
      <c r="H157" s="1485"/>
      <c r="I157" s="1485"/>
    </row>
    <row r="158" spans="1:9" x14ac:dyDescent="0.3">
      <c r="A158" s="1410"/>
      <c r="B158" s="1410"/>
      <c r="C158" s="1494"/>
      <c r="D158" s="1485"/>
      <c r="E158" s="1485"/>
      <c r="F158" s="1485"/>
      <c r="G158" s="1485"/>
      <c r="H158" s="1485"/>
      <c r="I158" s="1485"/>
    </row>
    <row r="159" spans="1:9" x14ac:dyDescent="0.3">
      <c r="A159" s="1410"/>
      <c r="B159" s="1410"/>
      <c r="C159" s="1494"/>
      <c r="D159" s="1485"/>
      <c r="E159" s="1485"/>
      <c r="F159" s="1485"/>
      <c r="G159" s="1485"/>
      <c r="H159" s="1485"/>
      <c r="I159" s="1485"/>
    </row>
    <row r="160" spans="1:9" x14ac:dyDescent="0.3">
      <c r="A160" s="1410"/>
      <c r="B160" s="1410"/>
      <c r="C160" s="1494"/>
      <c r="D160" s="1485"/>
      <c r="E160" s="1485"/>
      <c r="F160" s="1485"/>
      <c r="G160" s="1485"/>
      <c r="H160" s="1485"/>
      <c r="I160" s="1485"/>
    </row>
    <row r="161" spans="1:9" x14ac:dyDescent="0.3">
      <c r="A161" s="1410"/>
      <c r="B161" s="1410"/>
      <c r="C161" s="1494"/>
      <c r="D161" s="1485"/>
      <c r="E161" s="1485"/>
      <c r="F161" s="1485"/>
      <c r="G161" s="1485"/>
      <c r="H161" s="1485"/>
      <c r="I161" s="1485"/>
    </row>
    <row r="162" spans="1:9" x14ac:dyDescent="0.3">
      <c r="A162" s="1410"/>
      <c r="B162" s="1410"/>
      <c r="C162" s="1494"/>
      <c r="D162" s="1485"/>
      <c r="E162" s="1485"/>
      <c r="F162" s="1485"/>
      <c r="G162" s="1485"/>
      <c r="H162" s="1485"/>
      <c r="I162" s="1485"/>
    </row>
    <row r="163" spans="1:9" x14ac:dyDescent="0.3">
      <c r="A163" s="1410"/>
      <c r="B163" s="1410"/>
      <c r="C163" s="1494"/>
      <c r="D163" s="1485"/>
      <c r="E163" s="1485"/>
      <c r="F163" s="1485"/>
      <c r="G163" s="1485"/>
      <c r="H163" s="1485"/>
      <c r="I163" s="1485"/>
    </row>
    <row r="164" spans="1:9" x14ac:dyDescent="0.3">
      <c r="A164" s="1410"/>
      <c r="B164" s="1410"/>
      <c r="C164" s="1494"/>
      <c r="D164" s="1485"/>
      <c r="E164" s="1485"/>
      <c r="F164" s="1485"/>
      <c r="G164" s="1485"/>
      <c r="H164" s="1485"/>
      <c r="I164" s="1485"/>
    </row>
    <row r="165" spans="1:9" x14ac:dyDescent="0.3">
      <c r="A165" s="1410"/>
      <c r="B165" s="1410"/>
      <c r="C165" s="1494"/>
      <c r="D165" s="1485"/>
      <c r="E165" s="1485"/>
      <c r="F165" s="1485"/>
      <c r="G165" s="1485"/>
      <c r="H165" s="1485"/>
      <c r="I165" s="1485"/>
    </row>
    <row r="166" spans="1:9" x14ac:dyDescent="0.3">
      <c r="A166" s="1410"/>
      <c r="B166" s="1410"/>
      <c r="C166" s="1494"/>
      <c r="D166" s="1485"/>
      <c r="E166" s="1485"/>
      <c r="F166" s="1485"/>
      <c r="G166" s="1485"/>
      <c r="H166" s="1485"/>
      <c r="I166" s="1485"/>
    </row>
    <row r="167" spans="1:9" x14ac:dyDescent="0.3">
      <c r="A167" s="1410"/>
      <c r="B167" s="1410"/>
      <c r="C167" s="1494"/>
      <c r="D167" s="1485"/>
      <c r="E167" s="1485"/>
      <c r="F167" s="1485"/>
      <c r="G167" s="1485"/>
      <c r="H167" s="1485"/>
      <c r="I167" s="1485"/>
    </row>
    <row r="168" spans="1:9" x14ac:dyDescent="0.3">
      <c r="A168" s="1410"/>
      <c r="B168" s="1410"/>
      <c r="C168" s="1494"/>
      <c r="D168" s="1485"/>
      <c r="E168" s="1485"/>
      <c r="F168" s="1485"/>
      <c r="G168" s="1485"/>
      <c r="H168" s="1485"/>
      <c r="I168" s="1485"/>
    </row>
    <row r="169" spans="1:9" x14ac:dyDescent="0.3">
      <c r="A169" s="1410"/>
      <c r="B169" s="1410"/>
      <c r="C169" s="1494"/>
      <c r="D169" s="1485"/>
      <c r="E169" s="1485"/>
      <c r="F169" s="1485"/>
      <c r="G169" s="1485"/>
      <c r="H169" s="1485"/>
      <c r="I169" s="1485"/>
    </row>
    <row r="170" spans="1:9" x14ac:dyDescent="0.3">
      <c r="A170" s="1410"/>
      <c r="B170" s="1410"/>
      <c r="C170" s="1494"/>
      <c r="D170" s="1485"/>
      <c r="E170" s="1485"/>
      <c r="F170" s="1485"/>
      <c r="G170" s="1485"/>
      <c r="H170" s="1485"/>
      <c r="I170" s="1485"/>
    </row>
    <row r="171" spans="1:9" x14ac:dyDescent="0.3">
      <c r="A171" s="1410"/>
      <c r="B171" s="1410"/>
      <c r="C171" s="1494"/>
      <c r="D171" s="1485"/>
      <c r="E171" s="1485"/>
      <c r="F171" s="1485"/>
      <c r="G171" s="1485"/>
      <c r="H171" s="1485"/>
      <c r="I171" s="1485"/>
    </row>
    <row r="172" spans="1:9" x14ac:dyDescent="0.3">
      <c r="A172" s="1410"/>
      <c r="B172" s="1410"/>
      <c r="C172" s="1494"/>
      <c r="D172" s="1485"/>
      <c r="E172" s="1485"/>
      <c r="F172" s="1485"/>
      <c r="G172" s="1485"/>
      <c r="H172" s="1485"/>
      <c r="I172" s="1485"/>
    </row>
    <row r="173" spans="1:9" x14ac:dyDescent="0.3">
      <c r="A173" s="1410"/>
      <c r="B173" s="1410"/>
      <c r="C173" s="1494"/>
      <c r="D173" s="1485"/>
      <c r="E173" s="1485"/>
      <c r="F173" s="1485"/>
      <c r="G173" s="1485"/>
      <c r="H173" s="1485"/>
      <c r="I173" s="1485"/>
    </row>
    <row r="174" spans="1:9" x14ac:dyDescent="0.3">
      <c r="A174" s="1410"/>
      <c r="B174" s="1410"/>
      <c r="C174" s="1494"/>
      <c r="D174" s="1485"/>
      <c r="E174" s="1485"/>
      <c r="F174" s="1485"/>
      <c r="G174" s="1485"/>
      <c r="H174" s="1485"/>
      <c r="I174" s="1485"/>
    </row>
    <row r="175" spans="1:9" x14ac:dyDescent="0.3">
      <c r="A175" s="1410"/>
      <c r="B175" s="1410"/>
      <c r="C175" s="1494"/>
      <c r="D175" s="1485"/>
      <c r="E175" s="1485"/>
      <c r="F175" s="1485"/>
      <c r="G175" s="1485"/>
      <c r="H175" s="1485"/>
      <c r="I175" s="1485"/>
    </row>
    <row r="176" spans="1:9" x14ac:dyDescent="0.3">
      <c r="A176" s="1410"/>
      <c r="B176" s="1410"/>
      <c r="C176" s="1494"/>
      <c r="D176" s="1485"/>
      <c r="E176" s="1485"/>
      <c r="F176" s="1485"/>
      <c r="G176" s="1485"/>
      <c r="H176" s="1485"/>
      <c r="I176" s="1485"/>
    </row>
    <row r="177" spans="1:9" x14ac:dyDescent="0.3">
      <c r="A177" s="1410"/>
      <c r="B177" s="1410"/>
      <c r="C177" s="1494"/>
      <c r="D177" s="1485"/>
      <c r="E177" s="1485"/>
      <c r="F177" s="1485"/>
      <c r="G177" s="1485"/>
      <c r="H177" s="1485"/>
      <c r="I177" s="1485"/>
    </row>
    <row r="178" spans="1:9" x14ac:dyDescent="0.3">
      <c r="A178" s="1410"/>
      <c r="B178" s="1410"/>
      <c r="C178" s="1494"/>
      <c r="D178" s="1485"/>
      <c r="E178" s="1485"/>
      <c r="F178" s="1485"/>
      <c r="G178" s="1485"/>
      <c r="H178" s="1485"/>
      <c r="I178" s="1485"/>
    </row>
    <row r="179" spans="1:9" x14ac:dyDescent="0.3">
      <c r="A179" s="1410"/>
      <c r="B179" s="1410"/>
      <c r="C179" s="1494"/>
      <c r="D179" s="1485"/>
      <c r="E179" s="1485"/>
      <c r="F179" s="1485"/>
      <c r="G179" s="1485"/>
      <c r="H179" s="1485"/>
      <c r="I179" s="1485"/>
    </row>
    <row r="180" spans="1:9" x14ac:dyDescent="0.3">
      <c r="A180" s="1410"/>
      <c r="B180" s="1410"/>
      <c r="C180" s="1494"/>
      <c r="D180" s="1485"/>
      <c r="E180" s="1485"/>
      <c r="F180" s="1485"/>
      <c r="G180" s="1485"/>
      <c r="H180" s="1485"/>
      <c r="I180" s="1485"/>
    </row>
    <row r="181" spans="1:9" x14ac:dyDescent="0.3">
      <c r="A181" s="1410"/>
      <c r="B181" s="1410"/>
      <c r="C181" s="1494"/>
      <c r="D181" s="1485"/>
      <c r="E181" s="1485"/>
      <c r="F181" s="1485"/>
      <c r="G181" s="1485"/>
      <c r="H181" s="1485"/>
      <c r="I181" s="1485"/>
    </row>
    <row r="182" spans="1:9" x14ac:dyDescent="0.3">
      <c r="A182" s="1410"/>
      <c r="B182" s="1410"/>
      <c r="C182" s="1494"/>
      <c r="D182" s="1485"/>
      <c r="E182" s="1485"/>
      <c r="F182" s="1485"/>
      <c r="G182" s="1485"/>
      <c r="H182" s="1485"/>
      <c r="I182" s="1485"/>
    </row>
    <row r="183" spans="1:9" x14ac:dyDescent="0.3">
      <c r="A183" s="1410"/>
      <c r="B183" s="1410"/>
      <c r="C183" s="1494"/>
      <c r="D183" s="1485"/>
      <c r="E183" s="1485"/>
      <c r="F183" s="1485"/>
      <c r="G183" s="1485"/>
      <c r="H183" s="1485"/>
      <c r="I183" s="1485"/>
    </row>
    <row r="184" spans="1:9" x14ac:dyDescent="0.3">
      <c r="A184" s="1410"/>
      <c r="B184" s="1410"/>
      <c r="C184" s="1494"/>
      <c r="D184" s="1485"/>
      <c r="E184" s="1485"/>
      <c r="F184" s="1485"/>
      <c r="G184" s="1485"/>
      <c r="H184" s="1485"/>
      <c r="I184" s="1485"/>
    </row>
    <row r="185" spans="1:9" x14ac:dyDescent="0.3">
      <c r="A185" s="1410"/>
      <c r="B185" s="1410"/>
      <c r="C185" s="1494"/>
      <c r="D185" s="1485"/>
      <c r="E185" s="1485"/>
      <c r="F185" s="1485"/>
      <c r="G185" s="1485"/>
      <c r="H185" s="1485"/>
      <c r="I185" s="1485"/>
    </row>
    <row r="186" spans="1:9" x14ac:dyDescent="0.3">
      <c r="A186" s="1410"/>
      <c r="B186" s="1410"/>
      <c r="C186" s="1494"/>
      <c r="D186" s="1485"/>
      <c r="E186" s="1485"/>
      <c r="F186" s="1485"/>
      <c r="G186" s="1485"/>
      <c r="H186" s="1485"/>
      <c r="I186" s="1485"/>
    </row>
    <row r="187" spans="1:9" x14ac:dyDescent="0.3">
      <c r="A187" s="1410"/>
      <c r="B187" s="1410"/>
      <c r="C187" s="1494"/>
      <c r="D187" s="1485"/>
      <c r="E187" s="1485"/>
      <c r="F187" s="1485"/>
      <c r="G187" s="1485"/>
      <c r="H187" s="1485"/>
      <c r="I187" s="1485"/>
    </row>
    <row r="188" spans="1:9" x14ac:dyDescent="0.3">
      <c r="A188" s="1410"/>
      <c r="B188" s="1410"/>
      <c r="C188" s="1494"/>
      <c r="D188" s="1485"/>
      <c r="E188" s="1485"/>
      <c r="F188" s="1485"/>
      <c r="G188" s="1485"/>
      <c r="H188" s="1485"/>
      <c r="I188" s="1485"/>
    </row>
    <row r="189" spans="1:9" x14ac:dyDescent="0.3">
      <c r="A189" s="1410"/>
      <c r="B189" s="1410"/>
      <c r="C189" s="1494"/>
      <c r="D189" s="1485"/>
      <c r="E189" s="1485"/>
      <c r="F189" s="1485"/>
      <c r="G189" s="1485"/>
      <c r="H189" s="1485"/>
      <c r="I189" s="1485"/>
    </row>
    <row r="190" spans="1:9" x14ac:dyDescent="0.3">
      <c r="A190" s="1410"/>
      <c r="B190" s="1410"/>
      <c r="C190" s="1494"/>
      <c r="D190" s="1485"/>
      <c r="E190" s="1485"/>
      <c r="F190" s="1485"/>
      <c r="G190" s="1485"/>
      <c r="H190" s="1485"/>
      <c r="I190" s="1485"/>
    </row>
    <row r="191" spans="1:9" x14ac:dyDescent="0.3">
      <c r="A191" s="1410"/>
      <c r="B191" s="1410"/>
      <c r="C191" s="1494"/>
      <c r="D191" s="1485"/>
      <c r="E191" s="1485"/>
      <c r="F191" s="1485"/>
      <c r="G191" s="1485"/>
      <c r="H191" s="1485"/>
      <c r="I191" s="1485"/>
    </row>
    <row r="192" spans="1:9" x14ac:dyDescent="0.3">
      <c r="A192" s="1410"/>
      <c r="B192" s="1410"/>
      <c r="C192" s="1494"/>
      <c r="D192" s="1485"/>
      <c r="E192" s="1485"/>
      <c r="F192" s="1485"/>
      <c r="G192" s="1485"/>
      <c r="H192" s="1485"/>
      <c r="I192" s="1485"/>
    </row>
    <row r="193" spans="1:9" x14ac:dyDescent="0.3">
      <c r="A193" s="1410"/>
      <c r="B193" s="1410"/>
      <c r="C193" s="1494"/>
      <c r="D193" s="1485"/>
      <c r="E193" s="1485"/>
      <c r="F193" s="1485"/>
      <c r="G193" s="1485"/>
      <c r="H193" s="1485"/>
      <c r="I193" s="1485"/>
    </row>
    <row r="194" spans="1:9" x14ac:dyDescent="0.3">
      <c r="A194" s="1410"/>
      <c r="B194" s="1410"/>
      <c r="C194" s="1494"/>
      <c r="D194" s="1485"/>
      <c r="E194" s="1485"/>
      <c r="F194" s="1485"/>
      <c r="G194" s="1485"/>
      <c r="H194" s="1485"/>
      <c r="I194" s="1485"/>
    </row>
    <row r="195" spans="1:9" x14ac:dyDescent="0.3">
      <c r="A195" s="1410"/>
      <c r="B195" s="1410"/>
      <c r="C195" s="1494"/>
      <c r="D195" s="1485"/>
      <c r="E195" s="1485"/>
      <c r="F195" s="1485"/>
      <c r="G195" s="1485"/>
      <c r="H195" s="1485"/>
      <c r="I195" s="1485"/>
    </row>
    <row r="196" spans="1:9" x14ac:dyDescent="0.3">
      <c r="A196" s="1410"/>
      <c r="B196" s="1410"/>
      <c r="C196" s="1494"/>
      <c r="D196" s="1485"/>
      <c r="E196" s="1485"/>
      <c r="F196" s="1485"/>
      <c r="G196" s="1485"/>
      <c r="H196" s="1485"/>
      <c r="I196" s="1485"/>
    </row>
    <row r="197" spans="1:9" x14ac:dyDescent="0.3">
      <c r="A197" s="1410"/>
      <c r="B197" s="1410"/>
      <c r="C197" s="1494"/>
      <c r="D197" s="1485"/>
      <c r="E197" s="1485"/>
      <c r="F197" s="1485"/>
      <c r="G197" s="1485"/>
      <c r="H197" s="1485"/>
      <c r="I197" s="1485"/>
    </row>
    <row r="198" spans="1:9" x14ac:dyDescent="0.3">
      <c r="A198" s="1410"/>
      <c r="B198" s="1410"/>
      <c r="C198" s="1494"/>
      <c r="D198" s="1485"/>
      <c r="E198" s="1485"/>
      <c r="F198" s="1485"/>
      <c r="G198" s="1485"/>
      <c r="H198" s="1485"/>
      <c r="I198" s="1485"/>
    </row>
    <row r="199" spans="1:9" x14ac:dyDescent="0.3">
      <c r="A199" s="1410"/>
      <c r="B199" s="1410"/>
      <c r="C199" s="1494"/>
      <c r="D199" s="1485"/>
      <c r="E199" s="1485"/>
      <c r="F199" s="1485"/>
      <c r="G199" s="1485"/>
      <c r="H199" s="1485"/>
      <c r="I199" s="1485"/>
    </row>
    <row r="200" spans="1:9" x14ac:dyDescent="0.3">
      <c r="A200" s="1410"/>
      <c r="B200" s="1410"/>
      <c r="C200" s="1494"/>
      <c r="D200" s="1485"/>
      <c r="E200" s="1485"/>
      <c r="F200" s="1485"/>
      <c r="G200" s="1485"/>
      <c r="H200" s="1485"/>
      <c r="I200" s="1485"/>
    </row>
    <row r="201" spans="1:9" x14ac:dyDescent="0.3">
      <c r="A201" s="1410"/>
      <c r="B201" s="1410"/>
      <c r="C201" s="1494"/>
      <c r="D201" s="1485"/>
      <c r="E201" s="1485"/>
      <c r="F201" s="1485"/>
      <c r="G201" s="1485"/>
      <c r="H201" s="1485"/>
      <c r="I201" s="1485"/>
    </row>
    <row r="202" spans="1:9" x14ac:dyDescent="0.3">
      <c r="A202" s="1410"/>
      <c r="B202" s="1410"/>
      <c r="C202" s="1494"/>
      <c r="D202" s="1485"/>
      <c r="E202" s="1485"/>
      <c r="F202" s="1485"/>
      <c r="G202" s="1485"/>
      <c r="H202" s="1485"/>
      <c r="I202" s="1485"/>
    </row>
    <row r="203" spans="1:9" x14ac:dyDescent="0.3">
      <c r="A203" s="1410"/>
      <c r="B203" s="1410"/>
      <c r="C203" s="1494"/>
      <c r="D203" s="1485"/>
      <c r="E203" s="1485"/>
      <c r="F203" s="1485"/>
      <c r="G203" s="1485"/>
      <c r="H203" s="1485"/>
      <c r="I203" s="1485"/>
    </row>
    <row r="204" spans="1:9" x14ac:dyDescent="0.3">
      <c r="A204" s="1410"/>
      <c r="B204" s="1410"/>
      <c r="C204" s="1494"/>
      <c r="D204" s="1485"/>
      <c r="E204" s="1485"/>
      <c r="F204" s="1485"/>
      <c r="G204" s="1485"/>
      <c r="H204" s="1485"/>
      <c r="I204" s="1485"/>
    </row>
    <row r="205" spans="1:9" x14ac:dyDescent="0.3">
      <c r="A205" s="1410"/>
      <c r="B205" s="1410"/>
      <c r="C205" s="1494"/>
      <c r="D205" s="1485"/>
      <c r="E205" s="1485"/>
      <c r="F205" s="1485"/>
      <c r="G205" s="1485"/>
      <c r="H205" s="1485"/>
      <c r="I205" s="1485"/>
    </row>
    <row r="206" spans="1:9" x14ac:dyDescent="0.3">
      <c r="A206" s="1410"/>
      <c r="B206" s="1410"/>
      <c r="C206" s="1494"/>
      <c r="D206" s="1485"/>
      <c r="E206" s="1485"/>
      <c r="F206" s="1485"/>
      <c r="G206" s="1485"/>
      <c r="H206" s="1485"/>
      <c r="I206" s="1485"/>
    </row>
    <row r="207" spans="1:9" x14ac:dyDescent="0.3">
      <c r="A207" s="1410"/>
      <c r="B207" s="1410"/>
      <c r="C207" s="1494"/>
      <c r="D207" s="1485"/>
      <c r="E207" s="1485"/>
      <c r="F207" s="1485"/>
      <c r="G207" s="1485"/>
      <c r="H207" s="1485"/>
      <c r="I207" s="1485"/>
    </row>
    <row r="208" spans="1:9" x14ac:dyDescent="0.3">
      <c r="A208" s="1410"/>
      <c r="B208" s="1410"/>
      <c r="C208" s="1494"/>
      <c r="D208" s="1485"/>
      <c r="E208" s="1485"/>
      <c r="F208" s="1485"/>
      <c r="G208" s="1485"/>
      <c r="H208" s="1485"/>
      <c r="I208" s="1485"/>
    </row>
    <row r="209" spans="1:9" x14ac:dyDescent="0.3">
      <c r="A209" s="1410"/>
      <c r="B209" s="1410"/>
      <c r="C209" s="1494"/>
      <c r="D209" s="1485"/>
      <c r="E209" s="1485"/>
      <c r="F209" s="1485"/>
      <c r="G209" s="1485"/>
      <c r="H209" s="1485"/>
      <c r="I209" s="1485"/>
    </row>
    <row r="210" spans="1:9" x14ac:dyDescent="0.3">
      <c r="A210" s="1410"/>
      <c r="B210" s="1410"/>
      <c r="C210" s="1494"/>
      <c r="D210" s="1485"/>
      <c r="E210" s="1485"/>
      <c r="F210" s="1485"/>
      <c r="G210" s="1485"/>
      <c r="H210" s="1485"/>
      <c r="I210" s="1485"/>
    </row>
    <row r="211" spans="1:9" x14ac:dyDescent="0.3">
      <c r="A211" s="1410"/>
      <c r="B211" s="1410"/>
      <c r="C211" s="1494"/>
      <c r="D211" s="1485"/>
      <c r="E211" s="1485"/>
      <c r="F211" s="1485"/>
      <c r="G211" s="1485"/>
      <c r="H211" s="1485"/>
      <c r="I211" s="1485"/>
    </row>
    <row r="212" spans="1:9" x14ac:dyDescent="0.3">
      <c r="A212" s="1410"/>
      <c r="B212" s="1410"/>
      <c r="C212" s="1494"/>
      <c r="D212" s="1485"/>
      <c r="E212" s="1485"/>
      <c r="F212" s="1485"/>
      <c r="G212" s="1485"/>
      <c r="H212" s="1485"/>
      <c r="I212" s="1485"/>
    </row>
    <row r="213" spans="1:9" x14ac:dyDescent="0.3">
      <c r="A213" s="1410"/>
      <c r="B213" s="1410"/>
      <c r="C213" s="1494"/>
      <c r="D213" s="1485"/>
      <c r="E213" s="1485"/>
      <c r="F213" s="1485"/>
      <c r="G213" s="1485"/>
      <c r="H213" s="1485"/>
      <c r="I213" s="1485"/>
    </row>
    <row r="214" spans="1:9" x14ac:dyDescent="0.3">
      <c r="A214" s="1410"/>
      <c r="B214" s="1410"/>
      <c r="C214" s="1494"/>
      <c r="D214" s="1485"/>
      <c r="E214" s="1485"/>
      <c r="F214" s="1485"/>
      <c r="G214" s="1485"/>
      <c r="H214" s="1485"/>
      <c r="I214" s="1485"/>
    </row>
    <row r="215" spans="1:9" x14ac:dyDescent="0.3">
      <c r="A215" s="1410"/>
      <c r="B215" s="1410"/>
      <c r="C215" s="1494"/>
      <c r="D215" s="1485"/>
      <c r="E215" s="1485"/>
      <c r="F215" s="1485"/>
      <c r="G215" s="1485"/>
      <c r="H215" s="1485"/>
      <c r="I215" s="1485"/>
    </row>
    <row r="216" spans="1:9" x14ac:dyDescent="0.3">
      <c r="A216" s="1410"/>
      <c r="B216" s="1410"/>
      <c r="C216" s="1494"/>
      <c r="D216" s="1485"/>
      <c r="E216" s="1485"/>
      <c r="F216" s="1485"/>
      <c r="G216" s="1485"/>
      <c r="H216" s="1485"/>
      <c r="I216" s="1485"/>
    </row>
    <row r="217" spans="1:9" x14ac:dyDescent="0.3">
      <c r="A217" s="1410"/>
      <c r="B217" s="1410"/>
      <c r="C217" s="1494"/>
      <c r="D217" s="1485"/>
      <c r="E217" s="1485"/>
      <c r="F217" s="1485"/>
      <c r="G217" s="1485"/>
      <c r="H217" s="1485"/>
      <c r="I217" s="1485"/>
    </row>
    <row r="218" spans="1:9" x14ac:dyDescent="0.3">
      <c r="A218" s="1410"/>
      <c r="B218" s="1410"/>
      <c r="C218" s="1494"/>
      <c r="D218" s="1485"/>
      <c r="E218" s="1485"/>
      <c r="F218" s="1485"/>
      <c r="G218" s="1485"/>
      <c r="H218" s="1485"/>
      <c r="I218" s="1485"/>
    </row>
    <row r="219" spans="1:9" x14ac:dyDescent="0.3">
      <c r="A219" s="1410"/>
      <c r="B219" s="1410"/>
      <c r="C219" s="1494"/>
      <c r="D219" s="1485"/>
      <c r="E219" s="1485"/>
      <c r="F219" s="1485"/>
      <c r="G219" s="1485"/>
      <c r="H219" s="1485"/>
      <c r="I219" s="1485"/>
    </row>
    <row r="220" spans="1:9" x14ac:dyDescent="0.3">
      <c r="A220" s="1410"/>
      <c r="B220" s="1410"/>
      <c r="C220" s="1494"/>
      <c r="D220" s="1485"/>
      <c r="E220" s="1485"/>
      <c r="F220" s="1485"/>
      <c r="G220" s="1485"/>
      <c r="H220" s="1485"/>
      <c r="I220" s="1485"/>
    </row>
    <row r="221" spans="1:9" x14ac:dyDescent="0.3">
      <c r="A221" s="1410"/>
      <c r="B221" s="1410"/>
      <c r="C221" s="1494"/>
      <c r="D221" s="1485"/>
      <c r="E221" s="1485"/>
      <c r="F221" s="1485"/>
      <c r="G221" s="1485"/>
      <c r="H221" s="1485"/>
      <c r="I221" s="1485"/>
    </row>
    <row r="222" spans="1:9" x14ac:dyDescent="0.3">
      <c r="A222" s="1410"/>
      <c r="B222" s="1410"/>
      <c r="C222" s="1494"/>
      <c r="D222" s="1485"/>
      <c r="E222" s="1485"/>
      <c r="F222" s="1485"/>
      <c r="G222" s="1485"/>
      <c r="H222" s="1485"/>
      <c r="I222" s="1485"/>
    </row>
    <row r="223" spans="1:9" x14ac:dyDescent="0.3">
      <c r="A223" s="1410"/>
      <c r="B223" s="1410"/>
      <c r="C223" s="1494"/>
      <c r="D223" s="1485"/>
      <c r="E223" s="1485"/>
      <c r="F223" s="1485"/>
      <c r="G223" s="1485"/>
      <c r="H223" s="1485"/>
      <c r="I223" s="1485"/>
    </row>
    <row r="224" spans="1:9" x14ac:dyDescent="0.3">
      <c r="A224" s="1410"/>
      <c r="B224" s="1410"/>
      <c r="C224" s="1494"/>
      <c r="D224" s="1485"/>
      <c r="E224" s="1485"/>
      <c r="F224" s="1485"/>
      <c r="G224" s="1485"/>
      <c r="H224" s="1485"/>
      <c r="I224" s="1485"/>
    </row>
    <row r="225" spans="1:9" x14ac:dyDescent="0.3">
      <c r="A225" s="1410"/>
      <c r="B225" s="1410"/>
      <c r="C225" s="1494"/>
      <c r="D225" s="1485"/>
      <c r="E225" s="1485"/>
      <c r="F225" s="1485"/>
      <c r="G225" s="1485"/>
      <c r="H225" s="1485"/>
      <c r="I225" s="1485"/>
    </row>
    <row r="226" spans="1:9" x14ac:dyDescent="0.3">
      <c r="A226" s="1410"/>
      <c r="B226" s="1410"/>
      <c r="C226" s="1494"/>
      <c r="D226" s="1485"/>
      <c r="E226" s="1485"/>
      <c r="F226" s="1485"/>
      <c r="G226" s="1485"/>
      <c r="H226" s="1485"/>
      <c r="I226" s="1485"/>
    </row>
    <row r="227" spans="1:9" x14ac:dyDescent="0.3">
      <c r="A227" s="1410"/>
      <c r="B227" s="1410"/>
      <c r="C227" s="1494"/>
      <c r="D227" s="1485"/>
      <c r="E227" s="1485"/>
      <c r="F227" s="1485"/>
      <c r="G227" s="1485"/>
      <c r="H227" s="1485"/>
      <c r="I227" s="1485"/>
    </row>
    <row r="228" spans="1:9" x14ac:dyDescent="0.3">
      <c r="A228" s="1410"/>
      <c r="B228" s="1410"/>
      <c r="C228" s="1494"/>
      <c r="D228" s="1485"/>
      <c r="E228" s="1485"/>
      <c r="F228" s="1485"/>
      <c r="G228" s="1485"/>
      <c r="H228" s="1485"/>
      <c r="I228" s="1485"/>
    </row>
    <row r="229" spans="1:9" x14ac:dyDescent="0.3">
      <c r="A229" s="1410"/>
      <c r="B229" s="1410"/>
      <c r="C229" s="1494"/>
      <c r="D229" s="1485"/>
      <c r="E229" s="1485"/>
      <c r="F229" s="1485"/>
      <c r="G229" s="1485"/>
      <c r="H229" s="1485"/>
      <c r="I229" s="1485"/>
    </row>
    <row r="230" spans="1:9" x14ac:dyDescent="0.3">
      <c r="A230" s="1410"/>
      <c r="B230" s="1410"/>
      <c r="C230" s="1494"/>
      <c r="D230" s="1485"/>
      <c r="E230" s="1485"/>
      <c r="F230" s="1485"/>
      <c r="G230" s="1485"/>
      <c r="H230" s="1485"/>
      <c r="I230" s="1485"/>
    </row>
    <row r="231" spans="1:9" x14ac:dyDescent="0.3">
      <c r="A231" s="1410"/>
      <c r="B231" s="1410"/>
      <c r="C231" s="1494"/>
      <c r="D231" s="1485"/>
      <c r="E231" s="1485"/>
      <c r="F231" s="1485"/>
      <c r="G231" s="1485"/>
      <c r="H231" s="1485"/>
      <c r="I231" s="1485"/>
    </row>
    <row r="232" spans="1:9" x14ac:dyDescent="0.3">
      <c r="A232" s="1410"/>
      <c r="B232" s="1410"/>
      <c r="C232" s="1494"/>
      <c r="D232" s="1485"/>
      <c r="E232" s="1485"/>
      <c r="F232" s="1485"/>
      <c r="G232" s="1485"/>
      <c r="H232" s="1485"/>
      <c r="I232" s="1485"/>
    </row>
    <row r="233" spans="1:9" x14ac:dyDescent="0.3">
      <c r="A233" s="1410"/>
      <c r="B233" s="1410"/>
      <c r="C233" s="1494"/>
      <c r="D233" s="1485"/>
      <c r="E233" s="1485"/>
      <c r="F233" s="1485"/>
      <c r="G233" s="1485"/>
      <c r="H233" s="1485"/>
      <c r="I233" s="1485"/>
    </row>
    <row r="234" spans="1:9" x14ac:dyDescent="0.3">
      <c r="A234" s="1410"/>
      <c r="B234" s="1410"/>
      <c r="C234" s="1494"/>
      <c r="D234" s="1485"/>
      <c r="E234" s="1485"/>
      <c r="F234" s="1485"/>
      <c r="G234" s="1485"/>
      <c r="H234" s="1485"/>
      <c r="I234" s="1485"/>
    </row>
    <row r="235" spans="1:9" x14ac:dyDescent="0.3">
      <c r="A235" s="1410"/>
      <c r="B235" s="1410"/>
      <c r="C235" s="1494"/>
      <c r="D235" s="1485"/>
      <c r="E235" s="1485"/>
      <c r="F235" s="1485"/>
      <c r="G235" s="1485"/>
      <c r="H235" s="1485"/>
      <c r="I235" s="1485"/>
    </row>
    <row r="236" spans="1:9" x14ac:dyDescent="0.3">
      <c r="A236" s="1410"/>
      <c r="B236" s="1410"/>
      <c r="C236" s="1494"/>
      <c r="D236" s="1485"/>
      <c r="E236" s="1485"/>
      <c r="F236" s="1485"/>
      <c r="G236" s="1485"/>
      <c r="H236" s="1485"/>
      <c r="I236" s="1485"/>
    </row>
    <row r="237" spans="1:9" x14ac:dyDescent="0.3">
      <c r="A237" s="1410"/>
      <c r="B237" s="1410"/>
      <c r="C237" s="1494"/>
      <c r="D237" s="1485"/>
      <c r="E237" s="1485"/>
      <c r="F237" s="1485"/>
      <c r="G237" s="1485"/>
      <c r="H237" s="1485"/>
      <c r="I237" s="1485"/>
    </row>
    <row r="238" spans="1:9" x14ac:dyDescent="0.3">
      <c r="A238" s="1410"/>
      <c r="B238" s="1410"/>
      <c r="C238" s="1494"/>
      <c r="D238" s="1485"/>
      <c r="E238" s="1485"/>
      <c r="F238" s="1485"/>
      <c r="G238" s="1485"/>
      <c r="H238" s="1485"/>
      <c r="I238" s="1485"/>
    </row>
    <row r="239" spans="1:9" x14ac:dyDescent="0.3">
      <c r="A239" s="1410"/>
      <c r="B239" s="1410"/>
      <c r="C239" s="1494"/>
      <c r="D239" s="1485"/>
      <c r="E239" s="1485"/>
      <c r="F239" s="1485"/>
      <c r="G239" s="1485"/>
      <c r="H239" s="1485"/>
      <c r="I239" s="1485"/>
    </row>
    <row r="240" spans="1:9" x14ac:dyDescent="0.3">
      <c r="A240" s="1410"/>
      <c r="B240" s="1410"/>
      <c r="C240" s="1494"/>
      <c r="D240" s="1485"/>
      <c r="E240" s="1485"/>
      <c r="F240" s="1485"/>
      <c r="G240" s="1485"/>
      <c r="H240" s="1485"/>
      <c r="I240" s="1485"/>
    </row>
    <row r="241" spans="1:9" x14ac:dyDescent="0.3">
      <c r="A241" s="1410"/>
      <c r="B241" s="1410"/>
      <c r="C241" s="1494"/>
      <c r="D241" s="1485"/>
      <c r="E241" s="1485"/>
      <c r="F241" s="1485"/>
      <c r="G241" s="1485"/>
      <c r="H241" s="1485"/>
      <c r="I241" s="1485"/>
    </row>
    <row r="242" spans="1:9" x14ac:dyDescent="0.3">
      <c r="A242" s="1410"/>
      <c r="B242" s="1410"/>
      <c r="C242" s="1494"/>
      <c r="D242" s="1485"/>
      <c r="E242" s="1485"/>
      <c r="F242" s="1485"/>
      <c r="G242" s="1485"/>
      <c r="H242" s="1485"/>
      <c r="I242" s="1485"/>
    </row>
    <row r="243" spans="1:9" x14ac:dyDescent="0.3">
      <c r="A243" s="1410"/>
      <c r="B243" s="1410"/>
      <c r="C243" s="1494"/>
      <c r="D243" s="1485"/>
      <c r="E243" s="1485"/>
      <c r="F243" s="1485"/>
      <c r="G243" s="1485"/>
      <c r="H243" s="1485"/>
      <c r="I243" s="1485"/>
    </row>
    <row r="244" spans="1:9" x14ac:dyDescent="0.3">
      <c r="A244" s="1410"/>
      <c r="B244" s="1410"/>
      <c r="C244" s="1494"/>
      <c r="D244" s="1485"/>
      <c r="E244" s="1485"/>
      <c r="F244" s="1485"/>
      <c r="G244" s="1485"/>
      <c r="H244" s="1485"/>
      <c r="I244" s="1485"/>
    </row>
    <row r="245" spans="1:9" x14ac:dyDescent="0.3">
      <c r="A245" s="1410"/>
      <c r="B245" s="1410"/>
      <c r="C245" s="1494"/>
      <c r="D245" s="1485"/>
      <c r="E245" s="1485"/>
      <c r="F245" s="1485"/>
      <c r="G245" s="1485"/>
      <c r="H245" s="1485"/>
      <c r="I245" s="1485"/>
    </row>
    <row r="246" spans="1:9" x14ac:dyDescent="0.3">
      <c r="A246" s="1410"/>
      <c r="B246" s="1410"/>
      <c r="C246" s="1494"/>
      <c r="D246" s="1485"/>
      <c r="E246" s="1485"/>
      <c r="F246" s="1485"/>
      <c r="G246" s="1485"/>
      <c r="H246" s="1485"/>
      <c r="I246" s="1485"/>
    </row>
    <row r="247" spans="1:9" x14ac:dyDescent="0.3">
      <c r="A247" s="1410"/>
      <c r="B247" s="1410"/>
      <c r="C247" s="1494"/>
      <c r="D247" s="1485"/>
      <c r="E247" s="1485"/>
      <c r="F247" s="1485"/>
      <c r="G247" s="1485"/>
      <c r="H247" s="1485"/>
      <c r="I247" s="1485"/>
    </row>
    <row r="248" spans="1:9" x14ac:dyDescent="0.3">
      <c r="A248" s="1410"/>
      <c r="B248" s="1410"/>
      <c r="C248" s="1494"/>
      <c r="D248" s="1485"/>
      <c r="E248" s="1485"/>
      <c r="F248" s="1485"/>
      <c r="G248" s="1485"/>
      <c r="H248" s="1485"/>
      <c r="I248" s="1485"/>
    </row>
    <row r="249" spans="1:9" x14ac:dyDescent="0.3">
      <c r="A249" s="1410"/>
      <c r="B249" s="1410"/>
      <c r="C249" s="1494"/>
      <c r="D249" s="1485"/>
      <c r="E249" s="1485"/>
      <c r="F249" s="1485"/>
      <c r="G249" s="1485"/>
      <c r="H249" s="1485"/>
      <c r="I249" s="1485"/>
    </row>
    <row r="250" spans="1:9" x14ac:dyDescent="0.3">
      <c r="A250" s="1410"/>
      <c r="B250" s="1410"/>
      <c r="C250" s="1494"/>
      <c r="D250" s="1485"/>
      <c r="E250" s="1485"/>
      <c r="F250" s="1485"/>
      <c r="G250" s="1485"/>
      <c r="H250" s="1485"/>
      <c r="I250" s="1485"/>
    </row>
    <row r="251" spans="1:9" x14ac:dyDescent="0.3">
      <c r="A251" s="1410"/>
      <c r="B251" s="1410"/>
      <c r="C251" s="1494"/>
      <c r="D251" s="1485"/>
      <c r="E251" s="1485"/>
      <c r="F251" s="1485"/>
      <c r="G251" s="1485"/>
      <c r="H251" s="1485"/>
      <c r="I251" s="1485"/>
    </row>
    <row r="252" spans="1:9" x14ac:dyDescent="0.3">
      <c r="A252" s="1410"/>
      <c r="B252" s="1410"/>
      <c r="C252" s="1494"/>
      <c r="D252" s="1485"/>
      <c r="E252" s="1485"/>
      <c r="F252" s="1485"/>
      <c r="G252" s="1485"/>
      <c r="H252" s="1485"/>
      <c r="I252" s="1485"/>
    </row>
    <row r="253" spans="1:9" x14ac:dyDescent="0.3">
      <c r="A253" s="1410"/>
      <c r="B253" s="1410"/>
      <c r="C253" s="1494"/>
      <c r="D253" s="1485"/>
      <c r="E253" s="1485"/>
      <c r="F253" s="1485"/>
      <c r="G253" s="1485"/>
      <c r="H253" s="1485"/>
      <c r="I253" s="1485"/>
    </row>
    <row r="254" spans="1:9" x14ac:dyDescent="0.3">
      <c r="A254" s="1410"/>
      <c r="B254" s="1410"/>
      <c r="C254" s="1494"/>
      <c r="D254" s="1485"/>
      <c r="E254" s="1485"/>
      <c r="F254" s="1485"/>
      <c r="G254" s="1485"/>
      <c r="H254" s="1485"/>
      <c r="I254" s="1485"/>
    </row>
    <row r="255" spans="1:9" x14ac:dyDescent="0.3">
      <c r="A255" s="1410"/>
      <c r="B255" s="1410"/>
      <c r="C255" s="1494"/>
      <c r="D255" s="1485"/>
      <c r="E255" s="1485"/>
      <c r="F255" s="1485"/>
      <c r="G255" s="1485"/>
      <c r="H255" s="1485"/>
      <c r="I255" s="1485"/>
    </row>
    <row r="256" spans="1:9" x14ac:dyDescent="0.3">
      <c r="A256" s="1410"/>
      <c r="B256" s="1410"/>
      <c r="C256" s="1494"/>
      <c r="D256" s="1485"/>
      <c r="E256" s="1485"/>
      <c r="F256" s="1485"/>
      <c r="G256" s="1485"/>
      <c r="H256" s="1485"/>
      <c r="I256" s="1485"/>
    </row>
    <row r="257" spans="1:9" x14ac:dyDescent="0.3">
      <c r="A257" s="1410"/>
      <c r="B257" s="1410"/>
      <c r="C257" s="1494"/>
      <c r="D257" s="1485"/>
      <c r="E257" s="1485"/>
      <c r="F257" s="1485"/>
      <c r="G257" s="1485"/>
      <c r="H257" s="1485"/>
      <c r="I257" s="1485"/>
    </row>
    <row r="258" spans="1:9" x14ac:dyDescent="0.3">
      <c r="A258" s="1410"/>
      <c r="B258" s="1410"/>
      <c r="C258" s="1494"/>
      <c r="D258" s="1485"/>
      <c r="E258" s="1485"/>
      <c r="F258" s="1485"/>
      <c r="G258" s="1485"/>
      <c r="H258" s="1485"/>
      <c r="I258" s="1485"/>
    </row>
    <row r="259" spans="1:9" x14ac:dyDescent="0.3">
      <c r="A259" s="1410"/>
      <c r="B259" s="1410"/>
      <c r="C259" s="1494"/>
      <c r="D259" s="1485"/>
      <c r="E259" s="1485"/>
      <c r="F259" s="1485"/>
      <c r="G259" s="1485"/>
      <c r="H259" s="1485"/>
      <c r="I259" s="1485"/>
    </row>
    <row r="260" spans="1:9" x14ac:dyDescent="0.3">
      <c r="A260" s="1410"/>
      <c r="B260" s="1410"/>
      <c r="C260" s="1494"/>
      <c r="D260" s="1485"/>
      <c r="E260" s="1485"/>
      <c r="F260" s="1485"/>
      <c r="G260" s="1485"/>
      <c r="H260" s="1485"/>
      <c r="I260" s="1485"/>
    </row>
    <row r="261" spans="1:9" x14ac:dyDescent="0.3">
      <c r="A261" s="1410"/>
      <c r="B261" s="1410"/>
      <c r="C261" s="1494"/>
      <c r="D261" s="1485"/>
      <c r="E261" s="1485"/>
      <c r="F261" s="1485"/>
      <c r="G261" s="1485"/>
      <c r="H261" s="1485"/>
      <c r="I261" s="1485"/>
    </row>
    <row r="262" spans="1:9" x14ac:dyDescent="0.3">
      <c r="A262" s="1410"/>
      <c r="B262" s="1410"/>
      <c r="C262" s="1494"/>
      <c r="D262" s="1485"/>
      <c r="E262" s="1485"/>
      <c r="F262" s="1485"/>
      <c r="G262" s="1485"/>
      <c r="H262" s="1485"/>
      <c r="I262" s="1485"/>
    </row>
    <row r="263" spans="1:9" x14ac:dyDescent="0.3">
      <c r="A263" s="1410"/>
      <c r="B263" s="1410"/>
      <c r="C263" s="1494"/>
      <c r="D263" s="1485"/>
      <c r="E263" s="1485"/>
      <c r="F263" s="1485"/>
      <c r="G263" s="1485"/>
      <c r="H263" s="1485"/>
      <c r="I263" s="1485"/>
    </row>
    <row r="264" spans="1:9" x14ac:dyDescent="0.3">
      <c r="A264" s="1410"/>
      <c r="B264" s="1410"/>
      <c r="C264" s="1494"/>
      <c r="D264" s="1485"/>
      <c r="E264" s="1485"/>
      <c r="F264" s="1485"/>
      <c r="G264" s="1485"/>
      <c r="H264" s="1485"/>
      <c r="I264" s="1485"/>
    </row>
    <row r="265" spans="1:9" x14ac:dyDescent="0.3">
      <c r="A265" s="1410"/>
      <c r="B265" s="1410"/>
      <c r="C265" s="1494"/>
      <c r="D265" s="1485"/>
      <c r="E265" s="1485"/>
      <c r="F265" s="1485"/>
      <c r="G265" s="1485"/>
      <c r="H265" s="1485"/>
      <c r="I265" s="1485"/>
    </row>
    <row r="266" spans="1:9" x14ac:dyDescent="0.3">
      <c r="A266" s="1410"/>
      <c r="B266" s="1410"/>
      <c r="C266" s="1494"/>
      <c r="D266" s="1485"/>
      <c r="E266" s="1485"/>
      <c r="F266" s="1485"/>
      <c r="G266" s="1485"/>
      <c r="H266" s="1485"/>
      <c r="I266" s="1485"/>
    </row>
    <row r="267" spans="1:9" x14ac:dyDescent="0.3">
      <c r="A267" s="1410"/>
      <c r="B267" s="1410"/>
      <c r="C267" s="1494"/>
      <c r="D267" s="1485"/>
      <c r="E267" s="1485"/>
      <c r="F267" s="1485"/>
      <c r="G267" s="1485"/>
      <c r="H267" s="1485"/>
      <c r="I267" s="1485"/>
    </row>
    <row r="268" spans="1:9" x14ac:dyDescent="0.3">
      <c r="A268" s="1410"/>
      <c r="B268" s="1410"/>
      <c r="C268" s="1494"/>
      <c r="D268" s="1485"/>
      <c r="E268" s="1485"/>
      <c r="F268" s="1485"/>
      <c r="G268" s="1485"/>
      <c r="H268" s="1485"/>
      <c r="I268" s="1485"/>
    </row>
    <row r="269" spans="1:9" x14ac:dyDescent="0.3">
      <c r="A269" s="1410"/>
      <c r="B269" s="1410"/>
      <c r="C269" s="1494"/>
      <c r="D269" s="1485"/>
      <c r="E269" s="1485"/>
      <c r="F269" s="1485"/>
      <c r="G269" s="1485"/>
      <c r="H269" s="1485"/>
      <c r="I269" s="1485"/>
    </row>
    <row r="270" spans="1:9" x14ac:dyDescent="0.3">
      <c r="A270" s="1410"/>
      <c r="B270" s="1410"/>
      <c r="C270" s="1494"/>
      <c r="D270" s="1485"/>
      <c r="E270" s="1485"/>
      <c r="F270" s="1485"/>
      <c r="G270" s="1485"/>
      <c r="H270" s="1485"/>
      <c r="I270" s="1485"/>
    </row>
    <row r="271" spans="1:9" x14ac:dyDescent="0.3">
      <c r="A271" s="1410"/>
      <c r="B271" s="1410"/>
      <c r="C271" s="1494"/>
      <c r="D271" s="1485"/>
      <c r="E271" s="1485"/>
      <c r="F271" s="1485"/>
      <c r="G271" s="1485"/>
      <c r="H271" s="1485"/>
      <c r="I271" s="1485"/>
    </row>
    <row r="272" spans="1:9" x14ac:dyDescent="0.3">
      <c r="A272" s="1410"/>
      <c r="B272" s="1410"/>
      <c r="C272" s="1494"/>
      <c r="D272" s="1485"/>
      <c r="E272" s="1485"/>
      <c r="F272" s="1485"/>
      <c r="G272" s="1485"/>
      <c r="H272" s="1485"/>
      <c r="I272" s="1485"/>
    </row>
    <row r="273" spans="1:9" x14ac:dyDescent="0.3">
      <c r="A273" s="1410"/>
      <c r="B273" s="1410"/>
      <c r="C273" s="1494"/>
      <c r="D273" s="1485"/>
      <c r="E273" s="1485"/>
      <c r="F273" s="1485"/>
      <c r="G273" s="1485"/>
      <c r="H273" s="1485"/>
      <c r="I273" s="1485"/>
    </row>
    <row r="274" spans="1:9" x14ac:dyDescent="0.3">
      <c r="A274" s="1410"/>
      <c r="B274" s="1410"/>
      <c r="C274" s="1494"/>
      <c r="D274" s="1485"/>
      <c r="E274" s="1485"/>
      <c r="F274" s="1485"/>
      <c r="G274" s="1485"/>
      <c r="H274" s="1485"/>
      <c r="I274" s="1485"/>
    </row>
    <row r="275" spans="1:9" x14ac:dyDescent="0.3">
      <c r="A275" s="1410"/>
      <c r="B275" s="1410"/>
      <c r="C275" s="1494"/>
      <c r="D275" s="1485"/>
      <c r="E275" s="1485"/>
      <c r="F275" s="1485"/>
      <c r="G275" s="1485"/>
      <c r="H275" s="1485"/>
      <c r="I275" s="1485"/>
    </row>
    <row r="276" spans="1:9" x14ac:dyDescent="0.3">
      <c r="A276" s="1410"/>
      <c r="B276" s="1410"/>
      <c r="C276" s="1494"/>
      <c r="D276" s="1485"/>
      <c r="E276" s="1485"/>
      <c r="F276" s="1485"/>
      <c r="G276" s="1485"/>
      <c r="H276" s="1485"/>
      <c r="I276" s="1485"/>
    </row>
    <row r="277" spans="1:9" x14ac:dyDescent="0.3">
      <c r="A277" s="1410"/>
      <c r="B277" s="1410"/>
      <c r="C277" s="1494"/>
      <c r="D277" s="1485"/>
      <c r="E277" s="1485"/>
      <c r="F277" s="1485"/>
      <c r="G277" s="1485"/>
      <c r="H277" s="1485"/>
      <c r="I277" s="1485"/>
    </row>
    <row r="278" spans="1:9" x14ac:dyDescent="0.3">
      <c r="A278" s="1410"/>
      <c r="B278" s="1410"/>
      <c r="C278" s="1494"/>
      <c r="D278" s="1485"/>
      <c r="E278" s="1485"/>
      <c r="F278" s="1485"/>
      <c r="G278" s="1485"/>
      <c r="H278" s="1485"/>
      <c r="I278" s="1485"/>
    </row>
    <row r="279" spans="1:9" x14ac:dyDescent="0.3">
      <c r="A279" s="1410"/>
      <c r="B279" s="1410"/>
      <c r="C279" s="1494"/>
      <c r="D279" s="1485"/>
      <c r="E279" s="1485"/>
      <c r="F279" s="1485"/>
      <c r="G279" s="1485"/>
      <c r="H279" s="1485"/>
      <c r="I279" s="1485"/>
    </row>
    <row r="280" spans="1:9" x14ac:dyDescent="0.3">
      <c r="A280" s="1410"/>
      <c r="B280" s="1410"/>
      <c r="C280" s="1494"/>
      <c r="D280" s="1485"/>
      <c r="E280" s="1485"/>
      <c r="F280" s="1485"/>
      <c r="G280" s="1485"/>
      <c r="H280" s="1485"/>
      <c r="I280" s="1485"/>
    </row>
    <row r="281" spans="1:9" x14ac:dyDescent="0.3">
      <c r="A281" s="1410"/>
      <c r="B281" s="1410"/>
      <c r="C281" s="1494"/>
      <c r="D281" s="1485"/>
      <c r="E281" s="1485"/>
      <c r="F281" s="1485"/>
      <c r="G281" s="1485"/>
      <c r="H281" s="1485"/>
      <c r="I281" s="1485"/>
    </row>
    <row r="282" spans="1:9" x14ac:dyDescent="0.3">
      <c r="A282" s="1410"/>
      <c r="B282" s="1410"/>
      <c r="C282" s="1494"/>
      <c r="D282" s="1485"/>
      <c r="E282" s="1485"/>
      <c r="F282" s="1485"/>
      <c r="G282" s="1485"/>
      <c r="H282" s="1485"/>
      <c r="I282" s="1485"/>
    </row>
    <row r="283" spans="1:9" x14ac:dyDescent="0.3">
      <c r="A283" s="1410"/>
      <c r="B283" s="1410"/>
      <c r="C283" s="1494"/>
      <c r="D283" s="1485"/>
      <c r="E283" s="1485"/>
      <c r="F283" s="1485"/>
      <c r="G283" s="1485"/>
      <c r="H283" s="1485"/>
      <c r="I283" s="1485"/>
    </row>
    <row r="284" spans="1:9" x14ac:dyDescent="0.3">
      <c r="A284" s="1410"/>
      <c r="B284" s="1410"/>
      <c r="C284" s="1494"/>
      <c r="D284" s="1485"/>
      <c r="E284" s="1485"/>
      <c r="F284" s="1485"/>
      <c r="G284" s="1485"/>
      <c r="H284" s="1485"/>
      <c r="I284" s="1485"/>
    </row>
    <row r="285" spans="1:9" x14ac:dyDescent="0.3">
      <c r="A285" s="1410"/>
      <c r="B285" s="1410"/>
      <c r="C285" s="1494"/>
      <c r="D285" s="1485"/>
      <c r="E285" s="1485"/>
      <c r="F285" s="1485"/>
      <c r="G285" s="1485"/>
      <c r="H285" s="1485"/>
      <c r="I285" s="1485"/>
    </row>
    <row r="286" spans="1:9" x14ac:dyDescent="0.3">
      <c r="A286" s="1410"/>
      <c r="B286" s="1410"/>
      <c r="C286" s="1494"/>
      <c r="D286" s="1485"/>
      <c r="E286" s="1485"/>
      <c r="F286" s="1485"/>
      <c r="G286" s="1485"/>
      <c r="H286" s="1485"/>
      <c r="I286" s="1485"/>
    </row>
    <row r="287" spans="1:9" x14ac:dyDescent="0.3">
      <c r="A287" s="1410"/>
      <c r="B287" s="1410"/>
      <c r="C287" s="1494"/>
      <c r="D287" s="1485"/>
      <c r="E287" s="1485"/>
      <c r="F287" s="1485"/>
      <c r="G287" s="1485"/>
      <c r="H287" s="1485"/>
      <c r="I287" s="1485"/>
    </row>
    <row r="288" spans="1:9" x14ac:dyDescent="0.3">
      <c r="A288" s="1410"/>
      <c r="B288" s="1410"/>
      <c r="C288" s="1494"/>
      <c r="D288" s="1485"/>
      <c r="E288" s="1485"/>
      <c r="F288" s="1485"/>
      <c r="G288" s="1485"/>
      <c r="H288" s="1485"/>
      <c r="I288" s="1485"/>
    </row>
    <row r="289" spans="1:9" x14ac:dyDescent="0.3">
      <c r="A289" s="1410"/>
      <c r="B289" s="1410"/>
      <c r="C289" s="1494"/>
      <c r="D289" s="1485"/>
      <c r="E289" s="1485"/>
      <c r="F289" s="1485"/>
      <c r="G289" s="1485"/>
      <c r="H289" s="1485"/>
      <c r="I289" s="1485"/>
    </row>
    <row r="290" spans="1:9" x14ac:dyDescent="0.3">
      <c r="A290" s="1410"/>
      <c r="B290" s="1410"/>
      <c r="C290" s="1494"/>
      <c r="D290" s="1485"/>
      <c r="E290" s="1485"/>
      <c r="F290" s="1485"/>
      <c r="G290" s="1485"/>
      <c r="H290" s="1485"/>
      <c r="I290" s="1485"/>
    </row>
    <row r="291" spans="1:9" x14ac:dyDescent="0.3">
      <c r="A291" s="1410"/>
      <c r="B291" s="1410"/>
      <c r="C291" s="1494"/>
      <c r="D291" s="1485"/>
      <c r="E291" s="1485"/>
      <c r="F291" s="1485"/>
      <c r="G291" s="1485"/>
      <c r="H291" s="1485"/>
      <c r="I291" s="1485"/>
    </row>
    <row r="292" spans="1:9" x14ac:dyDescent="0.3">
      <c r="A292" s="1410"/>
      <c r="B292" s="1410"/>
      <c r="C292" s="1494"/>
      <c r="D292" s="1485"/>
      <c r="E292" s="1485"/>
      <c r="F292" s="1485"/>
      <c r="G292" s="1485"/>
      <c r="H292" s="1485"/>
      <c r="I292" s="1485"/>
    </row>
    <row r="293" spans="1:9" x14ac:dyDescent="0.3">
      <c r="A293" s="1410"/>
      <c r="B293" s="1410"/>
      <c r="C293" s="1494"/>
      <c r="D293" s="1485"/>
      <c r="E293" s="1485"/>
      <c r="F293" s="1485"/>
      <c r="G293" s="1485"/>
      <c r="H293" s="1485"/>
      <c r="I293" s="1485"/>
    </row>
    <row r="294" spans="1:9" x14ac:dyDescent="0.3">
      <c r="A294" s="1410"/>
      <c r="B294" s="1410"/>
      <c r="C294" s="1494"/>
      <c r="D294" s="1485"/>
      <c r="E294" s="1485"/>
      <c r="F294" s="1485"/>
      <c r="G294" s="1485"/>
      <c r="H294" s="1485"/>
      <c r="I294" s="1485"/>
    </row>
    <row r="295" spans="1:9" x14ac:dyDescent="0.3">
      <c r="A295" s="1410"/>
      <c r="B295" s="1410"/>
      <c r="C295" s="1494"/>
      <c r="D295" s="1485"/>
      <c r="E295" s="1485"/>
      <c r="F295" s="1485"/>
      <c r="G295" s="1485"/>
      <c r="H295" s="1485"/>
      <c r="I295" s="1485"/>
    </row>
    <row r="296" spans="1:9" x14ac:dyDescent="0.3">
      <c r="A296" s="1410"/>
      <c r="B296" s="1410"/>
      <c r="C296" s="1494"/>
      <c r="D296" s="1485"/>
      <c r="E296" s="1485"/>
      <c r="F296" s="1485"/>
      <c r="G296" s="1485"/>
      <c r="H296" s="1485"/>
      <c r="I296" s="1485"/>
    </row>
    <row r="297" spans="1:9" x14ac:dyDescent="0.3">
      <c r="A297" s="1410"/>
      <c r="B297" s="1410"/>
      <c r="C297" s="1494"/>
      <c r="D297" s="1485"/>
      <c r="E297" s="1485"/>
      <c r="F297" s="1485"/>
      <c r="G297" s="1485"/>
      <c r="H297" s="1485"/>
      <c r="I297" s="1485"/>
    </row>
    <row r="298" spans="1:9" x14ac:dyDescent="0.3">
      <c r="A298" s="1410"/>
      <c r="B298" s="1410"/>
      <c r="C298" s="1494"/>
      <c r="D298" s="1485"/>
      <c r="E298" s="1485"/>
      <c r="F298" s="1485"/>
      <c r="G298" s="1485"/>
      <c r="H298" s="1485"/>
      <c r="I298" s="1485"/>
    </row>
    <row r="299" spans="1:9" x14ac:dyDescent="0.3">
      <c r="A299" s="1410"/>
      <c r="B299" s="1410"/>
      <c r="C299" s="1494"/>
      <c r="D299" s="1485"/>
      <c r="E299" s="1485"/>
      <c r="F299" s="1485"/>
      <c r="G299" s="1485"/>
      <c r="H299" s="1485"/>
      <c r="I299" s="1485"/>
    </row>
    <row r="300" spans="1:9" x14ac:dyDescent="0.3">
      <c r="A300" s="1410"/>
      <c r="B300" s="1410"/>
      <c r="C300" s="1494"/>
      <c r="D300" s="1485"/>
      <c r="E300" s="1485"/>
      <c r="F300" s="1485"/>
      <c r="G300" s="1485"/>
      <c r="H300" s="1485"/>
      <c r="I300" s="1485"/>
    </row>
    <row r="301" spans="1:9" x14ac:dyDescent="0.3">
      <c r="A301" s="1410"/>
      <c r="B301" s="1410"/>
      <c r="C301" s="1494"/>
      <c r="D301" s="1485"/>
      <c r="E301" s="1485"/>
      <c r="F301" s="1485"/>
      <c r="G301" s="1485"/>
      <c r="H301" s="1485"/>
      <c r="I301" s="1485"/>
    </row>
    <row r="302" spans="1:9" x14ac:dyDescent="0.3">
      <c r="A302" s="1410"/>
      <c r="B302" s="1410"/>
      <c r="C302" s="1494"/>
      <c r="D302" s="1485"/>
      <c r="E302" s="1485"/>
      <c r="F302" s="1485"/>
      <c r="G302" s="1485"/>
      <c r="H302" s="1485"/>
      <c r="I302" s="1485"/>
    </row>
    <row r="303" spans="1:9" x14ac:dyDescent="0.3">
      <c r="A303" s="1410"/>
      <c r="B303" s="1410"/>
      <c r="C303" s="1494"/>
      <c r="D303" s="1485"/>
      <c r="E303" s="1485"/>
      <c r="F303" s="1485"/>
      <c r="G303" s="1485"/>
      <c r="H303" s="1485"/>
      <c r="I303" s="1485"/>
    </row>
    <row r="304" spans="1:9" x14ac:dyDescent="0.3">
      <c r="A304" s="1410"/>
      <c r="B304" s="1410"/>
      <c r="C304" s="1494"/>
      <c r="D304" s="1485"/>
      <c r="E304" s="1485"/>
      <c r="F304" s="1485"/>
      <c r="G304" s="1485"/>
      <c r="H304" s="1485"/>
      <c r="I304" s="1485"/>
    </row>
    <row r="305" spans="1:9" x14ac:dyDescent="0.3">
      <c r="A305" s="1410"/>
      <c r="B305" s="1410"/>
      <c r="C305" s="1494"/>
      <c r="D305" s="1485"/>
      <c r="E305" s="1485"/>
      <c r="F305" s="1485"/>
      <c r="G305" s="1485"/>
      <c r="H305" s="1485"/>
      <c r="I305" s="1485"/>
    </row>
    <row r="306" spans="1:9" x14ac:dyDescent="0.3">
      <c r="A306" s="1410"/>
      <c r="B306" s="1410"/>
      <c r="C306" s="1494"/>
      <c r="D306" s="1485"/>
      <c r="E306" s="1485"/>
      <c r="F306" s="1485"/>
      <c r="G306" s="1485"/>
      <c r="H306" s="1485"/>
      <c r="I306" s="1485"/>
    </row>
    <row r="307" spans="1:9" x14ac:dyDescent="0.3">
      <c r="A307" s="1410"/>
      <c r="B307" s="1410"/>
      <c r="C307" s="1494"/>
      <c r="D307" s="1485"/>
      <c r="E307" s="1485"/>
      <c r="F307" s="1485"/>
      <c r="G307" s="1485"/>
      <c r="H307" s="1485"/>
      <c r="I307" s="1485"/>
    </row>
    <row r="308" spans="1:9" x14ac:dyDescent="0.3">
      <c r="A308" s="1410"/>
      <c r="B308" s="1410"/>
      <c r="C308" s="1494"/>
      <c r="D308" s="1485"/>
      <c r="E308" s="1485"/>
      <c r="F308" s="1485"/>
      <c r="G308" s="1485"/>
      <c r="H308" s="1485"/>
      <c r="I308" s="1485"/>
    </row>
    <row r="309" spans="1:9" x14ac:dyDescent="0.3">
      <c r="A309" s="1410"/>
      <c r="B309" s="1410"/>
      <c r="C309" s="1494"/>
      <c r="D309" s="1485"/>
      <c r="E309" s="1485"/>
      <c r="F309" s="1485"/>
      <c r="G309" s="1485"/>
      <c r="H309" s="1485"/>
      <c r="I309" s="1485"/>
    </row>
    <row r="310" spans="1:9" x14ac:dyDescent="0.3">
      <c r="A310" s="1410"/>
      <c r="B310" s="1410"/>
      <c r="C310" s="1494"/>
      <c r="D310" s="1485"/>
      <c r="E310" s="1485"/>
      <c r="F310" s="1485"/>
      <c r="G310" s="1485"/>
      <c r="H310" s="1485"/>
      <c r="I310" s="1485"/>
    </row>
    <row r="311" spans="1:9" x14ac:dyDescent="0.3">
      <c r="A311" s="1410"/>
      <c r="B311" s="1410"/>
      <c r="C311" s="1494"/>
      <c r="D311" s="1485"/>
      <c r="E311" s="1485"/>
      <c r="F311" s="1485"/>
      <c r="G311" s="1485"/>
      <c r="H311" s="1485"/>
      <c r="I311" s="1485"/>
    </row>
    <row r="312" spans="1:9" x14ac:dyDescent="0.3">
      <c r="A312" s="1410"/>
      <c r="B312" s="1410"/>
      <c r="C312" s="1494"/>
      <c r="D312" s="1485"/>
      <c r="E312" s="1485"/>
      <c r="F312" s="1485"/>
      <c r="G312" s="1485"/>
      <c r="H312" s="1485"/>
      <c r="I312" s="1485"/>
    </row>
    <row r="313" spans="1:9" x14ac:dyDescent="0.3">
      <c r="A313" s="1410"/>
      <c r="B313" s="1410"/>
      <c r="C313" s="1494"/>
      <c r="D313" s="1485"/>
      <c r="E313" s="1485"/>
      <c r="F313" s="1485"/>
      <c r="G313" s="1485"/>
      <c r="H313" s="1485"/>
      <c r="I313" s="1485"/>
    </row>
    <row r="314" spans="1:9" x14ac:dyDescent="0.3">
      <c r="A314" s="1410"/>
      <c r="B314" s="1410"/>
      <c r="C314" s="1494"/>
      <c r="D314" s="1485"/>
      <c r="E314" s="1485"/>
      <c r="F314" s="1485"/>
      <c r="G314" s="1485"/>
      <c r="H314" s="1485"/>
      <c r="I314" s="1485"/>
    </row>
    <row r="315" spans="1:9" x14ac:dyDescent="0.3">
      <c r="A315" s="1410"/>
      <c r="B315" s="1410"/>
      <c r="C315" s="1494"/>
      <c r="D315" s="1485"/>
      <c r="E315" s="1485"/>
      <c r="F315" s="1485"/>
      <c r="G315" s="1485"/>
      <c r="H315" s="1485"/>
      <c r="I315" s="1485"/>
    </row>
    <row r="316" spans="1:9" x14ac:dyDescent="0.3">
      <c r="A316" s="1410"/>
      <c r="B316" s="1410"/>
      <c r="C316" s="1494"/>
      <c r="D316" s="1485"/>
      <c r="E316" s="1485"/>
      <c r="F316" s="1485"/>
      <c r="G316" s="1485"/>
      <c r="H316" s="1485"/>
      <c r="I316" s="1485"/>
    </row>
    <row r="317" spans="1:9" x14ac:dyDescent="0.3">
      <c r="A317" s="1410"/>
      <c r="B317" s="1410"/>
      <c r="C317" s="1494"/>
      <c r="D317" s="1485"/>
      <c r="E317" s="1485"/>
      <c r="F317" s="1485"/>
      <c r="G317" s="1485"/>
      <c r="H317" s="1485"/>
      <c r="I317" s="1485"/>
    </row>
    <row r="318" spans="1:9" x14ac:dyDescent="0.3">
      <c r="A318" s="1410"/>
      <c r="B318" s="1410"/>
      <c r="C318" s="1494"/>
      <c r="D318" s="1485"/>
      <c r="E318" s="1485"/>
      <c r="F318" s="1485"/>
      <c r="G318" s="1485"/>
      <c r="H318" s="1485"/>
      <c r="I318" s="1485"/>
    </row>
    <row r="319" spans="1:9" x14ac:dyDescent="0.3">
      <c r="A319" s="1410"/>
      <c r="B319" s="1410"/>
      <c r="C319" s="1494"/>
      <c r="D319" s="1485"/>
      <c r="E319" s="1485"/>
      <c r="F319" s="1485"/>
      <c r="G319" s="1485"/>
      <c r="H319" s="1485"/>
      <c r="I319" s="1485"/>
    </row>
    <row r="320" spans="1:9" x14ac:dyDescent="0.3">
      <c r="A320" s="1410"/>
      <c r="B320" s="1410"/>
      <c r="C320" s="1494"/>
      <c r="D320" s="1485"/>
      <c r="E320" s="1485"/>
      <c r="F320" s="1485"/>
      <c r="G320" s="1485"/>
      <c r="H320" s="1485"/>
      <c r="I320" s="1485"/>
    </row>
    <row r="321" spans="1:9" x14ac:dyDescent="0.3">
      <c r="A321" s="1410"/>
      <c r="B321" s="1410"/>
      <c r="C321" s="1494"/>
      <c r="D321" s="1485"/>
      <c r="E321" s="1485"/>
      <c r="F321" s="1485"/>
      <c r="G321" s="1485"/>
      <c r="H321" s="1485"/>
      <c r="I321" s="1485"/>
    </row>
    <row r="322" spans="1:9" x14ac:dyDescent="0.3">
      <c r="A322" s="1410"/>
      <c r="B322" s="1410"/>
      <c r="C322" s="1494"/>
      <c r="D322" s="1485"/>
      <c r="E322" s="1485"/>
      <c r="F322" s="1485"/>
      <c r="G322" s="1485"/>
      <c r="H322" s="1485"/>
      <c r="I322" s="1485"/>
    </row>
    <row r="323" spans="1:9" x14ac:dyDescent="0.3">
      <c r="A323" s="1410"/>
      <c r="B323" s="1410"/>
      <c r="C323" s="1494"/>
      <c r="D323" s="1485"/>
      <c r="E323" s="1485"/>
      <c r="F323" s="1485"/>
      <c r="G323" s="1485"/>
      <c r="H323" s="1485"/>
      <c r="I323" s="1485"/>
    </row>
    <row r="324" spans="1:9" x14ac:dyDescent="0.3">
      <c r="A324" s="1410"/>
      <c r="B324" s="1410"/>
      <c r="C324" s="1494"/>
      <c r="D324" s="1485"/>
      <c r="E324" s="1485"/>
      <c r="F324" s="1485"/>
      <c r="G324" s="1485"/>
      <c r="H324" s="1485"/>
      <c r="I324" s="1485"/>
    </row>
    <row r="325" spans="1:9" x14ac:dyDescent="0.3">
      <c r="A325" s="1410"/>
      <c r="B325" s="1410"/>
      <c r="C325" s="1494"/>
      <c r="D325" s="1485"/>
      <c r="E325" s="1485"/>
      <c r="F325" s="1485"/>
      <c r="G325" s="1485"/>
      <c r="H325" s="1485"/>
      <c r="I325" s="1485"/>
    </row>
    <row r="326" spans="1:9" x14ac:dyDescent="0.3">
      <c r="A326" s="1410"/>
      <c r="B326" s="1410"/>
      <c r="C326" s="1494"/>
      <c r="D326" s="1485"/>
      <c r="E326" s="1485"/>
      <c r="F326" s="1485"/>
      <c r="G326" s="1485"/>
      <c r="H326" s="1485"/>
      <c r="I326" s="1485"/>
    </row>
    <row r="327" spans="1:9" x14ac:dyDescent="0.3">
      <c r="A327" s="1410"/>
      <c r="B327" s="1410"/>
      <c r="C327" s="1494"/>
      <c r="D327" s="1485"/>
      <c r="E327" s="1485"/>
      <c r="F327" s="1485"/>
      <c r="G327" s="1485"/>
      <c r="H327" s="1485"/>
      <c r="I327" s="1485"/>
    </row>
    <row r="328" spans="1:9" x14ac:dyDescent="0.3">
      <c r="A328" s="1410"/>
      <c r="B328" s="1410"/>
      <c r="C328" s="1494"/>
      <c r="D328" s="1485"/>
      <c r="E328" s="1485"/>
      <c r="F328" s="1485"/>
      <c r="G328" s="1485"/>
      <c r="H328" s="1485"/>
      <c r="I328" s="1485"/>
    </row>
    <row r="329" spans="1:9" x14ac:dyDescent="0.3">
      <c r="A329" s="1410"/>
      <c r="B329" s="1410"/>
      <c r="C329" s="1494"/>
      <c r="D329" s="1485"/>
      <c r="E329" s="1485"/>
      <c r="F329" s="1485"/>
      <c r="G329" s="1485"/>
      <c r="H329" s="1485"/>
      <c r="I329" s="1485"/>
    </row>
    <row r="330" spans="1:9" x14ac:dyDescent="0.3">
      <c r="A330" s="1410"/>
      <c r="B330" s="1410"/>
      <c r="C330" s="1494"/>
      <c r="D330" s="1485"/>
      <c r="E330" s="1485"/>
      <c r="F330" s="1485"/>
      <c r="G330" s="1485"/>
      <c r="H330" s="1485"/>
      <c r="I330" s="1485"/>
    </row>
    <row r="331" spans="1:9" x14ac:dyDescent="0.3">
      <c r="A331" s="1410"/>
      <c r="B331" s="1410"/>
      <c r="C331" s="1494"/>
      <c r="D331" s="1485"/>
      <c r="E331" s="1485"/>
      <c r="F331" s="1485"/>
      <c r="G331" s="1485"/>
      <c r="H331" s="1485"/>
      <c r="I331" s="1485"/>
    </row>
    <row r="332" spans="1:9" x14ac:dyDescent="0.3">
      <c r="A332" s="1410"/>
      <c r="B332" s="1410"/>
      <c r="C332" s="1494"/>
      <c r="D332" s="1485"/>
      <c r="E332" s="1485"/>
      <c r="F332" s="1485"/>
      <c r="G332" s="1485"/>
      <c r="H332" s="1485"/>
      <c r="I332" s="1485"/>
    </row>
    <row r="333" spans="1:9" x14ac:dyDescent="0.3">
      <c r="A333" s="1410"/>
      <c r="B333" s="1410"/>
      <c r="C333" s="1494"/>
      <c r="D333" s="1485"/>
      <c r="E333" s="1485"/>
      <c r="F333" s="1485"/>
      <c r="G333" s="1485"/>
      <c r="H333" s="1485"/>
      <c r="I333" s="1485"/>
    </row>
    <row r="334" spans="1:9" x14ac:dyDescent="0.3">
      <c r="A334" s="1410"/>
      <c r="B334" s="1410"/>
      <c r="C334" s="1494"/>
      <c r="D334" s="1485"/>
      <c r="E334" s="1485"/>
      <c r="F334" s="1485"/>
      <c r="G334" s="1485"/>
      <c r="H334" s="1485"/>
      <c r="I334" s="1485"/>
    </row>
    <row r="335" spans="1:9" x14ac:dyDescent="0.3">
      <c r="A335" s="1410"/>
      <c r="B335" s="1410"/>
      <c r="C335" s="1494"/>
      <c r="D335" s="1485"/>
      <c r="E335" s="1485"/>
      <c r="F335" s="1485"/>
      <c r="G335" s="1485"/>
      <c r="H335" s="1485"/>
      <c r="I335" s="1485"/>
    </row>
    <row r="336" spans="1:9" x14ac:dyDescent="0.3">
      <c r="A336" s="1410"/>
      <c r="B336" s="1410"/>
      <c r="C336" s="1494"/>
      <c r="D336" s="1485"/>
      <c r="E336" s="1485"/>
      <c r="F336" s="1485"/>
      <c r="G336" s="1485"/>
      <c r="H336" s="1485"/>
      <c r="I336" s="1485"/>
    </row>
    <row r="337" spans="1:9" x14ac:dyDescent="0.3">
      <c r="A337" s="1410"/>
      <c r="B337" s="1410"/>
      <c r="C337" s="1494"/>
      <c r="D337" s="1485"/>
      <c r="E337" s="1485"/>
      <c r="F337" s="1485"/>
      <c r="G337" s="1485"/>
      <c r="H337" s="1485"/>
      <c r="I337" s="1485"/>
    </row>
    <row r="338" spans="1:9" x14ac:dyDescent="0.3">
      <c r="A338" s="1410"/>
      <c r="B338" s="1410"/>
      <c r="C338" s="1494"/>
      <c r="D338" s="1485"/>
      <c r="E338" s="1485"/>
      <c r="F338" s="1485"/>
      <c r="G338" s="1485"/>
      <c r="H338" s="1485"/>
      <c r="I338" s="1485"/>
    </row>
    <row r="339" spans="1:9" x14ac:dyDescent="0.3">
      <c r="A339" s="1410"/>
      <c r="B339" s="1410"/>
      <c r="C339" s="1494"/>
      <c r="D339" s="1485"/>
      <c r="E339" s="1485"/>
      <c r="F339" s="1485"/>
      <c r="G339" s="1485"/>
      <c r="H339" s="1485"/>
      <c r="I339" s="1485"/>
    </row>
    <row r="340" spans="1:9" x14ac:dyDescent="0.3">
      <c r="A340" s="1410"/>
      <c r="B340" s="1410"/>
      <c r="C340" s="1494"/>
      <c r="D340" s="1485"/>
      <c r="E340" s="1485"/>
      <c r="F340" s="1485"/>
      <c r="G340" s="1485"/>
      <c r="H340" s="1485"/>
      <c r="I340" s="1485"/>
    </row>
    <row r="341" spans="1:9" x14ac:dyDescent="0.3">
      <c r="A341" s="1410"/>
      <c r="B341" s="1410"/>
      <c r="C341" s="1494"/>
      <c r="D341" s="1485"/>
      <c r="E341" s="1485"/>
      <c r="F341" s="1485"/>
      <c r="G341" s="1485"/>
      <c r="H341" s="1485"/>
      <c r="I341" s="1485"/>
    </row>
    <row r="342" spans="1:9" x14ac:dyDescent="0.3">
      <c r="A342" s="1410"/>
      <c r="B342" s="1410"/>
      <c r="C342" s="1494"/>
      <c r="D342" s="1485"/>
      <c r="E342" s="1485"/>
      <c r="F342" s="1485"/>
      <c r="G342" s="1485"/>
      <c r="H342" s="1485"/>
      <c r="I342" s="1485"/>
    </row>
    <row r="343" spans="1:9" x14ac:dyDescent="0.3">
      <c r="A343" s="1410"/>
      <c r="B343" s="1410"/>
      <c r="C343" s="1494"/>
      <c r="D343" s="1485"/>
      <c r="E343" s="1485"/>
      <c r="F343" s="1485"/>
      <c r="G343" s="1485"/>
      <c r="H343" s="1485"/>
      <c r="I343" s="1485"/>
    </row>
    <row r="344" spans="1:9" x14ac:dyDescent="0.3">
      <c r="A344" s="1410"/>
      <c r="B344" s="1410"/>
      <c r="C344" s="1494"/>
      <c r="D344" s="1485"/>
      <c r="E344" s="1485"/>
      <c r="F344" s="1485"/>
      <c r="G344" s="1485"/>
      <c r="H344" s="1485"/>
      <c r="I344" s="1485"/>
    </row>
    <row r="345" spans="1:9" x14ac:dyDescent="0.3">
      <c r="A345" s="1410"/>
      <c r="B345" s="1410"/>
      <c r="C345" s="1494"/>
      <c r="D345" s="1485"/>
      <c r="E345" s="1485"/>
      <c r="F345" s="1485"/>
      <c r="G345" s="1485"/>
      <c r="H345" s="1485"/>
      <c r="I345" s="1485"/>
    </row>
    <row r="346" spans="1:9" x14ac:dyDescent="0.3">
      <c r="A346" s="1410"/>
      <c r="B346" s="1410"/>
      <c r="C346" s="1494"/>
      <c r="D346" s="1485"/>
      <c r="E346" s="1485"/>
      <c r="F346" s="1485"/>
      <c r="G346" s="1485"/>
      <c r="H346" s="1485"/>
      <c r="I346" s="1485"/>
    </row>
    <row r="347" spans="1:9" x14ac:dyDescent="0.3">
      <c r="A347" s="1410"/>
      <c r="B347" s="1410"/>
      <c r="C347" s="1494"/>
      <c r="D347" s="1485"/>
      <c r="E347" s="1485"/>
      <c r="F347" s="1485"/>
      <c r="G347" s="1485"/>
      <c r="H347" s="1485"/>
      <c r="I347" s="1485"/>
    </row>
    <row r="348" spans="1:9" x14ac:dyDescent="0.3">
      <c r="A348" s="1410"/>
      <c r="B348" s="1410"/>
      <c r="C348" s="1494"/>
      <c r="D348" s="1485"/>
      <c r="E348" s="1485"/>
      <c r="F348" s="1485"/>
      <c r="G348" s="1485"/>
      <c r="H348" s="1485"/>
      <c r="I348" s="1485"/>
    </row>
    <row r="349" spans="1:9" x14ac:dyDescent="0.3">
      <c r="A349" s="1410"/>
      <c r="B349" s="1410"/>
      <c r="C349" s="1494"/>
      <c r="D349" s="1485"/>
      <c r="E349" s="1485"/>
      <c r="F349" s="1485"/>
      <c r="G349" s="1485"/>
      <c r="H349" s="1485"/>
      <c r="I349" s="1485"/>
    </row>
    <row r="350" spans="1:9" x14ac:dyDescent="0.3">
      <c r="A350" s="1410"/>
      <c r="B350" s="1410"/>
      <c r="C350" s="1494"/>
      <c r="D350" s="1485"/>
      <c r="E350" s="1485"/>
      <c r="F350" s="1485"/>
      <c r="G350" s="1485"/>
      <c r="H350" s="1485"/>
      <c r="I350" s="1485"/>
    </row>
    <row r="351" spans="1:9" x14ac:dyDescent="0.3">
      <c r="A351" s="1410"/>
      <c r="B351" s="1410"/>
      <c r="C351" s="1494"/>
      <c r="D351" s="1485"/>
      <c r="E351" s="1485"/>
      <c r="F351" s="1485"/>
      <c r="G351" s="1485"/>
      <c r="H351" s="1485"/>
      <c r="I351" s="1485"/>
    </row>
    <row r="352" spans="1:9" x14ac:dyDescent="0.3">
      <c r="A352" s="1410"/>
      <c r="B352" s="1410"/>
      <c r="C352" s="1494"/>
      <c r="D352" s="1485"/>
      <c r="E352" s="1485"/>
      <c r="F352" s="1485"/>
      <c r="G352" s="1485"/>
      <c r="H352" s="1485"/>
      <c r="I352" s="1485"/>
    </row>
    <row r="353" spans="1:9" x14ac:dyDescent="0.3">
      <c r="A353" s="1410"/>
      <c r="B353" s="1410"/>
      <c r="C353" s="1494"/>
      <c r="D353" s="1485"/>
      <c r="E353" s="1485"/>
      <c r="F353" s="1485"/>
      <c r="G353" s="1485"/>
      <c r="H353" s="1485"/>
      <c r="I353" s="1485"/>
    </row>
    <row r="354" spans="1:9" x14ac:dyDescent="0.3">
      <c r="A354" s="1410"/>
      <c r="B354" s="1410"/>
      <c r="C354" s="1494"/>
      <c r="D354" s="1485"/>
      <c r="E354" s="1485"/>
      <c r="F354" s="1485"/>
      <c r="G354" s="1485"/>
      <c r="H354" s="1485"/>
      <c r="I354" s="1485"/>
    </row>
    <row r="355" spans="1:9" x14ac:dyDescent="0.3">
      <c r="A355" s="1410"/>
      <c r="B355" s="1410"/>
      <c r="C355" s="1494"/>
      <c r="D355" s="1485"/>
      <c r="E355" s="1485"/>
      <c r="F355" s="1485"/>
      <c r="G355" s="1485"/>
      <c r="H355" s="1485"/>
      <c r="I355" s="1485"/>
    </row>
    <row r="356" spans="1:9" x14ac:dyDescent="0.3">
      <c r="A356" s="1410"/>
      <c r="B356" s="1410"/>
      <c r="C356" s="1494"/>
      <c r="D356" s="1485"/>
      <c r="E356" s="1485"/>
      <c r="F356" s="1485"/>
      <c r="G356" s="1485"/>
      <c r="H356" s="1485"/>
      <c r="I356" s="1485"/>
    </row>
    <row r="357" spans="1:9" x14ac:dyDescent="0.3">
      <c r="A357" s="1410"/>
      <c r="B357" s="1410"/>
      <c r="C357" s="1494"/>
      <c r="D357" s="1485"/>
      <c r="E357" s="1485"/>
      <c r="F357" s="1485"/>
      <c r="G357" s="1485"/>
      <c r="H357" s="1485"/>
      <c r="I357" s="1485"/>
    </row>
    <row r="358" spans="1:9" x14ac:dyDescent="0.3">
      <c r="A358" s="1410"/>
      <c r="B358" s="1410"/>
      <c r="C358" s="1494"/>
      <c r="D358" s="1485"/>
      <c r="E358" s="1485"/>
      <c r="F358" s="1485"/>
      <c r="G358" s="1485"/>
      <c r="H358" s="1485"/>
      <c r="I358" s="1485"/>
    </row>
    <row r="359" spans="1:9" x14ac:dyDescent="0.3">
      <c r="A359" s="1410"/>
      <c r="B359" s="1410"/>
      <c r="C359" s="1494"/>
      <c r="D359" s="1485"/>
      <c r="E359" s="1485"/>
      <c r="F359" s="1485"/>
      <c r="G359" s="1485"/>
      <c r="H359" s="1485"/>
      <c r="I359" s="1485"/>
    </row>
    <row r="360" spans="1:9" x14ac:dyDescent="0.3">
      <c r="A360" s="1410"/>
      <c r="B360" s="1410"/>
      <c r="C360" s="1494"/>
      <c r="D360" s="1485"/>
      <c r="E360" s="1485"/>
      <c r="F360" s="1485"/>
      <c r="G360" s="1485"/>
      <c r="H360" s="1485"/>
      <c r="I360" s="1485"/>
    </row>
    <row r="361" spans="1:9" x14ac:dyDescent="0.3">
      <c r="A361" s="1410"/>
      <c r="B361" s="1410"/>
      <c r="C361" s="1494"/>
      <c r="D361" s="1485"/>
      <c r="E361" s="1485"/>
      <c r="F361" s="1485"/>
      <c r="G361" s="1485"/>
      <c r="H361" s="1485"/>
      <c r="I361" s="1485"/>
    </row>
    <row r="362" spans="1:9" x14ac:dyDescent="0.3">
      <c r="A362" s="1410"/>
      <c r="B362" s="1410"/>
      <c r="C362" s="1494"/>
      <c r="D362" s="1485"/>
      <c r="E362" s="1485"/>
      <c r="F362" s="1485"/>
      <c r="G362" s="1485"/>
      <c r="H362" s="1485"/>
      <c r="I362" s="1485"/>
    </row>
    <row r="363" spans="1:9" x14ac:dyDescent="0.3">
      <c r="A363" s="1410"/>
      <c r="B363" s="1410"/>
      <c r="C363" s="1494"/>
      <c r="D363" s="1485"/>
      <c r="E363" s="1485"/>
      <c r="F363" s="1485"/>
      <c r="G363" s="1485"/>
      <c r="H363" s="1485"/>
      <c r="I363" s="1485"/>
    </row>
    <row r="364" spans="1:9" x14ac:dyDescent="0.3">
      <c r="A364" s="1410"/>
      <c r="B364" s="1410"/>
      <c r="C364" s="1494"/>
      <c r="D364" s="1485"/>
      <c r="E364" s="1485"/>
      <c r="F364" s="1485"/>
      <c r="G364" s="1485"/>
      <c r="H364" s="1485"/>
      <c r="I364" s="1485"/>
    </row>
    <row r="365" spans="1:9" x14ac:dyDescent="0.3">
      <c r="A365" s="1410"/>
      <c r="B365" s="1410"/>
      <c r="C365" s="1494"/>
      <c r="D365" s="1485"/>
      <c r="E365" s="1485"/>
      <c r="F365" s="1485"/>
      <c r="G365" s="1485"/>
      <c r="H365" s="1485"/>
      <c r="I365" s="1485"/>
    </row>
    <row r="366" spans="1:9" x14ac:dyDescent="0.3">
      <c r="A366" s="1410"/>
      <c r="B366" s="1410"/>
      <c r="C366" s="1494"/>
      <c r="D366" s="1485"/>
      <c r="E366" s="1485"/>
      <c r="F366" s="1485"/>
      <c r="G366" s="1485"/>
      <c r="H366" s="1485"/>
      <c r="I366" s="1485"/>
    </row>
    <row r="367" spans="1:9" x14ac:dyDescent="0.3">
      <c r="A367" s="1410"/>
      <c r="B367" s="1410"/>
      <c r="C367" s="1494"/>
      <c r="D367" s="1485"/>
      <c r="E367" s="1485"/>
      <c r="F367" s="1485"/>
      <c r="G367" s="1485"/>
      <c r="H367" s="1485"/>
      <c r="I367" s="1485"/>
    </row>
    <row r="368" spans="1:9" x14ac:dyDescent="0.3">
      <c r="A368" s="1410"/>
      <c r="B368" s="1410"/>
      <c r="C368" s="1494"/>
      <c r="D368" s="1485"/>
      <c r="E368" s="1485"/>
      <c r="F368" s="1485"/>
      <c r="G368" s="1485"/>
      <c r="H368" s="1485"/>
      <c r="I368" s="1485"/>
    </row>
    <row r="369" spans="1:9" x14ac:dyDescent="0.3">
      <c r="A369" s="1410"/>
      <c r="B369" s="1410"/>
      <c r="C369" s="1494"/>
      <c r="D369" s="1485"/>
      <c r="E369" s="1485"/>
      <c r="F369" s="1485"/>
      <c r="G369" s="1485"/>
      <c r="H369" s="1485"/>
      <c r="I369" s="1485"/>
    </row>
    <row r="370" spans="1:9" x14ac:dyDescent="0.3">
      <c r="A370" s="1410"/>
      <c r="B370" s="1410"/>
      <c r="C370" s="1494"/>
      <c r="D370" s="1485"/>
      <c r="E370" s="1485"/>
      <c r="F370" s="1485"/>
      <c r="G370" s="1485"/>
      <c r="H370" s="1485"/>
      <c r="I370" s="1485"/>
    </row>
    <row r="371" spans="1:9" x14ac:dyDescent="0.3">
      <c r="A371" s="1410"/>
      <c r="B371" s="1410"/>
      <c r="C371" s="1494"/>
      <c r="D371" s="1485"/>
      <c r="E371" s="1485"/>
      <c r="F371" s="1485"/>
      <c r="G371" s="1485"/>
      <c r="H371" s="1485"/>
      <c r="I371" s="1485"/>
    </row>
    <row r="372" spans="1:9" x14ac:dyDescent="0.3">
      <c r="A372" s="1410"/>
      <c r="B372" s="1410"/>
      <c r="C372" s="1494"/>
      <c r="D372" s="1485"/>
      <c r="E372" s="1485"/>
      <c r="F372" s="1485"/>
      <c r="G372" s="1485"/>
      <c r="H372" s="1485"/>
      <c r="I372" s="1485"/>
    </row>
    <row r="373" spans="1:9" x14ac:dyDescent="0.3">
      <c r="A373" s="1410"/>
      <c r="B373" s="1410"/>
      <c r="C373" s="1494"/>
      <c r="D373" s="1485"/>
      <c r="E373" s="1485"/>
      <c r="F373" s="1485"/>
      <c r="G373" s="1485"/>
      <c r="H373" s="1485"/>
      <c r="I373" s="1485"/>
    </row>
    <row r="374" spans="1:9" x14ac:dyDescent="0.3">
      <c r="A374" s="1410"/>
      <c r="B374" s="1410"/>
      <c r="C374" s="1494"/>
      <c r="D374" s="1485"/>
      <c r="E374" s="1485"/>
      <c r="F374" s="1485"/>
      <c r="G374" s="1485"/>
      <c r="H374" s="1485"/>
      <c r="I374" s="1485"/>
    </row>
    <row r="375" spans="1:9" x14ac:dyDescent="0.3">
      <c r="A375" s="1410"/>
      <c r="B375" s="1410"/>
      <c r="C375" s="1494"/>
      <c r="D375" s="1485"/>
      <c r="E375" s="1485"/>
      <c r="F375" s="1485"/>
      <c r="G375" s="1485"/>
      <c r="H375" s="1485"/>
      <c r="I375" s="1485"/>
    </row>
    <row r="376" spans="1:9" x14ac:dyDescent="0.3">
      <c r="A376" s="1410"/>
      <c r="B376" s="1410"/>
      <c r="C376" s="1494"/>
      <c r="D376" s="1485"/>
      <c r="E376" s="1485"/>
      <c r="F376" s="1485"/>
      <c r="G376" s="1485"/>
      <c r="H376" s="1485"/>
      <c r="I376" s="1485"/>
    </row>
    <row r="377" spans="1:9" x14ac:dyDescent="0.3">
      <c r="A377" s="1410"/>
      <c r="B377" s="1410"/>
      <c r="C377" s="1494"/>
      <c r="D377" s="1485"/>
      <c r="E377" s="1485"/>
      <c r="F377" s="1485"/>
      <c r="G377" s="1485"/>
      <c r="H377" s="1485"/>
      <c r="I377" s="1485"/>
    </row>
    <row r="378" spans="1:9" x14ac:dyDescent="0.3">
      <c r="A378" s="1410"/>
      <c r="B378" s="1410"/>
      <c r="C378" s="1494"/>
      <c r="D378" s="1485"/>
      <c r="E378" s="1485"/>
      <c r="F378" s="1485"/>
      <c r="G378" s="1485"/>
      <c r="H378" s="1485"/>
      <c r="I378" s="1485"/>
    </row>
    <row r="379" spans="1:9" x14ac:dyDescent="0.3">
      <c r="A379" s="1410"/>
      <c r="B379" s="1410"/>
      <c r="C379" s="1494"/>
      <c r="D379" s="1485"/>
      <c r="E379" s="1485"/>
      <c r="F379" s="1485"/>
      <c r="G379" s="1485"/>
      <c r="H379" s="1485"/>
      <c r="I379" s="1485"/>
    </row>
    <row r="380" spans="1:9" x14ac:dyDescent="0.3">
      <c r="A380" s="1410"/>
      <c r="B380" s="1410"/>
      <c r="C380" s="1494"/>
      <c r="D380" s="1485"/>
      <c r="E380" s="1485"/>
      <c r="F380" s="1485"/>
      <c r="G380" s="1485"/>
      <c r="H380" s="1485"/>
      <c r="I380" s="1485"/>
    </row>
    <row r="381" spans="1:9" x14ac:dyDescent="0.3">
      <c r="A381" s="1410"/>
      <c r="B381" s="1410"/>
      <c r="C381" s="1494"/>
      <c r="D381" s="1485"/>
      <c r="E381" s="1485"/>
      <c r="F381" s="1485"/>
      <c r="G381" s="1485"/>
      <c r="H381" s="1485"/>
      <c r="I381" s="1485"/>
    </row>
    <row r="382" spans="1:9" x14ac:dyDescent="0.3">
      <c r="A382" s="1410"/>
      <c r="B382" s="1410"/>
      <c r="C382" s="1494"/>
      <c r="D382" s="1485"/>
      <c r="E382" s="1485"/>
      <c r="F382" s="1485"/>
      <c r="G382" s="1485"/>
      <c r="H382" s="1485"/>
      <c r="I382" s="1485"/>
    </row>
    <row r="383" spans="1:9" x14ac:dyDescent="0.3">
      <c r="A383" s="1410"/>
      <c r="B383" s="1410"/>
      <c r="C383" s="1494"/>
      <c r="D383" s="1485"/>
      <c r="E383" s="1485"/>
      <c r="F383" s="1485"/>
      <c r="G383" s="1485"/>
      <c r="H383" s="1485"/>
      <c r="I383" s="1485"/>
    </row>
    <row r="384" spans="1:9" x14ac:dyDescent="0.3">
      <c r="A384" s="1410"/>
      <c r="B384" s="1410"/>
      <c r="C384" s="1494"/>
      <c r="D384" s="1485"/>
      <c r="E384" s="1485"/>
      <c r="F384" s="1485"/>
      <c r="G384" s="1485"/>
      <c r="H384" s="1485"/>
      <c r="I384" s="1485"/>
    </row>
    <row r="385" spans="1:9" x14ac:dyDescent="0.3">
      <c r="A385" s="1410"/>
      <c r="B385" s="1410"/>
      <c r="C385" s="1494"/>
      <c r="D385" s="1485"/>
      <c r="E385" s="1485"/>
      <c r="F385" s="1485"/>
      <c r="G385" s="1485"/>
      <c r="H385" s="1485"/>
      <c r="I385" s="1485"/>
    </row>
    <row r="386" spans="1:9" x14ac:dyDescent="0.3">
      <c r="A386" s="1410"/>
      <c r="B386" s="1410"/>
      <c r="C386" s="1494"/>
      <c r="D386" s="1485"/>
      <c r="E386" s="1485"/>
      <c r="F386" s="1485"/>
      <c r="G386" s="1485"/>
      <c r="H386" s="1485"/>
      <c r="I386" s="1485"/>
    </row>
    <row r="387" spans="1:9" x14ac:dyDescent="0.3">
      <c r="A387" s="1410"/>
      <c r="B387" s="1410"/>
      <c r="C387" s="1494"/>
      <c r="D387" s="1485"/>
      <c r="E387" s="1485"/>
      <c r="F387" s="1485"/>
      <c r="G387" s="1485"/>
      <c r="H387" s="1485"/>
      <c r="I387" s="1485"/>
    </row>
    <row r="388" spans="1:9" x14ac:dyDescent="0.3">
      <c r="A388" s="1410"/>
      <c r="B388" s="1410"/>
      <c r="C388" s="1494"/>
      <c r="D388" s="1485"/>
      <c r="E388" s="1485"/>
      <c r="F388" s="1485"/>
      <c r="G388" s="1485"/>
      <c r="H388" s="1485"/>
      <c r="I388" s="1485"/>
    </row>
    <row r="389" spans="1:9" x14ac:dyDescent="0.3">
      <c r="A389" s="1410"/>
      <c r="B389" s="1410"/>
      <c r="C389" s="1494"/>
      <c r="D389" s="1485"/>
      <c r="E389" s="1485"/>
      <c r="F389" s="1485"/>
      <c r="G389" s="1485"/>
      <c r="H389" s="1485"/>
      <c r="I389" s="1485"/>
    </row>
    <row r="390" spans="1:9" x14ac:dyDescent="0.3">
      <c r="A390" s="1410"/>
      <c r="B390" s="1410"/>
      <c r="C390" s="1494"/>
      <c r="D390" s="1485"/>
      <c r="E390" s="1485"/>
      <c r="F390" s="1485"/>
      <c r="G390" s="1485"/>
      <c r="H390" s="1485"/>
      <c r="I390" s="1485"/>
    </row>
    <row r="391" spans="1:9" x14ac:dyDescent="0.3">
      <c r="A391" s="1410"/>
      <c r="B391" s="1410"/>
      <c r="C391" s="1494"/>
      <c r="D391" s="1485"/>
      <c r="E391" s="1485"/>
      <c r="F391" s="1485"/>
      <c r="G391" s="1485"/>
      <c r="H391" s="1485"/>
      <c r="I391" s="1485"/>
    </row>
    <row r="392" spans="1:9" x14ac:dyDescent="0.3">
      <c r="A392" s="1410"/>
      <c r="B392" s="1410"/>
      <c r="C392" s="1494"/>
      <c r="D392" s="1485"/>
      <c r="E392" s="1485"/>
      <c r="F392" s="1485"/>
      <c r="G392" s="1485"/>
      <c r="H392" s="1485"/>
      <c r="I392" s="1485"/>
    </row>
    <row r="393" spans="1:9" x14ac:dyDescent="0.3">
      <c r="A393" s="1410"/>
      <c r="B393" s="1410"/>
      <c r="C393" s="1494"/>
      <c r="D393" s="1485"/>
      <c r="E393" s="1485"/>
      <c r="F393" s="1485"/>
      <c r="G393" s="1485"/>
      <c r="H393" s="1485"/>
      <c r="I393" s="1485"/>
    </row>
    <row r="394" spans="1:9" x14ac:dyDescent="0.3">
      <c r="A394" s="1410"/>
      <c r="B394" s="1410"/>
      <c r="C394" s="1494"/>
      <c r="D394" s="1485"/>
      <c r="E394" s="1485"/>
      <c r="F394" s="1485"/>
      <c r="G394" s="1485"/>
      <c r="H394" s="1485"/>
      <c r="I394" s="1485"/>
    </row>
    <row r="395" spans="1:9" x14ac:dyDescent="0.3">
      <c r="A395" s="1410"/>
      <c r="B395" s="1410"/>
      <c r="C395" s="1494"/>
      <c r="D395" s="1485"/>
      <c r="E395" s="1485"/>
      <c r="F395" s="1485"/>
      <c r="G395" s="1485"/>
      <c r="H395" s="1485"/>
      <c r="I395" s="1485"/>
    </row>
    <row r="396" spans="1:9" x14ac:dyDescent="0.3">
      <c r="A396" s="1410"/>
      <c r="B396" s="1410"/>
      <c r="C396" s="1494"/>
      <c r="D396" s="1485"/>
      <c r="E396" s="1485"/>
      <c r="F396" s="1485"/>
      <c r="G396" s="1485"/>
      <c r="H396" s="1485"/>
      <c r="I396" s="1485"/>
    </row>
    <row r="397" spans="1:9" x14ac:dyDescent="0.3">
      <c r="A397" s="1410"/>
      <c r="B397" s="1410"/>
      <c r="C397" s="1494"/>
      <c r="D397" s="1485"/>
      <c r="E397" s="1485"/>
      <c r="F397" s="1485"/>
      <c r="G397" s="1485"/>
      <c r="H397" s="1485"/>
      <c r="I397" s="1485"/>
    </row>
    <row r="398" spans="1:9" x14ac:dyDescent="0.3">
      <c r="A398" s="1410"/>
      <c r="B398" s="1410"/>
      <c r="C398" s="1494"/>
      <c r="D398" s="1485"/>
      <c r="E398" s="1485"/>
      <c r="F398" s="1485"/>
      <c r="G398" s="1485"/>
      <c r="H398" s="1485"/>
      <c r="I398" s="1485"/>
    </row>
    <row r="399" spans="1:9" x14ac:dyDescent="0.3">
      <c r="A399" s="1410"/>
      <c r="B399" s="1410"/>
      <c r="C399" s="1494"/>
      <c r="D399" s="1485"/>
      <c r="E399" s="1485"/>
      <c r="F399" s="1485"/>
      <c r="G399" s="1485"/>
      <c r="H399" s="1485"/>
      <c r="I399" s="1485"/>
    </row>
    <row r="400" spans="1:9" x14ac:dyDescent="0.3">
      <c r="A400" s="1410"/>
      <c r="B400" s="1410"/>
      <c r="C400" s="1494"/>
      <c r="D400" s="1485"/>
      <c r="E400" s="1485"/>
      <c r="F400" s="1485"/>
      <c r="G400" s="1485"/>
      <c r="H400" s="1485"/>
      <c r="I400" s="1485"/>
    </row>
    <row r="401" spans="1:9" x14ac:dyDescent="0.3">
      <c r="A401" s="1410"/>
      <c r="B401" s="1410"/>
      <c r="C401" s="1494"/>
      <c r="D401" s="1485"/>
      <c r="E401" s="1485"/>
      <c r="F401" s="1485"/>
      <c r="G401" s="1485"/>
      <c r="H401" s="1485"/>
      <c r="I401" s="1485"/>
    </row>
    <row r="402" spans="1:9" x14ac:dyDescent="0.3">
      <c r="A402" s="1410"/>
      <c r="B402" s="1410"/>
      <c r="C402" s="1494"/>
      <c r="D402" s="1485"/>
      <c r="E402" s="1485"/>
      <c r="F402" s="1485"/>
      <c r="G402" s="1485"/>
      <c r="H402" s="1485"/>
      <c r="I402" s="1485"/>
    </row>
    <row r="403" spans="1:9" x14ac:dyDescent="0.3">
      <c r="A403" s="1410"/>
      <c r="B403" s="1410"/>
      <c r="C403" s="1494"/>
      <c r="D403" s="1485"/>
      <c r="E403" s="1485"/>
      <c r="F403" s="1485"/>
      <c r="G403" s="1485"/>
      <c r="H403" s="1485"/>
      <c r="I403" s="1485"/>
    </row>
    <row r="404" spans="1:9" x14ac:dyDescent="0.3">
      <c r="A404" s="1410"/>
      <c r="B404" s="1410"/>
      <c r="C404" s="1494"/>
      <c r="D404" s="1485"/>
      <c r="E404" s="1485"/>
      <c r="F404" s="1485"/>
      <c r="G404" s="1485"/>
      <c r="H404" s="1485"/>
      <c r="I404" s="1485"/>
    </row>
    <row r="405" spans="1:9" x14ac:dyDescent="0.3">
      <c r="A405" s="1410"/>
      <c r="B405" s="1410"/>
      <c r="C405" s="1494"/>
      <c r="D405" s="1485"/>
      <c r="E405" s="1485"/>
      <c r="F405" s="1485"/>
      <c r="G405" s="1485"/>
      <c r="H405" s="1485"/>
      <c r="I405" s="1485"/>
    </row>
    <row r="406" spans="1:9" x14ac:dyDescent="0.3">
      <c r="A406" s="1410"/>
      <c r="B406" s="1410"/>
      <c r="C406" s="1494"/>
      <c r="D406" s="1485"/>
      <c r="E406" s="1485"/>
      <c r="F406" s="1485"/>
      <c r="G406" s="1485"/>
      <c r="H406" s="1485"/>
      <c r="I406" s="1485"/>
    </row>
    <row r="407" spans="1:9" x14ac:dyDescent="0.3">
      <c r="A407" s="1410"/>
      <c r="B407" s="1410"/>
      <c r="C407" s="1494"/>
      <c r="D407" s="1485"/>
      <c r="E407" s="1485"/>
      <c r="F407" s="1485"/>
      <c r="G407" s="1485"/>
      <c r="H407" s="1485"/>
      <c r="I407" s="1485"/>
    </row>
    <row r="408" spans="1:9" x14ac:dyDescent="0.3">
      <c r="A408" s="1410"/>
      <c r="B408" s="1410"/>
      <c r="C408" s="1494"/>
      <c r="D408" s="1485"/>
      <c r="E408" s="1485"/>
      <c r="F408" s="1485"/>
      <c r="G408" s="1485"/>
      <c r="H408" s="1485"/>
      <c r="I408" s="1485"/>
    </row>
    <row r="409" spans="1:9" x14ac:dyDescent="0.3">
      <c r="A409" s="1410"/>
      <c r="B409" s="1410"/>
      <c r="C409" s="1494"/>
      <c r="D409" s="1485"/>
      <c r="E409" s="1485"/>
      <c r="F409" s="1485"/>
      <c r="G409" s="1485"/>
      <c r="H409" s="1485"/>
      <c r="I409" s="1485"/>
    </row>
    <row r="410" spans="1:9" x14ac:dyDescent="0.3">
      <c r="A410" s="1410"/>
      <c r="B410" s="1410"/>
      <c r="C410" s="1494"/>
      <c r="D410" s="1485"/>
      <c r="E410" s="1485"/>
      <c r="F410" s="1485"/>
      <c r="G410" s="1485"/>
      <c r="H410" s="1485"/>
      <c r="I410" s="1485"/>
    </row>
    <row r="411" spans="1:9" x14ac:dyDescent="0.3">
      <c r="A411" s="1410"/>
      <c r="B411" s="1410"/>
      <c r="C411" s="1494"/>
      <c r="D411" s="1485"/>
      <c r="E411" s="1485"/>
      <c r="F411" s="1485"/>
      <c r="G411" s="1485"/>
      <c r="H411" s="1485"/>
      <c r="I411" s="1485"/>
    </row>
    <row r="412" spans="1:9" x14ac:dyDescent="0.3">
      <c r="A412" s="1410"/>
      <c r="B412" s="1410"/>
      <c r="C412" s="1494"/>
      <c r="D412" s="1485"/>
      <c r="E412" s="1485"/>
      <c r="F412" s="1485"/>
      <c r="G412" s="1485"/>
      <c r="H412" s="1485"/>
      <c r="I412" s="1485"/>
    </row>
    <row r="413" spans="1:9" x14ac:dyDescent="0.3">
      <c r="A413" s="1410"/>
      <c r="B413" s="1410"/>
      <c r="C413" s="1494"/>
      <c r="D413" s="1485"/>
      <c r="E413" s="1485"/>
      <c r="F413" s="1485"/>
      <c r="G413" s="1485"/>
      <c r="H413" s="1485"/>
      <c r="I413" s="1485"/>
    </row>
    <row r="414" spans="1:9" x14ac:dyDescent="0.3">
      <c r="A414" s="1410"/>
      <c r="B414" s="1410"/>
      <c r="C414" s="1494"/>
      <c r="D414" s="1485"/>
      <c r="E414" s="1485"/>
      <c r="F414" s="1485"/>
      <c r="G414" s="1485"/>
      <c r="H414" s="1485"/>
      <c r="I414" s="1485"/>
    </row>
    <row r="415" spans="1:9" x14ac:dyDescent="0.3">
      <c r="A415" s="1410"/>
      <c r="B415" s="1410"/>
      <c r="C415" s="1494"/>
      <c r="D415" s="1485"/>
      <c r="E415" s="1485"/>
      <c r="F415" s="1485"/>
      <c r="G415" s="1485"/>
      <c r="H415" s="1485"/>
      <c r="I415" s="1485"/>
    </row>
    <row r="416" spans="1:9" x14ac:dyDescent="0.3">
      <c r="A416" s="1410"/>
      <c r="B416" s="1410"/>
      <c r="C416" s="1494"/>
      <c r="D416" s="1485"/>
      <c r="E416" s="1485"/>
      <c r="F416" s="1485"/>
      <c r="G416" s="1485"/>
      <c r="H416" s="1485"/>
      <c r="I416" s="1485"/>
    </row>
    <row r="417" spans="1:9" x14ac:dyDescent="0.3">
      <c r="A417" s="1410"/>
      <c r="B417" s="1410"/>
      <c r="C417" s="1494"/>
      <c r="D417" s="1485"/>
      <c r="E417" s="1485"/>
      <c r="F417" s="1485"/>
      <c r="G417" s="1485"/>
      <c r="H417" s="1485"/>
      <c r="I417" s="1485"/>
    </row>
    <row r="418" spans="1:9" x14ac:dyDescent="0.3">
      <c r="A418" s="1410"/>
      <c r="B418" s="1410"/>
      <c r="C418" s="1494"/>
      <c r="D418" s="1485"/>
      <c r="E418" s="1485"/>
      <c r="F418" s="1485"/>
      <c r="G418" s="1485"/>
      <c r="H418" s="1485"/>
      <c r="I418" s="1485"/>
    </row>
    <row r="419" spans="1:9" x14ac:dyDescent="0.3">
      <c r="A419" s="1410"/>
      <c r="B419" s="1410"/>
      <c r="C419" s="1494"/>
      <c r="D419" s="1485"/>
      <c r="E419" s="1485"/>
      <c r="F419" s="1485"/>
      <c r="G419" s="1485"/>
      <c r="H419" s="1485"/>
      <c r="I419" s="1485"/>
    </row>
    <row r="420" spans="1:9" x14ac:dyDescent="0.3">
      <c r="A420" s="1410"/>
      <c r="B420" s="1410"/>
      <c r="C420" s="1494"/>
      <c r="D420" s="1485"/>
      <c r="E420" s="1485"/>
      <c r="F420" s="1485"/>
      <c r="G420" s="1485"/>
      <c r="H420" s="1485"/>
      <c r="I420" s="1485"/>
    </row>
    <row r="421" spans="1:9" x14ac:dyDescent="0.3">
      <c r="A421" s="1410"/>
      <c r="B421" s="1410"/>
      <c r="C421" s="1494"/>
      <c r="D421" s="1485"/>
      <c r="E421" s="1485"/>
      <c r="F421" s="1485"/>
      <c r="G421" s="1485"/>
      <c r="H421" s="1485"/>
      <c r="I421" s="1485"/>
    </row>
    <row r="422" spans="1:9" x14ac:dyDescent="0.3">
      <c r="A422" s="1410"/>
      <c r="B422" s="1410"/>
      <c r="C422" s="1494"/>
      <c r="D422" s="1485"/>
      <c r="E422" s="1485"/>
      <c r="F422" s="1485"/>
      <c r="G422" s="1485"/>
      <c r="H422" s="1485"/>
      <c r="I422" s="1485"/>
    </row>
    <row r="423" spans="1:9" x14ac:dyDescent="0.3">
      <c r="A423" s="1410"/>
      <c r="B423" s="1410"/>
      <c r="C423" s="1494"/>
      <c r="D423" s="1485"/>
      <c r="E423" s="1485"/>
      <c r="F423" s="1485"/>
      <c r="G423" s="1485"/>
      <c r="H423" s="1485"/>
      <c r="I423" s="1485"/>
    </row>
    <row r="424" spans="1:9" x14ac:dyDescent="0.3">
      <c r="A424" s="1410"/>
      <c r="B424" s="1410"/>
      <c r="C424" s="1494"/>
      <c r="D424" s="1485"/>
      <c r="E424" s="1485"/>
      <c r="F424" s="1485"/>
      <c r="G424" s="1485"/>
      <c r="H424" s="1485"/>
      <c r="I424" s="1485"/>
    </row>
    <row r="425" spans="1:9" x14ac:dyDescent="0.3">
      <c r="A425" s="1410"/>
      <c r="B425" s="1410"/>
      <c r="C425" s="1494"/>
      <c r="D425" s="1485"/>
      <c r="E425" s="1485"/>
      <c r="F425" s="1485"/>
      <c r="G425" s="1485"/>
      <c r="H425" s="1485"/>
      <c r="I425" s="1485"/>
    </row>
    <row r="426" spans="1:9" x14ac:dyDescent="0.3">
      <c r="A426" s="1410"/>
      <c r="B426" s="1410"/>
      <c r="C426" s="1494"/>
      <c r="D426" s="1485"/>
      <c r="E426" s="1485"/>
      <c r="F426" s="1485"/>
      <c r="G426" s="1485"/>
      <c r="H426" s="1485"/>
      <c r="I426" s="1485"/>
    </row>
    <row r="427" spans="1:9" x14ac:dyDescent="0.3">
      <c r="A427" s="1410"/>
      <c r="B427" s="1410"/>
      <c r="C427" s="1494"/>
      <c r="D427" s="1485"/>
      <c r="E427" s="1485"/>
      <c r="F427" s="1485"/>
      <c r="G427" s="1485"/>
      <c r="H427" s="1485"/>
      <c r="I427" s="1485"/>
    </row>
    <row r="428" spans="1:9" x14ac:dyDescent="0.3">
      <c r="A428" s="1410"/>
      <c r="B428" s="1410"/>
      <c r="C428" s="1494"/>
      <c r="D428" s="1485"/>
      <c r="E428" s="1485"/>
      <c r="F428" s="1485"/>
      <c r="G428" s="1485"/>
      <c r="H428" s="1485"/>
      <c r="I428" s="1485"/>
    </row>
    <row r="429" spans="1:9" x14ac:dyDescent="0.3">
      <c r="A429" s="1410"/>
      <c r="B429" s="1410"/>
      <c r="C429" s="1494"/>
      <c r="D429" s="1485"/>
      <c r="E429" s="1485"/>
      <c r="F429" s="1485"/>
      <c r="G429" s="1485"/>
      <c r="H429" s="1485"/>
      <c r="I429" s="1485"/>
    </row>
    <row r="430" spans="1:9" x14ac:dyDescent="0.3">
      <c r="A430" s="1410"/>
      <c r="B430" s="1410"/>
      <c r="C430" s="1494"/>
      <c r="D430" s="1485"/>
      <c r="E430" s="1485"/>
      <c r="F430" s="1485"/>
      <c r="G430" s="1485"/>
      <c r="H430" s="1485"/>
      <c r="I430" s="1485"/>
    </row>
    <row r="431" spans="1:9" x14ac:dyDescent="0.3">
      <c r="A431" s="1410"/>
      <c r="B431" s="1410"/>
      <c r="C431" s="1494"/>
      <c r="D431" s="1485"/>
      <c r="E431" s="1485"/>
      <c r="F431" s="1485"/>
      <c r="G431" s="1485"/>
      <c r="H431" s="1485"/>
      <c r="I431" s="1485"/>
    </row>
    <row r="432" spans="1:9" x14ac:dyDescent="0.3">
      <c r="A432" s="1410"/>
      <c r="B432" s="1410"/>
      <c r="C432" s="1494"/>
      <c r="D432" s="1485"/>
      <c r="E432" s="1485"/>
      <c r="F432" s="1485"/>
      <c r="G432" s="1485"/>
      <c r="H432" s="1485"/>
      <c r="I432" s="1485"/>
    </row>
    <row r="433" spans="1:9" x14ac:dyDescent="0.3">
      <c r="A433" s="1410"/>
      <c r="B433" s="1410"/>
      <c r="C433" s="1494"/>
      <c r="D433" s="1485"/>
      <c r="E433" s="1485"/>
      <c r="F433" s="1485"/>
      <c r="G433" s="1485"/>
      <c r="H433" s="1485"/>
      <c r="I433" s="1485"/>
    </row>
    <row r="434" spans="1:9" x14ac:dyDescent="0.3">
      <c r="A434" s="1410"/>
      <c r="B434" s="1410"/>
      <c r="C434" s="1494"/>
      <c r="D434" s="1485"/>
      <c r="E434" s="1485"/>
      <c r="F434" s="1485"/>
      <c r="G434" s="1485"/>
      <c r="H434" s="1485"/>
      <c r="I434" s="1485"/>
    </row>
    <row r="435" spans="1:9" x14ac:dyDescent="0.3">
      <c r="A435" s="1410"/>
      <c r="B435" s="1410"/>
      <c r="C435" s="1494"/>
      <c r="D435" s="1485"/>
      <c r="E435" s="1485"/>
      <c r="F435" s="1485"/>
      <c r="G435" s="1485"/>
      <c r="H435" s="1485"/>
      <c r="I435" s="1485"/>
    </row>
    <row r="436" spans="1:9" x14ac:dyDescent="0.3">
      <c r="A436" s="1410"/>
      <c r="B436" s="1410"/>
      <c r="C436" s="1494"/>
      <c r="D436" s="1485"/>
      <c r="E436" s="1485"/>
      <c r="F436" s="1485"/>
      <c r="G436" s="1485"/>
      <c r="H436" s="1485"/>
      <c r="I436" s="1485"/>
    </row>
    <row r="437" spans="1:9" x14ac:dyDescent="0.3">
      <c r="A437" s="1410"/>
      <c r="B437" s="1410"/>
      <c r="C437" s="1494"/>
      <c r="D437" s="1485"/>
      <c r="E437" s="1485"/>
      <c r="F437" s="1485"/>
      <c r="G437" s="1485"/>
      <c r="H437" s="1485"/>
      <c r="I437" s="1485"/>
    </row>
    <row r="438" spans="1:9" x14ac:dyDescent="0.3">
      <c r="A438" s="1410"/>
      <c r="B438" s="1410"/>
      <c r="C438" s="1494"/>
      <c r="D438" s="1485"/>
      <c r="E438" s="1485"/>
      <c r="F438" s="1485"/>
      <c r="G438" s="1485"/>
      <c r="H438" s="1485"/>
      <c r="I438" s="1485"/>
    </row>
    <row r="439" spans="1:9" x14ac:dyDescent="0.3">
      <c r="A439" s="1410"/>
      <c r="B439" s="1410"/>
      <c r="C439" s="1494"/>
      <c r="D439" s="1485"/>
      <c r="E439" s="1485"/>
      <c r="F439" s="1485"/>
      <c r="G439" s="1485"/>
      <c r="H439" s="1485"/>
      <c r="I439" s="1485"/>
    </row>
    <row r="440" spans="1:9" x14ac:dyDescent="0.3">
      <c r="A440" s="1410"/>
      <c r="B440" s="1410"/>
      <c r="C440" s="1494"/>
      <c r="D440" s="1485"/>
      <c r="E440" s="1485"/>
      <c r="F440" s="1485"/>
      <c r="G440" s="1485"/>
      <c r="H440" s="1485"/>
      <c r="I440" s="1485"/>
    </row>
    <row r="441" spans="1:9" x14ac:dyDescent="0.3">
      <c r="A441" s="1410"/>
      <c r="B441" s="1410"/>
      <c r="C441" s="1494"/>
      <c r="D441" s="1485"/>
      <c r="E441" s="1485"/>
      <c r="F441" s="1485"/>
      <c r="G441" s="1485"/>
      <c r="H441" s="1485"/>
      <c r="I441" s="1485"/>
    </row>
    <row r="442" spans="1:9" x14ac:dyDescent="0.3">
      <c r="A442" s="1410"/>
      <c r="B442" s="1410"/>
      <c r="C442" s="1494"/>
      <c r="D442" s="1485"/>
      <c r="E442" s="1485"/>
      <c r="F442" s="1485"/>
      <c r="G442" s="1485"/>
      <c r="H442" s="1485"/>
      <c r="I442" s="1485"/>
    </row>
    <row r="443" spans="1:9" x14ac:dyDescent="0.3">
      <c r="A443" s="1410"/>
      <c r="B443" s="1410"/>
      <c r="C443" s="1494"/>
      <c r="D443" s="1485"/>
      <c r="E443" s="1485"/>
      <c r="F443" s="1485"/>
      <c r="G443" s="1485"/>
      <c r="H443" s="1485"/>
      <c r="I443" s="1485"/>
    </row>
    <row r="444" spans="1:9" x14ac:dyDescent="0.3">
      <c r="A444" s="1410"/>
      <c r="B444" s="1410"/>
      <c r="C444" s="1494"/>
      <c r="D444" s="1485"/>
      <c r="E444" s="1485"/>
      <c r="F444" s="1485"/>
      <c r="G444" s="1485"/>
      <c r="H444" s="1485"/>
      <c r="I444" s="1485"/>
    </row>
    <row r="445" spans="1:9" x14ac:dyDescent="0.3">
      <c r="A445" s="1410"/>
      <c r="B445" s="1410"/>
      <c r="C445" s="1494"/>
      <c r="D445" s="1485"/>
      <c r="E445" s="1485"/>
      <c r="F445" s="1485"/>
      <c r="G445" s="1485"/>
      <c r="H445" s="1485"/>
      <c r="I445" s="1485"/>
    </row>
    <row r="446" spans="1:9" x14ac:dyDescent="0.3">
      <c r="A446" s="1410"/>
      <c r="B446" s="1410"/>
      <c r="C446" s="1494"/>
      <c r="D446" s="1485"/>
      <c r="E446" s="1485"/>
      <c r="F446" s="1485"/>
      <c r="G446" s="1485"/>
      <c r="H446" s="1485"/>
      <c r="I446" s="1485"/>
    </row>
    <row r="447" spans="1:9" x14ac:dyDescent="0.3">
      <c r="A447" s="1410"/>
      <c r="B447" s="1410"/>
      <c r="C447" s="1494"/>
      <c r="D447" s="1485"/>
      <c r="E447" s="1485"/>
      <c r="F447" s="1485"/>
      <c r="G447" s="1485"/>
      <c r="H447" s="1485"/>
      <c r="I447" s="1485"/>
    </row>
    <row r="448" spans="1:9" x14ac:dyDescent="0.3">
      <c r="A448" s="1410"/>
      <c r="B448" s="1410"/>
      <c r="C448" s="1494"/>
      <c r="D448" s="1485"/>
      <c r="E448" s="1485"/>
      <c r="F448" s="1485"/>
      <c r="G448" s="1485"/>
      <c r="H448" s="1485"/>
      <c r="I448" s="1485"/>
    </row>
    <row r="449" spans="1:9" x14ac:dyDescent="0.3">
      <c r="A449" s="1410"/>
      <c r="B449" s="1410"/>
      <c r="C449" s="1494"/>
      <c r="D449" s="1485"/>
      <c r="E449" s="1485"/>
      <c r="F449" s="1485"/>
      <c r="G449" s="1485"/>
      <c r="H449" s="1485"/>
      <c r="I449" s="1485"/>
    </row>
    <row r="450" spans="1:9" x14ac:dyDescent="0.3">
      <c r="A450" s="1410"/>
      <c r="B450" s="1410"/>
      <c r="C450" s="1494"/>
      <c r="D450" s="1485"/>
      <c r="E450" s="1485"/>
      <c r="F450" s="1485"/>
      <c r="G450" s="1485"/>
      <c r="H450" s="1485"/>
      <c r="I450" s="1485"/>
    </row>
    <row r="451" spans="1:9" x14ac:dyDescent="0.3">
      <c r="A451" s="1410"/>
      <c r="B451" s="1410"/>
      <c r="C451" s="1494"/>
      <c r="D451" s="1485"/>
      <c r="E451" s="1485"/>
      <c r="F451" s="1485"/>
      <c r="G451" s="1485"/>
      <c r="H451" s="1485"/>
      <c r="I451" s="1485"/>
    </row>
    <row r="452" spans="1:9" x14ac:dyDescent="0.3">
      <c r="A452" s="1410"/>
      <c r="B452" s="1410"/>
      <c r="C452" s="1494"/>
      <c r="D452" s="1485"/>
      <c r="E452" s="1485"/>
      <c r="F452" s="1485"/>
      <c r="G452" s="1485"/>
      <c r="H452" s="1485"/>
      <c r="I452" s="1485"/>
    </row>
    <row r="453" spans="1:9" x14ac:dyDescent="0.3">
      <c r="A453" s="1410"/>
      <c r="B453" s="1410"/>
      <c r="C453" s="1494"/>
      <c r="D453" s="1485"/>
      <c r="E453" s="1485"/>
      <c r="F453" s="1485"/>
      <c r="G453" s="1485"/>
      <c r="H453" s="1485"/>
      <c r="I453" s="1485"/>
    </row>
    <row r="454" spans="1:9" x14ac:dyDescent="0.3">
      <c r="A454" s="1410"/>
      <c r="B454" s="1410"/>
      <c r="C454" s="1494"/>
      <c r="D454" s="1485"/>
      <c r="E454" s="1485"/>
      <c r="F454" s="1485"/>
      <c r="G454" s="1485"/>
      <c r="H454" s="1485"/>
      <c r="I454" s="1485"/>
    </row>
    <row r="455" spans="1:9" x14ac:dyDescent="0.3">
      <c r="A455" s="1410"/>
      <c r="B455" s="1410"/>
      <c r="C455" s="1494"/>
      <c r="D455" s="1485"/>
      <c r="E455" s="1485"/>
      <c r="F455" s="1485"/>
      <c r="G455" s="1485"/>
      <c r="H455" s="1485"/>
      <c r="I455" s="1485"/>
    </row>
    <row r="456" spans="1:9" x14ac:dyDescent="0.3">
      <c r="A456" s="1410"/>
      <c r="B456" s="1410"/>
      <c r="C456" s="1494"/>
      <c r="D456" s="1485"/>
      <c r="E456" s="1485"/>
      <c r="F456" s="1485"/>
      <c r="G456" s="1485"/>
      <c r="H456" s="1485"/>
      <c r="I456" s="1485"/>
    </row>
    <row r="457" spans="1:9" x14ac:dyDescent="0.3">
      <c r="A457" s="1410"/>
      <c r="B457" s="1410"/>
      <c r="C457" s="1494"/>
      <c r="D457" s="1485"/>
      <c r="E457" s="1485"/>
      <c r="F457" s="1485"/>
      <c r="G457" s="1485"/>
      <c r="H457" s="1485"/>
      <c r="I457" s="1485"/>
    </row>
    <row r="458" spans="1:9" x14ac:dyDescent="0.3">
      <c r="A458" s="1410"/>
      <c r="B458" s="1410"/>
      <c r="C458" s="1494"/>
      <c r="D458" s="1485"/>
      <c r="E458" s="1485"/>
      <c r="F458" s="1485"/>
      <c r="G458" s="1485"/>
      <c r="H458" s="1485"/>
      <c r="I458" s="1485"/>
    </row>
    <row r="459" spans="1:9" x14ac:dyDescent="0.3">
      <c r="A459" s="1410"/>
      <c r="B459" s="1410"/>
      <c r="C459" s="1494"/>
      <c r="D459" s="1485"/>
      <c r="E459" s="1485"/>
      <c r="F459" s="1485"/>
      <c r="G459" s="1485"/>
      <c r="H459" s="1485"/>
      <c r="I459" s="1485"/>
    </row>
    <row r="460" spans="1:9" x14ac:dyDescent="0.3">
      <c r="A460" s="1410"/>
      <c r="B460" s="1410"/>
      <c r="C460" s="1494"/>
      <c r="D460" s="1485"/>
      <c r="E460" s="1485"/>
      <c r="F460" s="1485"/>
      <c r="G460" s="1485"/>
      <c r="H460" s="1485"/>
      <c r="I460" s="1485"/>
    </row>
    <row r="461" spans="1:9" x14ac:dyDescent="0.3">
      <c r="A461" s="1410"/>
      <c r="B461" s="1410"/>
      <c r="C461" s="1494"/>
      <c r="D461" s="1485"/>
      <c r="E461" s="1485"/>
      <c r="F461" s="1485"/>
      <c r="G461" s="1485"/>
      <c r="H461" s="1485"/>
      <c r="I461" s="1485"/>
    </row>
    <row r="462" spans="1:9" x14ac:dyDescent="0.3">
      <c r="A462" s="1410"/>
      <c r="B462" s="1410"/>
      <c r="C462" s="1494"/>
      <c r="D462" s="1485"/>
      <c r="E462" s="1485"/>
      <c r="F462" s="1485"/>
      <c r="G462" s="1485"/>
      <c r="H462" s="1485"/>
      <c r="I462" s="1485"/>
    </row>
    <row r="463" spans="1:9" x14ac:dyDescent="0.3">
      <c r="A463" s="1410"/>
      <c r="B463" s="1410"/>
      <c r="C463" s="1494"/>
      <c r="D463" s="1485"/>
      <c r="E463" s="1485"/>
      <c r="F463" s="1485"/>
      <c r="G463" s="1485"/>
      <c r="H463" s="1485"/>
      <c r="I463" s="1485"/>
    </row>
    <row r="464" spans="1:9" x14ac:dyDescent="0.3">
      <c r="A464" s="1410"/>
      <c r="B464" s="1410"/>
      <c r="C464" s="1494"/>
      <c r="D464" s="1485"/>
      <c r="E464" s="1485"/>
      <c r="F464" s="1485"/>
      <c r="G464" s="1485"/>
      <c r="H464" s="1485"/>
      <c r="I464" s="1485"/>
    </row>
    <row r="465" spans="1:9" x14ac:dyDescent="0.3">
      <c r="A465" s="1410"/>
      <c r="B465" s="1410"/>
      <c r="C465" s="1494"/>
      <c r="D465" s="1485"/>
      <c r="E465" s="1485"/>
      <c r="F465" s="1485"/>
      <c r="G465" s="1485"/>
      <c r="H465" s="1485"/>
      <c r="I465" s="1485"/>
    </row>
    <row r="466" spans="1:9" x14ac:dyDescent="0.3">
      <c r="A466" s="1410"/>
      <c r="B466" s="1410"/>
      <c r="C466" s="1494"/>
      <c r="D466" s="1485"/>
      <c r="E466" s="1485"/>
      <c r="F466" s="1485"/>
      <c r="G466" s="1485"/>
      <c r="H466" s="1485"/>
      <c r="I466" s="1485"/>
    </row>
    <row r="467" spans="1:9" x14ac:dyDescent="0.3">
      <c r="A467" s="1410"/>
      <c r="B467" s="1410"/>
      <c r="C467" s="1494"/>
      <c r="D467" s="1485"/>
      <c r="E467" s="1485"/>
      <c r="F467" s="1485"/>
      <c r="G467" s="1485"/>
      <c r="H467" s="1485"/>
      <c r="I467" s="1485"/>
    </row>
    <row r="468" spans="1:9" x14ac:dyDescent="0.3">
      <c r="A468" s="1410"/>
      <c r="B468" s="1410"/>
      <c r="C468" s="1494"/>
      <c r="D468" s="1485"/>
      <c r="E468" s="1485"/>
      <c r="F468" s="1485"/>
      <c r="G468" s="1485"/>
      <c r="H468" s="1485"/>
      <c r="I468" s="1485"/>
    </row>
    <row r="469" spans="1:9" x14ac:dyDescent="0.3">
      <c r="A469" s="1410"/>
      <c r="B469" s="1410"/>
      <c r="C469" s="1494"/>
      <c r="D469" s="1485"/>
      <c r="E469" s="1485"/>
      <c r="F469" s="1485"/>
      <c r="G469" s="1485"/>
      <c r="H469" s="1485"/>
      <c r="I469" s="1485"/>
    </row>
    <row r="470" spans="1:9" x14ac:dyDescent="0.3">
      <c r="A470" s="1410"/>
      <c r="B470" s="1410"/>
      <c r="C470" s="1494"/>
      <c r="D470" s="1485"/>
      <c r="E470" s="1485"/>
      <c r="F470" s="1485"/>
      <c r="G470" s="1485"/>
      <c r="H470" s="1485"/>
      <c r="I470" s="1485"/>
    </row>
    <row r="471" spans="1:9" x14ac:dyDescent="0.3">
      <c r="A471" s="1410"/>
      <c r="B471" s="1410"/>
      <c r="C471" s="1494"/>
      <c r="D471" s="1485"/>
      <c r="E471" s="1485"/>
      <c r="F471" s="1485"/>
      <c r="G471" s="1485"/>
      <c r="H471" s="1485"/>
      <c r="I471" s="1485"/>
    </row>
    <row r="472" spans="1:9" x14ac:dyDescent="0.3">
      <c r="A472" s="1410"/>
      <c r="B472" s="1410"/>
      <c r="C472" s="1494"/>
      <c r="D472" s="1485"/>
      <c r="E472" s="1485"/>
      <c r="F472" s="1485"/>
      <c r="G472" s="1485"/>
      <c r="H472" s="1485"/>
      <c r="I472" s="1485"/>
    </row>
    <row r="473" spans="1:9" x14ac:dyDescent="0.3">
      <c r="A473" s="1410"/>
      <c r="B473" s="1410"/>
      <c r="C473" s="1494"/>
      <c r="D473" s="1485"/>
      <c r="E473" s="1485"/>
      <c r="F473" s="1485"/>
      <c r="G473" s="1485"/>
      <c r="H473" s="1485"/>
      <c r="I473" s="1485"/>
    </row>
    <row r="474" spans="1:9" x14ac:dyDescent="0.3">
      <c r="A474" s="1410"/>
      <c r="B474" s="1410"/>
      <c r="C474" s="1494"/>
      <c r="D474" s="1485"/>
      <c r="E474" s="1485"/>
      <c r="F474" s="1485"/>
      <c r="G474" s="1485"/>
      <c r="H474" s="1485"/>
      <c r="I474" s="1485"/>
    </row>
    <row r="475" spans="1:9" x14ac:dyDescent="0.3">
      <c r="A475" s="1410"/>
      <c r="B475" s="1410"/>
      <c r="C475" s="1494"/>
      <c r="D475" s="1485"/>
      <c r="E475" s="1485"/>
      <c r="F475" s="1485"/>
      <c r="G475" s="1485"/>
      <c r="H475" s="1485"/>
      <c r="I475" s="1485"/>
    </row>
    <row r="476" spans="1:9" x14ac:dyDescent="0.3">
      <c r="A476" s="1410"/>
      <c r="B476" s="1410"/>
      <c r="C476" s="1494"/>
      <c r="D476" s="1485"/>
      <c r="E476" s="1485"/>
      <c r="F476" s="1485"/>
      <c r="G476" s="1485"/>
      <c r="H476" s="1485"/>
      <c r="I476" s="1485"/>
    </row>
    <row r="477" spans="1:9" x14ac:dyDescent="0.3">
      <c r="A477" s="1410"/>
      <c r="B477" s="1410"/>
      <c r="C477" s="1494"/>
      <c r="D477" s="1485"/>
      <c r="E477" s="1485"/>
      <c r="F477" s="1485"/>
      <c r="G477" s="1485"/>
      <c r="H477" s="1485"/>
      <c r="I477" s="1485"/>
    </row>
    <row r="478" spans="1:9" x14ac:dyDescent="0.3">
      <c r="A478" s="1410"/>
      <c r="B478" s="1410"/>
      <c r="C478" s="1494"/>
      <c r="D478" s="1485"/>
      <c r="E478" s="1485"/>
      <c r="F478" s="1485"/>
      <c r="G478" s="1485"/>
      <c r="H478" s="1485"/>
      <c r="I478" s="1485"/>
    </row>
    <row r="479" spans="1:9" x14ac:dyDescent="0.3">
      <c r="A479" s="1410"/>
      <c r="B479" s="1410"/>
      <c r="C479" s="1494"/>
      <c r="D479" s="1485"/>
      <c r="E479" s="1485"/>
      <c r="F479" s="1485"/>
      <c r="G479" s="1485"/>
      <c r="H479" s="1485"/>
      <c r="I479" s="1485"/>
    </row>
    <row r="480" spans="1:9" x14ac:dyDescent="0.3">
      <c r="A480" s="1410"/>
      <c r="B480" s="1410"/>
      <c r="C480" s="1494"/>
      <c r="D480" s="1485"/>
      <c r="E480" s="1485"/>
      <c r="F480" s="1485"/>
      <c r="G480" s="1485"/>
      <c r="H480" s="1485"/>
      <c r="I480" s="1485"/>
    </row>
    <row r="481" spans="1:9" x14ac:dyDescent="0.3">
      <c r="A481" s="1410"/>
      <c r="B481" s="1410"/>
      <c r="C481" s="1494"/>
      <c r="D481" s="1485"/>
      <c r="E481" s="1485"/>
      <c r="F481" s="1485"/>
      <c r="G481" s="1485"/>
      <c r="H481" s="1485"/>
      <c r="I481" s="1485"/>
    </row>
    <row r="482" spans="1:9" x14ac:dyDescent="0.3">
      <c r="A482" s="1410"/>
      <c r="B482" s="1410"/>
      <c r="C482" s="1494"/>
      <c r="D482" s="1485"/>
      <c r="E482" s="1485"/>
      <c r="F482" s="1485"/>
      <c r="G482" s="1485"/>
      <c r="H482" s="1485"/>
      <c r="I482" s="1485"/>
    </row>
    <row r="483" spans="1:9" x14ac:dyDescent="0.3">
      <c r="A483" s="1410"/>
      <c r="B483" s="1410"/>
      <c r="C483" s="1494"/>
      <c r="D483" s="1485"/>
      <c r="E483" s="1485"/>
      <c r="F483" s="1485"/>
      <c r="G483" s="1485"/>
      <c r="H483" s="1485"/>
      <c r="I483" s="1485"/>
    </row>
    <row r="484" spans="1:9" x14ac:dyDescent="0.3">
      <c r="A484" s="1410"/>
      <c r="B484" s="1410"/>
      <c r="C484" s="1494"/>
      <c r="D484" s="1485"/>
      <c r="E484" s="1485"/>
      <c r="F484" s="1485"/>
      <c r="G484" s="1485"/>
      <c r="H484" s="1485"/>
      <c r="I484" s="1485"/>
    </row>
    <row r="485" spans="1:9" x14ac:dyDescent="0.3">
      <c r="A485" s="1410"/>
      <c r="B485" s="1410"/>
      <c r="C485" s="1494"/>
      <c r="D485" s="1485"/>
      <c r="E485" s="1485"/>
      <c r="F485" s="1485"/>
      <c r="G485" s="1485"/>
      <c r="H485" s="1485"/>
      <c r="I485" s="1485"/>
    </row>
    <row r="486" spans="1:9" x14ac:dyDescent="0.3">
      <c r="A486" s="1410"/>
      <c r="B486" s="1410"/>
      <c r="C486" s="1494"/>
      <c r="D486" s="1485"/>
      <c r="E486" s="1485"/>
      <c r="F486" s="1485"/>
      <c r="G486" s="1485"/>
      <c r="H486" s="1485"/>
      <c r="I486" s="1485"/>
    </row>
    <row r="487" spans="1:9" x14ac:dyDescent="0.3">
      <c r="A487" s="1410"/>
      <c r="B487" s="1410"/>
      <c r="C487" s="1494"/>
      <c r="D487" s="1485"/>
      <c r="E487" s="1485"/>
      <c r="F487" s="1485"/>
      <c r="G487" s="1485"/>
      <c r="H487" s="1485"/>
      <c r="I487" s="1485"/>
    </row>
    <row r="488" spans="1:9" x14ac:dyDescent="0.3">
      <c r="A488" s="1410"/>
      <c r="B488" s="1410"/>
      <c r="C488" s="1494"/>
      <c r="D488" s="1485"/>
      <c r="E488" s="1485"/>
      <c r="F488" s="1485"/>
      <c r="G488" s="1485"/>
      <c r="H488" s="1485"/>
      <c r="I488" s="1485"/>
    </row>
    <row r="489" spans="1:9" x14ac:dyDescent="0.3">
      <c r="A489" s="1410"/>
      <c r="B489" s="1410"/>
      <c r="C489" s="1494"/>
      <c r="D489" s="1485"/>
      <c r="E489" s="1485"/>
      <c r="F489" s="1485"/>
      <c r="G489" s="1485"/>
      <c r="H489" s="1485"/>
      <c r="I489" s="1485"/>
    </row>
    <row r="490" spans="1:9" x14ac:dyDescent="0.3">
      <c r="A490" s="1410"/>
      <c r="B490" s="1410"/>
      <c r="C490" s="1494"/>
      <c r="D490" s="1485"/>
      <c r="E490" s="1485"/>
      <c r="F490" s="1485"/>
      <c r="G490" s="1485"/>
      <c r="H490" s="1485"/>
      <c r="I490" s="1485"/>
    </row>
    <row r="491" spans="1:9" x14ac:dyDescent="0.3">
      <c r="A491" s="1410"/>
      <c r="B491" s="1410"/>
      <c r="C491" s="1494"/>
      <c r="D491" s="1485"/>
      <c r="E491" s="1485"/>
      <c r="F491" s="1485"/>
      <c r="G491" s="1485"/>
      <c r="H491" s="1485"/>
      <c r="I491" s="1485"/>
    </row>
    <row r="492" spans="1:9" x14ac:dyDescent="0.3">
      <c r="A492" s="1410"/>
      <c r="B492" s="1410"/>
      <c r="C492" s="1494"/>
      <c r="D492" s="1485"/>
      <c r="E492" s="1485"/>
      <c r="F492" s="1485"/>
      <c r="G492" s="1485"/>
      <c r="H492" s="1485"/>
      <c r="I492" s="1485"/>
    </row>
    <row r="493" spans="1:9" x14ac:dyDescent="0.3">
      <c r="A493" s="1410"/>
      <c r="B493" s="1410"/>
      <c r="C493" s="1494"/>
      <c r="D493" s="1485"/>
      <c r="E493" s="1485"/>
      <c r="F493" s="1485"/>
      <c r="G493" s="1485"/>
      <c r="H493" s="1485"/>
      <c r="I493" s="1485"/>
    </row>
    <row r="494" spans="1:9" x14ac:dyDescent="0.3">
      <c r="A494" s="1410"/>
      <c r="B494" s="1410"/>
      <c r="C494" s="1494"/>
      <c r="D494" s="1485"/>
      <c r="E494" s="1485"/>
      <c r="F494" s="1485"/>
      <c r="G494" s="1485"/>
      <c r="H494" s="1485"/>
      <c r="I494" s="1485"/>
    </row>
    <row r="495" spans="1:9" x14ac:dyDescent="0.3">
      <c r="A495" s="1410"/>
      <c r="B495" s="1410"/>
      <c r="C495" s="1494"/>
      <c r="D495" s="1485"/>
      <c r="E495" s="1485"/>
      <c r="F495" s="1485"/>
      <c r="G495" s="1485"/>
      <c r="H495" s="1485"/>
      <c r="I495" s="1485"/>
    </row>
    <row r="496" spans="1:9" x14ac:dyDescent="0.3">
      <c r="A496" s="1410"/>
      <c r="B496" s="1410"/>
      <c r="C496" s="1494"/>
      <c r="D496" s="1485"/>
      <c r="E496" s="1485"/>
      <c r="F496" s="1485"/>
      <c r="G496" s="1485"/>
      <c r="H496" s="1485"/>
      <c r="I496" s="1485"/>
    </row>
    <row r="497" spans="1:9" x14ac:dyDescent="0.3">
      <c r="A497" s="1410"/>
      <c r="B497" s="1410"/>
      <c r="C497" s="1494"/>
      <c r="D497" s="1485"/>
      <c r="E497" s="1485"/>
      <c r="F497" s="1485"/>
      <c r="G497" s="1485"/>
      <c r="H497" s="1485"/>
      <c r="I497" s="1485"/>
    </row>
    <row r="498" spans="1:9" x14ac:dyDescent="0.3">
      <c r="A498" s="1410"/>
      <c r="B498" s="1410"/>
      <c r="C498" s="1494"/>
      <c r="D498" s="1485"/>
      <c r="E498" s="1485"/>
      <c r="F498" s="1485"/>
      <c r="G498" s="1485"/>
      <c r="H498" s="1485"/>
      <c r="I498" s="1485"/>
    </row>
    <row r="499" spans="1:9" x14ac:dyDescent="0.3">
      <c r="A499" s="1410"/>
      <c r="B499" s="1410"/>
      <c r="C499" s="1494"/>
      <c r="D499" s="1485"/>
      <c r="E499" s="1485"/>
      <c r="F499" s="1485"/>
      <c r="G499" s="1485"/>
      <c r="H499" s="1485"/>
      <c r="I499" s="1485"/>
    </row>
    <row r="500" spans="1:9" x14ac:dyDescent="0.3">
      <c r="A500" s="1410"/>
      <c r="B500" s="1410"/>
      <c r="C500" s="1494"/>
      <c r="D500" s="1485"/>
      <c r="E500" s="1485"/>
      <c r="F500" s="1485"/>
      <c r="G500" s="1485"/>
      <c r="H500" s="1485"/>
      <c r="I500" s="1485"/>
    </row>
    <row r="501" spans="1:9" x14ac:dyDescent="0.3">
      <c r="A501" s="1410"/>
      <c r="B501" s="1410"/>
      <c r="C501" s="1494"/>
      <c r="D501" s="1485"/>
      <c r="E501" s="1485"/>
      <c r="F501" s="1485"/>
      <c r="G501" s="1485"/>
      <c r="H501" s="1485"/>
      <c r="I501" s="1485"/>
    </row>
    <row r="502" spans="1:9" x14ac:dyDescent="0.3">
      <c r="A502" s="1410"/>
      <c r="B502" s="1410"/>
      <c r="C502" s="1494"/>
      <c r="D502" s="1485"/>
      <c r="E502" s="1485"/>
      <c r="F502" s="1485"/>
      <c r="G502" s="1485"/>
      <c r="H502" s="1485"/>
      <c r="I502" s="1485"/>
    </row>
    <row r="503" spans="1:9" x14ac:dyDescent="0.3">
      <c r="A503" s="1410"/>
      <c r="B503" s="1410"/>
      <c r="C503" s="1494"/>
      <c r="D503" s="1485"/>
      <c r="E503" s="1485"/>
      <c r="F503" s="1485"/>
      <c r="G503" s="1485"/>
      <c r="H503" s="1485"/>
      <c r="I503" s="1485"/>
    </row>
    <row r="504" spans="1:9" x14ac:dyDescent="0.3">
      <c r="A504" s="1410"/>
      <c r="B504" s="1410"/>
      <c r="C504" s="1494"/>
      <c r="D504" s="1485"/>
      <c r="E504" s="1485"/>
      <c r="F504" s="1485"/>
      <c r="G504" s="1485"/>
      <c r="H504" s="1485"/>
      <c r="I504" s="1485"/>
    </row>
    <row r="505" spans="1:9" x14ac:dyDescent="0.3">
      <c r="A505" s="1410"/>
      <c r="B505" s="1410"/>
      <c r="C505" s="1494"/>
      <c r="D505" s="1485"/>
      <c r="E505" s="1485"/>
      <c r="F505" s="1485"/>
      <c r="G505" s="1485"/>
      <c r="H505" s="1485"/>
      <c r="I505" s="1485"/>
    </row>
    <row r="506" spans="1:9" x14ac:dyDescent="0.3">
      <c r="A506" s="1410"/>
      <c r="B506" s="1410"/>
      <c r="C506" s="1494"/>
      <c r="D506" s="1485"/>
      <c r="E506" s="1485"/>
      <c r="F506" s="1485"/>
      <c r="G506" s="1485"/>
      <c r="H506" s="1485"/>
      <c r="I506" s="1485"/>
    </row>
    <row r="507" spans="1:9" x14ac:dyDescent="0.3">
      <c r="A507" s="1410"/>
      <c r="B507" s="1410"/>
      <c r="C507" s="1494"/>
      <c r="D507" s="1485"/>
      <c r="E507" s="1485"/>
      <c r="F507" s="1485"/>
      <c r="G507" s="1485"/>
      <c r="H507" s="1485"/>
      <c r="I507" s="1485"/>
    </row>
    <row r="508" spans="1:9" x14ac:dyDescent="0.3">
      <c r="A508" s="1410"/>
      <c r="B508" s="1410"/>
      <c r="C508" s="1494"/>
      <c r="D508" s="1485"/>
      <c r="E508" s="1485"/>
      <c r="F508" s="1485"/>
      <c r="G508" s="1485"/>
      <c r="H508" s="1485"/>
      <c r="I508" s="1485"/>
    </row>
    <row r="509" spans="1:9" x14ac:dyDescent="0.3">
      <c r="A509" s="1410"/>
      <c r="B509" s="1410"/>
      <c r="C509" s="1494"/>
      <c r="D509" s="1485"/>
      <c r="E509" s="1485"/>
      <c r="F509" s="1485"/>
      <c r="G509" s="1485"/>
      <c r="H509" s="1485"/>
      <c r="I509" s="1485"/>
    </row>
    <row r="510" spans="1:9" x14ac:dyDescent="0.3">
      <c r="A510" s="1410"/>
      <c r="B510" s="1410"/>
      <c r="C510" s="1494"/>
      <c r="D510" s="1485"/>
      <c r="E510" s="1485"/>
      <c r="F510" s="1485"/>
      <c r="G510" s="1485"/>
      <c r="H510" s="1485"/>
      <c r="I510" s="1485"/>
    </row>
    <row r="511" spans="1:9" x14ac:dyDescent="0.3">
      <c r="A511" s="1410"/>
      <c r="B511" s="1410"/>
      <c r="C511" s="1494"/>
      <c r="D511" s="1485"/>
      <c r="E511" s="1485"/>
      <c r="F511" s="1485"/>
      <c r="G511" s="1485"/>
      <c r="H511" s="1485"/>
      <c r="I511" s="1485"/>
    </row>
    <row r="512" spans="1:9" x14ac:dyDescent="0.3">
      <c r="A512" s="1410"/>
      <c r="B512" s="1410"/>
      <c r="C512" s="1494"/>
      <c r="D512" s="1485"/>
      <c r="E512" s="1485"/>
      <c r="F512" s="1485"/>
      <c r="G512" s="1485"/>
      <c r="H512" s="1485"/>
      <c r="I512" s="1485"/>
    </row>
    <row r="513" spans="1:9" x14ac:dyDescent="0.3">
      <c r="A513" s="1410"/>
      <c r="B513" s="1410"/>
      <c r="C513" s="1494"/>
      <c r="D513" s="1485"/>
      <c r="E513" s="1485"/>
      <c r="F513" s="1485"/>
      <c r="G513" s="1485"/>
      <c r="H513" s="1485"/>
      <c r="I513" s="1485"/>
    </row>
    <row r="514" spans="1:9" x14ac:dyDescent="0.3">
      <c r="A514" s="1410"/>
      <c r="B514" s="1410"/>
      <c r="C514" s="1494"/>
      <c r="D514" s="1485"/>
      <c r="E514" s="1485"/>
      <c r="F514" s="1485"/>
      <c r="G514" s="1485"/>
      <c r="H514" s="1485"/>
      <c r="I514" s="1485"/>
    </row>
    <row r="515" spans="1:9" x14ac:dyDescent="0.3">
      <c r="A515" s="1410"/>
      <c r="B515" s="1410"/>
      <c r="C515" s="1494"/>
      <c r="D515" s="1485"/>
      <c r="E515" s="1485"/>
      <c r="F515" s="1485"/>
      <c r="G515" s="1485"/>
      <c r="H515" s="1485"/>
      <c r="I515" s="1485"/>
    </row>
    <row r="516" spans="1:9" x14ac:dyDescent="0.3">
      <c r="A516" s="1410"/>
      <c r="B516" s="1410"/>
      <c r="C516" s="1494"/>
      <c r="D516" s="1485"/>
      <c r="E516" s="1485"/>
      <c r="F516" s="1485"/>
      <c r="G516" s="1485"/>
      <c r="H516" s="1485"/>
      <c r="I516" s="1485"/>
    </row>
    <row r="517" spans="1:9" x14ac:dyDescent="0.3">
      <c r="A517" s="1410"/>
      <c r="B517" s="1410"/>
      <c r="C517" s="1494"/>
      <c r="D517" s="1485"/>
      <c r="E517" s="1485"/>
      <c r="F517" s="1485"/>
      <c r="G517" s="1485"/>
      <c r="H517" s="1485"/>
      <c r="I517" s="1485"/>
    </row>
    <row r="518" spans="1:9" x14ac:dyDescent="0.3">
      <c r="A518" s="1410"/>
      <c r="B518" s="1410"/>
      <c r="C518" s="1494"/>
      <c r="D518" s="1485"/>
      <c r="E518" s="1485"/>
      <c r="F518" s="1485"/>
      <c r="G518" s="1485"/>
      <c r="H518" s="1485"/>
      <c r="I518" s="1485"/>
    </row>
    <row r="519" spans="1:9" x14ac:dyDescent="0.3">
      <c r="A519" s="1410"/>
      <c r="B519" s="1410"/>
      <c r="C519" s="1494"/>
      <c r="D519" s="1485"/>
      <c r="E519" s="1485"/>
      <c r="F519" s="1485"/>
      <c r="G519" s="1485"/>
      <c r="H519" s="1485"/>
      <c r="I519" s="1485"/>
    </row>
    <row r="520" spans="1:9" x14ac:dyDescent="0.3">
      <c r="A520" s="1410"/>
      <c r="B520" s="1410"/>
      <c r="C520" s="1494"/>
      <c r="D520" s="1485"/>
      <c r="E520" s="1485"/>
      <c r="F520" s="1485"/>
      <c r="G520" s="1485"/>
      <c r="H520" s="1485"/>
      <c r="I520" s="1485"/>
    </row>
    <row r="521" spans="1:9" x14ac:dyDescent="0.3">
      <c r="A521" s="1410"/>
      <c r="B521" s="1410"/>
      <c r="C521" s="1494"/>
      <c r="D521" s="1485"/>
      <c r="E521" s="1485"/>
      <c r="F521" s="1485"/>
      <c r="G521" s="1485"/>
      <c r="H521" s="1485"/>
      <c r="I521" s="1485"/>
    </row>
    <row r="522" spans="1:9" x14ac:dyDescent="0.3">
      <c r="A522" s="1410"/>
      <c r="B522" s="1410"/>
      <c r="C522" s="1494"/>
      <c r="D522" s="1485"/>
      <c r="E522" s="1485"/>
      <c r="F522" s="1485"/>
      <c r="G522" s="1485"/>
      <c r="H522" s="1485"/>
      <c r="I522" s="1485"/>
    </row>
    <row r="523" spans="1:9" x14ac:dyDescent="0.3">
      <c r="A523" s="1410"/>
      <c r="B523" s="1410"/>
      <c r="C523" s="1494"/>
      <c r="D523" s="1485"/>
      <c r="E523" s="1485"/>
      <c r="F523" s="1485"/>
      <c r="G523" s="1485"/>
      <c r="H523" s="1485"/>
      <c r="I523" s="1485"/>
    </row>
    <row r="524" spans="1:9" x14ac:dyDescent="0.3">
      <c r="A524" s="1410"/>
      <c r="B524" s="1410"/>
      <c r="C524" s="1494"/>
      <c r="D524" s="1485"/>
      <c r="E524" s="1485"/>
      <c r="F524" s="1485"/>
      <c r="G524" s="1485"/>
      <c r="H524" s="1485"/>
      <c r="I524" s="1485"/>
    </row>
    <row r="525" spans="1:9" x14ac:dyDescent="0.3">
      <c r="A525" s="1410"/>
      <c r="B525" s="1410"/>
      <c r="C525" s="1494"/>
      <c r="D525" s="1485"/>
      <c r="E525" s="1485"/>
      <c r="F525" s="1485"/>
      <c r="G525" s="1485"/>
      <c r="H525" s="1485"/>
      <c r="I525" s="1485"/>
    </row>
    <row r="526" spans="1:9" x14ac:dyDescent="0.3">
      <c r="A526" s="1410"/>
      <c r="B526" s="1410"/>
      <c r="C526" s="1494"/>
      <c r="D526" s="1485"/>
      <c r="E526" s="1485"/>
      <c r="F526" s="1485"/>
      <c r="G526" s="1485"/>
      <c r="H526" s="1485"/>
      <c r="I526" s="1485"/>
    </row>
    <row r="527" spans="1:9" x14ac:dyDescent="0.3">
      <c r="A527" s="1410"/>
      <c r="B527" s="1410"/>
      <c r="C527" s="1494"/>
      <c r="D527" s="1485"/>
      <c r="E527" s="1485"/>
      <c r="F527" s="1485"/>
      <c r="G527" s="1485"/>
      <c r="H527" s="1485"/>
      <c r="I527" s="1485"/>
    </row>
    <row r="528" spans="1:9" x14ac:dyDescent="0.3">
      <c r="A528" s="1410"/>
      <c r="B528" s="1410"/>
      <c r="C528" s="1494"/>
      <c r="D528" s="1485"/>
      <c r="E528" s="1485"/>
      <c r="F528" s="1485"/>
      <c r="G528" s="1485"/>
      <c r="H528" s="1485"/>
      <c r="I528" s="1485"/>
    </row>
    <row r="529" spans="1:9" x14ac:dyDescent="0.3">
      <c r="A529" s="1410"/>
      <c r="B529" s="1410"/>
      <c r="C529" s="1494"/>
      <c r="D529" s="1485"/>
      <c r="E529" s="1485"/>
      <c r="F529" s="1485"/>
      <c r="G529" s="1485"/>
      <c r="H529" s="1485"/>
      <c r="I529" s="1485"/>
    </row>
    <row r="530" spans="1:9" x14ac:dyDescent="0.3">
      <c r="A530" s="1410"/>
      <c r="B530" s="1410"/>
      <c r="C530" s="1494"/>
      <c r="D530" s="1485"/>
      <c r="E530" s="1485"/>
      <c r="F530" s="1485"/>
      <c r="G530" s="1485"/>
      <c r="H530" s="1485"/>
      <c r="I530" s="1485"/>
    </row>
    <row r="531" spans="1:9" x14ac:dyDescent="0.3">
      <c r="A531" s="1410"/>
      <c r="B531" s="1410"/>
      <c r="C531" s="1494"/>
      <c r="D531" s="1485"/>
      <c r="E531" s="1485"/>
      <c r="F531" s="1485"/>
      <c r="G531" s="1485"/>
      <c r="H531" s="1485"/>
      <c r="I531" s="1485"/>
    </row>
    <row r="532" spans="1:9" x14ac:dyDescent="0.3">
      <c r="A532" s="1410"/>
      <c r="B532" s="1410"/>
      <c r="C532" s="1494"/>
      <c r="D532" s="1485"/>
      <c r="E532" s="1485"/>
      <c r="F532" s="1485"/>
      <c r="G532" s="1485"/>
      <c r="H532" s="1485"/>
      <c r="I532" s="1485"/>
    </row>
    <row r="533" spans="1:9" x14ac:dyDescent="0.3">
      <c r="A533" s="1410"/>
      <c r="B533" s="1410"/>
      <c r="C533" s="1494"/>
      <c r="D533" s="1485"/>
      <c r="E533" s="1485"/>
      <c r="F533" s="1485"/>
      <c r="G533" s="1485"/>
      <c r="H533" s="1485"/>
      <c r="I533" s="1485"/>
    </row>
    <row r="534" spans="1:9" x14ac:dyDescent="0.3">
      <c r="A534" s="1410"/>
      <c r="B534" s="1410"/>
      <c r="C534" s="1494"/>
      <c r="D534" s="1485"/>
      <c r="E534" s="1485"/>
      <c r="F534" s="1485"/>
      <c r="G534" s="1485"/>
      <c r="H534" s="1485"/>
      <c r="I534" s="1485"/>
    </row>
    <row r="535" spans="1:9" x14ac:dyDescent="0.3">
      <c r="A535" s="1410"/>
      <c r="B535" s="1410"/>
      <c r="C535" s="1494"/>
      <c r="D535" s="1485"/>
      <c r="E535" s="1485"/>
      <c r="F535" s="1485"/>
      <c r="G535" s="1485"/>
      <c r="H535" s="1485"/>
      <c r="I535" s="1485"/>
    </row>
    <row r="536" spans="1:9" x14ac:dyDescent="0.3">
      <c r="A536" s="1410"/>
      <c r="B536" s="1410"/>
      <c r="C536" s="1494"/>
      <c r="D536" s="1485"/>
      <c r="E536" s="1485"/>
      <c r="F536" s="1485"/>
      <c r="G536" s="1485"/>
      <c r="H536" s="1485"/>
      <c r="I536" s="1485"/>
    </row>
    <row r="537" spans="1:9" x14ac:dyDescent="0.3">
      <c r="A537" s="1410"/>
      <c r="B537" s="1410"/>
      <c r="C537" s="1494"/>
      <c r="D537" s="1485"/>
      <c r="E537" s="1485"/>
      <c r="F537" s="1485"/>
      <c r="G537" s="1485"/>
      <c r="H537" s="1485"/>
      <c r="I537" s="1485"/>
    </row>
    <row r="538" spans="1:9" x14ac:dyDescent="0.3">
      <c r="A538" s="1410"/>
      <c r="B538" s="1410"/>
      <c r="C538" s="1494"/>
      <c r="D538" s="1485"/>
      <c r="E538" s="1485"/>
      <c r="F538" s="1485"/>
      <c r="G538" s="1485"/>
      <c r="H538" s="1485"/>
      <c r="I538" s="1485"/>
    </row>
    <row r="539" spans="1:9" x14ac:dyDescent="0.3">
      <c r="A539" s="1410"/>
      <c r="B539" s="1410"/>
      <c r="C539" s="1494"/>
      <c r="D539" s="1485"/>
      <c r="E539" s="1485"/>
      <c r="F539" s="1485"/>
      <c r="G539" s="1485"/>
      <c r="H539" s="1485"/>
      <c r="I539" s="1485"/>
    </row>
    <row r="540" spans="1:9" x14ac:dyDescent="0.3">
      <c r="A540" s="1410"/>
      <c r="B540" s="1410"/>
      <c r="C540" s="1494"/>
      <c r="D540" s="1485"/>
      <c r="E540" s="1485"/>
      <c r="F540" s="1485"/>
      <c r="G540" s="1485"/>
      <c r="H540" s="1485"/>
      <c r="I540" s="1485"/>
    </row>
    <row r="541" spans="1:9" x14ac:dyDescent="0.3">
      <c r="A541" s="1410"/>
      <c r="B541" s="1410"/>
      <c r="C541" s="1494"/>
      <c r="D541" s="1485"/>
      <c r="E541" s="1485"/>
      <c r="F541" s="1485"/>
      <c r="G541" s="1485"/>
      <c r="H541" s="1485"/>
      <c r="I541" s="1485"/>
    </row>
    <row r="542" spans="1:9" x14ac:dyDescent="0.3">
      <c r="A542" s="1410"/>
      <c r="B542" s="1410"/>
      <c r="C542" s="1494"/>
      <c r="D542" s="1485"/>
      <c r="E542" s="1485"/>
      <c r="F542" s="1485"/>
      <c r="G542" s="1485"/>
      <c r="H542" s="1485"/>
      <c r="I542" s="1485"/>
    </row>
    <row r="543" spans="1:9" x14ac:dyDescent="0.3">
      <c r="A543" s="1410"/>
      <c r="B543" s="1410"/>
      <c r="C543" s="1494"/>
      <c r="D543" s="1485"/>
      <c r="E543" s="1485"/>
      <c r="F543" s="1485"/>
      <c r="G543" s="1485"/>
      <c r="H543" s="1485"/>
      <c r="I543" s="1485"/>
    </row>
    <row r="544" spans="1:9" x14ac:dyDescent="0.3">
      <c r="A544" s="1410"/>
      <c r="B544" s="1410"/>
      <c r="C544" s="1494"/>
      <c r="D544" s="1485"/>
      <c r="E544" s="1485"/>
      <c r="F544" s="1485"/>
      <c r="G544" s="1485"/>
      <c r="H544" s="1485"/>
      <c r="I544" s="1485"/>
    </row>
    <row r="545" spans="1:9" x14ac:dyDescent="0.3">
      <c r="A545" s="1410"/>
      <c r="B545" s="1410"/>
      <c r="C545" s="1494"/>
      <c r="D545" s="1485"/>
      <c r="E545" s="1485"/>
      <c r="F545" s="1485"/>
      <c r="G545" s="1485"/>
      <c r="H545" s="1485"/>
      <c r="I545" s="1485"/>
    </row>
    <row r="546" spans="1:9" x14ac:dyDescent="0.3">
      <c r="A546" s="1410"/>
      <c r="B546" s="1410"/>
      <c r="C546" s="1494"/>
      <c r="D546" s="1485"/>
      <c r="E546" s="1485"/>
      <c r="F546" s="1485"/>
      <c r="G546" s="1485"/>
      <c r="H546" s="1485"/>
      <c r="I546" s="1485"/>
    </row>
    <row r="547" spans="1:9" x14ac:dyDescent="0.3">
      <c r="A547" s="1410"/>
      <c r="B547" s="1410"/>
      <c r="C547" s="1494"/>
      <c r="D547" s="1485"/>
      <c r="E547" s="1485"/>
      <c r="F547" s="1485"/>
      <c r="G547" s="1485"/>
      <c r="H547" s="1485"/>
      <c r="I547" s="1485"/>
    </row>
    <row r="548" spans="1:9" x14ac:dyDescent="0.3">
      <c r="A548" s="1410"/>
      <c r="B548" s="1410"/>
      <c r="C548" s="1494"/>
      <c r="D548" s="1485"/>
      <c r="E548" s="1485"/>
      <c r="F548" s="1485"/>
      <c r="G548" s="1485"/>
      <c r="H548" s="1485"/>
      <c r="I548" s="1485"/>
    </row>
    <row r="549" spans="1:9" x14ac:dyDescent="0.3">
      <c r="A549" s="1410"/>
      <c r="B549" s="1410"/>
      <c r="C549" s="1494"/>
      <c r="D549" s="1485"/>
      <c r="E549" s="1485"/>
      <c r="F549" s="1485"/>
      <c r="G549" s="1485"/>
      <c r="H549" s="1485"/>
      <c r="I549" s="1485"/>
    </row>
    <row r="550" spans="1:9" x14ac:dyDescent="0.3">
      <c r="A550" s="1410"/>
      <c r="B550" s="1410"/>
      <c r="C550" s="1494"/>
      <c r="D550" s="1485"/>
      <c r="E550" s="1485"/>
      <c r="F550" s="1485"/>
      <c r="G550" s="1485"/>
      <c r="H550" s="1485"/>
      <c r="I550" s="1485"/>
    </row>
    <row r="551" spans="1:9" x14ac:dyDescent="0.3">
      <c r="A551" s="1410"/>
      <c r="B551" s="1410"/>
      <c r="C551" s="1494"/>
      <c r="D551" s="1485"/>
      <c r="E551" s="1485"/>
      <c r="F551" s="1485"/>
      <c r="G551" s="1485"/>
      <c r="H551" s="1485"/>
      <c r="I551" s="1485"/>
    </row>
    <row r="552" spans="1:9" x14ac:dyDescent="0.3">
      <c r="A552" s="1410"/>
      <c r="B552" s="1410"/>
      <c r="C552" s="1494"/>
      <c r="D552" s="1485"/>
      <c r="E552" s="1485"/>
      <c r="F552" s="1485"/>
      <c r="G552" s="1485"/>
      <c r="H552" s="1485"/>
      <c r="I552" s="1485"/>
    </row>
    <row r="553" spans="1:9" x14ac:dyDescent="0.3">
      <c r="A553" s="1410"/>
      <c r="B553" s="1410"/>
      <c r="C553" s="1494"/>
      <c r="D553" s="1485"/>
      <c r="E553" s="1485"/>
      <c r="F553" s="1485"/>
      <c r="G553" s="1485"/>
      <c r="H553" s="1485"/>
      <c r="I553" s="1485"/>
    </row>
    <row r="554" spans="1:9" x14ac:dyDescent="0.3">
      <c r="A554" s="1410"/>
      <c r="B554" s="1410"/>
      <c r="C554" s="1494"/>
      <c r="D554" s="1485"/>
      <c r="E554" s="1485"/>
      <c r="F554" s="1485"/>
      <c r="G554" s="1485"/>
      <c r="H554" s="1485"/>
      <c r="I554" s="1485"/>
    </row>
    <row r="555" spans="1:9" x14ac:dyDescent="0.3">
      <c r="A555" s="1410"/>
      <c r="B555" s="1410"/>
      <c r="C555" s="1494"/>
      <c r="D555" s="1485"/>
      <c r="E555" s="1485"/>
      <c r="F555" s="1485"/>
      <c r="G555" s="1485"/>
      <c r="H555" s="1485"/>
      <c r="I555" s="1485"/>
    </row>
    <row r="556" spans="1:9" x14ac:dyDescent="0.3">
      <c r="A556" s="1410"/>
      <c r="B556" s="1410"/>
      <c r="C556" s="1494"/>
      <c r="D556" s="1485"/>
      <c r="E556" s="1485"/>
      <c r="F556" s="1485"/>
      <c r="G556" s="1485"/>
      <c r="H556" s="1485"/>
      <c r="I556" s="1485"/>
    </row>
    <row r="557" spans="1:9" x14ac:dyDescent="0.3">
      <c r="A557" s="1410"/>
      <c r="B557" s="1410"/>
      <c r="C557" s="1494"/>
      <c r="D557" s="1485"/>
      <c r="E557" s="1485"/>
      <c r="F557" s="1485"/>
      <c r="G557" s="1485"/>
      <c r="H557" s="1485"/>
      <c r="I557" s="1485"/>
    </row>
    <row r="558" spans="1:9" x14ac:dyDescent="0.3">
      <c r="A558" s="1410"/>
      <c r="B558" s="1410"/>
      <c r="C558" s="1494"/>
      <c r="D558" s="1485"/>
      <c r="E558" s="1485"/>
      <c r="F558" s="1485"/>
      <c r="G558" s="1485"/>
      <c r="H558" s="1485"/>
      <c r="I558" s="1485"/>
    </row>
    <row r="559" spans="1:9" x14ac:dyDescent="0.3">
      <c r="A559" s="1410"/>
      <c r="B559" s="1410"/>
      <c r="C559" s="1494"/>
      <c r="D559" s="1485"/>
      <c r="E559" s="1485"/>
      <c r="F559" s="1485"/>
      <c r="G559" s="1485"/>
      <c r="H559" s="1485"/>
      <c r="I559" s="1485"/>
    </row>
    <row r="560" spans="1:9" x14ac:dyDescent="0.3">
      <c r="A560" s="1410"/>
      <c r="B560" s="1410"/>
      <c r="C560" s="1494"/>
      <c r="D560" s="1485"/>
      <c r="E560" s="1485"/>
      <c r="F560" s="1485"/>
      <c r="G560" s="1485"/>
      <c r="H560" s="1485"/>
      <c r="I560" s="1485"/>
    </row>
    <row r="561" spans="1:9" x14ac:dyDescent="0.3">
      <c r="A561" s="1410"/>
      <c r="B561" s="1410"/>
      <c r="C561" s="1494"/>
      <c r="D561" s="1485"/>
      <c r="E561" s="1485"/>
      <c r="F561" s="1485"/>
      <c r="G561" s="1485"/>
      <c r="H561" s="1485"/>
      <c r="I561" s="1485"/>
    </row>
    <row r="562" spans="1:9" x14ac:dyDescent="0.3">
      <c r="A562" s="1410"/>
      <c r="B562" s="1410"/>
      <c r="C562" s="1494"/>
      <c r="D562" s="1485"/>
      <c r="E562" s="1485"/>
      <c r="F562" s="1485"/>
      <c r="G562" s="1485"/>
      <c r="H562" s="1485"/>
      <c r="I562" s="1485"/>
    </row>
    <row r="563" spans="1:9" x14ac:dyDescent="0.3">
      <c r="A563" s="1410"/>
      <c r="B563" s="1410"/>
      <c r="C563" s="1494"/>
      <c r="D563" s="1485"/>
      <c r="E563" s="1485"/>
      <c r="F563" s="1485"/>
      <c r="G563" s="1485"/>
      <c r="H563" s="1485"/>
      <c r="I563" s="1485"/>
    </row>
    <row r="564" spans="1:9" x14ac:dyDescent="0.3">
      <c r="A564" s="1410"/>
      <c r="B564" s="1410"/>
      <c r="C564" s="1494"/>
      <c r="D564" s="1485"/>
      <c r="E564" s="1485"/>
      <c r="F564" s="1485"/>
      <c r="G564" s="1485"/>
      <c r="H564" s="1485"/>
      <c r="I564" s="1485"/>
    </row>
    <row r="565" spans="1:9" x14ac:dyDescent="0.3">
      <c r="A565" s="1410"/>
      <c r="B565" s="1410"/>
      <c r="C565" s="1494"/>
      <c r="D565" s="1485"/>
      <c r="E565" s="1485"/>
      <c r="F565" s="1485"/>
      <c r="G565" s="1485"/>
      <c r="H565" s="1485"/>
      <c r="I565" s="1485"/>
    </row>
    <row r="566" spans="1:9" x14ac:dyDescent="0.3">
      <c r="A566" s="1410"/>
      <c r="B566" s="1410"/>
      <c r="C566" s="1494"/>
      <c r="D566" s="1485"/>
      <c r="E566" s="1485"/>
      <c r="F566" s="1485"/>
      <c r="G566" s="1485"/>
      <c r="H566" s="1485"/>
      <c r="I566" s="1485"/>
    </row>
    <row r="567" spans="1:9" x14ac:dyDescent="0.3">
      <c r="A567" s="1410"/>
      <c r="B567" s="1410"/>
      <c r="C567" s="1494"/>
      <c r="D567" s="1485"/>
      <c r="E567" s="1485"/>
      <c r="F567" s="1485"/>
      <c r="G567" s="1485"/>
      <c r="H567" s="1485"/>
      <c r="I567" s="1485"/>
    </row>
    <row r="568" spans="1:9" x14ac:dyDescent="0.3">
      <c r="A568" s="1410"/>
      <c r="B568" s="1410"/>
      <c r="C568" s="1494"/>
      <c r="D568" s="1485"/>
      <c r="E568" s="1485"/>
      <c r="F568" s="1485"/>
      <c r="G568" s="1485"/>
      <c r="H568" s="1485"/>
      <c r="I568" s="1485"/>
    </row>
    <row r="569" spans="1:9" x14ac:dyDescent="0.3">
      <c r="A569" s="1410"/>
      <c r="B569" s="1410"/>
      <c r="C569" s="1494"/>
      <c r="D569" s="1485"/>
      <c r="E569" s="1485"/>
      <c r="F569" s="1485"/>
      <c r="G569" s="1485"/>
      <c r="H569" s="1485"/>
      <c r="I569" s="1485"/>
    </row>
    <row r="570" spans="1:9" x14ac:dyDescent="0.3">
      <c r="A570" s="1410"/>
      <c r="B570" s="1410"/>
      <c r="C570" s="1494"/>
      <c r="D570" s="1485"/>
      <c r="E570" s="1485"/>
      <c r="F570" s="1485"/>
      <c r="G570" s="1485"/>
      <c r="H570" s="1485"/>
      <c r="I570" s="1485"/>
    </row>
    <row r="571" spans="1:9" x14ac:dyDescent="0.3">
      <c r="A571" s="1410"/>
      <c r="B571" s="1410"/>
      <c r="C571" s="1494"/>
      <c r="D571" s="1485"/>
      <c r="E571" s="1485"/>
      <c r="F571" s="1485"/>
      <c r="G571" s="1485"/>
      <c r="H571" s="1485"/>
      <c r="I571" s="1485"/>
    </row>
    <row r="572" spans="1:9" x14ac:dyDescent="0.3">
      <c r="A572" s="1410"/>
      <c r="B572" s="1410"/>
      <c r="C572" s="1494"/>
      <c r="D572" s="1485"/>
      <c r="E572" s="1485"/>
      <c r="F572" s="1485"/>
      <c r="G572" s="1485"/>
      <c r="H572" s="1485"/>
      <c r="I572" s="1485"/>
    </row>
    <row r="573" spans="1:9" x14ac:dyDescent="0.3">
      <c r="A573" s="1410"/>
      <c r="B573" s="1410"/>
      <c r="C573" s="1494"/>
      <c r="D573" s="1485"/>
      <c r="E573" s="1485"/>
      <c r="F573" s="1485"/>
      <c r="G573" s="1485"/>
      <c r="H573" s="1485"/>
      <c r="I573" s="1485"/>
    </row>
    <row r="574" spans="1:9" x14ac:dyDescent="0.3">
      <c r="A574" s="1410"/>
      <c r="B574" s="1410"/>
      <c r="C574" s="1494"/>
      <c r="D574" s="1485"/>
      <c r="E574" s="1485"/>
      <c r="F574" s="1485"/>
      <c r="G574" s="1485"/>
      <c r="H574" s="1485"/>
      <c r="I574" s="1485"/>
    </row>
    <row r="575" spans="1:9" x14ac:dyDescent="0.3">
      <c r="A575" s="1410"/>
      <c r="B575" s="1410"/>
      <c r="C575" s="1494"/>
      <c r="D575" s="1485"/>
      <c r="E575" s="1485"/>
      <c r="F575" s="1485"/>
      <c r="G575" s="1485"/>
      <c r="H575" s="1485"/>
      <c r="I575" s="1485"/>
    </row>
    <row r="576" spans="1:9" x14ac:dyDescent="0.3">
      <c r="A576" s="1410"/>
      <c r="B576" s="1410"/>
      <c r="C576" s="1494"/>
      <c r="D576" s="1485"/>
      <c r="E576" s="1485"/>
      <c r="F576" s="1485"/>
      <c r="G576" s="1485"/>
      <c r="H576" s="1485"/>
      <c r="I576" s="1485"/>
    </row>
    <row r="577" spans="1:9" x14ac:dyDescent="0.3">
      <c r="A577" s="1410"/>
      <c r="B577" s="1410"/>
      <c r="C577" s="1494"/>
      <c r="D577" s="1485"/>
      <c r="E577" s="1485"/>
      <c r="F577" s="1485"/>
      <c r="G577" s="1485"/>
      <c r="H577" s="1485"/>
      <c r="I577" s="1485"/>
    </row>
    <row r="578" spans="1:9" x14ac:dyDescent="0.3">
      <c r="A578" s="1410"/>
      <c r="B578" s="1410"/>
      <c r="C578" s="1494"/>
      <c r="D578" s="1485"/>
      <c r="E578" s="1485"/>
      <c r="F578" s="1485"/>
      <c r="G578" s="1485"/>
      <c r="H578" s="1485"/>
      <c r="I578" s="1485"/>
    </row>
    <row r="579" spans="1:9" x14ac:dyDescent="0.3">
      <c r="A579" s="1410"/>
      <c r="B579" s="1410"/>
      <c r="C579" s="1494"/>
      <c r="D579" s="1485"/>
      <c r="E579" s="1485"/>
      <c r="F579" s="1485"/>
      <c r="G579" s="1485"/>
      <c r="H579" s="1485"/>
      <c r="I579" s="1485"/>
    </row>
    <row r="580" spans="1:9" x14ac:dyDescent="0.3">
      <c r="A580" s="1410"/>
      <c r="B580" s="1410"/>
      <c r="C580" s="1494"/>
      <c r="D580" s="1485"/>
      <c r="E580" s="1485"/>
      <c r="F580" s="1485"/>
      <c r="G580" s="1485"/>
      <c r="H580" s="1485"/>
      <c r="I580" s="1485"/>
    </row>
    <row r="581" spans="1:9" x14ac:dyDescent="0.3">
      <c r="A581" s="1410"/>
      <c r="B581" s="1410"/>
      <c r="C581" s="1494"/>
      <c r="D581" s="1485"/>
      <c r="E581" s="1485"/>
      <c r="F581" s="1485"/>
      <c r="G581" s="1485"/>
      <c r="H581" s="1485"/>
      <c r="I581" s="1485"/>
    </row>
    <row r="582" spans="1:9" x14ac:dyDescent="0.3">
      <c r="A582" s="1410"/>
      <c r="B582" s="1410"/>
      <c r="C582" s="1494"/>
      <c r="D582" s="1485"/>
      <c r="E582" s="1485"/>
      <c r="F582" s="1485"/>
      <c r="G582" s="1485"/>
      <c r="H582" s="1485"/>
      <c r="I582" s="1485"/>
    </row>
    <row r="583" spans="1:9" x14ac:dyDescent="0.3">
      <c r="A583" s="1410"/>
      <c r="B583" s="1410"/>
      <c r="C583" s="1494"/>
      <c r="D583" s="1485"/>
      <c r="E583" s="1485"/>
      <c r="F583" s="1485"/>
      <c r="G583" s="1485"/>
      <c r="H583" s="1485"/>
      <c r="I583" s="1485"/>
    </row>
    <row r="584" spans="1:9" x14ac:dyDescent="0.3">
      <c r="A584" s="1410"/>
      <c r="B584" s="1410"/>
      <c r="C584" s="1494"/>
      <c r="D584" s="1485"/>
      <c r="E584" s="1485"/>
      <c r="F584" s="1485"/>
      <c r="G584" s="1485"/>
      <c r="H584" s="1485"/>
      <c r="I584" s="1485"/>
    </row>
    <row r="585" spans="1:9" x14ac:dyDescent="0.3">
      <c r="A585" s="1410"/>
      <c r="B585" s="1410"/>
      <c r="C585" s="1494"/>
      <c r="D585" s="1485"/>
      <c r="E585" s="1485"/>
      <c r="F585" s="1485"/>
      <c r="G585" s="1485"/>
      <c r="H585" s="1485"/>
      <c r="I585" s="1485"/>
    </row>
    <row r="586" spans="1:9" x14ac:dyDescent="0.3">
      <c r="A586" s="1410"/>
      <c r="B586" s="1410"/>
      <c r="C586" s="1494"/>
      <c r="D586" s="1485"/>
      <c r="E586" s="1485"/>
      <c r="F586" s="1485"/>
      <c r="G586" s="1485"/>
      <c r="H586" s="1485"/>
      <c r="I586" s="1485"/>
    </row>
    <row r="587" spans="1:9" x14ac:dyDescent="0.3">
      <c r="A587" s="1410"/>
      <c r="B587" s="1410"/>
      <c r="C587" s="1494"/>
      <c r="D587" s="1485"/>
      <c r="E587" s="1485"/>
      <c r="F587" s="1485"/>
      <c r="G587" s="1485"/>
      <c r="H587" s="1485"/>
      <c r="I587" s="1485"/>
    </row>
    <row r="588" spans="1:9" x14ac:dyDescent="0.3">
      <c r="A588" s="1410"/>
      <c r="B588" s="1410"/>
      <c r="C588" s="1494"/>
      <c r="D588" s="1485"/>
      <c r="E588" s="1485"/>
      <c r="F588" s="1485"/>
      <c r="G588" s="1485"/>
      <c r="H588" s="1485"/>
      <c r="I588" s="1485"/>
    </row>
    <row r="589" spans="1:9" x14ac:dyDescent="0.3">
      <c r="A589" s="1410"/>
      <c r="B589" s="1410"/>
      <c r="C589" s="1494"/>
      <c r="D589" s="1485"/>
      <c r="E589" s="1485"/>
      <c r="F589" s="1485"/>
      <c r="G589" s="1485"/>
      <c r="H589" s="1485"/>
      <c r="I589" s="1485"/>
    </row>
    <row r="590" spans="1:9" x14ac:dyDescent="0.3">
      <c r="A590" s="1410"/>
      <c r="B590" s="1410"/>
      <c r="C590" s="1494"/>
      <c r="D590" s="1485"/>
      <c r="E590" s="1485"/>
      <c r="F590" s="1485"/>
      <c r="G590" s="1485"/>
      <c r="H590" s="1485"/>
      <c r="I590" s="1485"/>
    </row>
    <row r="591" spans="1:9" x14ac:dyDescent="0.3">
      <c r="A591" s="1410"/>
      <c r="B591" s="1410"/>
      <c r="C591" s="1494"/>
      <c r="D591" s="1485"/>
      <c r="E591" s="1485"/>
      <c r="F591" s="1485"/>
      <c r="G591" s="1485"/>
      <c r="H591" s="1485"/>
      <c r="I591" s="1485"/>
    </row>
    <row r="592" spans="1:9" x14ac:dyDescent="0.3">
      <c r="A592" s="1410"/>
      <c r="B592" s="1410"/>
      <c r="C592" s="1494"/>
      <c r="D592" s="1485"/>
      <c r="E592" s="1485"/>
      <c r="F592" s="1485"/>
      <c r="G592" s="1485"/>
      <c r="H592" s="1485"/>
      <c r="I592" s="1485"/>
    </row>
    <row r="593" spans="1:9" x14ac:dyDescent="0.3">
      <c r="A593" s="1410"/>
      <c r="B593" s="1410"/>
      <c r="C593" s="1494"/>
      <c r="D593" s="1485"/>
      <c r="E593" s="1485"/>
      <c r="F593" s="1485"/>
      <c r="G593" s="1485"/>
      <c r="H593" s="1485"/>
      <c r="I593" s="1485"/>
    </row>
    <row r="594" spans="1:9" x14ac:dyDescent="0.3">
      <c r="A594" s="1410"/>
      <c r="B594" s="1410"/>
      <c r="C594" s="1494"/>
      <c r="D594" s="1485"/>
      <c r="E594" s="1485"/>
      <c r="F594" s="1485"/>
      <c r="G594" s="1485"/>
      <c r="H594" s="1485"/>
      <c r="I594" s="1485"/>
    </row>
    <row r="595" spans="1:9" x14ac:dyDescent="0.3">
      <c r="A595" s="1410"/>
      <c r="B595" s="1410"/>
      <c r="C595" s="1494"/>
      <c r="D595" s="1485"/>
      <c r="E595" s="1485"/>
      <c r="F595" s="1485"/>
      <c r="G595" s="1485"/>
      <c r="H595" s="1485"/>
      <c r="I595" s="1485"/>
    </row>
    <row r="596" spans="1:9" x14ac:dyDescent="0.3">
      <c r="A596" s="1410"/>
      <c r="B596" s="1410"/>
      <c r="C596" s="1494"/>
      <c r="D596" s="1485"/>
      <c r="E596" s="1485"/>
      <c r="F596" s="1485"/>
      <c r="G596" s="1485"/>
      <c r="H596" s="1485"/>
      <c r="I596" s="1485"/>
    </row>
    <row r="597" spans="1:9" x14ac:dyDescent="0.3">
      <c r="A597" s="1410"/>
      <c r="B597" s="1410"/>
      <c r="C597" s="1494"/>
      <c r="D597" s="1485"/>
      <c r="E597" s="1485"/>
      <c r="F597" s="1485"/>
      <c r="G597" s="1485"/>
      <c r="H597" s="1485"/>
      <c r="I597" s="1485"/>
    </row>
    <row r="598" spans="1:9" x14ac:dyDescent="0.3">
      <c r="A598" s="1410"/>
      <c r="B598" s="1410"/>
      <c r="C598" s="1494"/>
      <c r="D598" s="1485"/>
      <c r="E598" s="1485"/>
      <c r="F598" s="1485"/>
      <c r="G598" s="1485"/>
      <c r="H598" s="1485"/>
      <c r="I598" s="1485"/>
    </row>
    <row r="599" spans="1:9" x14ac:dyDescent="0.3">
      <c r="A599" s="1410"/>
      <c r="B599" s="1410"/>
      <c r="C599" s="1494"/>
      <c r="D599" s="1485"/>
      <c r="E599" s="1485"/>
      <c r="F599" s="1485"/>
      <c r="G599" s="1485"/>
      <c r="H599" s="1485"/>
      <c r="I599" s="1485"/>
    </row>
    <row r="600" spans="1:9" x14ac:dyDescent="0.3">
      <c r="A600" s="1410"/>
      <c r="B600" s="1410"/>
      <c r="C600" s="1494"/>
      <c r="D600" s="1485"/>
      <c r="E600" s="1485"/>
      <c r="F600" s="1485"/>
      <c r="G600" s="1485"/>
      <c r="H600" s="1485"/>
      <c r="I600" s="1485"/>
    </row>
    <row r="601" spans="1:9" x14ac:dyDescent="0.3">
      <c r="A601" s="1410"/>
      <c r="B601" s="1410"/>
      <c r="C601" s="1494"/>
      <c r="D601" s="1485"/>
      <c r="E601" s="1485"/>
      <c r="F601" s="1485"/>
      <c r="G601" s="1485"/>
      <c r="H601" s="1485"/>
      <c r="I601" s="1485"/>
    </row>
    <row r="602" spans="1:9" x14ac:dyDescent="0.3">
      <c r="A602" s="1410"/>
      <c r="B602" s="1410"/>
      <c r="C602" s="1494"/>
      <c r="D602" s="1485"/>
      <c r="E602" s="1485"/>
      <c r="F602" s="1485"/>
      <c r="G602" s="1485"/>
      <c r="H602" s="1485"/>
      <c r="I602" s="1485"/>
    </row>
    <row r="603" spans="1:9" x14ac:dyDescent="0.3">
      <c r="A603" s="1410"/>
      <c r="B603" s="1410"/>
      <c r="C603" s="1494"/>
      <c r="D603" s="1485"/>
      <c r="E603" s="1485"/>
      <c r="F603" s="1485"/>
      <c r="G603" s="1485"/>
      <c r="H603" s="1485"/>
      <c r="I603" s="1485"/>
    </row>
    <row r="604" spans="1:9" x14ac:dyDescent="0.3">
      <c r="A604" s="1410"/>
      <c r="B604" s="1410"/>
      <c r="C604" s="1494"/>
      <c r="D604" s="1485"/>
      <c r="E604" s="1485"/>
      <c r="F604" s="1485"/>
      <c r="G604" s="1485"/>
      <c r="H604" s="1485"/>
      <c r="I604" s="1485"/>
    </row>
    <row r="605" spans="1:9" x14ac:dyDescent="0.3">
      <c r="A605" s="1410"/>
      <c r="B605" s="1410"/>
      <c r="C605" s="1494"/>
      <c r="D605" s="1485"/>
      <c r="E605" s="1485"/>
      <c r="F605" s="1485"/>
      <c r="G605" s="1485"/>
      <c r="H605" s="1485"/>
      <c r="I605" s="1485"/>
    </row>
    <row r="606" spans="1:9" x14ac:dyDescent="0.3">
      <c r="A606" s="1410"/>
      <c r="B606" s="1410"/>
      <c r="C606" s="1494"/>
      <c r="D606" s="1485"/>
      <c r="E606" s="1485"/>
      <c r="F606" s="1485"/>
      <c r="G606" s="1485"/>
      <c r="H606" s="1485"/>
      <c r="I606" s="1485"/>
    </row>
    <row r="607" spans="1:9" x14ac:dyDescent="0.3">
      <c r="A607" s="1410"/>
      <c r="B607" s="1410"/>
      <c r="C607" s="1494"/>
      <c r="D607" s="1485"/>
      <c r="E607" s="1485"/>
      <c r="F607" s="1485"/>
      <c r="G607" s="1485"/>
      <c r="H607" s="1485"/>
      <c r="I607" s="1485"/>
    </row>
    <row r="608" spans="1:9" x14ac:dyDescent="0.3">
      <c r="A608" s="1410"/>
      <c r="B608" s="1410"/>
      <c r="C608" s="1494"/>
      <c r="D608" s="1485"/>
      <c r="E608" s="1485"/>
      <c r="F608" s="1485"/>
      <c r="G608" s="1485"/>
      <c r="H608" s="1485"/>
      <c r="I608" s="1485"/>
    </row>
    <row r="609" spans="1:9" x14ac:dyDescent="0.3">
      <c r="A609" s="1410"/>
      <c r="B609" s="1410"/>
      <c r="C609" s="1494"/>
      <c r="D609" s="1485"/>
      <c r="E609" s="1485"/>
      <c r="F609" s="1485"/>
      <c r="G609" s="1485"/>
      <c r="H609" s="1485"/>
      <c r="I609" s="1485"/>
    </row>
    <row r="610" spans="1:9" x14ac:dyDescent="0.3">
      <c r="A610" s="1410"/>
      <c r="B610" s="1410"/>
      <c r="C610" s="1494"/>
      <c r="D610" s="1485"/>
      <c r="E610" s="1485"/>
      <c r="F610" s="1485"/>
      <c r="G610" s="1485"/>
      <c r="H610" s="1485"/>
      <c r="I610" s="1485"/>
    </row>
    <row r="611" spans="1:9" x14ac:dyDescent="0.3">
      <c r="A611" s="1410"/>
      <c r="B611" s="1410"/>
      <c r="C611" s="1494"/>
      <c r="D611" s="1485"/>
      <c r="E611" s="1485"/>
      <c r="F611" s="1485"/>
      <c r="G611" s="1485"/>
      <c r="H611" s="1485"/>
      <c r="I611" s="1485"/>
    </row>
    <row r="612" spans="1:9" x14ac:dyDescent="0.3">
      <c r="A612" s="1410"/>
      <c r="B612" s="1410"/>
      <c r="C612" s="1494"/>
      <c r="D612" s="1485"/>
      <c r="E612" s="1485"/>
      <c r="F612" s="1485"/>
      <c r="G612" s="1485"/>
      <c r="H612" s="1485"/>
      <c r="I612" s="1485"/>
    </row>
    <row r="613" spans="1:9" x14ac:dyDescent="0.3">
      <c r="A613" s="1410"/>
      <c r="B613" s="1410"/>
      <c r="C613" s="1494"/>
      <c r="D613" s="1485"/>
      <c r="E613" s="1485"/>
      <c r="F613" s="1485"/>
      <c r="G613" s="1485"/>
      <c r="H613" s="1485"/>
      <c r="I613" s="1485"/>
    </row>
    <row r="614" spans="1:9" x14ac:dyDescent="0.3">
      <c r="A614" s="1410"/>
      <c r="B614" s="1410"/>
      <c r="C614" s="1494"/>
      <c r="D614" s="1485"/>
      <c r="E614" s="1485"/>
      <c r="F614" s="1485"/>
      <c r="G614" s="1485"/>
      <c r="H614" s="1485"/>
      <c r="I614" s="1485"/>
    </row>
    <row r="615" spans="1:9" x14ac:dyDescent="0.3">
      <c r="A615" s="1410"/>
      <c r="B615" s="1410"/>
      <c r="C615" s="1494"/>
      <c r="D615" s="1485"/>
      <c r="E615" s="1485"/>
      <c r="F615" s="1485"/>
      <c r="G615" s="1485"/>
      <c r="H615" s="1485"/>
      <c r="I615" s="1485"/>
    </row>
    <row r="616" spans="1:9" x14ac:dyDescent="0.3">
      <c r="A616" s="1410"/>
      <c r="B616" s="1410"/>
      <c r="C616" s="1494"/>
      <c r="D616" s="1485"/>
      <c r="E616" s="1485"/>
      <c r="F616" s="1485"/>
      <c r="G616" s="1485"/>
      <c r="H616" s="1485"/>
      <c r="I616" s="1485"/>
    </row>
    <row r="617" spans="1:9" x14ac:dyDescent="0.3">
      <c r="A617" s="1410"/>
      <c r="B617" s="1410"/>
      <c r="C617" s="1494"/>
      <c r="D617" s="1485"/>
      <c r="E617" s="1485"/>
      <c r="F617" s="1485"/>
      <c r="G617" s="1485"/>
      <c r="H617" s="1485"/>
      <c r="I617" s="1485"/>
    </row>
    <row r="618" spans="1:9" x14ac:dyDescent="0.3">
      <c r="A618" s="1410"/>
      <c r="B618" s="1410"/>
      <c r="C618" s="1494"/>
      <c r="D618" s="1485"/>
      <c r="E618" s="1485"/>
      <c r="F618" s="1485"/>
      <c r="G618" s="1485"/>
      <c r="H618" s="1485"/>
      <c r="I618" s="1485"/>
    </row>
    <row r="619" spans="1:9" x14ac:dyDescent="0.3">
      <c r="A619" s="1410"/>
      <c r="B619" s="1410"/>
      <c r="C619" s="1494"/>
      <c r="D619" s="1485"/>
      <c r="E619" s="1485"/>
      <c r="F619" s="1485"/>
      <c r="G619" s="1485"/>
      <c r="H619" s="1485"/>
      <c r="I619" s="1485"/>
    </row>
    <row r="620" spans="1:9" x14ac:dyDescent="0.3">
      <c r="A620" s="1410"/>
      <c r="B620" s="1410"/>
      <c r="C620" s="1494"/>
      <c r="D620" s="1485"/>
      <c r="E620" s="1485"/>
      <c r="F620" s="1485"/>
      <c r="G620" s="1485"/>
      <c r="H620" s="1485"/>
      <c r="I620" s="1485"/>
    </row>
    <row r="621" spans="1:9" x14ac:dyDescent="0.3">
      <c r="A621" s="1410"/>
      <c r="B621" s="1410"/>
      <c r="C621" s="1494"/>
      <c r="D621" s="1485"/>
      <c r="E621" s="1485"/>
      <c r="F621" s="1485"/>
      <c r="G621" s="1485"/>
      <c r="H621" s="1485"/>
      <c r="I621" s="1485"/>
    </row>
    <row r="622" spans="1:9" x14ac:dyDescent="0.3">
      <c r="A622" s="1410"/>
      <c r="B622" s="1410"/>
      <c r="C622" s="1494"/>
      <c r="D622" s="1485"/>
      <c r="E622" s="1485"/>
      <c r="F622" s="1485"/>
      <c r="G622" s="1485"/>
      <c r="H622" s="1485"/>
      <c r="I622" s="1485"/>
    </row>
    <row r="623" spans="1:9" x14ac:dyDescent="0.3">
      <c r="A623" s="1410"/>
      <c r="B623" s="1410"/>
      <c r="C623" s="1494"/>
      <c r="D623" s="1485"/>
      <c r="E623" s="1485"/>
      <c r="F623" s="1485"/>
      <c r="G623" s="1485"/>
      <c r="H623" s="1485"/>
      <c r="I623" s="1485"/>
    </row>
    <row r="624" spans="1:9" x14ac:dyDescent="0.3">
      <c r="A624" s="1410"/>
      <c r="B624" s="1410"/>
      <c r="C624" s="1494"/>
      <c r="D624" s="1485"/>
      <c r="E624" s="1485"/>
      <c r="F624" s="1485"/>
      <c r="G624" s="1485"/>
      <c r="H624" s="1485"/>
      <c r="I624" s="1485"/>
    </row>
    <row r="625" spans="1:9" x14ac:dyDescent="0.3">
      <c r="A625" s="1410"/>
      <c r="B625" s="1410"/>
      <c r="C625" s="1494"/>
      <c r="D625" s="1485"/>
      <c r="E625" s="1485"/>
      <c r="F625" s="1485"/>
      <c r="G625" s="1485"/>
      <c r="H625" s="1485"/>
      <c r="I625" s="1485"/>
    </row>
    <row r="626" spans="1:9" x14ac:dyDescent="0.3">
      <c r="A626" s="1410"/>
      <c r="B626" s="1410"/>
      <c r="C626" s="1494"/>
      <c r="D626" s="1485"/>
      <c r="E626" s="1485"/>
      <c r="F626" s="1485"/>
      <c r="G626" s="1485"/>
      <c r="H626" s="1485"/>
      <c r="I626" s="1485"/>
    </row>
    <row r="627" spans="1:9" x14ac:dyDescent="0.3">
      <c r="A627" s="1410"/>
      <c r="B627" s="1410"/>
      <c r="C627" s="1494"/>
      <c r="D627" s="1485"/>
      <c r="E627" s="1485"/>
      <c r="F627" s="1485"/>
      <c r="G627" s="1485"/>
      <c r="H627" s="1485"/>
      <c r="I627" s="1485"/>
    </row>
    <row r="628" spans="1:9" x14ac:dyDescent="0.3">
      <c r="A628" s="1410"/>
      <c r="B628" s="1410"/>
      <c r="C628" s="1494"/>
      <c r="D628" s="1485"/>
      <c r="E628" s="1485"/>
      <c r="F628" s="1485"/>
      <c r="G628" s="1485"/>
      <c r="H628" s="1485"/>
      <c r="I628" s="1485"/>
    </row>
    <row r="629" spans="1:9" x14ac:dyDescent="0.3">
      <c r="A629" s="1410"/>
      <c r="B629" s="1410"/>
      <c r="C629" s="1494"/>
      <c r="D629" s="1485"/>
      <c r="E629" s="1485"/>
      <c r="F629" s="1485"/>
      <c r="G629" s="1485"/>
      <c r="H629" s="1485"/>
      <c r="I629" s="1485"/>
    </row>
    <row r="630" spans="1:9" x14ac:dyDescent="0.3">
      <c r="A630" s="1410"/>
      <c r="B630" s="1410"/>
      <c r="C630" s="1494"/>
      <c r="D630" s="1485"/>
      <c r="E630" s="1485"/>
      <c r="F630" s="1485"/>
      <c r="G630" s="1485"/>
      <c r="H630" s="1485"/>
      <c r="I630" s="1485"/>
    </row>
    <row r="631" spans="1:9" x14ac:dyDescent="0.3">
      <c r="A631" s="1410"/>
      <c r="B631" s="1410"/>
      <c r="C631" s="1494"/>
      <c r="D631" s="1485"/>
      <c r="E631" s="1485"/>
      <c r="F631" s="1485"/>
      <c r="G631" s="1485"/>
      <c r="H631" s="1485"/>
      <c r="I631" s="1485"/>
    </row>
    <row r="632" spans="1:9" x14ac:dyDescent="0.3">
      <c r="A632" s="1410"/>
      <c r="B632" s="1410"/>
      <c r="C632" s="1494"/>
      <c r="D632" s="1485"/>
      <c r="E632" s="1485"/>
      <c r="F632" s="1485"/>
      <c r="G632" s="1485"/>
      <c r="H632" s="1485"/>
      <c r="I632" s="1485"/>
    </row>
    <row r="633" spans="1:9" x14ac:dyDescent="0.3">
      <c r="A633" s="1410"/>
      <c r="B633" s="1410"/>
      <c r="C633" s="1494"/>
      <c r="D633" s="1485"/>
      <c r="E633" s="1485"/>
      <c r="F633" s="1485"/>
      <c r="G633" s="1485"/>
      <c r="H633" s="1485"/>
      <c r="I633" s="1485"/>
    </row>
    <row r="634" spans="1:9" x14ac:dyDescent="0.3">
      <c r="A634" s="1410"/>
      <c r="B634" s="1410"/>
      <c r="C634" s="1494"/>
      <c r="D634" s="1485"/>
      <c r="E634" s="1485"/>
      <c r="F634" s="1485"/>
      <c r="G634" s="1485"/>
      <c r="H634" s="1485"/>
      <c r="I634" s="1485"/>
    </row>
    <row r="635" spans="1:9" x14ac:dyDescent="0.3">
      <c r="A635" s="1410"/>
      <c r="B635" s="1410"/>
      <c r="C635" s="1494"/>
      <c r="D635" s="1485"/>
      <c r="E635" s="1485"/>
      <c r="F635" s="1485"/>
      <c r="G635" s="1485"/>
      <c r="H635" s="1485"/>
      <c r="I635" s="1485"/>
    </row>
    <row r="636" spans="1:9" x14ac:dyDescent="0.3">
      <c r="A636" s="1410"/>
      <c r="B636" s="1410"/>
      <c r="C636" s="1494"/>
      <c r="D636" s="1485"/>
      <c r="E636" s="1485"/>
      <c r="F636" s="1485"/>
      <c r="G636" s="1485"/>
      <c r="H636" s="1485"/>
      <c r="I636" s="1485"/>
    </row>
    <row r="637" spans="1:9" x14ac:dyDescent="0.3">
      <c r="A637" s="1410"/>
      <c r="B637" s="1410"/>
      <c r="C637" s="1494"/>
      <c r="D637" s="1485"/>
      <c r="E637" s="1485"/>
      <c r="F637" s="1485"/>
      <c r="G637" s="1485"/>
      <c r="H637" s="1485"/>
      <c r="I637" s="1485"/>
    </row>
    <row r="638" spans="1:9" x14ac:dyDescent="0.3">
      <c r="A638" s="1410"/>
      <c r="B638" s="1410"/>
      <c r="C638" s="1494"/>
      <c r="D638" s="1485"/>
      <c r="E638" s="1485"/>
      <c r="F638" s="1485"/>
      <c r="G638" s="1485"/>
      <c r="H638" s="1485"/>
      <c r="I638" s="1485"/>
    </row>
    <row r="639" spans="1:9" x14ac:dyDescent="0.3">
      <c r="A639" s="1410"/>
      <c r="B639" s="1410"/>
      <c r="C639" s="1494"/>
      <c r="D639" s="1485"/>
      <c r="E639" s="1485"/>
      <c r="F639" s="1485"/>
      <c r="G639" s="1485"/>
      <c r="H639" s="1485"/>
      <c r="I639" s="1485"/>
    </row>
    <row r="640" spans="1:9" x14ac:dyDescent="0.3">
      <c r="A640" s="1410"/>
      <c r="B640" s="1410"/>
      <c r="C640" s="1494"/>
      <c r="D640" s="1485"/>
      <c r="E640" s="1485"/>
      <c r="F640" s="1485"/>
      <c r="G640" s="1485"/>
      <c r="H640" s="1485"/>
      <c r="I640" s="1485"/>
    </row>
    <row r="641" spans="1:9" x14ac:dyDescent="0.3">
      <c r="A641" s="1410"/>
      <c r="B641" s="1410"/>
      <c r="C641" s="1494"/>
      <c r="D641" s="1485"/>
      <c r="E641" s="1485"/>
      <c r="F641" s="1485"/>
      <c r="G641" s="1485"/>
      <c r="H641" s="1485"/>
      <c r="I641" s="1485"/>
    </row>
    <row r="642" spans="1:9" x14ac:dyDescent="0.3">
      <c r="A642" s="1410"/>
      <c r="B642" s="1410"/>
      <c r="C642" s="1494"/>
      <c r="D642" s="1485"/>
      <c r="E642" s="1485"/>
      <c r="F642" s="1485"/>
      <c r="G642" s="1485"/>
      <c r="H642" s="1485"/>
      <c r="I642" s="1485"/>
    </row>
    <row r="643" spans="1:9" x14ac:dyDescent="0.3">
      <c r="A643" s="1410"/>
      <c r="B643" s="1410"/>
      <c r="C643" s="1494"/>
      <c r="D643" s="1485"/>
      <c r="E643" s="1485"/>
      <c r="F643" s="1485"/>
      <c r="G643" s="1485"/>
      <c r="H643" s="1485"/>
      <c r="I643" s="1485"/>
    </row>
    <row r="644" spans="1:9" x14ac:dyDescent="0.3">
      <c r="A644" s="1410"/>
      <c r="B644" s="1410"/>
      <c r="C644" s="1494"/>
      <c r="D644" s="1485"/>
      <c r="E644" s="1485"/>
      <c r="F644" s="1485"/>
      <c r="G644" s="1485"/>
      <c r="H644" s="1485"/>
      <c r="I644" s="1485"/>
    </row>
    <row r="645" spans="1:9" x14ac:dyDescent="0.3">
      <c r="A645" s="1410"/>
      <c r="B645" s="1410"/>
      <c r="C645" s="1494"/>
      <c r="D645" s="1485"/>
      <c r="E645" s="1485"/>
      <c r="F645" s="1485"/>
      <c r="G645" s="1485"/>
      <c r="H645" s="1485"/>
      <c r="I645" s="1485"/>
    </row>
    <row r="646" spans="1:9" x14ac:dyDescent="0.3">
      <c r="A646" s="1410"/>
      <c r="B646" s="1410"/>
      <c r="C646" s="1494"/>
      <c r="D646" s="1485"/>
      <c r="E646" s="1485"/>
      <c r="F646" s="1485"/>
      <c r="G646" s="1485"/>
      <c r="H646" s="1485"/>
      <c r="I646" s="1485"/>
    </row>
    <row r="647" spans="1:9" x14ac:dyDescent="0.3">
      <c r="A647" s="1410"/>
      <c r="B647" s="1410"/>
      <c r="C647" s="1494"/>
      <c r="D647" s="1485"/>
      <c r="E647" s="1485"/>
      <c r="F647" s="1485"/>
      <c r="G647" s="1485"/>
      <c r="H647" s="1485"/>
      <c r="I647" s="1485"/>
    </row>
    <row r="648" spans="1:9" x14ac:dyDescent="0.3">
      <c r="A648" s="1410"/>
      <c r="B648" s="1410"/>
      <c r="C648" s="1494"/>
      <c r="D648" s="1485"/>
      <c r="E648" s="1485"/>
      <c r="F648" s="1485"/>
      <c r="G648" s="1485"/>
      <c r="H648" s="1485"/>
      <c r="I648" s="1485"/>
    </row>
    <row r="649" spans="1:9" x14ac:dyDescent="0.3">
      <c r="A649" s="1410"/>
      <c r="B649" s="1410"/>
      <c r="C649" s="1494"/>
      <c r="D649" s="1485"/>
      <c r="E649" s="1485"/>
      <c r="F649" s="1485"/>
      <c r="G649" s="1485"/>
      <c r="H649" s="1485"/>
      <c r="I649" s="1485"/>
    </row>
    <row r="650" spans="1:9" x14ac:dyDescent="0.3">
      <c r="A650" s="1410"/>
      <c r="B650" s="1410"/>
      <c r="C650" s="1494"/>
      <c r="D650" s="1485"/>
      <c r="E650" s="1485"/>
      <c r="F650" s="1485"/>
      <c r="G650" s="1485"/>
      <c r="H650" s="1485"/>
      <c r="I650" s="1485"/>
    </row>
    <row r="651" spans="1:9" x14ac:dyDescent="0.3">
      <c r="A651" s="1410"/>
      <c r="B651" s="1410"/>
      <c r="C651" s="1494"/>
      <c r="D651" s="1485"/>
      <c r="E651" s="1485"/>
      <c r="F651" s="1485"/>
      <c r="G651" s="1485"/>
      <c r="H651" s="1485"/>
      <c r="I651" s="1485"/>
    </row>
    <row r="652" spans="1:9" x14ac:dyDescent="0.3">
      <c r="A652" s="1410"/>
      <c r="B652" s="1410"/>
      <c r="C652" s="1494"/>
      <c r="D652" s="1485"/>
      <c r="E652" s="1485"/>
      <c r="F652" s="1485"/>
      <c r="G652" s="1485"/>
      <c r="H652" s="1485"/>
      <c r="I652" s="1485"/>
    </row>
    <row r="653" spans="1:9" x14ac:dyDescent="0.3">
      <c r="A653" s="1410"/>
      <c r="B653" s="1410"/>
      <c r="C653" s="1494"/>
      <c r="D653" s="1485"/>
      <c r="E653" s="1485"/>
      <c r="F653" s="1485"/>
      <c r="G653" s="1485"/>
      <c r="H653" s="1485"/>
      <c r="I653" s="1485"/>
    </row>
    <row r="654" spans="1:9" x14ac:dyDescent="0.3">
      <c r="A654" s="1410"/>
      <c r="B654" s="1410"/>
      <c r="C654" s="1494"/>
      <c r="D654" s="1485"/>
      <c r="E654" s="1485"/>
      <c r="F654" s="1485"/>
      <c r="G654" s="1485"/>
      <c r="H654" s="1485"/>
      <c r="I654" s="1485"/>
    </row>
    <row r="655" spans="1:9" x14ac:dyDescent="0.3">
      <c r="A655" s="1410"/>
      <c r="B655" s="1410"/>
      <c r="C655" s="1494"/>
      <c r="D655" s="1485"/>
      <c r="E655" s="1485"/>
      <c r="F655" s="1485"/>
      <c r="G655" s="1485"/>
      <c r="H655" s="1485"/>
      <c r="I655" s="1485"/>
    </row>
    <row r="656" spans="1:9" x14ac:dyDescent="0.3">
      <c r="A656" s="1410"/>
      <c r="B656" s="1410"/>
      <c r="C656" s="1494"/>
      <c r="D656" s="1485"/>
      <c r="E656" s="1485"/>
      <c r="F656" s="1485"/>
      <c r="G656" s="1485"/>
      <c r="H656" s="1485"/>
      <c r="I656" s="1485"/>
    </row>
    <row r="657" spans="1:9" x14ac:dyDescent="0.3">
      <c r="A657" s="1410"/>
      <c r="B657" s="1410"/>
      <c r="C657" s="1494"/>
      <c r="D657" s="1485"/>
      <c r="E657" s="1485"/>
      <c r="F657" s="1485"/>
      <c r="G657" s="1485"/>
      <c r="H657" s="1485"/>
      <c r="I657" s="1485"/>
    </row>
    <row r="658" spans="1:9" x14ac:dyDescent="0.3">
      <c r="A658" s="1410"/>
      <c r="B658" s="1410"/>
      <c r="C658" s="1494"/>
      <c r="D658" s="1485"/>
      <c r="E658" s="1485"/>
      <c r="F658" s="1485"/>
      <c r="G658" s="1485"/>
      <c r="H658" s="1485"/>
      <c r="I658" s="1485"/>
    </row>
    <row r="659" spans="1:9" x14ac:dyDescent="0.3">
      <c r="A659" s="1410"/>
      <c r="B659" s="1410"/>
      <c r="C659" s="1494"/>
      <c r="D659" s="1485"/>
      <c r="E659" s="1485"/>
      <c r="F659" s="1485"/>
      <c r="G659" s="1485"/>
      <c r="H659" s="1485"/>
      <c r="I659" s="1485"/>
    </row>
    <row r="660" spans="1:9" x14ac:dyDescent="0.3">
      <c r="A660" s="1410"/>
      <c r="B660" s="1410"/>
      <c r="C660" s="1494"/>
      <c r="D660" s="1485"/>
      <c r="E660" s="1485"/>
      <c r="F660" s="1485"/>
      <c r="G660" s="1485"/>
      <c r="H660" s="1485"/>
      <c r="I660" s="1485"/>
    </row>
    <row r="661" spans="1:9" x14ac:dyDescent="0.3">
      <c r="A661" s="1410"/>
      <c r="B661" s="1410"/>
      <c r="C661" s="1494"/>
      <c r="D661" s="1485"/>
      <c r="E661" s="1485"/>
      <c r="F661" s="1485"/>
      <c r="G661" s="1485"/>
      <c r="H661" s="1485"/>
      <c r="I661" s="1485"/>
    </row>
    <row r="662" spans="1:9" x14ac:dyDescent="0.3">
      <c r="A662" s="1410"/>
      <c r="B662" s="1410"/>
      <c r="C662" s="1494"/>
      <c r="D662" s="1485"/>
      <c r="E662" s="1485"/>
      <c r="F662" s="1485"/>
      <c r="G662" s="1485"/>
      <c r="H662" s="1485"/>
      <c r="I662" s="1485"/>
    </row>
    <row r="663" spans="1:9" x14ac:dyDescent="0.3">
      <c r="A663" s="1410"/>
      <c r="B663" s="1410"/>
      <c r="C663" s="1494"/>
      <c r="D663" s="1485"/>
      <c r="E663" s="1485"/>
      <c r="F663" s="1485"/>
      <c r="G663" s="1485"/>
      <c r="H663" s="1485"/>
      <c r="I663" s="1485"/>
    </row>
    <row r="664" spans="1:9" x14ac:dyDescent="0.3">
      <c r="A664" s="1410"/>
      <c r="B664" s="1410"/>
      <c r="C664" s="1494"/>
      <c r="D664" s="1485"/>
      <c r="E664" s="1485"/>
      <c r="F664" s="1485"/>
      <c r="G664" s="1485"/>
      <c r="H664" s="1485"/>
      <c r="I664" s="1485"/>
    </row>
    <row r="665" spans="1:9" x14ac:dyDescent="0.3">
      <c r="A665" s="1410"/>
      <c r="B665" s="1410"/>
      <c r="C665" s="1494"/>
      <c r="D665" s="1485"/>
      <c r="E665" s="1485"/>
      <c r="F665" s="1485"/>
      <c r="G665" s="1485"/>
      <c r="H665" s="1485"/>
      <c r="I665" s="1485"/>
    </row>
    <row r="666" spans="1:9" x14ac:dyDescent="0.3">
      <c r="A666" s="1410"/>
      <c r="B666" s="1410"/>
      <c r="C666" s="1494"/>
      <c r="D666" s="1485"/>
      <c r="E666" s="1485"/>
      <c r="F666" s="1485"/>
      <c r="G666" s="1485"/>
      <c r="H666" s="1485"/>
      <c r="I666" s="1485"/>
    </row>
    <row r="667" spans="1:9" x14ac:dyDescent="0.3">
      <c r="A667" s="1410"/>
      <c r="B667" s="1410"/>
      <c r="C667" s="1494"/>
      <c r="D667" s="1485"/>
      <c r="E667" s="1485"/>
      <c r="F667" s="1485"/>
      <c r="G667" s="1485"/>
      <c r="H667" s="1485"/>
      <c r="I667" s="1485"/>
    </row>
    <row r="668" spans="1:9" x14ac:dyDescent="0.3">
      <c r="A668" s="1410"/>
      <c r="B668" s="1410"/>
      <c r="C668" s="1494"/>
      <c r="D668" s="1485"/>
      <c r="E668" s="1485"/>
      <c r="F668" s="1485"/>
      <c r="G668" s="1485"/>
      <c r="H668" s="1485"/>
      <c r="I668" s="1485"/>
    </row>
    <row r="669" spans="1:9" x14ac:dyDescent="0.3">
      <c r="A669" s="1410"/>
      <c r="B669" s="1410"/>
      <c r="C669" s="1494"/>
      <c r="D669" s="1485"/>
      <c r="E669" s="1485"/>
      <c r="F669" s="1485"/>
      <c r="G669" s="1485"/>
      <c r="H669" s="1485"/>
      <c r="I669" s="1485"/>
    </row>
    <row r="670" spans="1:9" x14ac:dyDescent="0.3">
      <c r="A670" s="1410"/>
      <c r="B670" s="1410"/>
      <c r="C670" s="1494"/>
      <c r="D670" s="1485"/>
      <c r="E670" s="1485"/>
      <c r="F670" s="1485"/>
      <c r="G670" s="1485"/>
      <c r="H670" s="1485"/>
      <c r="I670" s="1485"/>
    </row>
    <row r="671" spans="1:9" x14ac:dyDescent="0.3">
      <c r="A671" s="1410"/>
      <c r="B671" s="1410"/>
      <c r="C671" s="1494"/>
      <c r="D671" s="1485"/>
      <c r="E671" s="1485"/>
      <c r="F671" s="1485"/>
      <c r="G671" s="1485"/>
      <c r="H671" s="1485"/>
      <c r="I671" s="1485"/>
    </row>
    <row r="672" spans="1:9" x14ac:dyDescent="0.3">
      <c r="A672" s="1410"/>
      <c r="B672" s="1410"/>
      <c r="C672" s="1494"/>
      <c r="D672" s="1485"/>
      <c r="E672" s="1485"/>
      <c r="F672" s="1485"/>
      <c r="G672" s="1485"/>
      <c r="H672" s="1485"/>
      <c r="I672" s="1485"/>
    </row>
    <row r="673" spans="1:9" x14ac:dyDescent="0.3">
      <c r="A673" s="1410"/>
      <c r="B673" s="1410"/>
      <c r="C673" s="1494"/>
      <c r="D673" s="1485"/>
      <c r="E673" s="1485"/>
      <c r="F673" s="1485"/>
      <c r="G673" s="1485"/>
      <c r="H673" s="1485"/>
      <c r="I673" s="1485"/>
    </row>
    <row r="674" spans="1:9" x14ac:dyDescent="0.3">
      <c r="A674" s="1410"/>
      <c r="B674" s="1410"/>
      <c r="C674" s="1494"/>
      <c r="D674" s="1485"/>
      <c r="E674" s="1485"/>
      <c r="F674" s="1485"/>
      <c r="G674" s="1485"/>
      <c r="H674" s="1485"/>
      <c r="I674" s="1485"/>
    </row>
    <row r="675" spans="1:9" x14ac:dyDescent="0.3">
      <c r="A675" s="1410"/>
      <c r="B675" s="1410"/>
      <c r="C675" s="1494"/>
      <c r="D675" s="1485"/>
      <c r="E675" s="1485"/>
      <c r="F675" s="1485"/>
      <c r="G675" s="1485"/>
      <c r="H675" s="1485"/>
      <c r="I675" s="1485"/>
    </row>
    <row r="676" spans="1:9" x14ac:dyDescent="0.3">
      <c r="A676" s="1410"/>
      <c r="B676" s="1410"/>
      <c r="C676" s="1494"/>
      <c r="D676" s="1485"/>
      <c r="E676" s="1485"/>
      <c r="F676" s="1485"/>
      <c r="G676" s="1485"/>
      <c r="H676" s="1485"/>
      <c r="I676" s="1485"/>
    </row>
    <row r="677" spans="1:9" x14ac:dyDescent="0.3">
      <c r="A677" s="1410"/>
      <c r="B677" s="1410"/>
      <c r="C677" s="1494"/>
      <c r="D677" s="1485"/>
      <c r="E677" s="1485"/>
      <c r="F677" s="1485"/>
      <c r="G677" s="1485"/>
      <c r="H677" s="1485"/>
      <c r="I677" s="1485"/>
    </row>
    <row r="678" spans="1:9" x14ac:dyDescent="0.3">
      <c r="A678" s="1410"/>
      <c r="B678" s="1410"/>
      <c r="C678" s="1494"/>
      <c r="D678" s="1485"/>
      <c r="E678" s="1485"/>
      <c r="F678" s="1485"/>
      <c r="G678" s="1485"/>
      <c r="H678" s="1485"/>
      <c r="I678" s="1485"/>
    </row>
    <row r="679" spans="1:9" x14ac:dyDescent="0.3">
      <c r="A679" s="1410"/>
      <c r="B679" s="1410"/>
      <c r="C679" s="1494"/>
      <c r="D679" s="1485"/>
      <c r="E679" s="1485"/>
      <c r="F679" s="1485"/>
      <c r="G679" s="1485"/>
      <c r="H679" s="1485"/>
      <c r="I679" s="1485"/>
    </row>
    <row r="680" spans="1:9" x14ac:dyDescent="0.3">
      <c r="A680" s="1410"/>
      <c r="B680" s="1410"/>
      <c r="C680" s="1494"/>
      <c r="D680" s="1485"/>
      <c r="E680" s="1485"/>
      <c r="F680" s="1485"/>
      <c r="G680" s="1485"/>
      <c r="H680" s="1485"/>
      <c r="I680" s="1485"/>
    </row>
    <row r="681" spans="1:9" x14ac:dyDescent="0.3">
      <c r="A681" s="1410"/>
      <c r="B681" s="1410"/>
      <c r="C681" s="1494"/>
      <c r="D681" s="1485"/>
      <c r="E681" s="1485"/>
      <c r="F681" s="1485"/>
      <c r="G681" s="1485"/>
      <c r="H681" s="1485"/>
      <c r="I681" s="1485"/>
    </row>
    <row r="682" spans="1:9" x14ac:dyDescent="0.3">
      <c r="A682" s="1410"/>
      <c r="B682" s="1410"/>
      <c r="C682" s="1494"/>
      <c r="D682" s="1485"/>
      <c r="E682" s="1485"/>
      <c r="F682" s="1485"/>
      <c r="G682" s="1485"/>
      <c r="H682" s="1485"/>
      <c r="I682" s="1485"/>
    </row>
    <row r="683" spans="1:9" x14ac:dyDescent="0.3">
      <c r="A683" s="1410"/>
      <c r="B683" s="1410"/>
      <c r="C683" s="1494"/>
      <c r="D683" s="1485"/>
      <c r="E683" s="1485"/>
      <c r="F683" s="1485"/>
      <c r="G683" s="1485"/>
      <c r="H683" s="1485"/>
      <c r="I683" s="1485"/>
    </row>
    <row r="684" spans="1:9" x14ac:dyDescent="0.3">
      <c r="A684" s="1410"/>
      <c r="B684" s="1410"/>
      <c r="C684" s="1494"/>
      <c r="D684" s="1485"/>
      <c r="E684" s="1485"/>
      <c r="F684" s="1485"/>
      <c r="G684" s="1485"/>
      <c r="H684" s="1485"/>
      <c r="I684" s="1485"/>
    </row>
    <row r="685" spans="1:9" x14ac:dyDescent="0.3">
      <c r="A685" s="1410"/>
      <c r="B685" s="1410"/>
      <c r="C685" s="1494"/>
      <c r="D685" s="1485"/>
      <c r="E685" s="1485"/>
      <c r="F685" s="1485"/>
      <c r="G685" s="1485"/>
      <c r="H685" s="1485"/>
      <c r="I685" s="1485"/>
    </row>
    <row r="686" spans="1:9" x14ac:dyDescent="0.3">
      <c r="A686" s="1410"/>
      <c r="B686" s="1410"/>
      <c r="C686" s="1494"/>
      <c r="D686" s="1485"/>
      <c r="E686" s="1485"/>
      <c r="F686" s="1485"/>
      <c r="G686" s="1485"/>
      <c r="H686" s="1485"/>
      <c r="I686" s="1485"/>
    </row>
    <row r="687" spans="1:9" x14ac:dyDescent="0.3">
      <c r="A687" s="1410"/>
      <c r="B687" s="1410"/>
      <c r="C687" s="1494"/>
      <c r="D687" s="1485"/>
      <c r="E687" s="1485"/>
      <c r="F687" s="1485"/>
      <c r="G687" s="1485"/>
      <c r="H687" s="1485"/>
      <c r="I687" s="1485"/>
    </row>
    <row r="688" spans="1:9" x14ac:dyDescent="0.3">
      <c r="A688" s="1410"/>
      <c r="B688" s="1410"/>
      <c r="C688" s="1494"/>
      <c r="D688" s="1485"/>
      <c r="E688" s="1485"/>
      <c r="F688" s="1485"/>
      <c r="G688" s="1485"/>
      <c r="H688" s="1485"/>
      <c r="I688" s="1485"/>
    </row>
    <row r="689" spans="1:9" x14ac:dyDescent="0.3">
      <c r="A689" s="1410"/>
      <c r="B689" s="1410"/>
      <c r="C689" s="1494"/>
      <c r="D689" s="1485"/>
      <c r="E689" s="1485"/>
      <c r="F689" s="1485"/>
      <c r="G689" s="1485"/>
      <c r="H689" s="1485"/>
      <c r="I689" s="1485"/>
    </row>
    <row r="690" spans="1:9" x14ac:dyDescent="0.3">
      <c r="A690" s="1410"/>
      <c r="B690" s="1410"/>
      <c r="C690" s="1494"/>
      <c r="D690" s="1485"/>
      <c r="E690" s="1485"/>
      <c r="F690" s="1485"/>
      <c r="G690" s="1485"/>
      <c r="H690" s="1485"/>
      <c r="I690" s="1485"/>
    </row>
    <row r="691" spans="1:9" x14ac:dyDescent="0.3">
      <c r="A691" s="1410"/>
      <c r="B691" s="1410"/>
      <c r="C691" s="1494"/>
      <c r="D691" s="1485"/>
      <c r="E691" s="1485"/>
      <c r="F691" s="1485"/>
      <c r="G691" s="1485"/>
      <c r="H691" s="1485"/>
      <c r="I691" s="1485"/>
    </row>
    <row r="692" spans="1:9" x14ac:dyDescent="0.3">
      <c r="A692" s="1410"/>
      <c r="B692" s="1410"/>
      <c r="C692" s="1494"/>
      <c r="D692" s="1485"/>
      <c r="E692" s="1485"/>
      <c r="F692" s="1485"/>
      <c r="G692" s="1485"/>
      <c r="H692" s="1485"/>
      <c r="I692" s="1485"/>
    </row>
    <row r="693" spans="1:9" x14ac:dyDescent="0.3">
      <c r="A693" s="1410"/>
      <c r="B693" s="1410"/>
      <c r="C693" s="1494"/>
      <c r="D693" s="1485"/>
      <c r="E693" s="1485"/>
      <c r="F693" s="1485"/>
      <c r="G693" s="1485"/>
      <c r="H693" s="1485"/>
      <c r="I693" s="1485"/>
    </row>
    <row r="694" spans="1:9" x14ac:dyDescent="0.3">
      <c r="A694" s="1410"/>
      <c r="B694" s="1410"/>
      <c r="C694" s="1494"/>
      <c r="D694" s="1485"/>
      <c r="E694" s="1485"/>
      <c r="F694" s="1485"/>
      <c r="G694" s="1485"/>
      <c r="H694" s="1485"/>
      <c r="I694" s="1485"/>
    </row>
    <row r="695" spans="1:9" x14ac:dyDescent="0.3">
      <c r="A695" s="1410"/>
      <c r="B695" s="1410"/>
      <c r="C695" s="1494"/>
      <c r="D695" s="1485"/>
      <c r="E695" s="1485"/>
      <c r="F695" s="1485"/>
      <c r="G695" s="1485"/>
      <c r="H695" s="1485"/>
      <c r="I695" s="1485"/>
    </row>
    <row r="696" spans="1:9" x14ac:dyDescent="0.3">
      <c r="A696" s="1410"/>
      <c r="B696" s="1410"/>
      <c r="C696" s="1494"/>
      <c r="D696" s="1485"/>
      <c r="E696" s="1485"/>
      <c r="F696" s="1485"/>
      <c r="G696" s="1485"/>
      <c r="H696" s="1485"/>
      <c r="I696" s="1485"/>
    </row>
    <row r="697" spans="1:9" x14ac:dyDescent="0.3">
      <c r="A697" s="1410"/>
      <c r="B697" s="1410"/>
      <c r="C697" s="1494"/>
      <c r="D697" s="1485"/>
      <c r="E697" s="1485"/>
      <c r="F697" s="1485"/>
      <c r="G697" s="1485"/>
      <c r="H697" s="1485"/>
      <c r="I697" s="1485"/>
    </row>
    <row r="698" spans="1:9" x14ac:dyDescent="0.3">
      <c r="A698" s="1410"/>
      <c r="B698" s="1410"/>
      <c r="C698" s="1494"/>
      <c r="D698" s="1485"/>
      <c r="E698" s="1485"/>
      <c r="F698" s="1485"/>
      <c r="G698" s="1485"/>
      <c r="H698" s="1485"/>
      <c r="I698" s="1485"/>
    </row>
    <row r="699" spans="1:9" x14ac:dyDescent="0.3">
      <c r="A699" s="1410"/>
      <c r="B699" s="1410"/>
      <c r="C699" s="1494"/>
      <c r="D699" s="1485"/>
      <c r="E699" s="1485"/>
      <c r="F699" s="1485"/>
      <c r="G699" s="1485"/>
      <c r="H699" s="1485"/>
      <c r="I699" s="1485"/>
    </row>
    <row r="700" spans="1:9" x14ac:dyDescent="0.3">
      <c r="A700" s="1410"/>
      <c r="B700" s="1410"/>
      <c r="C700" s="1494"/>
      <c r="D700" s="1485"/>
      <c r="E700" s="1485"/>
      <c r="F700" s="1485"/>
      <c r="G700" s="1485"/>
      <c r="H700" s="1485"/>
      <c r="I700" s="1485"/>
    </row>
    <row r="701" spans="1:9" x14ac:dyDescent="0.3">
      <c r="A701" s="1410"/>
      <c r="B701" s="1410"/>
      <c r="C701" s="1494"/>
      <c r="D701" s="1485"/>
      <c r="E701" s="1485"/>
      <c r="F701" s="1485"/>
      <c r="G701" s="1485"/>
      <c r="H701" s="1485"/>
      <c r="I701" s="1485"/>
    </row>
    <row r="702" spans="1:9" x14ac:dyDescent="0.3">
      <c r="A702" s="1410"/>
      <c r="B702" s="1410"/>
      <c r="C702" s="1494"/>
      <c r="D702" s="1485"/>
      <c r="E702" s="1485"/>
      <c r="F702" s="1485"/>
      <c r="G702" s="1485"/>
      <c r="H702" s="1485"/>
      <c r="I702" s="1485"/>
    </row>
    <row r="703" spans="1:9" x14ac:dyDescent="0.3">
      <c r="A703" s="1410"/>
      <c r="B703" s="1410"/>
      <c r="C703" s="1494"/>
      <c r="D703" s="1485"/>
      <c r="E703" s="1485"/>
      <c r="F703" s="1485"/>
      <c r="G703" s="1485"/>
      <c r="H703" s="1485"/>
      <c r="I703" s="1485"/>
    </row>
    <row r="704" spans="1:9" x14ac:dyDescent="0.3">
      <c r="A704" s="1410"/>
      <c r="B704" s="1410"/>
      <c r="C704" s="1494"/>
      <c r="D704" s="1485"/>
      <c r="E704" s="1485"/>
      <c r="F704" s="1485"/>
      <c r="G704" s="1485"/>
      <c r="H704" s="1485"/>
      <c r="I704" s="1485"/>
    </row>
    <row r="705" spans="1:9" x14ac:dyDescent="0.3">
      <c r="A705" s="1410"/>
      <c r="B705" s="1410"/>
      <c r="C705" s="1494"/>
      <c r="D705" s="1485"/>
      <c r="E705" s="1485"/>
      <c r="F705" s="1485"/>
      <c r="G705" s="1485"/>
      <c r="H705" s="1485"/>
      <c r="I705" s="1485"/>
    </row>
    <row r="706" spans="1:9" x14ac:dyDescent="0.3">
      <c r="A706" s="1410"/>
      <c r="B706" s="1410"/>
      <c r="C706" s="1494"/>
      <c r="D706" s="1485"/>
      <c r="E706" s="1485"/>
      <c r="F706" s="1485"/>
      <c r="G706" s="1485"/>
      <c r="H706" s="1485"/>
      <c r="I706" s="1485"/>
    </row>
    <row r="707" spans="1:9" x14ac:dyDescent="0.3">
      <c r="A707" s="1410"/>
      <c r="B707" s="1410"/>
      <c r="C707" s="1494"/>
      <c r="D707" s="1485"/>
      <c r="E707" s="1485"/>
      <c r="F707" s="1485"/>
      <c r="G707" s="1485"/>
      <c r="H707" s="1485"/>
      <c r="I707" s="1485"/>
    </row>
    <row r="708" spans="1:9" x14ac:dyDescent="0.3">
      <c r="A708" s="1410"/>
      <c r="B708" s="1410"/>
      <c r="C708" s="1494"/>
      <c r="D708" s="1485"/>
      <c r="E708" s="1485"/>
      <c r="F708" s="1485"/>
      <c r="G708" s="1485"/>
      <c r="H708" s="1485"/>
      <c r="I708" s="1485"/>
    </row>
    <row r="709" spans="1:9" x14ac:dyDescent="0.3">
      <c r="A709" s="1410"/>
      <c r="B709" s="1410"/>
      <c r="C709" s="1494"/>
      <c r="D709" s="1485"/>
      <c r="E709" s="1485"/>
      <c r="F709" s="1485"/>
      <c r="G709" s="1485"/>
      <c r="H709" s="1485"/>
      <c r="I709" s="1485"/>
    </row>
    <row r="710" spans="1:9" x14ac:dyDescent="0.3">
      <c r="A710" s="1410"/>
      <c r="B710" s="1410"/>
      <c r="C710" s="1494"/>
      <c r="D710" s="1485"/>
      <c r="E710" s="1485"/>
      <c r="F710" s="1485"/>
      <c r="G710" s="1485"/>
      <c r="H710" s="1485"/>
      <c r="I710" s="1485"/>
    </row>
    <row r="711" spans="1:9" x14ac:dyDescent="0.3">
      <c r="A711" s="1410"/>
      <c r="B711" s="1410"/>
      <c r="C711" s="1494"/>
      <c r="D711" s="1485"/>
      <c r="E711" s="1485"/>
      <c r="F711" s="1485"/>
      <c r="G711" s="1485"/>
      <c r="H711" s="1485"/>
      <c r="I711" s="1485"/>
    </row>
    <row r="712" spans="1:9" x14ac:dyDescent="0.3">
      <c r="A712" s="1410"/>
      <c r="B712" s="1410"/>
      <c r="C712" s="1494"/>
      <c r="D712" s="1485"/>
      <c r="E712" s="1485"/>
      <c r="F712" s="1485"/>
      <c r="G712" s="1485"/>
      <c r="H712" s="1485"/>
      <c r="I712" s="1485"/>
    </row>
    <row r="713" spans="1:9" x14ac:dyDescent="0.3">
      <c r="A713" s="1410"/>
      <c r="B713" s="1410"/>
      <c r="C713" s="1494"/>
      <c r="D713" s="1485"/>
      <c r="E713" s="1485"/>
      <c r="F713" s="1485"/>
      <c r="G713" s="1485"/>
      <c r="H713" s="1485"/>
      <c r="I713" s="1485"/>
    </row>
    <row r="714" spans="1:9" x14ac:dyDescent="0.3">
      <c r="A714" s="1410"/>
      <c r="B714" s="1410"/>
      <c r="C714" s="1494"/>
      <c r="D714" s="1485"/>
      <c r="E714" s="1485"/>
      <c r="F714" s="1485"/>
      <c r="G714" s="1485"/>
      <c r="H714" s="1485"/>
      <c r="I714" s="1485"/>
    </row>
    <row r="715" spans="1:9" x14ac:dyDescent="0.3">
      <c r="A715" s="1410"/>
      <c r="B715" s="1410"/>
      <c r="C715" s="1494"/>
      <c r="D715" s="1485"/>
      <c r="E715" s="1485"/>
      <c r="F715" s="1485"/>
      <c r="G715" s="1485"/>
      <c r="H715" s="1485"/>
      <c r="I715" s="1485"/>
    </row>
    <row r="716" spans="1:9" x14ac:dyDescent="0.3">
      <c r="A716" s="1410"/>
      <c r="B716" s="1410"/>
      <c r="C716" s="1494"/>
      <c r="D716" s="1485"/>
      <c r="E716" s="1485"/>
      <c r="F716" s="1485"/>
      <c r="G716" s="1485"/>
      <c r="H716" s="1485"/>
      <c r="I716" s="1485"/>
    </row>
    <row r="717" spans="1:9" x14ac:dyDescent="0.3">
      <c r="A717" s="1410"/>
      <c r="B717" s="1410"/>
      <c r="C717" s="1494"/>
      <c r="D717" s="1485"/>
      <c r="E717" s="1485"/>
      <c r="F717" s="1485"/>
      <c r="G717" s="1485"/>
      <c r="H717" s="1485"/>
      <c r="I717" s="1485"/>
    </row>
    <row r="718" spans="1:9" x14ac:dyDescent="0.3">
      <c r="A718" s="1410"/>
      <c r="B718" s="1410"/>
      <c r="C718" s="1494"/>
      <c r="D718" s="1485"/>
      <c r="E718" s="1485"/>
      <c r="F718" s="1485"/>
      <c r="G718" s="1485"/>
      <c r="H718" s="1485"/>
      <c r="I718" s="1485"/>
    </row>
    <row r="719" spans="1:9" x14ac:dyDescent="0.3">
      <c r="A719" s="1410"/>
      <c r="B719" s="1410"/>
      <c r="C719" s="1494"/>
      <c r="D719" s="1485"/>
      <c r="E719" s="1485"/>
      <c r="F719" s="1485"/>
      <c r="G719" s="1485"/>
      <c r="H719" s="1485"/>
      <c r="I719" s="1485"/>
    </row>
    <row r="720" spans="1:9" x14ac:dyDescent="0.3">
      <c r="A720" s="1410"/>
      <c r="B720" s="1410"/>
      <c r="C720" s="1494"/>
      <c r="D720" s="1485"/>
      <c r="E720" s="1485"/>
      <c r="F720" s="1485"/>
      <c r="G720" s="1485"/>
      <c r="H720" s="1485"/>
      <c r="I720" s="1485"/>
    </row>
    <row r="721" spans="1:9" x14ac:dyDescent="0.3">
      <c r="A721" s="1410"/>
      <c r="B721" s="1410"/>
      <c r="C721" s="1494"/>
      <c r="D721" s="1485"/>
      <c r="E721" s="1485"/>
      <c r="F721" s="1485"/>
      <c r="G721" s="1485"/>
      <c r="H721" s="1485"/>
      <c r="I721" s="1485"/>
    </row>
    <row r="722" spans="1:9" x14ac:dyDescent="0.3">
      <c r="A722" s="1410"/>
      <c r="B722" s="1410"/>
      <c r="C722" s="1494"/>
      <c r="D722" s="1485"/>
      <c r="E722" s="1485"/>
      <c r="F722" s="1485"/>
      <c r="G722" s="1485"/>
      <c r="H722" s="1485"/>
      <c r="I722" s="1485"/>
    </row>
    <row r="723" spans="1:9" x14ac:dyDescent="0.3">
      <c r="A723" s="1410"/>
      <c r="B723" s="1410"/>
      <c r="C723" s="1494"/>
      <c r="D723" s="1485"/>
      <c r="E723" s="1485"/>
      <c r="F723" s="1485"/>
      <c r="G723" s="1485"/>
      <c r="H723" s="1485"/>
      <c r="I723" s="1485"/>
    </row>
    <row r="724" spans="1:9" x14ac:dyDescent="0.3">
      <c r="A724" s="1410"/>
      <c r="B724" s="1410"/>
      <c r="C724" s="1494"/>
      <c r="D724" s="1485"/>
      <c r="E724" s="1485"/>
      <c r="F724" s="1485"/>
      <c r="G724" s="1485"/>
      <c r="H724" s="1485"/>
      <c r="I724" s="1485"/>
    </row>
    <row r="725" spans="1:9" x14ac:dyDescent="0.3">
      <c r="A725" s="1410"/>
      <c r="B725" s="1410"/>
      <c r="C725" s="1494"/>
      <c r="D725" s="1485"/>
      <c r="E725" s="1485"/>
      <c r="F725" s="1485"/>
      <c r="G725" s="1485"/>
      <c r="H725" s="1485"/>
      <c r="I725" s="1485"/>
    </row>
    <row r="726" spans="1:9" x14ac:dyDescent="0.3">
      <c r="A726" s="1410"/>
      <c r="B726" s="1410"/>
      <c r="C726" s="1494"/>
      <c r="D726" s="1485"/>
      <c r="E726" s="1485"/>
      <c r="F726" s="1485"/>
      <c r="G726" s="1485"/>
      <c r="H726" s="1485"/>
      <c r="I726" s="1485"/>
    </row>
    <row r="727" spans="1:9" x14ac:dyDescent="0.3">
      <c r="A727" s="1410"/>
      <c r="B727" s="1410"/>
      <c r="C727" s="1494"/>
      <c r="D727" s="1485"/>
      <c r="E727" s="1485"/>
      <c r="F727" s="1485"/>
      <c r="G727" s="1485"/>
      <c r="H727" s="1485"/>
      <c r="I727" s="1485"/>
    </row>
    <row r="728" spans="1:9" x14ac:dyDescent="0.3">
      <c r="A728" s="1410"/>
      <c r="B728" s="1410"/>
      <c r="C728" s="1494"/>
      <c r="D728" s="1485"/>
      <c r="E728" s="1485"/>
      <c r="F728" s="1485"/>
      <c r="G728" s="1485"/>
      <c r="H728" s="1485"/>
      <c r="I728" s="1485"/>
    </row>
    <row r="729" spans="1:9" x14ac:dyDescent="0.3">
      <c r="A729" s="1410"/>
      <c r="B729" s="1410"/>
      <c r="C729" s="1494"/>
      <c r="D729" s="1485"/>
      <c r="E729" s="1485"/>
      <c r="F729" s="1485"/>
      <c r="G729" s="1485"/>
      <c r="H729" s="1485"/>
      <c r="I729" s="1485"/>
    </row>
    <row r="730" spans="1:9" x14ac:dyDescent="0.3">
      <c r="A730" s="1410"/>
      <c r="B730" s="1410"/>
      <c r="C730" s="1494"/>
      <c r="D730" s="1485"/>
      <c r="E730" s="1485"/>
      <c r="F730" s="1485"/>
      <c r="G730" s="1485"/>
      <c r="H730" s="1485"/>
      <c r="I730" s="1485"/>
    </row>
    <row r="731" spans="1:9" x14ac:dyDescent="0.3">
      <c r="A731" s="1410"/>
      <c r="B731" s="1410"/>
      <c r="C731" s="1494"/>
      <c r="D731" s="1485"/>
      <c r="E731" s="1485"/>
      <c r="F731" s="1485"/>
      <c r="G731" s="1485"/>
      <c r="H731" s="1485"/>
      <c r="I731" s="1485"/>
    </row>
    <row r="732" spans="1:9" x14ac:dyDescent="0.3">
      <c r="A732" s="1410"/>
      <c r="B732" s="1410"/>
      <c r="C732" s="1494"/>
      <c r="D732" s="1485"/>
      <c r="E732" s="1485"/>
      <c r="F732" s="1485"/>
      <c r="G732" s="1485"/>
      <c r="H732" s="1485"/>
      <c r="I732" s="1485"/>
    </row>
    <row r="733" spans="1:9" x14ac:dyDescent="0.3">
      <c r="A733" s="1410"/>
      <c r="B733" s="1410"/>
      <c r="C733" s="1494"/>
      <c r="D733" s="1485"/>
      <c r="E733" s="1485"/>
      <c r="F733" s="1485"/>
      <c r="G733" s="1485"/>
      <c r="H733" s="1485"/>
      <c r="I733" s="1485"/>
    </row>
    <row r="734" spans="1:9" x14ac:dyDescent="0.3">
      <c r="A734" s="1410"/>
      <c r="B734" s="1410"/>
      <c r="C734" s="1494"/>
      <c r="D734" s="1485"/>
      <c r="E734" s="1485"/>
      <c r="F734" s="1485"/>
      <c r="G734" s="1485"/>
      <c r="H734" s="1485"/>
      <c r="I734" s="1485"/>
    </row>
    <row r="735" spans="1:9" x14ac:dyDescent="0.3">
      <c r="A735" s="1410"/>
      <c r="B735" s="1410"/>
      <c r="C735" s="1494"/>
      <c r="D735" s="1485"/>
      <c r="E735" s="1485"/>
      <c r="F735" s="1485"/>
      <c r="G735" s="1485"/>
      <c r="H735" s="1485"/>
      <c r="I735" s="1485"/>
    </row>
    <row r="736" spans="1:9" x14ac:dyDescent="0.3">
      <c r="A736" s="1410"/>
      <c r="B736" s="1410"/>
      <c r="C736" s="1494"/>
      <c r="D736" s="1485"/>
      <c r="E736" s="1485"/>
      <c r="F736" s="1485"/>
      <c r="G736" s="1485"/>
      <c r="H736" s="1485"/>
      <c r="I736" s="1485"/>
    </row>
    <row r="737" spans="1:9" x14ac:dyDescent="0.3">
      <c r="A737" s="1410"/>
      <c r="B737" s="1410"/>
      <c r="C737" s="1494"/>
      <c r="D737" s="1485"/>
      <c r="E737" s="1485"/>
      <c r="F737" s="1485"/>
      <c r="G737" s="1485"/>
      <c r="H737" s="1485"/>
      <c r="I737" s="1485"/>
    </row>
    <row r="738" spans="1:9" x14ac:dyDescent="0.3">
      <c r="A738" s="1410"/>
      <c r="B738" s="1410"/>
      <c r="C738" s="1494"/>
      <c r="D738" s="1485"/>
      <c r="E738" s="1485"/>
      <c r="F738" s="1485"/>
      <c r="G738" s="1485"/>
      <c r="H738" s="1485"/>
      <c r="I738" s="1485"/>
    </row>
    <row r="739" spans="1:9" x14ac:dyDescent="0.3">
      <c r="A739" s="1410"/>
      <c r="B739" s="1410"/>
      <c r="C739" s="1494"/>
      <c r="D739" s="1485"/>
      <c r="E739" s="1485"/>
      <c r="F739" s="1485"/>
      <c r="G739" s="1485"/>
      <c r="H739" s="1485"/>
      <c r="I739" s="1485"/>
    </row>
    <row r="740" spans="1:9" x14ac:dyDescent="0.3">
      <c r="A740" s="1410"/>
      <c r="B740" s="1410"/>
      <c r="C740" s="1494"/>
      <c r="D740" s="1485"/>
      <c r="E740" s="1485"/>
      <c r="F740" s="1485"/>
      <c r="G740" s="1485"/>
      <c r="H740" s="1485"/>
      <c r="I740" s="1485"/>
    </row>
    <row r="741" spans="1:9" x14ac:dyDescent="0.3">
      <c r="A741" s="1410"/>
      <c r="B741" s="1410"/>
      <c r="C741" s="1494"/>
      <c r="D741" s="1485"/>
      <c r="E741" s="1485"/>
      <c r="F741" s="1485"/>
      <c r="G741" s="1485"/>
      <c r="H741" s="1485"/>
      <c r="I741" s="1485"/>
    </row>
    <row r="742" spans="1:9" x14ac:dyDescent="0.3">
      <c r="A742" s="1410"/>
      <c r="B742" s="1410"/>
      <c r="C742" s="1494"/>
      <c r="D742" s="1485"/>
      <c r="E742" s="1485"/>
      <c r="F742" s="1485"/>
      <c r="G742" s="1485"/>
      <c r="H742" s="1485"/>
      <c r="I742" s="1485"/>
    </row>
    <row r="743" spans="1:9" x14ac:dyDescent="0.3">
      <c r="A743" s="1410"/>
      <c r="B743" s="1410"/>
      <c r="C743" s="1494"/>
      <c r="D743" s="1485"/>
      <c r="E743" s="1485"/>
      <c r="F743" s="1485"/>
      <c r="G743" s="1485"/>
      <c r="H743" s="1485"/>
      <c r="I743" s="1485"/>
    </row>
    <row r="744" spans="1:9" x14ac:dyDescent="0.3">
      <c r="A744" s="1410"/>
      <c r="B744" s="1410"/>
      <c r="C744" s="1494"/>
      <c r="D744" s="1485"/>
      <c r="E744" s="1485"/>
      <c r="F744" s="1485"/>
      <c r="G744" s="1485"/>
      <c r="H744" s="1485"/>
      <c r="I744" s="1485"/>
    </row>
    <row r="745" spans="1:9" x14ac:dyDescent="0.3">
      <c r="A745" s="1410"/>
      <c r="B745" s="1410"/>
      <c r="C745" s="1494"/>
      <c r="D745" s="1485"/>
      <c r="E745" s="1485"/>
      <c r="F745" s="1485"/>
      <c r="G745" s="1485"/>
      <c r="H745" s="1485"/>
      <c r="I745" s="1485"/>
    </row>
    <row r="746" spans="1:9" x14ac:dyDescent="0.3">
      <c r="A746" s="1410"/>
      <c r="B746" s="1410"/>
      <c r="C746" s="1494"/>
      <c r="D746" s="1485"/>
      <c r="E746" s="1485"/>
      <c r="F746" s="1485"/>
      <c r="G746" s="1485"/>
      <c r="H746" s="1485"/>
      <c r="I746" s="1485"/>
    </row>
    <row r="747" spans="1:9" x14ac:dyDescent="0.3">
      <c r="A747" s="1410"/>
      <c r="B747" s="1410"/>
      <c r="C747" s="1494"/>
      <c r="D747" s="1485"/>
      <c r="E747" s="1485"/>
      <c r="F747" s="1485"/>
      <c r="G747" s="1485"/>
      <c r="H747" s="1485"/>
      <c r="I747" s="1485"/>
    </row>
    <row r="748" spans="1:9" x14ac:dyDescent="0.3">
      <c r="A748" s="1410"/>
      <c r="B748" s="1410"/>
      <c r="C748" s="1494"/>
      <c r="D748" s="1485"/>
      <c r="E748" s="1485"/>
      <c r="F748" s="1485"/>
      <c r="G748" s="1485"/>
      <c r="H748" s="1485"/>
      <c r="I748" s="1485"/>
    </row>
    <row r="749" spans="1:9" x14ac:dyDescent="0.3">
      <c r="A749" s="1410"/>
      <c r="B749" s="1410"/>
      <c r="C749" s="1494"/>
      <c r="D749" s="1485"/>
      <c r="E749" s="1485"/>
      <c r="F749" s="1485"/>
      <c r="G749" s="1485"/>
      <c r="H749" s="1485"/>
      <c r="I749" s="1485"/>
    </row>
    <row r="750" spans="1:9" x14ac:dyDescent="0.3">
      <c r="A750" s="1410"/>
      <c r="B750" s="1410"/>
      <c r="C750" s="1494"/>
      <c r="D750" s="1485"/>
      <c r="E750" s="1485"/>
      <c r="F750" s="1485"/>
      <c r="G750" s="1485"/>
      <c r="H750" s="1485"/>
      <c r="I750" s="1485"/>
    </row>
    <row r="751" spans="1:9" x14ac:dyDescent="0.3">
      <c r="A751" s="1410"/>
      <c r="B751" s="1410"/>
      <c r="C751" s="1494"/>
      <c r="D751" s="1485"/>
      <c r="E751" s="1485"/>
      <c r="F751" s="1485"/>
      <c r="G751" s="1485"/>
      <c r="H751" s="1485"/>
      <c r="I751" s="1485"/>
    </row>
    <row r="752" spans="1:9" x14ac:dyDescent="0.3">
      <c r="A752" s="1410"/>
      <c r="B752" s="1410"/>
      <c r="C752" s="1494"/>
      <c r="D752" s="1485"/>
      <c r="E752" s="1485"/>
      <c r="F752" s="1485"/>
      <c r="G752" s="1485"/>
      <c r="H752" s="1485"/>
      <c r="I752" s="1485"/>
    </row>
    <row r="753" spans="1:9" x14ac:dyDescent="0.3">
      <c r="A753" s="1410"/>
      <c r="B753" s="1410"/>
      <c r="C753" s="1494"/>
      <c r="D753" s="1485"/>
      <c r="E753" s="1485"/>
      <c r="F753" s="1485"/>
      <c r="G753" s="1485"/>
      <c r="H753" s="1485"/>
      <c r="I753" s="1485"/>
    </row>
    <row r="754" spans="1:9" x14ac:dyDescent="0.3">
      <c r="A754" s="1410"/>
      <c r="B754" s="1410"/>
      <c r="C754" s="1494"/>
      <c r="D754" s="1485"/>
      <c r="E754" s="1485"/>
      <c r="F754" s="1485"/>
      <c r="G754" s="1485"/>
      <c r="H754" s="1485"/>
      <c r="I754" s="1485"/>
    </row>
    <row r="755" spans="1:9" x14ac:dyDescent="0.3">
      <c r="A755" s="1410"/>
      <c r="B755" s="1410"/>
      <c r="C755" s="1494"/>
      <c r="D755" s="1485"/>
      <c r="E755" s="1485"/>
      <c r="F755" s="1485"/>
      <c r="G755" s="1485"/>
      <c r="H755" s="1485"/>
      <c r="I755" s="1485"/>
    </row>
    <row r="756" spans="1:9" x14ac:dyDescent="0.3">
      <c r="A756" s="1410"/>
      <c r="B756" s="1410"/>
      <c r="C756" s="1494"/>
      <c r="D756" s="1485"/>
      <c r="E756" s="1485"/>
      <c r="F756" s="1485"/>
      <c r="G756" s="1485"/>
      <c r="H756" s="1485"/>
      <c r="I756" s="1485"/>
    </row>
    <row r="757" spans="1:9" x14ac:dyDescent="0.3">
      <c r="A757" s="1410"/>
      <c r="B757" s="1410"/>
      <c r="C757" s="1494"/>
      <c r="D757" s="1485"/>
      <c r="E757" s="1485"/>
      <c r="F757" s="1485"/>
      <c r="G757" s="1485"/>
      <c r="H757" s="1485"/>
      <c r="I757" s="1485"/>
    </row>
    <row r="758" spans="1:9" x14ac:dyDescent="0.3">
      <c r="A758" s="1410"/>
      <c r="B758" s="1410"/>
      <c r="C758" s="1494"/>
      <c r="D758" s="1485"/>
      <c r="E758" s="1485"/>
      <c r="F758" s="1485"/>
      <c r="G758" s="1485"/>
      <c r="H758" s="1485"/>
      <c r="I758" s="1485"/>
    </row>
    <row r="759" spans="1:9" x14ac:dyDescent="0.3">
      <c r="A759" s="1410"/>
      <c r="B759" s="1410"/>
      <c r="C759" s="1494"/>
      <c r="D759" s="1485"/>
      <c r="E759" s="1485"/>
      <c r="F759" s="1485"/>
      <c r="G759" s="1485"/>
      <c r="H759" s="1485"/>
      <c r="I759" s="1485"/>
    </row>
    <row r="760" spans="1:9" x14ac:dyDescent="0.3">
      <c r="A760" s="1410"/>
      <c r="B760" s="1410"/>
      <c r="C760" s="1494"/>
      <c r="D760" s="1485"/>
      <c r="E760" s="1485"/>
      <c r="F760" s="1485"/>
      <c r="G760" s="1485"/>
      <c r="H760" s="1485"/>
      <c r="I760" s="1485"/>
    </row>
    <row r="761" spans="1:9" x14ac:dyDescent="0.3">
      <c r="A761" s="1410"/>
      <c r="B761" s="1410"/>
      <c r="C761" s="1494"/>
      <c r="D761" s="1485"/>
      <c r="E761" s="1485"/>
      <c r="F761" s="1485"/>
      <c r="G761" s="1485"/>
      <c r="H761" s="1485"/>
      <c r="I761" s="1485"/>
    </row>
    <row r="762" spans="1:9" x14ac:dyDescent="0.3">
      <c r="A762" s="1410"/>
      <c r="B762" s="1410"/>
      <c r="C762" s="1494"/>
      <c r="D762" s="1485"/>
      <c r="E762" s="1485"/>
      <c r="F762" s="1485"/>
      <c r="G762" s="1485"/>
      <c r="H762" s="1485"/>
      <c r="I762" s="1485"/>
    </row>
    <row r="763" spans="1:9" x14ac:dyDescent="0.3">
      <c r="A763" s="1410"/>
      <c r="B763" s="1410"/>
      <c r="C763" s="1494"/>
      <c r="D763" s="1485"/>
      <c r="E763" s="1485"/>
      <c r="F763" s="1485"/>
      <c r="G763" s="1485"/>
      <c r="H763" s="1485"/>
      <c r="I763" s="1485"/>
    </row>
    <row r="764" spans="1:9" x14ac:dyDescent="0.3">
      <c r="A764" s="1410"/>
      <c r="B764" s="1410"/>
      <c r="C764" s="1494"/>
      <c r="D764" s="1485"/>
      <c r="E764" s="1485"/>
      <c r="F764" s="1485"/>
      <c r="G764" s="1485"/>
      <c r="H764" s="1485"/>
      <c r="I764" s="1485"/>
    </row>
    <row r="765" spans="1:9" x14ac:dyDescent="0.3">
      <c r="A765" s="1410"/>
      <c r="B765" s="1410"/>
      <c r="C765" s="1494"/>
      <c r="D765" s="1485"/>
      <c r="E765" s="1485"/>
      <c r="F765" s="1485"/>
      <c r="G765" s="1485"/>
      <c r="H765" s="1485"/>
      <c r="I765" s="1485"/>
    </row>
    <row r="766" spans="1:9" x14ac:dyDescent="0.3">
      <c r="A766" s="1410"/>
      <c r="B766" s="1410"/>
      <c r="C766" s="1494"/>
      <c r="D766" s="1485"/>
      <c r="E766" s="1485"/>
      <c r="F766" s="1485"/>
      <c r="G766" s="1485"/>
      <c r="H766" s="1485"/>
      <c r="I766" s="1485"/>
    </row>
    <row r="767" spans="1:9" x14ac:dyDescent="0.3">
      <c r="A767" s="1410"/>
      <c r="B767" s="1410"/>
      <c r="C767" s="1494"/>
      <c r="D767" s="1485"/>
      <c r="E767" s="1485"/>
      <c r="F767" s="1485"/>
      <c r="G767" s="1485"/>
      <c r="H767" s="1485"/>
      <c r="I767" s="1485"/>
    </row>
    <row r="768" spans="1:9" x14ac:dyDescent="0.3">
      <c r="A768" s="1410"/>
      <c r="B768" s="1410"/>
      <c r="C768" s="1494"/>
      <c r="D768" s="1485"/>
      <c r="E768" s="1485"/>
      <c r="F768" s="1485"/>
      <c r="G768" s="1485"/>
      <c r="H768" s="1485"/>
      <c r="I768" s="1485"/>
    </row>
    <row r="769" spans="1:9" x14ac:dyDescent="0.3">
      <c r="A769" s="1410"/>
      <c r="B769" s="1410"/>
      <c r="C769" s="1494"/>
      <c r="D769" s="1485"/>
      <c r="E769" s="1485"/>
      <c r="F769" s="1485"/>
      <c r="G769" s="1485"/>
      <c r="H769" s="1485"/>
      <c r="I769" s="1485"/>
    </row>
    <row r="770" spans="1:9" x14ac:dyDescent="0.3">
      <c r="A770" s="1410"/>
      <c r="B770" s="1410"/>
      <c r="C770" s="1494"/>
      <c r="D770" s="1485"/>
      <c r="E770" s="1485"/>
      <c r="F770" s="1485"/>
      <c r="G770" s="1485"/>
      <c r="H770" s="1485"/>
      <c r="I770" s="1485"/>
    </row>
    <row r="771" spans="1:9" x14ac:dyDescent="0.3">
      <c r="A771" s="1410"/>
      <c r="B771" s="1410"/>
      <c r="C771" s="1494"/>
      <c r="D771" s="1485"/>
      <c r="E771" s="1485"/>
      <c r="F771" s="1485"/>
      <c r="G771" s="1485"/>
      <c r="H771" s="1485"/>
      <c r="I771" s="1485"/>
    </row>
    <row r="772" spans="1:9" x14ac:dyDescent="0.3">
      <c r="A772" s="1410"/>
      <c r="B772" s="1410"/>
      <c r="C772" s="1494"/>
      <c r="D772" s="1485"/>
      <c r="E772" s="1485"/>
      <c r="F772" s="1485"/>
      <c r="G772" s="1485"/>
      <c r="H772" s="1485"/>
      <c r="I772" s="1485"/>
    </row>
    <row r="773" spans="1:9" x14ac:dyDescent="0.3">
      <c r="A773" s="1410"/>
      <c r="B773" s="1410"/>
      <c r="C773" s="1494"/>
      <c r="D773" s="1485"/>
      <c r="E773" s="1485"/>
      <c r="F773" s="1485"/>
      <c r="G773" s="1485"/>
      <c r="H773" s="1485"/>
      <c r="I773" s="1485"/>
    </row>
    <row r="774" spans="1:9" x14ac:dyDescent="0.3">
      <c r="A774" s="1410"/>
      <c r="B774" s="1410"/>
      <c r="C774" s="1494"/>
      <c r="D774" s="1485"/>
      <c r="E774" s="1485"/>
      <c r="F774" s="1485"/>
      <c r="G774" s="1485"/>
      <c r="H774" s="1485"/>
      <c r="I774" s="1485"/>
    </row>
    <row r="775" spans="1:9" x14ac:dyDescent="0.3">
      <c r="A775" s="1410"/>
      <c r="B775" s="1410"/>
      <c r="C775" s="1494"/>
      <c r="D775" s="1485"/>
      <c r="E775" s="1485"/>
      <c r="F775" s="1485"/>
      <c r="G775" s="1485"/>
      <c r="H775" s="1485"/>
      <c r="I775" s="1485"/>
    </row>
    <row r="776" spans="1:9" x14ac:dyDescent="0.3">
      <c r="A776" s="1410"/>
      <c r="B776" s="1410"/>
      <c r="C776" s="1494"/>
      <c r="D776" s="1485"/>
      <c r="E776" s="1485"/>
      <c r="F776" s="1485"/>
      <c r="G776" s="1485"/>
      <c r="H776" s="1485"/>
      <c r="I776" s="1485"/>
    </row>
    <row r="777" spans="1:9" x14ac:dyDescent="0.3">
      <c r="A777" s="1410"/>
      <c r="B777" s="1410"/>
      <c r="C777" s="1494"/>
      <c r="D777" s="1485"/>
      <c r="E777" s="1485"/>
      <c r="F777" s="1485"/>
      <c r="G777" s="1485"/>
      <c r="H777" s="1485"/>
      <c r="I777" s="1485"/>
    </row>
    <row r="778" spans="1:9" x14ac:dyDescent="0.3">
      <c r="A778" s="1410"/>
      <c r="B778" s="1410"/>
      <c r="C778" s="1494"/>
      <c r="D778" s="1485"/>
      <c r="E778" s="1485"/>
      <c r="F778" s="1485"/>
      <c r="G778" s="1485"/>
      <c r="H778" s="1485"/>
      <c r="I778" s="1485"/>
    </row>
    <row r="779" spans="1:9" x14ac:dyDescent="0.3">
      <c r="A779" s="1410"/>
      <c r="B779" s="1410"/>
      <c r="C779" s="1494"/>
      <c r="D779" s="1485"/>
      <c r="E779" s="1485"/>
      <c r="F779" s="1485"/>
      <c r="G779" s="1485"/>
      <c r="H779" s="1485"/>
      <c r="I779" s="1485"/>
    </row>
    <row r="780" spans="1:9" x14ac:dyDescent="0.3">
      <c r="A780" s="1410"/>
      <c r="B780" s="1410"/>
      <c r="C780" s="1494"/>
      <c r="D780" s="1485"/>
      <c r="E780" s="1485"/>
      <c r="F780" s="1485"/>
      <c r="G780" s="1485"/>
      <c r="H780" s="1485"/>
      <c r="I780" s="1485"/>
    </row>
    <row r="781" spans="1:9" x14ac:dyDescent="0.3">
      <c r="A781" s="1410"/>
      <c r="B781" s="1410"/>
      <c r="C781" s="1494"/>
      <c r="D781" s="1485"/>
      <c r="E781" s="1485"/>
      <c r="F781" s="1485"/>
      <c r="G781" s="1485"/>
      <c r="H781" s="1485"/>
      <c r="I781" s="1485"/>
    </row>
    <row r="782" spans="1:9" x14ac:dyDescent="0.3">
      <c r="A782" s="1410"/>
      <c r="B782" s="1410"/>
      <c r="C782" s="1494"/>
      <c r="D782" s="1485"/>
      <c r="E782" s="1485"/>
      <c r="F782" s="1485"/>
      <c r="G782" s="1485"/>
      <c r="H782" s="1485"/>
      <c r="I782" s="1485"/>
    </row>
    <row r="783" spans="1:9" x14ac:dyDescent="0.3">
      <c r="A783" s="1410"/>
      <c r="B783" s="1410"/>
      <c r="C783" s="1494"/>
      <c r="D783" s="1485"/>
      <c r="E783" s="1485"/>
      <c r="F783" s="1485"/>
      <c r="G783" s="1485"/>
      <c r="H783" s="1485"/>
      <c r="I783" s="1485"/>
    </row>
    <row r="784" spans="1:9" x14ac:dyDescent="0.3">
      <c r="A784" s="1410"/>
      <c r="B784" s="1410"/>
      <c r="C784" s="1494"/>
      <c r="D784" s="1485"/>
      <c r="E784" s="1485"/>
      <c r="F784" s="1485"/>
      <c r="G784" s="1485"/>
      <c r="H784" s="1485"/>
      <c r="I784" s="1485"/>
    </row>
    <row r="785" spans="1:9" x14ac:dyDescent="0.3">
      <c r="A785" s="1410"/>
      <c r="B785" s="1410"/>
      <c r="C785" s="1494"/>
      <c r="D785" s="1485"/>
      <c r="E785" s="1485"/>
      <c r="F785" s="1485"/>
      <c r="G785" s="1485"/>
      <c r="H785" s="1485"/>
      <c r="I785" s="1485"/>
    </row>
    <row r="786" spans="1:9" x14ac:dyDescent="0.3">
      <c r="A786" s="1410"/>
      <c r="B786" s="1410"/>
      <c r="C786" s="1494"/>
      <c r="D786" s="1485"/>
      <c r="E786" s="1485"/>
      <c r="F786" s="1485"/>
      <c r="G786" s="1485"/>
      <c r="H786" s="1485"/>
      <c r="I786" s="1485"/>
    </row>
    <row r="787" spans="1:9" x14ac:dyDescent="0.3">
      <c r="A787" s="1410"/>
      <c r="B787" s="1410"/>
      <c r="C787" s="1494"/>
      <c r="D787" s="1485"/>
      <c r="E787" s="1485"/>
      <c r="F787" s="1485"/>
      <c r="G787" s="1485"/>
      <c r="H787" s="1485"/>
      <c r="I787" s="1485"/>
    </row>
    <row r="788" spans="1:9" x14ac:dyDescent="0.3">
      <c r="A788" s="1410"/>
      <c r="B788" s="1410"/>
      <c r="C788" s="1494"/>
      <c r="D788" s="1485"/>
      <c r="E788" s="1485"/>
      <c r="F788" s="1485"/>
      <c r="G788" s="1485"/>
      <c r="H788" s="1485"/>
      <c r="I788" s="1485"/>
    </row>
    <row r="789" spans="1:9" x14ac:dyDescent="0.3">
      <c r="A789" s="1410"/>
      <c r="B789" s="1410"/>
      <c r="C789" s="1494"/>
      <c r="D789" s="1485"/>
      <c r="E789" s="1485"/>
      <c r="F789" s="1485"/>
      <c r="G789" s="1485"/>
      <c r="H789" s="1485"/>
      <c r="I789" s="1485"/>
    </row>
    <row r="790" spans="1:9" x14ac:dyDescent="0.3">
      <c r="A790" s="1410"/>
      <c r="B790" s="1410"/>
      <c r="C790" s="1494"/>
      <c r="D790" s="1485"/>
      <c r="E790" s="1485"/>
      <c r="F790" s="1485"/>
      <c r="G790" s="1485"/>
      <c r="H790" s="1485"/>
      <c r="I790" s="1485"/>
    </row>
    <row r="791" spans="1:9" x14ac:dyDescent="0.3">
      <c r="A791" s="1410"/>
      <c r="B791" s="1410"/>
      <c r="C791" s="1494"/>
      <c r="D791" s="1485"/>
      <c r="E791" s="1485"/>
      <c r="F791" s="1485"/>
      <c r="G791" s="1485"/>
      <c r="H791" s="1485"/>
      <c r="I791" s="1485"/>
    </row>
    <row r="792" spans="1:9" x14ac:dyDescent="0.3">
      <c r="A792" s="1410"/>
      <c r="B792" s="1410"/>
      <c r="C792" s="1494"/>
      <c r="D792" s="1485"/>
      <c r="E792" s="1485"/>
      <c r="F792" s="1485"/>
      <c r="G792" s="1485"/>
      <c r="H792" s="1485"/>
      <c r="I792" s="1485"/>
    </row>
    <row r="793" spans="1:9" x14ac:dyDescent="0.3">
      <c r="A793" s="1410"/>
      <c r="B793" s="1410"/>
      <c r="C793" s="1494"/>
      <c r="D793" s="1485"/>
      <c r="E793" s="1485"/>
      <c r="F793" s="1485"/>
      <c r="G793" s="1485"/>
      <c r="H793" s="1485"/>
      <c r="I793" s="1485"/>
    </row>
    <row r="794" spans="1:9" x14ac:dyDescent="0.3">
      <c r="A794" s="1410"/>
      <c r="B794" s="1410"/>
      <c r="C794" s="1494"/>
      <c r="D794" s="1485"/>
      <c r="E794" s="1485"/>
      <c r="F794" s="1485"/>
      <c r="G794" s="1485"/>
      <c r="H794" s="1485"/>
      <c r="I794" s="1485"/>
    </row>
    <row r="795" spans="1:9" x14ac:dyDescent="0.3">
      <c r="A795" s="1410"/>
      <c r="B795" s="1410"/>
      <c r="C795" s="1494"/>
      <c r="D795" s="1485"/>
      <c r="E795" s="1485"/>
      <c r="F795" s="1485"/>
      <c r="G795" s="1485"/>
      <c r="H795" s="1485"/>
      <c r="I795" s="1485"/>
    </row>
    <row r="796" spans="1:9" x14ac:dyDescent="0.3">
      <c r="A796" s="1410"/>
      <c r="B796" s="1410"/>
      <c r="C796" s="1494"/>
      <c r="D796" s="1485"/>
      <c r="E796" s="1485"/>
      <c r="F796" s="1485"/>
      <c r="G796" s="1485"/>
      <c r="H796" s="1485"/>
      <c r="I796" s="1485"/>
    </row>
    <row r="797" spans="1:9" x14ac:dyDescent="0.3">
      <c r="A797" s="1410"/>
      <c r="B797" s="1410"/>
      <c r="C797" s="1494"/>
      <c r="D797" s="1485"/>
      <c r="E797" s="1485"/>
      <c r="F797" s="1485"/>
      <c r="G797" s="1485"/>
      <c r="H797" s="1485"/>
      <c r="I797" s="1485"/>
    </row>
    <row r="798" spans="1:9" x14ac:dyDescent="0.3">
      <c r="A798" s="1410"/>
      <c r="B798" s="1410"/>
      <c r="C798" s="1494"/>
      <c r="D798" s="1485"/>
      <c r="E798" s="1485"/>
      <c r="F798" s="1485"/>
      <c r="G798" s="1485"/>
      <c r="H798" s="1485"/>
      <c r="I798" s="1485"/>
    </row>
    <row r="799" spans="1:9" x14ac:dyDescent="0.3">
      <c r="A799" s="1410"/>
      <c r="B799" s="1410"/>
      <c r="C799" s="1494"/>
      <c r="D799" s="1485"/>
      <c r="E799" s="1485"/>
      <c r="F799" s="1485"/>
      <c r="G799" s="1485"/>
      <c r="H799" s="1485"/>
      <c r="I799" s="1485"/>
    </row>
    <row r="800" spans="1:9" x14ac:dyDescent="0.3">
      <c r="A800" s="1410"/>
      <c r="B800" s="1410"/>
      <c r="C800" s="1494"/>
      <c r="D800" s="1485"/>
      <c r="E800" s="1485"/>
      <c r="F800" s="1485"/>
      <c r="G800" s="1485"/>
      <c r="H800" s="1485"/>
      <c r="I800" s="1485"/>
    </row>
    <row r="801" spans="1:9" x14ac:dyDescent="0.3">
      <c r="A801" s="1410"/>
      <c r="B801" s="1410"/>
      <c r="C801" s="1494"/>
      <c r="D801" s="1485"/>
      <c r="E801" s="1485"/>
      <c r="F801" s="1485"/>
      <c r="G801" s="1485"/>
      <c r="H801" s="1485"/>
      <c r="I801" s="1485"/>
    </row>
    <row r="802" spans="1:9" x14ac:dyDescent="0.3">
      <c r="A802" s="1410"/>
      <c r="B802" s="1410"/>
      <c r="C802" s="1494"/>
      <c r="D802" s="1485"/>
      <c r="E802" s="1485"/>
      <c r="F802" s="1485"/>
      <c r="G802" s="1485"/>
      <c r="H802" s="1485"/>
      <c r="I802" s="1485"/>
    </row>
    <row r="803" spans="1:9" x14ac:dyDescent="0.3">
      <c r="A803" s="1410"/>
      <c r="B803" s="1410"/>
      <c r="C803" s="1494"/>
      <c r="D803" s="1485"/>
      <c r="E803" s="1485"/>
      <c r="F803" s="1485"/>
      <c r="G803" s="1485"/>
      <c r="H803" s="1485"/>
      <c r="I803" s="1485"/>
    </row>
    <row r="804" spans="1:9" x14ac:dyDescent="0.3">
      <c r="A804" s="1410"/>
      <c r="B804" s="1410"/>
      <c r="C804" s="1494"/>
      <c r="D804" s="1485"/>
      <c r="E804" s="1485"/>
      <c r="F804" s="1485"/>
      <c r="G804" s="1485"/>
      <c r="H804" s="1485"/>
      <c r="I804" s="1485"/>
    </row>
    <row r="805" spans="1:9" x14ac:dyDescent="0.3">
      <c r="A805" s="1410"/>
      <c r="B805" s="1410"/>
      <c r="C805" s="1494"/>
      <c r="D805" s="1485"/>
      <c r="E805" s="1485"/>
      <c r="F805" s="1485"/>
      <c r="G805" s="1485"/>
      <c r="H805" s="1485"/>
      <c r="I805" s="1485"/>
    </row>
    <row r="806" spans="1:9" x14ac:dyDescent="0.3">
      <c r="A806" s="1410"/>
      <c r="B806" s="1410"/>
      <c r="C806" s="1494"/>
      <c r="D806" s="1485"/>
      <c r="E806" s="1485"/>
      <c r="F806" s="1485"/>
      <c r="G806" s="1485"/>
      <c r="H806" s="1485"/>
      <c r="I806" s="1485"/>
    </row>
    <row r="807" spans="1:9" x14ac:dyDescent="0.3">
      <c r="A807" s="1410"/>
      <c r="B807" s="1410"/>
      <c r="C807" s="1494"/>
      <c r="D807" s="1485"/>
      <c r="E807" s="1485"/>
      <c r="F807" s="1485"/>
      <c r="G807" s="1485"/>
      <c r="H807" s="1485"/>
      <c r="I807" s="1485"/>
    </row>
    <row r="808" spans="1:9" x14ac:dyDescent="0.3">
      <c r="A808" s="1410"/>
      <c r="B808" s="1410"/>
      <c r="C808" s="1494"/>
      <c r="D808" s="1485"/>
      <c r="E808" s="1485"/>
      <c r="F808" s="1485"/>
      <c r="G808" s="1485"/>
      <c r="H808" s="1485"/>
      <c r="I808" s="1485"/>
    </row>
    <row r="809" spans="1:9" x14ac:dyDescent="0.3">
      <c r="A809" s="1410"/>
      <c r="B809" s="1410"/>
      <c r="C809" s="1494"/>
      <c r="D809" s="1485"/>
      <c r="E809" s="1485"/>
      <c r="F809" s="1485"/>
      <c r="G809" s="1485"/>
      <c r="H809" s="1485"/>
      <c r="I809" s="1485"/>
    </row>
    <row r="810" spans="1:9" x14ac:dyDescent="0.3">
      <c r="A810" s="1410"/>
      <c r="B810" s="1410"/>
      <c r="C810" s="1494"/>
      <c r="D810" s="1485"/>
      <c r="E810" s="1485"/>
      <c r="F810" s="1485"/>
      <c r="G810" s="1485"/>
      <c r="H810" s="1485"/>
      <c r="I810" s="1485"/>
    </row>
    <row r="811" spans="1:9" x14ac:dyDescent="0.3">
      <c r="A811" s="1410"/>
      <c r="B811" s="1410"/>
      <c r="C811" s="1494"/>
      <c r="D811" s="1485"/>
      <c r="E811" s="1485"/>
      <c r="F811" s="1485"/>
      <c r="G811" s="1485"/>
      <c r="H811" s="1485"/>
      <c r="I811" s="1485"/>
    </row>
    <row r="812" spans="1:9" x14ac:dyDescent="0.3">
      <c r="A812" s="1410"/>
      <c r="B812" s="1410"/>
      <c r="C812" s="1494"/>
      <c r="D812" s="1485"/>
      <c r="E812" s="1485"/>
      <c r="F812" s="1485"/>
      <c r="G812" s="1485"/>
      <c r="H812" s="1485"/>
      <c r="I812" s="1485"/>
    </row>
    <row r="813" spans="1:9" x14ac:dyDescent="0.3">
      <c r="A813" s="1410"/>
      <c r="B813" s="1410"/>
      <c r="C813" s="1494"/>
      <c r="D813" s="1485"/>
      <c r="E813" s="1485"/>
      <c r="F813" s="1485"/>
      <c r="G813" s="1485"/>
      <c r="H813" s="1485"/>
      <c r="I813" s="1485"/>
    </row>
    <row r="814" spans="1:9" x14ac:dyDescent="0.3">
      <c r="A814" s="1410"/>
      <c r="B814" s="1410"/>
      <c r="C814" s="1494"/>
      <c r="D814" s="1485"/>
      <c r="E814" s="1485"/>
      <c r="F814" s="1485"/>
      <c r="G814" s="1485"/>
      <c r="H814" s="1485"/>
      <c r="I814" s="1485"/>
    </row>
    <row r="815" spans="1:9" x14ac:dyDescent="0.3">
      <c r="A815" s="1410"/>
      <c r="B815" s="1410"/>
      <c r="C815" s="1494"/>
      <c r="D815" s="1485"/>
      <c r="E815" s="1485"/>
      <c r="F815" s="1485"/>
      <c r="G815" s="1485"/>
      <c r="H815" s="1485"/>
      <c r="I815" s="1485"/>
    </row>
    <row r="816" spans="1:9" x14ac:dyDescent="0.3">
      <c r="A816" s="1410"/>
      <c r="B816" s="1410"/>
      <c r="C816" s="1494"/>
      <c r="D816" s="1485"/>
      <c r="E816" s="1485"/>
      <c r="F816" s="1485"/>
      <c r="G816" s="1485"/>
      <c r="H816" s="1485"/>
      <c r="I816" s="1485"/>
    </row>
    <row r="817" spans="1:9" x14ac:dyDescent="0.3">
      <c r="A817" s="1410"/>
      <c r="B817" s="1410"/>
      <c r="C817" s="1494"/>
      <c r="D817" s="1485"/>
      <c r="E817" s="1485"/>
      <c r="F817" s="1485"/>
      <c r="G817" s="1485"/>
      <c r="H817" s="1485"/>
      <c r="I817" s="1485"/>
    </row>
    <row r="818" spans="1:9" x14ac:dyDescent="0.3">
      <c r="A818" s="1410"/>
      <c r="B818" s="1410"/>
      <c r="C818" s="1494"/>
      <c r="D818" s="1485"/>
      <c r="E818" s="1485"/>
      <c r="F818" s="1485"/>
      <c r="G818" s="1485"/>
      <c r="H818" s="1485"/>
      <c r="I818" s="1485"/>
    </row>
    <row r="819" spans="1:9" x14ac:dyDescent="0.3">
      <c r="A819" s="1410"/>
      <c r="B819" s="1410"/>
      <c r="C819" s="1494"/>
      <c r="D819" s="1485"/>
      <c r="E819" s="1485"/>
      <c r="F819" s="1485"/>
      <c r="G819" s="1485"/>
      <c r="H819" s="1485"/>
      <c r="I819" s="1485"/>
    </row>
    <row r="820" spans="1:9" x14ac:dyDescent="0.3">
      <c r="A820" s="1410"/>
      <c r="B820" s="1410"/>
      <c r="C820" s="1494"/>
      <c r="D820" s="1485"/>
      <c r="E820" s="1485"/>
      <c r="F820" s="1485"/>
      <c r="G820" s="1485"/>
      <c r="H820" s="1485"/>
      <c r="I820" s="1485"/>
    </row>
    <row r="821" spans="1:9" x14ac:dyDescent="0.3">
      <c r="A821" s="1410"/>
      <c r="B821" s="1410"/>
      <c r="C821" s="1494"/>
      <c r="D821" s="1485"/>
      <c r="E821" s="1485"/>
      <c r="F821" s="1485"/>
      <c r="G821" s="1485"/>
      <c r="H821" s="1485"/>
      <c r="I821" s="1485"/>
    </row>
    <row r="822" spans="1:9" x14ac:dyDescent="0.3">
      <c r="A822" s="1410"/>
      <c r="B822" s="1410"/>
      <c r="C822" s="1494"/>
      <c r="D822" s="1485"/>
      <c r="E822" s="1485"/>
      <c r="F822" s="1485"/>
      <c r="G822" s="1485"/>
      <c r="H822" s="1485"/>
      <c r="I822" s="1485"/>
    </row>
    <row r="823" spans="1:9" x14ac:dyDescent="0.3">
      <c r="A823" s="1410"/>
      <c r="B823" s="1410"/>
      <c r="C823" s="1494"/>
      <c r="D823" s="1485"/>
      <c r="E823" s="1485"/>
      <c r="F823" s="1485"/>
      <c r="G823" s="1485"/>
      <c r="H823" s="1485"/>
      <c r="I823" s="1485"/>
    </row>
    <row r="824" spans="1:9" x14ac:dyDescent="0.3">
      <c r="A824" s="1410"/>
      <c r="B824" s="1410"/>
      <c r="C824" s="1494"/>
      <c r="D824" s="1485"/>
      <c r="E824" s="1485"/>
      <c r="F824" s="1485"/>
      <c r="G824" s="1485"/>
      <c r="H824" s="1485"/>
      <c r="I824" s="1485"/>
    </row>
    <row r="825" spans="1:9" x14ac:dyDescent="0.3">
      <c r="A825" s="1410"/>
      <c r="B825" s="1410"/>
      <c r="C825" s="1494"/>
      <c r="D825" s="1485"/>
      <c r="E825" s="1485"/>
      <c r="F825" s="1485"/>
      <c r="G825" s="1485"/>
      <c r="H825" s="1485"/>
      <c r="I825" s="1485"/>
    </row>
    <row r="826" spans="1:9" x14ac:dyDescent="0.3">
      <c r="A826" s="1410"/>
      <c r="B826" s="1410"/>
      <c r="C826" s="1494"/>
      <c r="D826" s="1485"/>
      <c r="E826" s="1485"/>
      <c r="F826" s="1485"/>
      <c r="G826" s="1485"/>
      <c r="H826" s="1485"/>
      <c r="I826" s="1485"/>
    </row>
    <row r="827" spans="1:9" x14ac:dyDescent="0.3">
      <c r="A827" s="1410"/>
      <c r="B827" s="1410"/>
      <c r="C827" s="1494"/>
      <c r="D827" s="1485"/>
      <c r="E827" s="1485"/>
      <c r="F827" s="1485"/>
      <c r="G827" s="1485"/>
      <c r="H827" s="1485"/>
      <c r="I827" s="1485"/>
    </row>
    <row r="828" spans="1:9" x14ac:dyDescent="0.3">
      <c r="A828" s="1410"/>
      <c r="B828" s="1410"/>
      <c r="C828" s="1494"/>
      <c r="D828" s="1485"/>
      <c r="E828" s="1485"/>
      <c r="F828" s="1485"/>
      <c r="G828" s="1485"/>
      <c r="H828" s="1485"/>
      <c r="I828" s="1485"/>
    </row>
    <row r="829" spans="1:9" x14ac:dyDescent="0.3">
      <c r="A829" s="1410"/>
      <c r="B829" s="1410"/>
      <c r="C829" s="1494"/>
      <c r="D829" s="1485"/>
      <c r="E829" s="1485"/>
      <c r="F829" s="1485"/>
      <c r="G829" s="1485"/>
      <c r="H829" s="1485"/>
      <c r="I829" s="1485"/>
    </row>
    <row r="830" spans="1:9" x14ac:dyDescent="0.3">
      <c r="A830" s="1410"/>
      <c r="B830" s="1410"/>
      <c r="C830" s="1494"/>
      <c r="D830" s="1485"/>
      <c r="E830" s="1485"/>
      <c r="F830" s="1485"/>
      <c r="G830" s="1485"/>
      <c r="H830" s="1485"/>
      <c r="I830" s="1485"/>
    </row>
    <row r="831" spans="1:9" x14ac:dyDescent="0.3">
      <c r="A831" s="1410"/>
      <c r="B831" s="1410"/>
      <c r="C831" s="1494"/>
      <c r="D831" s="1485"/>
      <c r="E831" s="1485"/>
      <c r="F831" s="1485"/>
      <c r="G831" s="1485"/>
      <c r="H831" s="1485"/>
      <c r="I831" s="1485"/>
    </row>
    <row r="832" spans="1:9" x14ac:dyDescent="0.3">
      <c r="A832" s="1410"/>
      <c r="B832" s="1410"/>
      <c r="C832" s="1494"/>
      <c r="D832" s="1485"/>
      <c r="E832" s="1485"/>
      <c r="F832" s="1485"/>
      <c r="G832" s="1485"/>
      <c r="H832" s="1485"/>
      <c r="I832" s="1485"/>
    </row>
    <row r="833" spans="1:9" x14ac:dyDescent="0.3">
      <c r="A833" s="1410"/>
      <c r="B833" s="1410"/>
      <c r="C833" s="1494"/>
      <c r="D833" s="1485"/>
      <c r="E833" s="1485"/>
      <c r="F833" s="1485"/>
      <c r="G833" s="1485"/>
      <c r="H833" s="1485"/>
      <c r="I833" s="1485"/>
    </row>
    <row r="834" spans="1:9" x14ac:dyDescent="0.3">
      <c r="A834" s="1410"/>
      <c r="B834" s="1410"/>
      <c r="C834" s="1494"/>
      <c r="D834" s="1485"/>
      <c r="E834" s="1485"/>
      <c r="F834" s="1485"/>
      <c r="G834" s="1485"/>
      <c r="H834" s="1485"/>
      <c r="I834" s="1485"/>
    </row>
    <row r="835" spans="1:9" x14ac:dyDescent="0.3">
      <c r="A835" s="1410"/>
      <c r="B835" s="1410"/>
      <c r="C835" s="1494"/>
      <c r="D835" s="1485"/>
      <c r="E835" s="1485"/>
      <c r="F835" s="1485"/>
      <c r="G835" s="1485"/>
      <c r="H835" s="1485"/>
      <c r="I835" s="1485"/>
    </row>
    <row r="836" spans="1:9" x14ac:dyDescent="0.3">
      <c r="A836" s="1410"/>
      <c r="B836" s="1410"/>
      <c r="C836" s="1494"/>
      <c r="D836" s="1485"/>
      <c r="E836" s="1485"/>
      <c r="F836" s="1485"/>
      <c r="G836" s="1485"/>
      <c r="H836" s="1485"/>
      <c r="I836" s="1485"/>
    </row>
    <row r="837" spans="1:9" x14ac:dyDescent="0.3">
      <c r="A837" s="1410"/>
      <c r="B837" s="1410"/>
      <c r="C837" s="1494"/>
      <c r="D837" s="1485"/>
      <c r="E837" s="1485"/>
      <c r="F837" s="1485"/>
      <c r="G837" s="1485"/>
      <c r="H837" s="1485"/>
      <c r="I837" s="1485"/>
    </row>
    <row r="838" spans="1:9" x14ac:dyDescent="0.3">
      <c r="A838" s="1410"/>
      <c r="B838" s="1410"/>
      <c r="C838" s="1494"/>
      <c r="D838" s="1485"/>
      <c r="E838" s="1485"/>
      <c r="F838" s="1485"/>
      <c r="G838" s="1485"/>
      <c r="H838" s="1485"/>
      <c r="I838" s="1485"/>
    </row>
    <row r="839" spans="1:9" x14ac:dyDescent="0.3">
      <c r="A839" s="1410"/>
      <c r="B839" s="1410"/>
      <c r="C839" s="1494"/>
      <c r="D839" s="1485"/>
      <c r="E839" s="1485"/>
      <c r="F839" s="1485"/>
      <c r="G839" s="1485"/>
      <c r="H839" s="1485"/>
      <c r="I839" s="1485"/>
    </row>
    <row r="840" spans="1:9" x14ac:dyDescent="0.3">
      <c r="A840" s="1410"/>
      <c r="B840" s="1410"/>
      <c r="C840" s="1494"/>
      <c r="D840" s="1485"/>
      <c r="E840" s="1485"/>
      <c r="F840" s="1485"/>
      <c r="G840" s="1485"/>
      <c r="H840" s="1485"/>
      <c r="I840" s="1485"/>
    </row>
    <row r="841" spans="1:9" x14ac:dyDescent="0.3">
      <c r="A841" s="1410"/>
      <c r="B841" s="1410"/>
      <c r="C841" s="1494"/>
      <c r="D841" s="1485"/>
      <c r="E841" s="1485"/>
      <c r="F841" s="1485"/>
      <c r="G841" s="1485"/>
      <c r="H841" s="1485"/>
      <c r="I841" s="1485"/>
    </row>
    <row r="842" spans="1:9" x14ac:dyDescent="0.3">
      <c r="A842" s="1410"/>
      <c r="B842" s="1410"/>
      <c r="C842" s="1494"/>
      <c r="D842" s="1485"/>
      <c r="E842" s="1485"/>
      <c r="F842" s="1485"/>
      <c r="G842" s="1485"/>
      <c r="H842" s="1485"/>
      <c r="I842" s="1485"/>
    </row>
    <row r="843" spans="1:9" x14ac:dyDescent="0.3">
      <c r="A843" s="1410"/>
      <c r="B843" s="1410"/>
      <c r="C843" s="1494"/>
      <c r="D843" s="1485"/>
      <c r="E843" s="1485"/>
      <c r="F843" s="1485"/>
      <c r="G843" s="1485"/>
      <c r="H843" s="1485"/>
      <c r="I843" s="1485"/>
    </row>
    <row r="844" spans="1:9" x14ac:dyDescent="0.3">
      <c r="A844" s="1410"/>
      <c r="B844" s="1410"/>
      <c r="C844" s="1494"/>
      <c r="D844" s="1485"/>
      <c r="E844" s="1485"/>
      <c r="F844" s="1485"/>
      <c r="G844" s="1485"/>
      <c r="H844" s="1485"/>
      <c r="I844" s="1485"/>
    </row>
    <row r="845" spans="1:9" x14ac:dyDescent="0.3">
      <c r="A845" s="1410"/>
      <c r="B845" s="1410"/>
      <c r="C845" s="1494"/>
      <c r="D845" s="1485"/>
      <c r="E845" s="1485"/>
      <c r="F845" s="1485"/>
      <c r="G845" s="1485"/>
      <c r="H845" s="1485"/>
      <c r="I845" s="1485"/>
    </row>
    <row r="846" spans="1:9" x14ac:dyDescent="0.3">
      <c r="A846" s="1410"/>
      <c r="B846" s="1410"/>
      <c r="C846" s="1494"/>
      <c r="D846" s="1485"/>
      <c r="E846" s="1485"/>
      <c r="F846" s="1485"/>
      <c r="G846" s="1485"/>
      <c r="H846" s="1485"/>
      <c r="I846" s="1485"/>
    </row>
    <row r="847" spans="1:9" x14ac:dyDescent="0.3">
      <c r="A847" s="1410"/>
      <c r="B847" s="1410"/>
      <c r="C847" s="1494"/>
      <c r="D847" s="1485"/>
      <c r="E847" s="1485"/>
      <c r="F847" s="1485"/>
      <c r="G847" s="1485"/>
      <c r="H847" s="1485"/>
      <c r="I847" s="1485"/>
    </row>
    <row r="848" spans="1:9" x14ac:dyDescent="0.3">
      <c r="A848" s="1410"/>
      <c r="B848" s="1410"/>
      <c r="C848" s="1494"/>
      <c r="D848" s="1485"/>
      <c r="E848" s="1485"/>
      <c r="F848" s="1485"/>
      <c r="G848" s="1485"/>
      <c r="H848" s="1485"/>
      <c r="I848" s="1485"/>
    </row>
    <row r="849" spans="1:9" x14ac:dyDescent="0.3">
      <c r="A849" s="1410"/>
      <c r="B849" s="1410"/>
      <c r="C849" s="1494"/>
      <c r="D849" s="1485"/>
      <c r="E849" s="1485"/>
      <c r="F849" s="1485"/>
      <c r="G849" s="1485"/>
      <c r="H849" s="1485"/>
      <c r="I849" s="1485"/>
    </row>
    <row r="850" spans="1:9" x14ac:dyDescent="0.3">
      <c r="A850" s="1410"/>
      <c r="B850" s="1410"/>
      <c r="C850" s="1494"/>
      <c r="D850" s="1485"/>
      <c r="E850" s="1485"/>
      <c r="F850" s="1485"/>
      <c r="G850" s="1485"/>
      <c r="H850" s="1485"/>
      <c r="I850" s="1485"/>
    </row>
    <row r="851" spans="1:9" x14ac:dyDescent="0.3">
      <c r="A851" s="1410"/>
      <c r="B851" s="1410"/>
      <c r="C851" s="1494"/>
      <c r="D851" s="1485"/>
      <c r="E851" s="1485"/>
      <c r="F851" s="1485"/>
      <c r="G851" s="1485"/>
      <c r="H851" s="1485"/>
      <c r="I851" s="1485"/>
    </row>
    <row r="852" spans="1:9" x14ac:dyDescent="0.3">
      <c r="A852" s="1410"/>
      <c r="B852" s="1410"/>
      <c r="C852" s="1494"/>
      <c r="D852" s="1485"/>
      <c r="E852" s="1485"/>
      <c r="F852" s="1485"/>
      <c r="G852" s="1485"/>
      <c r="H852" s="1485"/>
      <c r="I852" s="1485"/>
    </row>
    <row r="853" spans="1:9" x14ac:dyDescent="0.3">
      <c r="A853" s="1410"/>
      <c r="B853" s="1410"/>
      <c r="C853" s="1494"/>
      <c r="D853" s="1485"/>
      <c r="E853" s="1485"/>
      <c r="F853" s="1485"/>
      <c r="G853" s="1485"/>
      <c r="H853" s="1485"/>
      <c r="I853" s="1485"/>
    </row>
    <row r="854" spans="1:9" x14ac:dyDescent="0.3">
      <c r="A854" s="1410"/>
      <c r="B854" s="1410"/>
      <c r="C854" s="1494"/>
      <c r="D854" s="1485"/>
      <c r="E854" s="1485"/>
      <c r="F854" s="1485"/>
      <c r="G854" s="1485"/>
      <c r="H854" s="1485"/>
      <c r="I854" s="1485"/>
    </row>
    <row r="855" spans="1:9" x14ac:dyDescent="0.3">
      <c r="A855" s="1410"/>
      <c r="B855" s="1410"/>
      <c r="C855" s="1494"/>
      <c r="D855" s="1485"/>
      <c r="E855" s="1485"/>
      <c r="F855" s="1485"/>
      <c r="G855" s="1485"/>
      <c r="H855" s="1485"/>
      <c r="I855" s="1485"/>
    </row>
    <row r="856" spans="1:9" x14ac:dyDescent="0.3">
      <c r="A856" s="1410"/>
      <c r="B856" s="1410"/>
      <c r="C856" s="1494"/>
      <c r="D856" s="1485"/>
      <c r="E856" s="1485"/>
      <c r="F856" s="1485"/>
      <c r="G856" s="1485"/>
      <c r="H856" s="1485"/>
      <c r="I856" s="1485"/>
    </row>
    <row r="857" spans="1:9" x14ac:dyDescent="0.3">
      <c r="A857" s="1410"/>
      <c r="B857" s="1410"/>
      <c r="C857" s="1494"/>
      <c r="D857" s="1485"/>
      <c r="E857" s="1485"/>
      <c r="F857" s="1485"/>
      <c r="G857" s="1485"/>
      <c r="H857" s="1485"/>
      <c r="I857" s="1485"/>
    </row>
    <row r="858" spans="1:9" x14ac:dyDescent="0.3">
      <c r="A858" s="1410"/>
      <c r="B858" s="1410"/>
      <c r="C858" s="1494"/>
      <c r="D858" s="1485"/>
      <c r="E858" s="1485"/>
      <c r="F858" s="1485"/>
      <c r="G858" s="1485"/>
      <c r="H858" s="1485"/>
      <c r="I858" s="1485"/>
    </row>
    <row r="859" spans="1:9" x14ac:dyDescent="0.3">
      <c r="A859" s="1410"/>
      <c r="B859" s="1410"/>
      <c r="C859" s="1494"/>
      <c r="D859" s="1485"/>
      <c r="E859" s="1485"/>
      <c r="F859" s="1485"/>
      <c r="G859" s="1485"/>
      <c r="H859" s="1485"/>
      <c r="I859" s="1485"/>
    </row>
    <row r="860" spans="1:9" x14ac:dyDescent="0.3">
      <c r="A860" s="1410"/>
      <c r="B860" s="1410"/>
      <c r="C860" s="1494"/>
      <c r="D860" s="1485"/>
      <c r="E860" s="1485"/>
      <c r="F860" s="1485"/>
      <c r="G860" s="1485"/>
      <c r="H860" s="1485"/>
      <c r="I860" s="1485"/>
    </row>
    <row r="861" spans="1:9" x14ac:dyDescent="0.3">
      <c r="A861" s="1410"/>
      <c r="B861" s="1410"/>
      <c r="C861" s="1494"/>
      <c r="D861" s="1485"/>
      <c r="E861" s="1485"/>
      <c r="F861" s="1485"/>
      <c r="G861" s="1485"/>
      <c r="H861" s="1485"/>
      <c r="I861" s="1485"/>
    </row>
    <row r="862" spans="1:9" x14ac:dyDescent="0.3">
      <c r="A862" s="1410"/>
      <c r="B862" s="1410"/>
      <c r="C862" s="1494"/>
      <c r="D862" s="1485"/>
      <c r="E862" s="1485"/>
      <c r="F862" s="1485"/>
      <c r="G862" s="1485"/>
      <c r="H862" s="1485"/>
      <c r="I862" s="1485"/>
    </row>
    <row r="863" spans="1:9" x14ac:dyDescent="0.3">
      <c r="A863" s="1410"/>
      <c r="B863" s="1410"/>
      <c r="C863" s="1494"/>
      <c r="D863" s="1485"/>
      <c r="E863" s="1485"/>
      <c r="F863" s="1485"/>
      <c r="G863" s="1485"/>
      <c r="H863" s="1485"/>
      <c r="I863" s="1485"/>
    </row>
    <row r="864" spans="1:9" x14ac:dyDescent="0.3">
      <c r="A864" s="1410"/>
      <c r="B864" s="1410"/>
      <c r="C864" s="1494"/>
      <c r="D864" s="1485"/>
      <c r="E864" s="1485"/>
      <c r="F864" s="1485"/>
      <c r="G864" s="1485"/>
      <c r="H864" s="1485"/>
      <c r="I864" s="1485"/>
    </row>
    <row r="865" spans="1:9" x14ac:dyDescent="0.3">
      <c r="A865" s="1410"/>
      <c r="B865" s="1410"/>
      <c r="C865" s="1494"/>
      <c r="D865" s="1485"/>
      <c r="E865" s="1485"/>
      <c r="F865" s="1485"/>
      <c r="G865" s="1485"/>
      <c r="H865" s="1485"/>
      <c r="I865" s="1485"/>
    </row>
    <row r="866" spans="1:9" x14ac:dyDescent="0.3">
      <c r="A866" s="1410"/>
      <c r="B866" s="1410"/>
      <c r="C866" s="1494"/>
      <c r="D866" s="1485"/>
      <c r="E866" s="1485"/>
      <c r="F866" s="1485"/>
      <c r="G866" s="1485"/>
      <c r="H866" s="1485"/>
      <c r="I866" s="1485"/>
    </row>
    <row r="867" spans="1:9" x14ac:dyDescent="0.3">
      <c r="A867" s="1410"/>
      <c r="B867" s="1410"/>
      <c r="C867" s="1494"/>
      <c r="D867" s="1485"/>
      <c r="E867" s="1485"/>
      <c r="F867" s="1485"/>
      <c r="G867" s="1485"/>
      <c r="H867" s="1485"/>
      <c r="I867" s="1485"/>
    </row>
    <row r="868" spans="1:9" x14ac:dyDescent="0.3">
      <c r="A868" s="1410"/>
      <c r="B868" s="1410"/>
      <c r="C868" s="1494"/>
      <c r="D868" s="1485"/>
      <c r="E868" s="1485"/>
      <c r="F868" s="1485"/>
      <c r="G868" s="1485"/>
      <c r="H868" s="1485"/>
      <c r="I868" s="1485"/>
    </row>
    <row r="869" spans="1:9" x14ac:dyDescent="0.3">
      <c r="A869" s="1410"/>
      <c r="B869" s="1410"/>
      <c r="C869" s="1494"/>
      <c r="D869" s="1485"/>
      <c r="E869" s="1485"/>
      <c r="F869" s="1485"/>
      <c r="G869" s="1485"/>
      <c r="H869" s="1485"/>
      <c r="I869" s="1485"/>
    </row>
    <row r="870" spans="1:9" x14ac:dyDescent="0.3">
      <c r="A870" s="1410"/>
      <c r="B870" s="1410"/>
      <c r="C870" s="1494"/>
      <c r="D870" s="1485"/>
      <c r="E870" s="1485"/>
      <c r="F870" s="1485"/>
      <c r="G870" s="1485"/>
      <c r="H870" s="1485"/>
      <c r="I870" s="1485"/>
    </row>
    <row r="871" spans="1:9" x14ac:dyDescent="0.3">
      <c r="A871" s="1410"/>
      <c r="B871" s="1410"/>
      <c r="C871" s="1494"/>
      <c r="D871" s="1485"/>
      <c r="E871" s="1485"/>
      <c r="F871" s="1485"/>
      <c r="G871" s="1485"/>
      <c r="H871" s="1485"/>
      <c r="I871" s="1485"/>
    </row>
    <row r="872" spans="1:9" x14ac:dyDescent="0.3">
      <c r="A872" s="1410"/>
      <c r="B872" s="1410"/>
      <c r="C872" s="1494"/>
      <c r="D872" s="1485"/>
      <c r="E872" s="1485"/>
      <c r="F872" s="1485"/>
      <c r="G872" s="1485"/>
      <c r="H872" s="1485"/>
      <c r="I872" s="1485"/>
    </row>
    <row r="873" spans="1:9" x14ac:dyDescent="0.3">
      <c r="A873" s="1410"/>
      <c r="B873" s="1410"/>
      <c r="C873" s="1494"/>
      <c r="D873" s="1485"/>
      <c r="E873" s="1485"/>
      <c r="F873" s="1485"/>
      <c r="G873" s="1485"/>
      <c r="H873" s="1485"/>
      <c r="I873" s="1485"/>
    </row>
    <row r="874" spans="1:9" x14ac:dyDescent="0.3">
      <c r="A874" s="1410"/>
      <c r="B874" s="1410"/>
      <c r="C874" s="1494"/>
      <c r="D874" s="1485"/>
      <c r="E874" s="1485"/>
      <c r="F874" s="1485"/>
      <c r="G874" s="1485"/>
      <c r="H874" s="1485"/>
      <c r="I874" s="1485"/>
    </row>
    <row r="875" spans="1:9" x14ac:dyDescent="0.3">
      <c r="A875" s="1410"/>
      <c r="B875" s="1410"/>
      <c r="C875" s="1494"/>
      <c r="D875" s="1485"/>
      <c r="E875" s="1485"/>
      <c r="F875" s="1485"/>
      <c r="G875" s="1485"/>
      <c r="H875" s="1485"/>
      <c r="I875" s="1485"/>
    </row>
    <row r="876" spans="1:9" x14ac:dyDescent="0.3">
      <c r="A876" s="1410"/>
      <c r="B876" s="1410"/>
      <c r="C876" s="1494"/>
      <c r="D876" s="1485"/>
      <c r="E876" s="1485"/>
      <c r="F876" s="1485"/>
      <c r="G876" s="1485"/>
      <c r="H876" s="1485"/>
      <c r="I876" s="1485"/>
    </row>
    <row r="877" spans="1:9" x14ac:dyDescent="0.3">
      <c r="A877" s="1410"/>
      <c r="B877" s="1410"/>
      <c r="C877" s="1494"/>
      <c r="D877" s="1485"/>
      <c r="E877" s="1485"/>
      <c r="F877" s="1485"/>
      <c r="G877" s="1485"/>
      <c r="H877" s="1485"/>
      <c r="I877" s="1485"/>
    </row>
    <row r="878" spans="1:9" x14ac:dyDescent="0.3">
      <c r="A878" s="1410"/>
      <c r="B878" s="1410"/>
      <c r="C878" s="1494"/>
      <c r="D878" s="1485"/>
      <c r="E878" s="1485"/>
      <c r="F878" s="1485"/>
      <c r="G878" s="1485"/>
      <c r="H878" s="1485"/>
      <c r="I878" s="1485"/>
    </row>
    <row r="879" spans="1:9" x14ac:dyDescent="0.3">
      <c r="A879" s="1410"/>
      <c r="B879" s="1410"/>
      <c r="C879" s="1494"/>
      <c r="D879" s="1485"/>
      <c r="E879" s="1485"/>
      <c r="F879" s="1485"/>
      <c r="G879" s="1485"/>
      <c r="H879" s="1485"/>
      <c r="I879" s="1485"/>
    </row>
    <row r="880" spans="1:9" x14ac:dyDescent="0.3">
      <c r="A880" s="1410"/>
      <c r="B880" s="1410"/>
      <c r="C880" s="1494"/>
      <c r="D880" s="1485"/>
      <c r="E880" s="1485"/>
      <c r="F880" s="1485"/>
      <c r="G880" s="1485"/>
      <c r="H880" s="1485"/>
      <c r="I880" s="1485"/>
    </row>
    <row r="881" spans="1:9" x14ac:dyDescent="0.3">
      <c r="A881" s="1410"/>
      <c r="B881" s="1410"/>
      <c r="C881" s="1494"/>
      <c r="D881" s="1485"/>
      <c r="E881" s="1485"/>
      <c r="F881" s="1485"/>
      <c r="G881" s="1485"/>
      <c r="H881" s="1485"/>
      <c r="I881" s="1485"/>
    </row>
    <row r="882" spans="1:9" x14ac:dyDescent="0.3">
      <c r="A882" s="1410"/>
      <c r="B882" s="1410"/>
      <c r="C882" s="1494"/>
      <c r="D882" s="1485"/>
      <c r="E882" s="1485"/>
      <c r="F882" s="1485"/>
      <c r="G882" s="1485"/>
      <c r="H882" s="1485"/>
      <c r="I882" s="1485"/>
    </row>
    <row r="883" spans="1:9" x14ac:dyDescent="0.3">
      <c r="A883" s="1410"/>
      <c r="B883" s="1410"/>
      <c r="C883" s="1494"/>
      <c r="D883" s="1485"/>
      <c r="E883" s="1485"/>
      <c r="F883" s="1485"/>
      <c r="G883" s="1485"/>
      <c r="H883" s="1485"/>
      <c r="I883" s="1485"/>
    </row>
    <row r="884" spans="1:9" x14ac:dyDescent="0.3">
      <c r="A884" s="1410"/>
      <c r="B884" s="1410"/>
      <c r="C884" s="1494"/>
      <c r="D884" s="1485"/>
      <c r="E884" s="1485"/>
      <c r="F884" s="1485"/>
      <c r="G884" s="1485"/>
      <c r="H884" s="1485"/>
      <c r="I884" s="1485"/>
    </row>
    <row r="885" spans="1:9" x14ac:dyDescent="0.3">
      <c r="A885" s="1410"/>
      <c r="B885" s="1410"/>
      <c r="C885" s="1494"/>
      <c r="D885" s="1485"/>
      <c r="E885" s="1485"/>
      <c r="F885" s="1485"/>
      <c r="G885" s="1485"/>
      <c r="H885" s="1485"/>
      <c r="I885" s="1485"/>
    </row>
    <row r="886" spans="1:9" x14ac:dyDescent="0.3">
      <c r="A886" s="1410"/>
      <c r="B886" s="1410"/>
      <c r="C886" s="1494"/>
      <c r="D886" s="1485"/>
      <c r="E886" s="1485"/>
      <c r="F886" s="1485"/>
      <c r="G886" s="1485"/>
      <c r="H886" s="1485"/>
      <c r="I886" s="1485"/>
    </row>
    <row r="887" spans="1:9" x14ac:dyDescent="0.3">
      <c r="A887" s="1410"/>
      <c r="B887" s="1410"/>
      <c r="C887" s="1494"/>
      <c r="D887" s="1485"/>
      <c r="E887" s="1485"/>
      <c r="F887" s="1485"/>
      <c r="G887" s="1485"/>
      <c r="H887" s="1485"/>
      <c r="I887" s="1485"/>
    </row>
    <row r="888" spans="1:9" x14ac:dyDescent="0.3">
      <c r="A888" s="1410"/>
      <c r="B888" s="1410"/>
      <c r="C888" s="1494"/>
      <c r="D888" s="1485"/>
      <c r="E888" s="1485"/>
      <c r="F888" s="1485"/>
      <c r="G888" s="1485"/>
      <c r="H888" s="1485"/>
      <c r="I888" s="1485"/>
    </row>
    <row r="889" spans="1:9" x14ac:dyDescent="0.3">
      <c r="A889" s="1410"/>
      <c r="B889" s="1410"/>
      <c r="C889" s="1494"/>
      <c r="D889" s="1485"/>
      <c r="E889" s="1485"/>
      <c r="F889" s="1485"/>
      <c r="G889" s="1485"/>
      <c r="H889" s="1485"/>
      <c r="I889" s="1485"/>
    </row>
    <row r="890" spans="1:9" x14ac:dyDescent="0.3">
      <c r="A890" s="1410"/>
      <c r="B890" s="1410"/>
      <c r="C890" s="1494"/>
      <c r="D890" s="1485"/>
      <c r="E890" s="1485"/>
      <c r="F890" s="1485"/>
      <c r="G890" s="1485"/>
      <c r="H890" s="1485"/>
      <c r="I890" s="1485"/>
    </row>
    <row r="891" spans="1:9" x14ac:dyDescent="0.3">
      <c r="A891" s="1410"/>
      <c r="B891" s="1410"/>
      <c r="C891" s="1494"/>
      <c r="D891" s="1485"/>
      <c r="E891" s="1485"/>
      <c r="F891" s="1485"/>
      <c r="G891" s="1485"/>
      <c r="H891" s="1485"/>
      <c r="I891" s="1485"/>
    </row>
    <row r="892" spans="1:9" x14ac:dyDescent="0.3">
      <c r="A892" s="1410"/>
      <c r="B892" s="1410"/>
      <c r="C892" s="1494"/>
      <c r="D892" s="1485"/>
      <c r="E892" s="1485"/>
      <c r="F892" s="1485"/>
      <c r="G892" s="1485"/>
      <c r="H892" s="1485"/>
      <c r="I892" s="1485"/>
    </row>
    <row r="893" spans="1:9" x14ac:dyDescent="0.3">
      <c r="A893" s="1410"/>
      <c r="B893" s="1410"/>
      <c r="C893" s="1494"/>
      <c r="D893" s="1485"/>
      <c r="E893" s="1485"/>
      <c r="F893" s="1485"/>
      <c r="G893" s="1485"/>
      <c r="H893" s="1485"/>
      <c r="I893" s="1485"/>
    </row>
    <row r="894" spans="1:9" x14ac:dyDescent="0.3">
      <c r="A894" s="1410"/>
      <c r="B894" s="1410"/>
      <c r="C894" s="1494"/>
      <c r="D894" s="1485"/>
      <c r="E894" s="1485"/>
      <c r="F894" s="1485"/>
      <c r="G894" s="1485"/>
      <c r="H894" s="1485"/>
      <c r="I894" s="1485"/>
    </row>
    <row r="895" spans="1:9" x14ac:dyDescent="0.3">
      <c r="A895" s="1410"/>
      <c r="B895" s="1410"/>
      <c r="C895" s="1494"/>
      <c r="D895" s="1485"/>
      <c r="E895" s="1485"/>
      <c r="F895" s="1485"/>
      <c r="G895" s="1485"/>
      <c r="H895" s="1485"/>
      <c r="I895" s="1485"/>
    </row>
    <row r="896" spans="1:9" x14ac:dyDescent="0.3">
      <c r="A896" s="1410"/>
      <c r="B896" s="1410"/>
      <c r="C896" s="1494"/>
      <c r="D896" s="1485"/>
      <c r="E896" s="1485"/>
      <c r="F896" s="1485"/>
      <c r="G896" s="1485"/>
      <c r="H896" s="1485"/>
      <c r="I896" s="1485"/>
    </row>
    <row r="897" spans="1:9" x14ac:dyDescent="0.3">
      <c r="A897" s="1410"/>
      <c r="B897" s="1410"/>
      <c r="C897" s="1494"/>
      <c r="D897" s="1485"/>
      <c r="E897" s="1485"/>
      <c r="F897" s="1485"/>
      <c r="G897" s="1485"/>
      <c r="H897" s="1485"/>
      <c r="I897" s="1485"/>
    </row>
    <row r="898" spans="1:9" x14ac:dyDescent="0.3">
      <c r="A898" s="1410"/>
      <c r="B898" s="1410"/>
      <c r="C898" s="1494"/>
      <c r="D898" s="1485"/>
      <c r="E898" s="1485"/>
      <c r="F898" s="1485"/>
      <c r="G898" s="1485"/>
      <c r="H898" s="1485"/>
      <c r="I898" s="1485"/>
    </row>
    <row r="899" spans="1:9" x14ac:dyDescent="0.3">
      <c r="A899" s="1410"/>
      <c r="B899" s="1410"/>
      <c r="C899" s="1494"/>
      <c r="D899" s="1485"/>
      <c r="E899" s="1485"/>
      <c r="F899" s="1485"/>
      <c r="G899" s="1485"/>
      <c r="H899" s="1485"/>
      <c r="I899" s="1485"/>
    </row>
    <row r="900" spans="1:9" x14ac:dyDescent="0.3">
      <c r="A900" s="1410"/>
      <c r="B900" s="1410"/>
      <c r="C900" s="1494"/>
      <c r="D900" s="1485"/>
      <c r="E900" s="1485"/>
      <c r="F900" s="1485"/>
      <c r="G900" s="1485"/>
      <c r="H900" s="1485"/>
      <c r="I900" s="1485"/>
    </row>
    <row r="901" spans="1:9" x14ac:dyDescent="0.3">
      <c r="A901" s="1410"/>
      <c r="B901" s="1410"/>
      <c r="C901" s="1494"/>
      <c r="D901" s="1485"/>
      <c r="E901" s="1485"/>
      <c r="F901" s="1485"/>
      <c r="G901" s="1485"/>
      <c r="H901" s="1485"/>
      <c r="I901" s="1485"/>
    </row>
    <row r="902" spans="1:9" x14ac:dyDescent="0.3">
      <c r="A902" s="1410"/>
      <c r="B902" s="1410"/>
      <c r="C902" s="1494"/>
      <c r="D902" s="1485"/>
      <c r="E902" s="1485"/>
      <c r="F902" s="1485"/>
      <c r="G902" s="1485"/>
      <c r="H902" s="1485"/>
      <c r="I902" s="1485"/>
    </row>
    <row r="903" spans="1:9" x14ac:dyDescent="0.3">
      <c r="A903" s="1410"/>
      <c r="B903" s="1410"/>
      <c r="C903" s="1494"/>
      <c r="D903" s="1485"/>
      <c r="E903" s="1485"/>
      <c r="F903" s="1485"/>
      <c r="G903" s="1485"/>
      <c r="H903" s="1485"/>
      <c r="I903" s="1485"/>
    </row>
    <row r="904" spans="1:9" x14ac:dyDescent="0.3">
      <c r="A904" s="1410"/>
      <c r="B904" s="1410"/>
      <c r="C904" s="1494"/>
      <c r="D904" s="1485"/>
      <c r="E904" s="1485"/>
      <c r="F904" s="1485"/>
      <c r="G904" s="1485"/>
      <c r="H904" s="1485"/>
      <c r="I904" s="1485"/>
    </row>
    <row r="905" spans="1:9" x14ac:dyDescent="0.3">
      <c r="A905" s="1410"/>
      <c r="B905" s="1410"/>
      <c r="C905" s="1494"/>
      <c r="D905" s="1485"/>
      <c r="E905" s="1485"/>
      <c r="F905" s="1485"/>
      <c r="G905" s="1485"/>
      <c r="H905" s="1485"/>
      <c r="I905" s="1485"/>
    </row>
    <row r="906" spans="1:9" x14ac:dyDescent="0.3">
      <c r="A906" s="1410"/>
      <c r="B906" s="1410"/>
      <c r="C906" s="1494"/>
      <c r="D906" s="1485"/>
      <c r="E906" s="1485"/>
      <c r="F906" s="1485"/>
      <c r="G906" s="1485"/>
      <c r="H906" s="1485"/>
      <c r="I906" s="1485"/>
    </row>
    <row r="907" spans="1:9" x14ac:dyDescent="0.3">
      <c r="A907" s="1410"/>
      <c r="B907" s="1410"/>
      <c r="C907" s="1494"/>
      <c r="D907" s="1485"/>
      <c r="E907" s="1485"/>
      <c r="F907" s="1485"/>
      <c r="G907" s="1485"/>
      <c r="H907" s="1485"/>
      <c r="I907" s="1485"/>
    </row>
    <row r="908" spans="1:9" x14ac:dyDescent="0.3">
      <c r="A908" s="1410"/>
      <c r="B908" s="1410"/>
      <c r="C908" s="1494"/>
      <c r="D908" s="1485"/>
      <c r="E908" s="1485"/>
      <c r="F908" s="1485"/>
      <c r="G908" s="1485"/>
      <c r="H908" s="1485"/>
      <c r="I908" s="1485"/>
    </row>
    <row r="909" spans="1:9" x14ac:dyDescent="0.3">
      <c r="A909" s="1410"/>
      <c r="B909" s="1410"/>
      <c r="C909" s="1494"/>
      <c r="D909" s="1485"/>
      <c r="E909" s="1485"/>
      <c r="F909" s="1485"/>
      <c r="G909" s="1485"/>
      <c r="H909" s="1485"/>
      <c r="I909" s="1485"/>
    </row>
    <row r="910" spans="1:9" x14ac:dyDescent="0.3">
      <c r="A910" s="1410"/>
      <c r="B910" s="1410"/>
      <c r="C910" s="1494"/>
      <c r="D910" s="1485"/>
      <c r="E910" s="1485"/>
      <c r="F910" s="1485"/>
      <c r="G910" s="1485"/>
      <c r="H910" s="1485"/>
      <c r="I910" s="1485"/>
    </row>
    <row r="911" spans="1:9" x14ac:dyDescent="0.3">
      <c r="A911" s="1410"/>
      <c r="B911" s="1410"/>
      <c r="C911" s="1494"/>
      <c r="D911" s="1485"/>
      <c r="E911" s="1485"/>
      <c r="F911" s="1485"/>
      <c r="G911" s="1485"/>
      <c r="H911" s="1485"/>
      <c r="I911" s="1485"/>
    </row>
    <row r="912" spans="1:9" x14ac:dyDescent="0.3">
      <c r="A912" s="1410"/>
      <c r="B912" s="1410"/>
      <c r="C912" s="1494"/>
      <c r="D912" s="1485"/>
      <c r="E912" s="1485"/>
      <c r="F912" s="1485"/>
      <c r="G912" s="1485"/>
      <c r="H912" s="1485"/>
      <c r="I912" s="1485"/>
    </row>
    <row r="913" spans="1:9" x14ac:dyDescent="0.3">
      <c r="A913" s="1410"/>
      <c r="B913" s="1410"/>
      <c r="C913" s="1494"/>
      <c r="D913" s="1485"/>
      <c r="E913" s="1485"/>
      <c r="F913" s="1485"/>
      <c r="G913" s="1485"/>
      <c r="H913" s="1485"/>
      <c r="I913" s="1485"/>
    </row>
    <row r="914" spans="1:9" x14ac:dyDescent="0.3">
      <c r="A914" s="1410"/>
      <c r="B914" s="1410"/>
      <c r="C914" s="1494"/>
      <c r="D914" s="1485"/>
      <c r="E914" s="1485"/>
      <c r="F914" s="1485"/>
      <c r="G914" s="1485"/>
      <c r="H914" s="1485"/>
      <c r="I914" s="1485"/>
    </row>
    <row r="915" spans="1:9" x14ac:dyDescent="0.3">
      <c r="A915" s="1410"/>
      <c r="B915" s="1410"/>
      <c r="C915" s="1494"/>
      <c r="D915" s="1485"/>
      <c r="E915" s="1485"/>
      <c r="F915" s="1485"/>
      <c r="G915" s="1485"/>
      <c r="H915" s="1485"/>
      <c r="I915" s="1485"/>
    </row>
    <row r="916" spans="1:9" x14ac:dyDescent="0.3">
      <c r="A916" s="1410"/>
      <c r="B916" s="1410"/>
      <c r="C916" s="1494"/>
      <c r="D916" s="1485"/>
      <c r="E916" s="1485"/>
      <c r="F916" s="1485"/>
      <c r="G916" s="1485"/>
      <c r="H916" s="1485"/>
      <c r="I916" s="1485"/>
    </row>
    <row r="917" spans="1:9" x14ac:dyDescent="0.3">
      <c r="A917" s="1410"/>
      <c r="B917" s="1410"/>
      <c r="C917" s="1494"/>
      <c r="D917" s="1485"/>
      <c r="E917" s="1485"/>
      <c r="F917" s="1485"/>
      <c r="G917" s="1485"/>
      <c r="H917" s="1485"/>
      <c r="I917" s="1485"/>
    </row>
    <row r="918" spans="1:9" x14ac:dyDescent="0.3">
      <c r="A918" s="1410"/>
      <c r="B918" s="1410"/>
      <c r="C918" s="1494"/>
      <c r="D918" s="1485"/>
      <c r="E918" s="1485"/>
      <c r="F918" s="1485"/>
      <c r="G918" s="1485"/>
      <c r="H918" s="1485"/>
      <c r="I918" s="1485"/>
    </row>
    <row r="919" spans="1:9" x14ac:dyDescent="0.3">
      <c r="A919" s="1410"/>
      <c r="B919" s="1410"/>
      <c r="C919" s="1494"/>
      <c r="D919" s="1485"/>
      <c r="E919" s="1485"/>
      <c r="F919" s="1485"/>
      <c r="G919" s="1485"/>
      <c r="H919" s="1485"/>
      <c r="I919" s="1485"/>
    </row>
    <row r="920" spans="1:9" x14ac:dyDescent="0.3">
      <c r="A920" s="1410"/>
      <c r="B920" s="1410"/>
      <c r="C920" s="1494"/>
      <c r="D920" s="1485"/>
      <c r="E920" s="1485"/>
      <c r="F920" s="1485"/>
      <c r="G920" s="1485"/>
      <c r="H920" s="1485"/>
      <c r="I920" s="1485"/>
    </row>
    <row r="921" spans="1:9" x14ac:dyDescent="0.3">
      <c r="A921" s="1410"/>
      <c r="B921" s="1410"/>
      <c r="C921" s="1494"/>
      <c r="D921" s="1485"/>
      <c r="E921" s="1485"/>
      <c r="F921" s="1485"/>
      <c r="G921" s="1485"/>
      <c r="H921" s="1485"/>
      <c r="I921" s="1485"/>
    </row>
    <row r="922" spans="1:9" x14ac:dyDescent="0.3">
      <c r="A922" s="1410"/>
      <c r="B922" s="1410"/>
      <c r="C922" s="1494"/>
      <c r="D922" s="1485"/>
      <c r="E922" s="1485"/>
      <c r="F922" s="1485"/>
      <c r="G922" s="1485"/>
      <c r="H922" s="1485"/>
      <c r="I922" s="1485"/>
    </row>
    <row r="923" spans="1:9" x14ac:dyDescent="0.3">
      <c r="A923" s="1410"/>
      <c r="B923" s="1410"/>
      <c r="C923" s="1494"/>
      <c r="D923" s="1485"/>
      <c r="E923" s="1485"/>
      <c r="F923" s="1485"/>
      <c r="G923" s="1485"/>
      <c r="H923" s="1485"/>
      <c r="I923" s="1485"/>
    </row>
    <row r="924" spans="1:9" x14ac:dyDescent="0.3">
      <c r="A924" s="1410"/>
      <c r="B924" s="1410"/>
      <c r="C924" s="1494"/>
      <c r="D924" s="1485"/>
      <c r="E924" s="1485"/>
      <c r="F924" s="1485"/>
      <c r="G924" s="1485"/>
      <c r="H924" s="1485"/>
      <c r="I924" s="1485"/>
    </row>
    <row r="925" spans="1:9" x14ac:dyDescent="0.3">
      <c r="A925" s="1410"/>
      <c r="B925" s="1410"/>
      <c r="C925" s="1494"/>
      <c r="D925" s="1485"/>
      <c r="E925" s="1485"/>
      <c r="F925" s="1485"/>
      <c r="G925" s="1485"/>
      <c r="H925" s="1485"/>
      <c r="I925" s="1485"/>
    </row>
    <row r="926" spans="1:9" x14ac:dyDescent="0.3">
      <c r="A926" s="1410"/>
      <c r="B926" s="1410"/>
      <c r="C926" s="1494"/>
      <c r="D926" s="1485"/>
      <c r="E926" s="1485"/>
      <c r="F926" s="1485"/>
      <c r="G926" s="1485"/>
      <c r="H926" s="1485"/>
      <c r="I926" s="1485"/>
    </row>
    <row r="927" spans="1:9" x14ac:dyDescent="0.3">
      <c r="A927" s="1410"/>
      <c r="B927" s="1410"/>
      <c r="C927" s="1494"/>
      <c r="D927" s="1485"/>
      <c r="E927" s="1485"/>
      <c r="F927" s="1485"/>
      <c r="G927" s="1485"/>
      <c r="H927" s="1485"/>
      <c r="I927" s="1485"/>
    </row>
    <row r="928" spans="1:9" x14ac:dyDescent="0.3">
      <c r="A928" s="1410"/>
      <c r="B928" s="1410"/>
      <c r="C928" s="1494"/>
      <c r="D928" s="1485"/>
      <c r="E928" s="1485"/>
      <c r="F928" s="1485"/>
      <c r="G928" s="1485"/>
      <c r="H928" s="1485"/>
      <c r="I928" s="1485"/>
    </row>
    <row r="929" spans="1:9" x14ac:dyDescent="0.3">
      <c r="A929" s="1410"/>
      <c r="B929" s="1410"/>
      <c r="C929" s="1494"/>
      <c r="D929" s="1485"/>
      <c r="E929" s="1485"/>
      <c r="F929" s="1485"/>
      <c r="G929" s="1485"/>
      <c r="H929" s="1485"/>
      <c r="I929" s="1485"/>
    </row>
    <row r="930" spans="1:9" x14ac:dyDescent="0.3">
      <c r="A930" s="1410"/>
      <c r="B930" s="1410"/>
      <c r="C930" s="1494"/>
      <c r="D930" s="1485"/>
      <c r="E930" s="1485"/>
      <c r="F930" s="1485"/>
      <c r="G930" s="1485"/>
      <c r="H930" s="1485"/>
      <c r="I930" s="1485"/>
    </row>
    <row r="931" spans="1:9" x14ac:dyDescent="0.3">
      <c r="A931" s="1410"/>
      <c r="B931" s="1410"/>
      <c r="C931" s="1494"/>
      <c r="D931" s="1485"/>
      <c r="E931" s="1485"/>
      <c r="F931" s="1485"/>
      <c r="G931" s="1485"/>
      <c r="H931" s="1485"/>
      <c r="I931" s="1485"/>
    </row>
    <row r="932" spans="1:9" x14ac:dyDescent="0.3">
      <c r="A932" s="1410"/>
      <c r="B932" s="1410"/>
      <c r="C932" s="1494"/>
      <c r="D932" s="1485"/>
      <c r="E932" s="1485"/>
      <c r="F932" s="1485"/>
      <c r="G932" s="1485"/>
      <c r="H932" s="1485"/>
      <c r="I932" s="1485"/>
    </row>
    <row r="933" spans="1:9" x14ac:dyDescent="0.3">
      <c r="A933" s="1410"/>
      <c r="B933" s="1410"/>
      <c r="C933" s="1494"/>
      <c r="D933" s="1485"/>
      <c r="E933" s="1485"/>
      <c r="F933" s="1485"/>
      <c r="G933" s="1485"/>
      <c r="H933" s="1485"/>
      <c r="I933" s="1485"/>
    </row>
    <row r="934" spans="1:9" x14ac:dyDescent="0.3">
      <c r="A934" s="1410"/>
      <c r="B934" s="1410"/>
      <c r="C934" s="1494"/>
      <c r="D934" s="1485"/>
      <c r="E934" s="1485"/>
      <c r="F934" s="1485"/>
      <c r="G934" s="1485"/>
      <c r="H934" s="1485"/>
      <c r="I934" s="1485"/>
    </row>
    <row r="935" spans="1:9" x14ac:dyDescent="0.3">
      <c r="A935" s="1410"/>
      <c r="B935" s="1410"/>
      <c r="C935" s="1494"/>
      <c r="D935" s="1485"/>
      <c r="E935" s="1485"/>
      <c r="F935" s="1485"/>
      <c r="G935" s="1485"/>
      <c r="H935" s="1485"/>
      <c r="I935" s="1485"/>
    </row>
    <row r="936" spans="1:9" x14ac:dyDescent="0.3">
      <c r="A936" s="1410"/>
      <c r="B936" s="1410"/>
      <c r="C936" s="1494"/>
      <c r="D936" s="1485"/>
      <c r="E936" s="1485"/>
      <c r="F936" s="1485"/>
      <c r="G936" s="1485"/>
      <c r="H936" s="1485"/>
      <c r="I936" s="1485"/>
    </row>
    <row r="937" spans="1:9" x14ac:dyDescent="0.3">
      <c r="A937" s="1410"/>
      <c r="B937" s="1410"/>
      <c r="C937" s="1494"/>
      <c r="D937" s="1485"/>
      <c r="E937" s="1485"/>
      <c r="F937" s="1485"/>
      <c r="G937" s="1485"/>
      <c r="H937" s="1485"/>
      <c r="I937" s="1485"/>
    </row>
    <row r="938" spans="1:9" x14ac:dyDescent="0.3">
      <c r="A938" s="1410"/>
      <c r="B938" s="1410"/>
      <c r="C938" s="1494"/>
      <c r="D938" s="1485"/>
      <c r="E938" s="1485"/>
      <c r="F938" s="1485"/>
      <c r="G938" s="1485"/>
      <c r="H938" s="1485"/>
      <c r="I938" s="1485"/>
    </row>
    <row r="939" spans="1:9" x14ac:dyDescent="0.3">
      <c r="A939" s="1410"/>
      <c r="B939" s="1410"/>
      <c r="C939" s="1494"/>
      <c r="D939" s="1485"/>
      <c r="E939" s="1485"/>
      <c r="F939" s="1485"/>
      <c r="G939" s="1485"/>
      <c r="H939" s="1485"/>
      <c r="I939" s="1485"/>
    </row>
    <row r="940" spans="1:9" x14ac:dyDescent="0.3">
      <c r="A940" s="1410"/>
      <c r="B940" s="1410"/>
      <c r="C940" s="1494"/>
      <c r="D940" s="1485"/>
      <c r="E940" s="1485"/>
      <c r="F940" s="1485"/>
      <c r="G940" s="1485"/>
      <c r="H940" s="1485"/>
      <c r="I940" s="1485"/>
    </row>
    <row r="941" spans="1:9" x14ac:dyDescent="0.3">
      <c r="A941" s="1410"/>
      <c r="B941" s="1410"/>
      <c r="C941" s="1494"/>
      <c r="D941" s="1485"/>
      <c r="E941" s="1485"/>
      <c r="F941" s="1485"/>
      <c r="G941" s="1485"/>
      <c r="H941" s="1485"/>
      <c r="I941" s="1485"/>
    </row>
  </sheetData>
  <autoFilter ref="C4:I96" xr:uid="{E2CA1E4E-B810-4A3B-9A1A-86FCD2839EAA}"/>
  <mergeCells count="6">
    <mergeCell ref="D2:E2"/>
    <mergeCell ref="F2:G2"/>
    <mergeCell ref="H2:I2"/>
    <mergeCell ref="D3:E3"/>
    <mergeCell ref="F3:G3"/>
    <mergeCell ref="H3:I3"/>
  </mergeCells>
  <pageMargins left="0.7" right="0.7" top="0.75" bottom="0.75" header="0.3" footer="0.3"/>
  <customProperties>
    <customPr name="SaaSBIProperties" r:id="rId1"/>
    <customPr name="SSCustomColumnsMapping" r:id="rId2"/>
  </customPropertie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1D1CD-78A6-42D1-84D5-1ACBCEE128FB}">
  <sheetPr>
    <tabColor rgb="FF24A205"/>
  </sheetPr>
  <dimension ref="A1:J1011"/>
  <sheetViews>
    <sheetView workbookViewId="0"/>
  </sheetViews>
  <sheetFormatPr defaultRowHeight="14.4" x14ac:dyDescent="0.3"/>
  <cols>
    <col min="1" max="1" width="10.5546875" bestFit="1" customWidth="1"/>
    <col min="2" max="2" width="38.21875" bestFit="1" customWidth="1"/>
    <col min="3" max="3" width="7.109375" bestFit="1" customWidth="1"/>
    <col min="4" max="9" width="17.33203125" style="792" bestFit="1" customWidth="1"/>
    <col min="10" max="10" width="8.88671875" collapsed="1"/>
  </cols>
  <sheetData>
    <row r="1" spans="1:9" ht="31.35" customHeight="1" x14ac:dyDescent="0.3">
      <c r="A1" s="1413" t="s">
        <v>2002</v>
      </c>
      <c r="B1" s="1414"/>
      <c r="C1" s="1414"/>
      <c r="D1" s="1414"/>
      <c r="E1" s="1414"/>
      <c r="F1" s="1414"/>
      <c r="G1" s="1414"/>
      <c r="H1" s="1414"/>
      <c r="I1" s="1414"/>
    </row>
    <row r="2" spans="1:9" s="1410" customFormat="1" ht="15" thickBot="1" x14ac:dyDescent="0.35">
      <c r="A2" s="1415" t="s">
        <v>643</v>
      </c>
      <c r="B2" s="1415" t="s">
        <v>643</v>
      </c>
      <c r="C2" s="1416" t="s">
        <v>2003</v>
      </c>
      <c r="D2" s="1605" t="s">
        <v>496</v>
      </c>
      <c r="E2" s="1605"/>
      <c r="F2" s="1605" t="s">
        <v>642</v>
      </c>
      <c r="G2" s="1605"/>
      <c r="H2" s="1606" t="s">
        <v>71</v>
      </c>
      <c r="I2" s="1606"/>
    </row>
    <row r="3" spans="1:9" s="1410" customFormat="1" ht="15" thickTop="1" x14ac:dyDescent="0.3">
      <c r="A3" s="1415"/>
      <c r="B3" s="1415"/>
      <c r="C3" s="1415"/>
      <c r="D3" s="1607" t="s">
        <v>2166</v>
      </c>
      <c r="E3" s="1607"/>
      <c r="F3" s="1607" t="s">
        <v>2166</v>
      </c>
      <c r="G3" s="1607"/>
      <c r="H3" s="1608" t="s">
        <v>2166</v>
      </c>
      <c r="I3" s="1608"/>
    </row>
    <row r="4" spans="1:9" s="1410" customFormat="1" x14ac:dyDescent="0.3">
      <c r="A4" s="1417" t="s">
        <v>2004</v>
      </c>
      <c r="B4" s="1417" t="s">
        <v>894</v>
      </c>
      <c r="C4" s="1415"/>
      <c r="D4" s="1417" t="s">
        <v>251</v>
      </c>
      <c r="E4" s="1417" t="s">
        <v>252</v>
      </c>
      <c r="F4" s="1417" t="s">
        <v>251</v>
      </c>
      <c r="G4" s="1417" t="s">
        <v>252</v>
      </c>
      <c r="H4" s="1418" t="s">
        <v>251</v>
      </c>
      <c r="I4" s="1418" t="s">
        <v>252</v>
      </c>
    </row>
    <row r="5" spans="1:9" x14ac:dyDescent="0.3">
      <c r="A5" s="1417" t="s">
        <v>2041</v>
      </c>
      <c r="B5" s="1417" t="s">
        <v>2042</v>
      </c>
      <c r="C5" s="1415" t="s">
        <v>2006</v>
      </c>
      <c r="D5" s="1419">
        <v>0</v>
      </c>
      <c r="E5" s="1419">
        <v>0</v>
      </c>
      <c r="F5" s="1419">
        <v>91764.9</v>
      </c>
      <c r="G5" s="1419">
        <v>0</v>
      </c>
      <c r="H5" s="1420">
        <v>91764.9</v>
      </c>
      <c r="I5" s="1420">
        <v>0</v>
      </c>
    </row>
    <row r="6" spans="1:9" x14ac:dyDescent="0.3">
      <c r="A6" s="1417" t="s">
        <v>2041</v>
      </c>
      <c r="B6" s="1417" t="s">
        <v>2188</v>
      </c>
      <c r="C6" s="1415" t="s">
        <v>2006</v>
      </c>
      <c r="D6" s="1419">
        <v>27477.5</v>
      </c>
      <c r="E6" s="1419">
        <v>0</v>
      </c>
      <c r="F6" s="1419">
        <v>0</v>
      </c>
      <c r="G6" s="1419">
        <v>0</v>
      </c>
      <c r="H6" s="1420">
        <v>27477.5</v>
      </c>
      <c r="I6" s="1420">
        <v>0</v>
      </c>
    </row>
    <row r="7" spans="1:9" x14ac:dyDescent="0.3">
      <c r="A7" s="1417" t="s">
        <v>2005</v>
      </c>
      <c r="B7" s="1417" t="s">
        <v>1870</v>
      </c>
      <c r="C7" s="1415" t="s">
        <v>2006</v>
      </c>
      <c r="D7" s="1419">
        <v>0</v>
      </c>
      <c r="E7" s="1419">
        <v>0</v>
      </c>
      <c r="F7" s="1419">
        <v>0</v>
      </c>
      <c r="G7" s="1419">
        <v>108032.58</v>
      </c>
      <c r="H7" s="1420">
        <v>0</v>
      </c>
      <c r="I7" s="1420">
        <v>108032.58</v>
      </c>
    </row>
    <row r="8" spans="1:9" x14ac:dyDescent="0.3">
      <c r="A8" s="1417" t="s">
        <v>2005</v>
      </c>
      <c r="B8" s="1417" t="s">
        <v>1674</v>
      </c>
      <c r="C8" s="1415" t="s">
        <v>2006</v>
      </c>
      <c r="D8" s="1419">
        <v>0</v>
      </c>
      <c r="E8" s="1419">
        <v>128133.35</v>
      </c>
      <c r="F8" s="1419">
        <v>0</v>
      </c>
      <c r="G8" s="1419">
        <v>0</v>
      </c>
      <c r="H8" s="1420">
        <v>0</v>
      </c>
      <c r="I8" s="1420">
        <v>128133.35</v>
      </c>
    </row>
    <row r="9" spans="1:9" x14ac:dyDescent="0.3">
      <c r="A9" s="1417" t="s">
        <v>2010</v>
      </c>
      <c r="B9" s="1417" t="s">
        <v>2007</v>
      </c>
      <c r="C9" s="1415" t="s">
        <v>2006</v>
      </c>
      <c r="D9" s="1419">
        <v>0</v>
      </c>
      <c r="E9" s="1419">
        <v>0</v>
      </c>
      <c r="F9" s="1419">
        <v>0</v>
      </c>
      <c r="G9" s="1419">
        <v>0.01</v>
      </c>
      <c r="H9" s="1420">
        <v>0</v>
      </c>
      <c r="I9" s="1420">
        <v>0.01</v>
      </c>
    </row>
    <row r="10" spans="1:9" x14ac:dyDescent="0.3">
      <c r="A10" s="1417" t="s">
        <v>2008</v>
      </c>
      <c r="B10" s="1417" t="s">
        <v>2009</v>
      </c>
      <c r="C10" s="1415" t="s">
        <v>2006</v>
      </c>
      <c r="D10" s="1419">
        <v>0</v>
      </c>
      <c r="E10" s="1419">
        <v>0</v>
      </c>
      <c r="F10" s="1419">
        <v>0</v>
      </c>
      <c r="G10" s="1419">
        <v>0</v>
      </c>
      <c r="H10" s="1420">
        <v>0</v>
      </c>
      <c r="I10" s="1420">
        <v>0</v>
      </c>
    </row>
    <row r="11" spans="1:9" x14ac:dyDescent="0.3">
      <c r="A11" s="1417" t="s">
        <v>2027</v>
      </c>
      <c r="B11" s="1417" t="s">
        <v>1369</v>
      </c>
      <c r="C11" s="1415" t="s">
        <v>2006</v>
      </c>
      <c r="D11" s="1419">
        <v>24938.14</v>
      </c>
      <c r="E11" s="1419">
        <v>0</v>
      </c>
      <c r="F11" s="1419">
        <v>0</v>
      </c>
      <c r="G11" s="1419">
        <v>0</v>
      </c>
      <c r="H11" s="1420">
        <v>24938.14</v>
      </c>
      <c r="I11" s="1420">
        <v>0</v>
      </c>
    </row>
    <row r="12" spans="1:9" x14ac:dyDescent="0.3">
      <c r="A12" s="1417" t="s">
        <v>2043</v>
      </c>
      <c r="B12" s="1417" t="s">
        <v>2011</v>
      </c>
      <c r="C12" s="1415" t="s">
        <v>2006</v>
      </c>
      <c r="D12" s="1419">
        <v>0</v>
      </c>
      <c r="E12" s="1419">
        <v>53625</v>
      </c>
      <c r="F12" s="1419">
        <v>0</v>
      </c>
      <c r="G12" s="1419">
        <v>0</v>
      </c>
      <c r="H12" s="1420">
        <v>0</v>
      </c>
      <c r="I12" s="1420">
        <v>53625</v>
      </c>
    </row>
    <row r="13" spans="1:9" x14ac:dyDescent="0.3">
      <c r="A13" s="1417" t="s">
        <v>2044</v>
      </c>
      <c r="B13" s="1417" t="s">
        <v>2011</v>
      </c>
      <c r="C13" s="1415" t="s">
        <v>2006</v>
      </c>
      <c r="D13" s="1419">
        <v>0</v>
      </c>
      <c r="E13" s="1419">
        <v>0</v>
      </c>
      <c r="F13" s="1419">
        <v>0</v>
      </c>
      <c r="G13" s="1419">
        <v>60000</v>
      </c>
      <c r="H13" s="1420">
        <v>0</v>
      </c>
      <c r="I13" s="1420">
        <v>60000</v>
      </c>
    </row>
    <row r="14" spans="1:9" x14ac:dyDescent="0.3">
      <c r="A14" s="1417" t="s">
        <v>2180</v>
      </c>
      <c r="B14" s="1417" t="s">
        <v>2181</v>
      </c>
      <c r="C14" s="1415" t="s">
        <v>2006</v>
      </c>
      <c r="D14" s="1419">
        <v>0</v>
      </c>
      <c r="E14" s="1419">
        <v>29639</v>
      </c>
      <c r="F14" s="1419">
        <v>0</v>
      </c>
      <c r="G14" s="1419">
        <v>0</v>
      </c>
      <c r="H14" s="1420">
        <v>0</v>
      </c>
      <c r="I14" s="1420">
        <v>29639</v>
      </c>
    </row>
    <row r="15" spans="1:9" x14ac:dyDescent="0.3">
      <c r="A15" s="1417" t="s">
        <v>2023</v>
      </c>
      <c r="B15" s="1417" t="s">
        <v>2045</v>
      </c>
      <c r="C15" s="1415" t="s">
        <v>2006</v>
      </c>
      <c r="D15" s="1419">
        <v>10306.75</v>
      </c>
      <c r="E15" s="1419">
        <v>0</v>
      </c>
      <c r="F15" s="1419">
        <v>9487.5499999999993</v>
      </c>
      <c r="G15" s="1419">
        <v>0</v>
      </c>
      <c r="H15" s="1420">
        <v>19794.3</v>
      </c>
      <c r="I15" s="1420">
        <v>0</v>
      </c>
    </row>
    <row r="16" spans="1:9" x14ac:dyDescent="0.3">
      <c r="A16" s="1417" t="s">
        <v>2046</v>
      </c>
      <c r="B16" s="1417" t="s">
        <v>2047</v>
      </c>
      <c r="C16" s="1415" t="s">
        <v>2006</v>
      </c>
      <c r="D16" s="1419">
        <v>0</v>
      </c>
      <c r="E16" s="1419">
        <v>0</v>
      </c>
      <c r="F16" s="1419">
        <v>0</v>
      </c>
      <c r="G16" s="1419">
        <v>5.5</v>
      </c>
      <c r="H16" s="1420">
        <v>0</v>
      </c>
      <c r="I16" s="1420">
        <v>5.5</v>
      </c>
    </row>
    <row r="17" spans="1:9" x14ac:dyDescent="0.3">
      <c r="A17" s="1417" t="s">
        <v>2031</v>
      </c>
      <c r="B17" s="1417" t="s">
        <v>1727</v>
      </c>
      <c r="C17" s="1415" t="s">
        <v>2006</v>
      </c>
      <c r="D17" s="1419">
        <v>1600</v>
      </c>
      <c r="E17" s="1419">
        <v>0</v>
      </c>
      <c r="F17" s="1419">
        <v>683.5</v>
      </c>
      <c r="G17" s="1419">
        <v>0</v>
      </c>
      <c r="H17" s="1420">
        <v>2283.5</v>
      </c>
      <c r="I17" s="1420">
        <v>0</v>
      </c>
    </row>
    <row r="18" spans="1:9" x14ac:dyDescent="0.3">
      <c r="A18" s="1417" t="s">
        <v>2050</v>
      </c>
      <c r="B18" s="1417" t="s">
        <v>2051</v>
      </c>
      <c r="C18" s="1415" t="s">
        <v>2006</v>
      </c>
      <c r="D18" s="1419">
        <v>0</v>
      </c>
      <c r="E18" s="1419">
        <v>0</v>
      </c>
      <c r="F18" s="1419">
        <v>0</v>
      </c>
      <c r="G18" s="1419">
        <v>59349.72</v>
      </c>
      <c r="H18" s="1420">
        <v>0</v>
      </c>
      <c r="I18" s="1420">
        <v>59349.72</v>
      </c>
    </row>
    <row r="19" spans="1:9" x14ac:dyDescent="0.3">
      <c r="A19" s="1417" t="s">
        <v>2012</v>
      </c>
      <c r="B19" s="1417" t="s">
        <v>2052</v>
      </c>
      <c r="C19" s="1415" t="s">
        <v>2006</v>
      </c>
      <c r="D19" s="1419">
        <v>1444.77</v>
      </c>
      <c r="E19" s="1419">
        <v>0</v>
      </c>
      <c r="F19" s="1419">
        <v>0</v>
      </c>
      <c r="G19" s="1419">
        <v>0</v>
      </c>
      <c r="H19" s="1420">
        <v>1444.77</v>
      </c>
      <c r="I19" s="1420">
        <v>0</v>
      </c>
    </row>
    <row r="20" spans="1:9" x14ac:dyDescent="0.3">
      <c r="A20" s="1417" t="s">
        <v>2053</v>
      </c>
      <c r="B20" s="1417" t="s">
        <v>2054</v>
      </c>
      <c r="C20" s="1415" t="s">
        <v>2006</v>
      </c>
      <c r="D20" s="1419">
        <v>0</v>
      </c>
      <c r="E20" s="1419">
        <v>0</v>
      </c>
      <c r="F20" s="1419">
        <v>0</v>
      </c>
      <c r="G20" s="1419">
        <v>24</v>
      </c>
      <c r="H20" s="1420">
        <v>0</v>
      </c>
      <c r="I20" s="1420">
        <v>24</v>
      </c>
    </row>
    <row r="21" spans="1:9" x14ac:dyDescent="0.3">
      <c r="A21" s="1417" t="s">
        <v>2055</v>
      </c>
      <c r="B21" s="1417" t="s">
        <v>2056</v>
      </c>
      <c r="C21" s="1415" t="s">
        <v>2006</v>
      </c>
      <c r="D21" s="1419">
        <v>0</v>
      </c>
      <c r="E21" s="1419">
        <v>0</v>
      </c>
      <c r="F21" s="1419">
        <v>0</v>
      </c>
      <c r="G21" s="1419">
        <v>12</v>
      </c>
      <c r="H21" s="1420">
        <v>0</v>
      </c>
      <c r="I21" s="1420">
        <v>12</v>
      </c>
    </row>
    <row r="22" spans="1:9" x14ac:dyDescent="0.3">
      <c r="A22" s="1417" t="s">
        <v>2057</v>
      </c>
      <c r="B22" s="1417" t="s">
        <v>2058</v>
      </c>
      <c r="C22" s="1415" t="s">
        <v>2006</v>
      </c>
      <c r="D22" s="1419">
        <v>0</v>
      </c>
      <c r="E22" s="1419">
        <v>0</v>
      </c>
      <c r="F22" s="1419">
        <v>0</v>
      </c>
      <c r="G22" s="1419">
        <v>12</v>
      </c>
      <c r="H22" s="1420">
        <v>0</v>
      </c>
      <c r="I22" s="1420">
        <v>12</v>
      </c>
    </row>
    <row r="23" spans="1:9" x14ac:dyDescent="0.3">
      <c r="A23" s="1417" t="s">
        <v>2059</v>
      </c>
      <c r="B23" s="1417" t="s">
        <v>1162</v>
      </c>
      <c r="C23" s="1415" t="s">
        <v>2006</v>
      </c>
      <c r="D23" s="1419">
        <v>0</v>
      </c>
      <c r="E23" s="1419">
        <v>0</v>
      </c>
      <c r="F23" s="1419">
        <v>0</v>
      </c>
      <c r="G23" s="1419">
        <v>60000</v>
      </c>
      <c r="H23" s="1420">
        <v>0</v>
      </c>
      <c r="I23" s="1420">
        <v>60000</v>
      </c>
    </row>
    <row r="24" spans="1:9" x14ac:dyDescent="0.3">
      <c r="A24" s="1417" t="s">
        <v>2060</v>
      </c>
      <c r="B24" s="1417" t="s">
        <v>1177</v>
      </c>
      <c r="C24" s="1415" t="s">
        <v>2006</v>
      </c>
      <c r="D24" s="1419">
        <v>114140</v>
      </c>
      <c r="E24" s="1419">
        <v>0</v>
      </c>
      <c r="F24" s="1419">
        <v>0</v>
      </c>
      <c r="G24" s="1419">
        <v>0</v>
      </c>
      <c r="H24" s="1420">
        <v>114140</v>
      </c>
      <c r="I24" s="1420">
        <v>0</v>
      </c>
    </row>
    <row r="25" spans="1:9" x14ac:dyDescent="0.3">
      <c r="A25" s="1417" t="s">
        <v>2020</v>
      </c>
      <c r="B25" s="1417" t="s">
        <v>2061</v>
      </c>
      <c r="C25" s="1415" t="s">
        <v>2006</v>
      </c>
      <c r="D25" s="1419">
        <v>0</v>
      </c>
      <c r="E25" s="1419">
        <v>0</v>
      </c>
      <c r="F25" s="1419">
        <v>0</v>
      </c>
      <c r="G25" s="1419">
        <v>98.09</v>
      </c>
      <c r="H25" s="1420">
        <v>0</v>
      </c>
      <c r="I25" s="1420">
        <v>98.09</v>
      </c>
    </row>
    <row r="26" spans="1:9" x14ac:dyDescent="0.3">
      <c r="A26" s="1417" t="s">
        <v>2189</v>
      </c>
      <c r="B26" s="1417" t="s">
        <v>1047</v>
      </c>
      <c r="C26" s="1415" t="s">
        <v>2006</v>
      </c>
      <c r="D26" s="1419">
        <v>0</v>
      </c>
      <c r="E26" s="1419">
        <v>0</v>
      </c>
      <c r="F26" s="1419">
        <v>90</v>
      </c>
      <c r="G26" s="1419">
        <v>0</v>
      </c>
      <c r="H26" s="1420">
        <v>90</v>
      </c>
      <c r="I26" s="1420">
        <v>0</v>
      </c>
    </row>
    <row r="27" spans="1:9" x14ac:dyDescent="0.3">
      <c r="A27" s="1417" t="s">
        <v>2190</v>
      </c>
      <c r="B27" s="1417" t="s">
        <v>2191</v>
      </c>
      <c r="C27" s="1415" t="s">
        <v>2006</v>
      </c>
      <c r="D27" s="1419">
        <v>0</v>
      </c>
      <c r="E27" s="1419">
        <v>0</v>
      </c>
      <c r="F27" s="1419">
        <v>0</v>
      </c>
      <c r="G27" s="1419">
        <v>15460.46</v>
      </c>
      <c r="H27" s="1420">
        <v>0</v>
      </c>
      <c r="I27" s="1420">
        <v>15460.46</v>
      </c>
    </row>
    <row r="28" spans="1:9" x14ac:dyDescent="0.3">
      <c r="A28" s="1417" t="s">
        <v>2062</v>
      </c>
      <c r="B28" s="1417" t="s">
        <v>2063</v>
      </c>
      <c r="C28" s="1415" t="s">
        <v>2006</v>
      </c>
      <c r="D28" s="1419">
        <v>0</v>
      </c>
      <c r="E28" s="1419">
        <v>0</v>
      </c>
      <c r="F28" s="1419">
        <v>0</v>
      </c>
      <c r="G28" s="1419">
        <v>251333.95</v>
      </c>
      <c r="H28" s="1420">
        <v>0</v>
      </c>
      <c r="I28" s="1420">
        <v>251333.95</v>
      </c>
    </row>
    <row r="29" spans="1:9" x14ac:dyDescent="0.3">
      <c r="A29" s="1417" t="s">
        <v>2064</v>
      </c>
      <c r="B29" s="1417" t="s">
        <v>2065</v>
      </c>
      <c r="C29" s="1415" t="s">
        <v>2006</v>
      </c>
      <c r="D29" s="1419">
        <v>0</v>
      </c>
      <c r="E29" s="1419">
        <v>0</v>
      </c>
      <c r="F29" s="1419">
        <v>0</v>
      </c>
      <c r="G29" s="1419">
        <v>10833.14</v>
      </c>
      <c r="H29" s="1420">
        <v>0</v>
      </c>
      <c r="I29" s="1420">
        <v>10833.14</v>
      </c>
    </row>
    <row r="30" spans="1:9" x14ac:dyDescent="0.3">
      <c r="A30" s="1417" t="s">
        <v>2019</v>
      </c>
      <c r="B30" s="1417" t="s">
        <v>685</v>
      </c>
      <c r="C30" s="1415" t="s">
        <v>2006</v>
      </c>
      <c r="D30" s="1419">
        <v>0</v>
      </c>
      <c r="E30" s="1419">
        <v>174938.14</v>
      </c>
      <c r="F30" s="1419">
        <v>0</v>
      </c>
      <c r="G30" s="1419">
        <v>0</v>
      </c>
      <c r="H30" s="1420">
        <v>0</v>
      </c>
      <c r="I30" s="1420">
        <v>174938.14</v>
      </c>
    </row>
    <row r="31" spans="1:9" x14ac:dyDescent="0.3">
      <c r="A31" s="1417" t="s">
        <v>2018</v>
      </c>
      <c r="B31" s="1417" t="s">
        <v>502</v>
      </c>
      <c r="C31" s="1415" t="s">
        <v>2006</v>
      </c>
      <c r="D31" s="1419">
        <v>556400</v>
      </c>
      <c r="E31" s="1419">
        <v>0</v>
      </c>
      <c r="F31" s="1419">
        <v>0</v>
      </c>
      <c r="G31" s="1419">
        <v>0</v>
      </c>
      <c r="H31" s="1420">
        <v>556400</v>
      </c>
      <c r="I31" s="1420">
        <v>0</v>
      </c>
    </row>
    <row r="32" spans="1:9" x14ac:dyDescent="0.3">
      <c r="A32" s="1417" t="s">
        <v>2066</v>
      </c>
      <c r="B32" s="1417" t="s">
        <v>2067</v>
      </c>
      <c r="C32" s="1415" t="s">
        <v>2006</v>
      </c>
      <c r="D32" s="1419">
        <v>0</v>
      </c>
      <c r="E32" s="1419">
        <v>0</v>
      </c>
      <c r="F32" s="1419">
        <v>0</v>
      </c>
      <c r="G32" s="1419">
        <v>0</v>
      </c>
      <c r="H32" s="1420">
        <v>0</v>
      </c>
      <c r="I32" s="1420">
        <v>0</v>
      </c>
    </row>
    <row r="33" spans="1:9" x14ac:dyDescent="0.3">
      <c r="A33" s="1417" t="s">
        <v>2192</v>
      </c>
      <c r="B33" s="1417" t="s">
        <v>1281</v>
      </c>
      <c r="C33" s="1415" t="s">
        <v>2006</v>
      </c>
      <c r="D33" s="1419">
        <v>0</v>
      </c>
      <c r="E33" s="1419">
        <v>0</v>
      </c>
      <c r="F33" s="1419">
        <v>948.31</v>
      </c>
      <c r="G33" s="1419">
        <v>0</v>
      </c>
      <c r="H33" s="1420">
        <v>948.31</v>
      </c>
      <c r="I33" s="1420">
        <v>0</v>
      </c>
    </row>
    <row r="34" spans="1:9" x14ac:dyDescent="0.3">
      <c r="A34" s="1417" t="s">
        <v>2182</v>
      </c>
      <c r="B34" s="1417" t="s">
        <v>686</v>
      </c>
      <c r="C34" s="1415" t="s">
        <v>2006</v>
      </c>
      <c r="D34" s="1419">
        <v>0</v>
      </c>
      <c r="E34" s="1419">
        <v>0</v>
      </c>
      <c r="F34" s="1419">
        <v>0</v>
      </c>
      <c r="G34" s="1419">
        <v>0</v>
      </c>
      <c r="H34" s="1420">
        <v>0</v>
      </c>
      <c r="I34" s="1420">
        <v>0</v>
      </c>
    </row>
    <row r="35" spans="1:9" x14ac:dyDescent="0.3">
      <c r="A35" s="1417" t="s">
        <v>2068</v>
      </c>
      <c r="B35" s="1417" t="s">
        <v>2069</v>
      </c>
      <c r="C35" s="1415" t="s">
        <v>2006</v>
      </c>
      <c r="D35" s="1419">
        <v>0</v>
      </c>
      <c r="E35" s="1419">
        <v>0</v>
      </c>
      <c r="F35" s="1419">
        <v>3646.21</v>
      </c>
      <c r="G35" s="1419">
        <v>0</v>
      </c>
      <c r="H35" s="1420">
        <v>3646.21</v>
      </c>
      <c r="I35" s="1420">
        <v>0</v>
      </c>
    </row>
    <row r="36" spans="1:9" x14ac:dyDescent="0.3">
      <c r="A36" s="1417" t="s">
        <v>2070</v>
      </c>
      <c r="B36" s="1417" t="s">
        <v>2071</v>
      </c>
      <c r="C36" s="1415" t="s">
        <v>2006</v>
      </c>
      <c r="D36" s="1419">
        <v>0</v>
      </c>
      <c r="E36" s="1419">
        <v>0</v>
      </c>
      <c r="F36" s="1419">
        <v>0</v>
      </c>
      <c r="G36" s="1419">
        <v>0</v>
      </c>
      <c r="H36" s="1420">
        <v>0</v>
      </c>
      <c r="I36" s="1420">
        <v>0</v>
      </c>
    </row>
    <row r="37" spans="1:9" x14ac:dyDescent="0.3">
      <c r="A37" s="1417" t="s">
        <v>2033</v>
      </c>
      <c r="B37" s="1417" t="s">
        <v>2072</v>
      </c>
      <c r="C37" s="1415" t="s">
        <v>2006</v>
      </c>
      <c r="D37" s="1419">
        <v>0</v>
      </c>
      <c r="E37" s="1419">
        <v>0</v>
      </c>
      <c r="F37" s="1419">
        <v>0</v>
      </c>
      <c r="G37" s="1419">
        <v>0</v>
      </c>
      <c r="H37" s="1420">
        <v>0</v>
      </c>
      <c r="I37" s="1420">
        <v>0</v>
      </c>
    </row>
    <row r="38" spans="1:9" x14ac:dyDescent="0.3">
      <c r="A38" s="1417" t="s">
        <v>2073</v>
      </c>
      <c r="B38" s="1417" t="s">
        <v>2074</v>
      </c>
      <c r="C38" s="1415" t="s">
        <v>2006</v>
      </c>
      <c r="D38" s="1419">
        <v>0</v>
      </c>
      <c r="E38" s="1419">
        <v>0</v>
      </c>
      <c r="F38" s="1419">
        <v>0</v>
      </c>
      <c r="G38" s="1419">
        <v>0</v>
      </c>
      <c r="H38" s="1420">
        <v>0</v>
      </c>
      <c r="I38" s="1420">
        <v>0</v>
      </c>
    </row>
    <row r="39" spans="1:9" x14ac:dyDescent="0.3">
      <c r="A39" s="1417" t="s">
        <v>2075</v>
      </c>
      <c r="B39" s="1417" t="s">
        <v>2076</v>
      </c>
      <c r="C39" s="1415" t="s">
        <v>2006</v>
      </c>
      <c r="D39" s="1419">
        <v>0</v>
      </c>
      <c r="E39" s="1419">
        <v>0</v>
      </c>
      <c r="F39" s="1419">
        <v>0</v>
      </c>
      <c r="G39" s="1419">
        <v>0</v>
      </c>
      <c r="H39" s="1420">
        <v>0</v>
      </c>
      <c r="I39" s="1420">
        <v>0</v>
      </c>
    </row>
    <row r="40" spans="1:9" x14ac:dyDescent="0.3">
      <c r="A40" s="1417" t="s">
        <v>2077</v>
      </c>
      <c r="B40" s="1417" t="s">
        <v>2078</v>
      </c>
      <c r="C40" s="1415" t="s">
        <v>2006</v>
      </c>
      <c r="D40" s="1419">
        <v>0</v>
      </c>
      <c r="E40" s="1419">
        <v>0</v>
      </c>
      <c r="F40" s="1419">
        <v>0</v>
      </c>
      <c r="G40" s="1419">
        <v>0</v>
      </c>
      <c r="H40" s="1420">
        <v>0</v>
      </c>
      <c r="I40" s="1420">
        <v>0</v>
      </c>
    </row>
    <row r="41" spans="1:9" x14ac:dyDescent="0.3">
      <c r="A41" s="1417" t="s">
        <v>2079</v>
      </c>
      <c r="B41" s="1417" t="s">
        <v>2080</v>
      </c>
      <c r="C41" s="1415" t="s">
        <v>2006</v>
      </c>
      <c r="D41" s="1419">
        <v>0</v>
      </c>
      <c r="E41" s="1419">
        <v>937.65</v>
      </c>
      <c r="F41" s="1419">
        <v>0</v>
      </c>
      <c r="G41" s="1419">
        <v>0</v>
      </c>
      <c r="H41" s="1420">
        <v>0</v>
      </c>
      <c r="I41" s="1420">
        <v>937.65</v>
      </c>
    </row>
    <row r="42" spans="1:9" x14ac:dyDescent="0.3">
      <c r="A42" s="1417" t="s">
        <v>2081</v>
      </c>
      <c r="B42" s="1417" t="s">
        <v>2082</v>
      </c>
      <c r="C42" s="1415" t="s">
        <v>2006</v>
      </c>
      <c r="D42" s="1419">
        <v>0</v>
      </c>
      <c r="E42" s="1419">
        <v>900</v>
      </c>
      <c r="F42" s="1419">
        <v>0</v>
      </c>
      <c r="G42" s="1419">
        <v>0</v>
      </c>
      <c r="H42" s="1420">
        <v>0</v>
      </c>
      <c r="I42" s="1420">
        <v>900</v>
      </c>
    </row>
    <row r="43" spans="1:9" x14ac:dyDescent="0.3">
      <c r="A43" s="1417" t="s">
        <v>2083</v>
      </c>
      <c r="B43" s="1417" t="s">
        <v>2084</v>
      </c>
      <c r="C43" s="1415" t="s">
        <v>2006</v>
      </c>
      <c r="D43" s="1419">
        <v>0</v>
      </c>
      <c r="E43" s="1419">
        <v>0</v>
      </c>
      <c r="F43" s="1419">
        <v>0</v>
      </c>
      <c r="G43" s="1419">
        <v>0</v>
      </c>
      <c r="H43" s="1420">
        <v>0</v>
      </c>
      <c r="I43" s="1420">
        <v>0</v>
      </c>
    </row>
    <row r="44" spans="1:9" x14ac:dyDescent="0.3">
      <c r="A44" s="1417" t="s">
        <v>2085</v>
      </c>
      <c r="B44" s="1417" t="s">
        <v>2086</v>
      </c>
      <c r="C44" s="1415" t="s">
        <v>2006</v>
      </c>
      <c r="D44" s="1419">
        <v>0</v>
      </c>
      <c r="E44" s="1419">
        <v>0</v>
      </c>
      <c r="F44" s="1419">
        <v>0</v>
      </c>
      <c r="G44" s="1419">
        <v>0</v>
      </c>
      <c r="H44" s="1420">
        <v>0</v>
      </c>
      <c r="I44" s="1420">
        <v>0</v>
      </c>
    </row>
    <row r="45" spans="1:9" x14ac:dyDescent="0.3">
      <c r="A45" s="1417" t="s">
        <v>2087</v>
      </c>
      <c r="B45" s="1417" t="s">
        <v>2088</v>
      </c>
      <c r="C45" s="1415" t="s">
        <v>2006</v>
      </c>
      <c r="D45" s="1419">
        <v>0</v>
      </c>
      <c r="E45" s="1419">
        <v>0</v>
      </c>
      <c r="F45" s="1419">
        <v>0</v>
      </c>
      <c r="G45" s="1419">
        <v>5.56</v>
      </c>
      <c r="H45" s="1420">
        <v>0</v>
      </c>
      <c r="I45" s="1420">
        <v>5.56</v>
      </c>
    </row>
    <row r="46" spans="1:9" x14ac:dyDescent="0.3">
      <c r="A46" s="1417" t="s">
        <v>2089</v>
      </c>
      <c r="B46" s="1417" t="s">
        <v>2016</v>
      </c>
      <c r="C46" s="1415" t="s">
        <v>2006</v>
      </c>
      <c r="D46" s="1419">
        <v>1259.25</v>
      </c>
      <c r="E46" s="1419">
        <v>0</v>
      </c>
      <c r="F46" s="1419">
        <v>0</v>
      </c>
      <c r="G46" s="1419">
        <v>0</v>
      </c>
      <c r="H46" s="1420">
        <v>1259.25</v>
      </c>
      <c r="I46" s="1420">
        <v>0</v>
      </c>
    </row>
    <row r="47" spans="1:9" x14ac:dyDescent="0.3">
      <c r="A47" s="1417" t="s">
        <v>2090</v>
      </c>
      <c r="B47" s="1417" t="s">
        <v>2017</v>
      </c>
      <c r="C47" s="1415" t="s">
        <v>2006</v>
      </c>
      <c r="D47" s="1419">
        <v>0</v>
      </c>
      <c r="E47" s="1419">
        <v>0</v>
      </c>
      <c r="F47" s="1419">
        <v>201.26</v>
      </c>
      <c r="G47" s="1419">
        <v>0</v>
      </c>
      <c r="H47" s="1420">
        <v>201.26</v>
      </c>
      <c r="I47" s="1420">
        <v>0</v>
      </c>
    </row>
    <row r="48" spans="1:9" x14ac:dyDescent="0.3">
      <c r="A48" s="1417" t="s">
        <v>2193</v>
      </c>
      <c r="B48" s="1417" t="s">
        <v>2194</v>
      </c>
      <c r="C48" s="1415" t="s">
        <v>2006</v>
      </c>
      <c r="D48" s="1419">
        <v>0</v>
      </c>
      <c r="E48" s="1419">
        <v>75000</v>
      </c>
      <c r="F48" s="1419">
        <v>0</v>
      </c>
      <c r="G48" s="1419">
        <v>0</v>
      </c>
      <c r="H48" s="1420">
        <v>0</v>
      </c>
      <c r="I48" s="1420">
        <v>75000</v>
      </c>
    </row>
    <row r="49" spans="1:9" x14ac:dyDescent="0.3">
      <c r="A49" s="1417" t="s">
        <v>2091</v>
      </c>
      <c r="B49" s="1417" t="s">
        <v>2092</v>
      </c>
      <c r="C49" s="1415" t="s">
        <v>2006</v>
      </c>
      <c r="D49" s="1419">
        <v>0</v>
      </c>
      <c r="E49" s="1419">
        <v>0</v>
      </c>
      <c r="F49" s="1419">
        <v>2768.79</v>
      </c>
      <c r="G49" s="1419">
        <v>0</v>
      </c>
      <c r="H49" s="1420">
        <v>2768.79</v>
      </c>
      <c r="I49" s="1420">
        <v>0</v>
      </c>
    </row>
    <row r="50" spans="1:9" x14ac:dyDescent="0.3">
      <c r="A50" s="1417" t="s">
        <v>2093</v>
      </c>
      <c r="B50" s="1417" t="s">
        <v>2094</v>
      </c>
      <c r="C50" s="1415" t="s">
        <v>2006</v>
      </c>
      <c r="D50" s="1419">
        <v>0</v>
      </c>
      <c r="E50" s="1419">
        <v>0</v>
      </c>
      <c r="F50" s="1419">
        <v>9322.07</v>
      </c>
      <c r="G50" s="1419">
        <v>0</v>
      </c>
      <c r="H50" s="1420">
        <v>9322.07</v>
      </c>
      <c r="I50" s="1420">
        <v>0</v>
      </c>
    </row>
    <row r="51" spans="1:9" x14ac:dyDescent="0.3">
      <c r="A51" s="1417" t="s">
        <v>2095</v>
      </c>
      <c r="B51" s="1417" t="s">
        <v>2096</v>
      </c>
      <c r="C51" s="1415" t="s">
        <v>2006</v>
      </c>
      <c r="D51" s="1419">
        <v>0</v>
      </c>
      <c r="E51" s="1419">
        <v>0</v>
      </c>
      <c r="F51" s="1419">
        <v>0</v>
      </c>
      <c r="G51" s="1419">
        <v>0</v>
      </c>
      <c r="H51" s="1420">
        <v>0</v>
      </c>
      <c r="I51" s="1420">
        <v>0</v>
      </c>
    </row>
    <row r="52" spans="1:9" x14ac:dyDescent="0.3">
      <c r="A52" s="1417" t="s">
        <v>2097</v>
      </c>
      <c r="B52" s="1417" t="s">
        <v>2098</v>
      </c>
      <c r="C52" s="1415" t="s">
        <v>2006</v>
      </c>
      <c r="D52" s="1419">
        <v>0</v>
      </c>
      <c r="E52" s="1419">
        <v>0</v>
      </c>
      <c r="F52" s="1419">
        <v>389.61</v>
      </c>
      <c r="G52" s="1419">
        <v>0</v>
      </c>
      <c r="H52" s="1420">
        <v>389.61</v>
      </c>
      <c r="I52" s="1420">
        <v>0</v>
      </c>
    </row>
    <row r="53" spans="1:9" x14ac:dyDescent="0.3">
      <c r="A53" s="1417" t="s">
        <v>2099</v>
      </c>
      <c r="B53" s="1417" t="s">
        <v>2100</v>
      </c>
      <c r="C53" s="1415" t="s">
        <v>2006</v>
      </c>
      <c r="D53" s="1419">
        <v>0</v>
      </c>
      <c r="E53" s="1419">
        <v>0</v>
      </c>
      <c r="F53" s="1419">
        <v>0</v>
      </c>
      <c r="G53" s="1419">
        <v>0</v>
      </c>
      <c r="H53" s="1420">
        <v>0</v>
      </c>
      <c r="I53" s="1420">
        <v>0</v>
      </c>
    </row>
    <row r="54" spans="1:9" x14ac:dyDescent="0.3">
      <c r="A54" s="1417" t="s">
        <v>2095</v>
      </c>
      <c r="B54" s="1417" t="s">
        <v>1713</v>
      </c>
      <c r="C54" s="1415" t="s">
        <v>2006</v>
      </c>
      <c r="D54" s="1419">
        <v>20440.38</v>
      </c>
      <c r="E54" s="1419">
        <v>0</v>
      </c>
      <c r="F54" s="1419">
        <v>0</v>
      </c>
      <c r="G54" s="1419">
        <v>0</v>
      </c>
      <c r="H54" s="1420">
        <v>20440.38</v>
      </c>
      <c r="I54" s="1420">
        <v>0</v>
      </c>
    </row>
    <row r="55" spans="1:9" x14ac:dyDescent="0.3">
      <c r="A55" s="1417" t="s">
        <v>2101</v>
      </c>
      <c r="B55" s="1417" t="s">
        <v>2102</v>
      </c>
      <c r="C55" s="1415" t="s">
        <v>2006</v>
      </c>
      <c r="D55" s="1419">
        <v>0</v>
      </c>
      <c r="E55" s="1419">
        <v>0</v>
      </c>
      <c r="F55" s="1419">
        <v>2195.9899999999998</v>
      </c>
      <c r="G55" s="1419">
        <v>0</v>
      </c>
      <c r="H55" s="1420">
        <v>2195.9899999999998</v>
      </c>
      <c r="I55" s="1420">
        <v>0</v>
      </c>
    </row>
    <row r="56" spans="1:9" x14ac:dyDescent="0.3">
      <c r="A56" s="1417" t="s">
        <v>2025</v>
      </c>
      <c r="B56" s="1417" t="s">
        <v>494</v>
      </c>
      <c r="C56" s="1415" t="s">
        <v>2006</v>
      </c>
      <c r="D56" s="1419">
        <v>23784.32</v>
      </c>
      <c r="E56" s="1419">
        <v>0</v>
      </c>
      <c r="F56" s="1419">
        <v>0</v>
      </c>
      <c r="G56" s="1419">
        <v>0</v>
      </c>
      <c r="H56" s="1420">
        <v>23784.32</v>
      </c>
      <c r="I56" s="1420">
        <v>0</v>
      </c>
    </row>
    <row r="57" spans="1:9" x14ac:dyDescent="0.3">
      <c r="A57" s="1417" t="s">
        <v>2183</v>
      </c>
      <c r="B57" s="1417" t="s">
        <v>732</v>
      </c>
      <c r="C57" s="1415" t="s">
        <v>2006</v>
      </c>
      <c r="D57" s="1419">
        <v>450000</v>
      </c>
      <c r="E57" s="1419">
        <v>0</v>
      </c>
      <c r="F57" s="1419">
        <v>0</v>
      </c>
      <c r="G57" s="1419">
        <v>0</v>
      </c>
      <c r="H57" s="1420">
        <v>450000</v>
      </c>
      <c r="I57" s="1420">
        <v>0</v>
      </c>
    </row>
    <row r="58" spans="1:9" x14ac:dyDescent="0.3">
      <c r="A58" s="1417" t="s">
        <v>2103</v>
      </c>
      <c r="B58" s="1417" t="s">
        <v>2104</v>
      </c>
      <c r="C58" s="1415" t="s">
        <v>2006</v>
      </c>
      <c r="D58" s="1419">
        <v>192352.91</v>
      </c>
      <c r="E58" s="1419">
        <v>0</v>
      </c>
      <c r="F58" s="1419">
        <v>0</v>
      </c>
      <c r="G58" s="1419">
        <v>0</v>
      </c>
      <c r="H58" s="1420">
        <v>192352.91</v>
      </c>
      <c r="I58" s="1420">
        <v>0</v>
      </c>
    </row>
    <row r="59" spans="1:9" x14ac:dyDescent="0.3">
      <c r="A59" s="1417" t="s">
        <v>2105</v>
      </c>
      <c r="B59" s="1417" t="s">
        <v>2106</v>
      </c>
      <c r="C59" s="1415" t="s">
        <v>2006</v>
      </c>
      <c r="D59" s="1419">
        <v>0</v>
      </c>
      <c r="E59" s="1419">
        <v>0</v>
      </c>
      <c r="F59" s="1419">
        <v>0</v>
      </c>
      <c r="G59" s="1419">
        <v>192378.78</v>
      </c>
      <c r="H59" s="1420">
        <v>0</v>
      </c>
      <c r="I59" s="1420">
        <v>192378.78</v>
      </c>
    </row>
    <row r="60" spans="1:9" x14ac:dyDescent="0.3">
      <c r="A60" s="1417" t="s">
        <v>2014</v>
      </c>
      <c r="B60" s="1417" t="s">
        <v>26</v>
      </c>
      <c r="C60" s="1415" t="s">
        <v>2006</v>
      </c>
      <c r="D60" s="1419">
        <v>30799.73</v>
      </c>
      <c r="E60" s="1419">
        <v>0</v>
      </c>
      <c r="F60" s="1419">
        <v>0</v>
      </c>
      <c r="G60" s="1419">
        <v>2212.62</v>
      </c>
      <c r="H60" s="1420">
        <v>30799.73</v>
      </c>
      <c r="I60" s="1420">
        <v>2212.62</v>
      </c>
    </row>
    <row r="61" spans="1:9" x14ac:dyDescent="0.3">
      <c r="A61" s="1417" t="s">
        <v>2107</v>
      </c>
      <c r="B61" s="1417" t="s">
        <v>37</v>
      </c>
      <c r="C61" s="1415" t="s">
        <v>2006</v>
      </c>
      <c r="D61" s="1419">
        <v>0</v>
      </c>
      <c r="E61" s="1419">
        <v>0</v>
      </c>
      <c r="F61" s="1419">
        <v>0</v>
      </c>
      <c r="G61" s="1419">
        <v>198.12</v>
      </c>
      <c r="H61" s="1420">
        <v>0</v>
      </c>
      <c r="I61" s="1420">
        <v>198.12</v>
      </c>
    </row>
    <row r="62" spans="1:9" x14ac:dyDescent="0.3">
      <c r="A62" s="1417" t="s">
        <v>2108</v>
      </c>
      <c r="B62" s="1417" t="s">
        <v>2109</v>
      </c>
      <c r="C62" s="1415" t="s">
        <v>2006</v>
      </c>
      <c r="D62" s="1419">
        <v>0</v>
      </c>
      <c r="E62" s="1419">
        <v>0</v>
      </c>
      <c r="F62" s="1419">
        <v>242.6</v>
      </c>
      <c r="G62" s="1419">
        <v>0</v>
      </c>
      <c r="H62" s="1420">
        <v>242.6</v>
      </c>
      <c r="I62" s="1420">
        <v>0</v>
      </c>
    </row>
    <row r="63" spans="1:9" x14ac:dyDescent="0.3">
      <c r="A63" s="1417" t="s">
        <v>2110</v>
      </c>
      <c r="B63" s="1417" t="s">
        <v>2111</v>
      </c>
      <c r="C63" s="1415" t="s">
        <v>2006</v>
      </c>
      <c r="D63" s="1419">
        <v>0</v>
      </c>
      <c r="E63" s="1419">
        <v>0</v>
      </c>
      <c r="F63" s="1419">
        <v>6.04</v>
      </c>
      <c r="G63" s="1419">
        <v>0</v>
      </c>
      <c r="H63" s="1420">
        <v>6.04</v>
      </c>
      <c r="I63" s="1420">
        <v>0</v>
      </c>
    </row>
    <row r="64" spans="1:9" x14ac:dyDescent="0.3">
      <c r="A64" s="1417" t="s">
        <v>2184</v>
      </c>
      <c r="B64" s="1417" t="s">
        <v>2185</v>
      </c>
      <c r="C64" s="1415" t="s">
        <v>2006</v>
      </c>
      <c r="D64" s="1419">
        <v>6000000</v>
      </c>
      <c r="E64" s="1419">
        <v>0</v>
      </c>
      <c r="F64" s="1419">
        <v>0</v>
      </c>
      <c r="G64" s="1419">
        <v>0</v>
      </c>
      <c r="H64" s="1420">
        <v>6000000</v>
      </c>
      <c r="I64" s="1420">
        <v>0</v>
      </c>
    </row>
    <row r="65" spans="1:9" x14ac:dyDescent="0.3">
      <c r="A65" s="1417" t="s">
        <v>2059</v>
      </c>
      <c r="B65" s="1417" t="s">
        <v>1730</v>
      </c>
      <c r="C65" s="1415" t="s">
        <v>2006</v>
      </c>
      <c r="D65" s="1419">
        <v>54424.07</v>
      </c>
      <c r="E65" s="1419">
        <v>0</v>
      </c>
      <c r="F65" s="1419">
        <v>0</v>
      </c>
      <c r="G65" s="1419">
        <v>0</v>
      </c>
      <c r="H65" s="1420">
        <v>54424.07</v>
      </c>
      <c r="I65" s="1420">
        <v>0</v>
      </c>
    </row>
    <row r="66" spans="1:9" x14ac:dyDescent="0.3">
      <c r="A66" s="1417" t="s">
        <v>2112</v>
      </c>
      <c r="B66" s="1417" t="s">
        <v>2113</v>
      </c>
      <c r="C66" s="1415" t="s">
        <v>2006</v>
      </c>
      <c r="D66" s="1419">
        <v>0</v>
      </c>
      <c r="E66" s="1419">
        <v>0</v>
      </c>
      <c r="F66" s="1419">
        <v>0</v>
      </c>
      <c r="G66" s="1419">
        <v>556400</v>
      </c>
      <c r="H66" s="1420">
        <v>0</v>
      </c>
      <c r="I66" s="1420">
        <v>556400</v>
      </c>
    </row>
    <row r="67" spans="1:9" x14ac:dyDescent="0.3">
      <c r="A67" s="1417" t="s">
        <v>2032</v>
      </c>
      <c r="B67" s="1417" t="s">
        <v>27</v>
      </c>
      <c r="C67" s="1415" t="s">
        <v>2006</v>
      </c>
      <c r="D67" s="1419">
        <v>89.21</v>
      </c>
      <c r="E67" s="1419">
        <v>0</v>
      </c>
      <c r="F67" s="1419">
        <v>2773.69</v>
      </c>
      <c r="G67" s="1419">
        <v>0</v>
      </c>
      <c r="H67" s="1420">
        <v>2862.9</v>
      </c>
      <c r="I67" s="1420">
        <v>0</v>
      </c>
    </row>
    <row r="68" spans="1:9" x14ac:dyDescent="0.3">
      <c r="A68" s="1417" t="s">
        <v>2195</v>
      </c>
      <c r="B68" s="1417" t="s">
        <v>2196</v>
      </c>
      <c r="C68" s="1415" t="s">
        <v>2006</v>
      </c>
      <c r="D68" s="1419">
        <v>0</v>
      </c>
      <c r="E68" s="1419">
        <v>0</v>
      </c>
      <c r="F68" s="1419">
        <v>1028.5899999999999</v>
      </c>
      <c r="G68" s="1419">
        <v>0</v>
      </c>
      <c r="H68" s="1420">
        <v>1028.5899999999999</v>
      </c>
      <c r="I68" s="1420">
        <v>0</v>
      </c>
    </row>
    <row r="69" spans="1:9" x14ac:dyDescent="0.3">
      <c r="A69" s="1417" t="s">
        <v>2037</v>
      </c>
      <c r="B69" s="1417" t="s">
        <v>2026</v>
      </c>
      <c r="C69" s="1415" t="s">
        <v>2006</v>
      </c>
      <c r="D69" s="1419">
        <v>0</v>
      </c>
      <c r="E69" s="1419">
        <v>0</v>
      </c>
      <c r="F69" s="1419">
        <v>214.77</v>
      </c>
      <c r="G69" s="1419">
        <v>0</v>
      </c>
      <c r="H69" s="1420">
        <v>214.77</v>
      </c>
      <c r="I69" s="1420">
        <v>0</v>
      </c>
    </row>
    <row r="70" spans="1:9" x14ac:dyDescent="0.3">
      <c r="A70" s="1417" t="s">
        <v>2114</v>
      </c>
      <c r="B70" s="1417" t="s">
        <v>1775</v>
      </c>
      <c r="C70" s="1415" t="s">
        <v>2006</v>
      </c>
      <c r="D70" s="1419">
        <v>0</v>
      </c>
      <c r="E70" s="1419">
        <v>0</v>
      </c>
      <c r="F70" s="1419">
        <v>20.99</v>
      </c>
      <c r="G70" s="1419">
        <v>0</v>
      </c>
      <c r="H70" s="1420">
        <v>20.99</v>
      </c>
      <c r="I70" s="1420">
        <v>0</v>
      </c>
    </row>
    <row r="71" spans="1:9" x14ac:dyDescent="0.3">
      <c r="A71" s="1417" t="s">
        <v>2024</v>
      </c>
      <c r="B71" s="1417" t="s">
        <v>200</v>
      </c>
      <c r="C71" s="1415" t="s">
        <v>2006</v>
      </c>
      <c r="D71" s="1419">
        <v>928.16</v>
      </c>
      <c r="E71" s="1419">
        <v>0</v>
      </c>
      <c r="F71" s="1419">
        <v>0</v>
      </c>
      <c r="G71" s="1419">
        <v>0</v>
      </c>
      <c r="H71" s="1420">
        <v>928.16</v>
      </c>
      <c r="I71" s="1420">
        <v>0</v>
      </c>
    </row>
    <row r="72" spans="1:9" x14ac:dyDescent="0.3">
      <c r="A72" s="1417" t="s">
        <v>2115</v>
      </c>
      <c r="B72" s="1417" t="s">
        <v>2116</v>
      </c>
      <c r="C72" s="1415" t="s">
        <v>2006</v>
      </c>
      <c r="D72" s="1419">
        <v>0</v>
      </c>
      <c r="E72" s="1419">
        <v>0</v>
      </c>
      <c r="F72" s="1419">
        <v>1697.62</v>
      </c>
      <c r="G72" s="1419">
        <v>0</v>
      </c>
      <c r="H72" s="1420">
        <v>1697.62</v>
      </c>
      <c r="I72" s="1420">
        <v>0</v>
      </c>
    </row>
    <row r="73" spans="1:9" x14ac:dyDescent="0.3">
      <c r="A73" s="1417" t="s">
        <v>2197</v>
      </c>
      <c r="B73" s="1417" t="s">
        <v>2198</v>
      </c>
      <c r="C73" s="1415" t="s">
        <v>2006</v>
      </c>
      <c r="D73" s="1419">
        <v>0</v>
      </c>
      <c r="E73" s="1419">
        <v>0</v>
      </c>
      <c r="F73" s="1419">
        <v>0</v>
      </c>
      <c r="G73" s="1419">
        <v>3150</v>
      </c>
      <c r="H73" s="1420">
        <v>0</v>
      </c>
      <c r="I73" s="1420">
        <v>3150</v>
      </c>
    </row>
    <row r="74" spans="1:9" x14ac:dyDescent="0.3">
      <c r="A74" s="1417" t="s">
        <v>2117</v>
      </c>
      <c r="B74" s="1417" t="s">
        <v>2118</v>
      </c>
      <c r="C74" s="1415" t="s">
        <v>2006</v>
      </c>
      <c r="D74" s="1419">
        <v>0</v>
      </c>
      <c r="E74" s="1419">
        <v>0</v>
      </c>
      <c r="F74" s="1419">
        <v>2024.57</v>
      </c>
      <c r="G74" s="1419">
        <v>0</v>
      </c>
      <c r="H74" s="1420">
        <v>2024.57</v>
      </c>
      <c r="I74" s="1420">
        <v>0</v>
      </c>
    </row>
    <row r="75" spans="1:9" x14ac:dyDescent="0.3">
      <c r="A75" s="1417" t="s">
        <v>2119</v>
      </c>
      <c r="B75" s="1417" t="s">
        <v>2120</v>
      </c>
      <c r="C75" s="1415" t="s">
        <v>2006</v>
      </c>
      <c r="D75" s="1419">
        <v>0</v>
      </c>
      <c r="E75" s="1419">
        <v>0</v>
      </c>
      <c r="F75" s="1419">
        <v>0</v>
      </c>
      <c r="G75" s="1419">
        <v>0</v>
      </c>
      <c r="H75" s="1420">
        <v>0</v>
      </c>
      <c r="I75" s="1420">
        <v>0</v>
      </c>
    </row>
    <row r="76" spans="1:9" x14ac:dyDescent="0.3">
      <c r="A76" s="1417" t="s">
        <v>2121</v>
      </c>
      <c r="B76" s="1417" t="s">
        <v>2122</v>
      </c>
      <c r="C76" s="1415" t="s">
        <v>2006</v>
      </c>
      <c r="D76" s="1419">
        <v>0</v>
      </c>
      <c r="E76" s="1419">
        <v>0</v>
      </c>
      <c r="F76" s="1419">
        <v>0</v>
      </c>
      <c r="G76" s="1419">
        <v>0</v>
      </c>
      <c r="H76" s="1420">
        <v>0</v>
      </c>
      <c r="I76" s="1420">
        <v>0</v>
      </c>
    </row>
    <row r="77" spans="1:9" x14ac:dyDescent="0.3">
      <c r="A77" s="1417" t="s">
        <v>2038</v>
      </c>
      <c r="B77" s="1417" t="s">
        <v>2123</v>
      </c>
      <c r="C77" s="1415" t="s">
        <v>2006</v>
      </c>
      <c r="D77" s="1419">
        <v>0</v>
      </c>
      <c r="E77" s="1419">
        <v>0</v>
      </c>
      <c r="F77" s="1419">
        <v>0</v>
      </c>
      <c r="G77" s="1419">
        <v>0</v>
      </c>
      <c r="H77" s="1420">
        <v>0</v>
      </c>
      <c r="I77" s="1420">
        <v>0</v>
      </c>
    </row>
    <row r="78" spans="1:9" x14ac:dyDescent="0.3">
      <c r="A78" s="1417" t="s">
        <v>2124</v>
      </c>
      <c r="B78" s="1417" t="s">
        <v>3</v>
      </c>
      <c r="C78" s="1415" t="s">
        <v>2006</v>
      </c>
      <c r="D78" s="1419">
        <v>0</v>
      </c>
      <c r="E78" s="1419">
        <v>0</v>
      </c>
      <c r="F78" s="1419">
        <v>0</v>
      </c>
      <c r="G78" s="1419">
        <v>0</v>
      </c>
      <c r="H78" s="1420">
        <v>0</v>
      </c>
      <c r="I78" s="1420">
        <v>0</v>
      </c>
    </row>
    <row r="79" spans="1:9" x14ac:dyDescent="0.3">
      <c r="A79" s="1417" t="s">
        <v>2125</v>
      </c>
      <c r="B79" s="1417" t="s">
        <v>2126</v>
      </c>
      <c r="C79" s="1415" t="s">
        <v>2006</v>
      </c>
      <c r="D79" s="1419">
        <v>0</v>
      </c>
      <c r="E79" s="1419">
        <v>0</v>
      </c>
      <c r="F79" s="1419">
        <v>395.6</v>
      </c>
      <c r="G79" s="1419">
        <v>0</v>
      </c>
      <c r="H79" s="1420">
        <v>395.6</v>
      </c>
      <c r="I79" s="1420">
        <v>0</v>
      </c>
    </row>
    <row r="80" spans="1:9" x14ac:dyDescent="0.3">
      <c r="A80" s="1417" t="s">
        <v>2029</v>
      </c>
      <c r="B80" s="1417" t="s">
        <v>2030</v>
      </c>
      <c r="C80" s="1415" t="s">
        <v>2006</v>
      </c>
      <c r="D80" s="1419">
        <v>0</v>
      </c>
      <c r="E80" s="1419">
        <v>0</v>
      </c>
      <c r="F80" s="1419">
        <v>0</v>
      </c>
      <c r="G80" s="1419">
        <v>2769.58</v>
      </c>
      <c r="H80" s="1420">
        <v>0</v>
      </c>
      <c r="I80" s="1420">
        <v>2769.58</v>
      </c>
    </row>
    <row r="81" spans="1:9" x14ac:dyDescent="0.3">
      <c r="A81" s="1417" t="s">
        <v>2127</v>
      </c>
      <c r="B81" s="1417" t="s">
        <v>1725</v>
      </c>
      <c r="C81" s="1415" t="s">
        <v>2006</v>
      </c>
      <c r="D81" s="1419">
        <v>1474472.33</v>
      </c>
      <c r="E81" s="1419">
        <v>0</v>
      </c>
      <c r="F81" s="1419">
        <v>0</v>
      </c>
      <c r="G81" s="1419">
        <v>0</v>
      </c>
      <c r="H81" s="1420">
        <v>1474472.33</v>
      </c>
      <c r="I81" s="1420">
        <v>0</v>
      </c>
    </row>
    <row r="82" spans="1:9" x14ac:dyDescent="0.3">
      <c r="A82" s="1417" t="s">
        <v>2128</v>
      </c>
      <c r="B82" s="1417" t="s">
        <v>1725</v>
      </c>
      <c r="C82" s="1415" t="s">
        <v>2006</v>
      </c>
      <c r="D82" s="1419">
        <v>0</v>
      </c>
      <c r="E82" s="1419">
        <v>0</v>
      </c>
      <c r="F82" s="1419">
        <v>707384.31</v>
      </c>
      <c r="G82" s="1419">
        <v>0</v>
      </c>
      <c r="H82" s="1420">
        <v>707384.31</v>
      </c>
      <c r="I82" s="1420">
        <v>0</v>
      </c>
    </row>
    <row r="83" spans="1:9" x14ac:dyDescent="0.3">
      <c r="A83" s="1417" t="s">
        <v>2115</v>
      </c>
      <c r="B83" s="1417" t="s">
        <v>5</v>
      </c>
      <c r="C83" s="1415" t="s">
        <v>2006</v>
      </c>
      <c r="D83" s="1419">
        <v>0</v>
      </c>
      <c r="E83" s="1419">
        <v>6450000</v>
      </c>
      <c r="F83" s="1419">
        <v>0</v>
      </c>
      <c r="G83" s="1419">
        <v>0</v>
      </c>
      <c r="H83" s="1420">
        <v>0</v>
      </c>
      <c r="I83" s="1420">
        <v>6450000</v>
      </c>
    </row>
    <row r="84" spans="1:9" x14ac:dyDescent="0.3">
      <c r="A84" s="1417" t="s">
        <v>2129</v>
      </c>
      <c r="B84" s="1417" t="s">
        <v>2130</v>
      </c>
      <c r="C84" s="1415" t="s">
        <v>2006</v>
      </c>
      <c r="D84" s="1419">
        <v>0</v>
      </c>
      <c r="E84" s="1419">
        <v>1801251</v>
      </c>
      <c r="F84" s="1419">
        <v>0</v>
      </c>
      <c r="G84" s="1419">
        <v>0</v>
      </c>
      <c r="H84" s="1420">
        <v>0</v>
      </c>
      <c r="I84" s="1420">
        <v>1801251</v>
      </c>
    </row>
    <row r="85" spans="1:9" x14ac:dyDescent="0.3">
      <c r="A85" s="1417" t="s">
        <v>2131</v>
      </c>
      <c r="B85" s="1417" t="s">
        <v>2132</v>
      </c>
      <c r="C85" s="1415" t="s">
        <v>2006</v>
      </c>
      <c r="D85" s="1419">
        <v>27152.1</v>
      </c>
      <c r="E85" s="1419">
        <v>0</v>
      </c>
      <c r="F85" s="1419">
        <v>0</v>
      </c>
      <c r="G85" s="1419">
        <v>0</v>
      </c>
      <c r="H85" s="1420">
        <v>27152.1</v>
      </c>
      <c r="I85" s="1420">
        <v>0</v>
      </c>
    </row>
    <row r="86" spans="1:9" x14ac:dyDescent="0.3">
      <c r="A86" s="1417" t="s">
        <v>2199</v>
      </c>
      <c r="B86" s="1417" t="s">
        <v>2200</v>
      </c>
      <c r="C86" s="1415" t="s">
        <v>2006</v>
      </c>
      <c r="D86" s="1419">
        <v>0</v>
      </c>
      <c r="E86" s="1419">
        <v>0</v>
      </c>
      <c r="F86" s="1419">
        <v>11259.33</v>
      </c>
      <c r="G86" s="1419">
        <v>0</v>
      </c>
      <c r="H86" s="1420">
        <v>11259.33</v>
      </c>
      <c r="I86" s="1420">
        <v>0</v>
      </c>
    </row>
    <row r="87" spans="1:9" x14ac:dyDescent="0.3">
      <c r="A87" s="1417" t="s">
        <v>2133</v>
      </c>
      <c r="B87" s="1417" t="s">
        <v>2134</v>
      </c>
      <c r="C87" s="1415" t="s">
        <v>2006</v>
      </c>
      <c r="D87" s="1419">
        <v>0</v>
      </c>
      <c r="E87" s="1419">
        <v>0</v>
      </c>
      <c r="F87" s="1419">
        <v>6288.98</v>
      </c>
      <c r="G87" s="1419">
        <v>0</v>
      </c>
      <c r="H87" s="1420">
        <v>6288.98</v>
      </c>
      <c r="I87" s="1420">
        <v>0</v>
      </c>
    </row>
    <row r="88" spans="1:9" x14ac:dyDescent="0.3">
      <c r="A88" s="1417" t="s">
        <v>2135</v>
      </c>
      <c r="B88" s="1417" t="s">
        <v>2136</v>
      </c>
      <c r="C88" s="1415" t="s">
        <v>2006</v>
      </c>
      <c r="D88" s="1419">
        <v>0</v>
      </c>
      <c r="E88" s="1419">
        <v>0</v>
      </c>
      <c r="F88" s="1419">
        <v>0</v>
      </c>
      <c r="G88" s="1419">
        <v>948.31</v>
      </c>
      <c r="H88" s="1420">
        <v>0</v>
      </c>
      <c r="I88" s="1420">
        <v>948.31</v>
      </c>
    </row>
    <row r="89" spans="1:9" x14ac:dyDescent="0.3">
      <c r="A89" s="1417" t="s">
        <v>2021</v>
      </c>
      <c r="B89" s="1417" t="s">
        <v>2137</v>
      </c>
      <c r="C89" s="1415" t="s">
        <v>2006</v>
      </c>
      <c r="D89" s="1419">
        <v>0</v>
      </c>
      <c r="E89" s="1419">
        <v>0</v>
      </c>
      <c r="F89" s="1419">
        <v>2901.19</v>
      </c>
      <c r="G89" s="1419">
        <v>0</v>
      </c>
      <c r="H89" s="1420">
        <v>2901.19</v>
      </c>
      <c r="I89" s="1420">
        <v>0</v>
      </c>
    </row>
    <row r="90" spans="1:9" x14ac:dyDescent="0.3">
      <c r="A90" s="1417" t="s">
        <v>2138</v>
      </c>
      <c r="B90" s="1417" t="s">
        <v>1096</v>
      </c>
      <c r="C90" s="1415" t="s">
        <v>2006</v>
      </c>
      <c r="D90" s="1419">
        <v>0</v>
      </c>
      <c r="E90" s="1419">
        <v>0</v>
      </c>
      <c r="F90" s="1419">
        <v>0</v>
      </c>
      <c r="G90" s="1419">
        <v>162.91</v>
      </c>
      <c r="H90" s="1420">
        <v>0</v>
      </c>
      <c r="I90" s="1420">
        <v>162.91</v>
      </c>
    </row>
    <row r="91" spans="1:9" x14ac:dyDescent="0.3">
      <c r="A91" s="1417" t="s">
        <v>2013</v>
      </c>
      <c r="B91" s="1417" t="s">
        <v>2139</v>
      </c>
      <c r="C91" s="1415" t="s">
        <v>2006</v>
      </c>
      <c r="D91" s="1419">
        <v>0</v>
      </c>
      <c r="E91" s="1419">
        <v>0</v>
      </c>
      <c r="F91" s="1419">
        <v>6106.19</v>
      </c>
      <c r="G91" s="1419">
        <v>0</v>
      </c>
      <c r="H91" s="1420">
        <v>6106.19</v>
      </c>
      <c r="I91" s="1420">
        <v>0</v>
      </c>
    </row>
    <row r="92" spans="1:9" x14ac:dyDescent="0.3">
      <c r="A92" s="1417" t="s">
        <v>2140</v>
      </c>
      <c r="B92" s="1417" t="s">
        <v>2141</v>
      </c>
      <c r="C92" s="1415" t="s">
        <v>2006</v>
      </c>
      <c r="D92" s="1419">
        <v>0</v>
      </c>
      <c r="E92" s="1419">
        <v>0</v>
      </c>
      <c r="F92" s="1419">
        <v>1015.28</v>
      </c>
      <c r="G92" s="1419">
        <v>0</v>
      </c>
      <c r="H92" s="1420">
        <v>1015.28</v>
      </c>
      <c r="I92" s="1420">
        <v>0</v>
      </c>
    </row>
    <row r="93" spans="1:9" x14ac:dyDescent="0.3">
      <c r="A93" s="1417" t="s">
        <v>2142</v>
      </c>
      <c r="B93" s="1417" t="s">
        <v>2143</v>
      </c>
      <c r="C93" s="1415" t="s">
        <v>2006</v>
      </c>
      <c r="D93" s="1419">
        <v>0</v>
      </c>
      <c r="E93" s="1419">
        <v>0</v>
      </c>
      <c r="F93" s="1419">
        <v>0</v>
      </c>
      <c r="G93" s="1419">
        <v>3204.85</v>
      </c>
      <c r="H93" s="1420">
        <v>0</v>
      </c>
      <c r="I93" s="1420">
        <v>3204.85</v>
      </c>
    </row>
    <row r="94" spans="1:9" x14ac:dyDescent="0.3">
      <c r="A94" s="1417" t="s">
        <v>2144</v>
      </c>
      <c r="B94" s="1417" t="s">
        <v>2145</v>
      </c>
      <c r="C94" s="1415" t="s">
        <v>2006</v>
      </c>
      <c r="D94" s="1419">
        <v>0</v>
      </c>
      <c r="E94" s="1419">
        <v>0</v>
      </c>
      <c r="F94" s="1419">
        <v>1615.8</v>
      </c>
      <c r="G94" s="1419">
        <v>0</v>
      </c>
      <c r="H94" s="1420">
        <v>1615.8</v>
      </c>
      <c r="I94" s="1420">
        <v>0</v>
      </c>
    </row>
    <row r="95" spans="1:9" x14ac:dyDescent="0.3">
      <c r="A95" s="1417" t="s">
        <v>2201</v>
      </c>
      <c r="B95" s="1417" t="s">
        <v>813</v>
      </c>
      <c r="C95" s="1415" t="s">
        <v>2006</v>
      </c>
      <c r="D95" s="1419">
        <v>10700</v>
      </c>
      <c r="E95" s="1419">
        <v>0</v>
      </c>
      <c r="F95" s="1419">
        <v>0</v>
      </c>
      <c r="G95" s="1419">
        <v>0</v>
      </c>
      <c r="H95" s="1420">
        <v>10700</v>
      </c>
      <c r="I95" s="1420">
        <v>0</v>
      </c>
    </row>
    <row r="96" spans="1:9" x14ac:dyDescent="0.3">
      <c r="A96" s="1417" t="s">
        <v>2146</v>
      </c>
      <c r="B96" s="1417" t="s">
        <v>2034</v>
      </c>
      <c r="C96" s="1415" t="s">
        <v>2006</v>
      </c>
      <c r="D96" s="1419">
        <v>464.52</v>
      </c>
      <c r="E96" s="1419">
        <v>0</v>
      </c>
      <c r="F96" s="1419">
        <v>6332.37</v>
      </c>
      <c r="G96" s="1419">
        <v>0</v>
      </c>
      <c r="H96" s="1420">
        <v>6796.89</v>
      </c>
      <c r="I96" s="1420">
        <v>0</v>
      </c>
    </row>
    <row r="97" spans="1:9" x14ac:dyDescent="0.3">
      <c r="A97" s="1417" t="s">
        <v>2147</v>
      </c>
      <c r="B97" s="1417" t="s">
        <v>2148</v>
      </c>
      <c r="C97" s="1415" t="s">
        <v>2006</v>
      </c>
      <c r="D97" s="1419">
        <v>0</v>
      </c>
      <c r="E97" s="1419">
        <v>0</v>
      </c>
      <c r="F97" s="1419">
        <v>1422.04</v>
      </c>
      <c r="G97" s="1419">
        <v>0</v>
      </c>
      <c r="H97" s="1420">
        <v>1422.04</v>
      </c>
      <c r="I97" s="1420">
        <v>0</v>
      </c>
    </row>
    <row r="98" spans="1:9" x14ac:dyDescent="0.3">
      <c r="A98" s="1417" t="s">
        <v>2036</v>
      </c>
      <c r="B98" s="1417" t="s">
        <v>2035</v>
      </c>
      <c r="C98" s="1415" t="s">
        <v>2006</v>
      </c>
      <c r="D98" s="1419">
        <v>0</v>
      </c>
      <c r="E98" s="1419">
        <v>0</v>
      </c>
      <c r="F98" s="1419">
        <v>0</v>
      </c>
      <c r="G98" s="1419">
        <v>0</v>
      </c>
      <c r="H98" s="1420">
        <v>0</v>
      </c>
      <c r="I98" s="1420">
        <v>0</v>
      </c>
    </row>
    <row r="99" spans="1:9" x14ac:dyDescent="0.3">
      <c r="A99" s="1417" t="s">
        <v>2150</v>
      </c>
      <c r="B99" s="1417" t="s">
        <v>2151</v>
      </c>
      <c r="C99" s="1415" t="s">
        <v>2006</v>
      </c>
      <c r="D99" s="1419">
        <v>0</v>
      </c>
      <c r="E99" s="1419">
        <v>308750</v>
      </c>
      <c r="F99" s="1419">
        <v>0</v>
      </c>
      <c r="G99" s="1419">
        <v>0</v>
      </c>
      <c r="H99" s="1420">
        <v>0</v>
      </c>
      <c r="I99" s="1420">
        <v>308750</v>
      </c>
    </row>
    <row r="100" spans="1:9" ht="15" thickBot="1" x14ac:dyDescent="0.35">
      <c r="A100" s="1417" t="s">
        <v>2152</v>
      </c>
      <c r="B100" s="1417" t="s">
        <v>1224</v>
      </c>
      <c r="C100" s="1415" t="s">
        <v>2006</v>
      </c>
      <c r="D100" s="1419">
        <v>0</v>
      </c>
      <c r="E100" s="1419">
        <v>0</v>
      </c>
      <c r="F100" s="1419">
        <v>452364.03</v>
      </c>
      <c r="G100" s="1419">
        <v>0</v>
      </c>
      <c r="H100" s="1420">
        <v>452364.03</v>
      </c>
      <c r="I100" s="1420">
        <v>0</v>
      </c>
    </row>
    <row r="101" spans="1:9" ht="15" thickBot="1" x14ac:dyDescent="0.35">
      <c r="A101" s="1421"/>
      <c r="B101" s="1421" t="s">
        <v>0</v>
      </c>
      <c r="C101" s="1421" t="s">
        <v>2006</v>
      </c>
      <c r="D101" s="1486">
        <v>9023174.1400000006</v>
      </c>
      <c r="E101" s="1486">
        <v>9023174.1400000006</v>
      </c>
      <c r="F101" s="1486">
        <v>1326592.18</v>
      </c>
      <c r="G101" s="1486">
        <v>1326592.18</v>
      </c>
      <c r="H101" s="1488">
        <v>10349766.32</v>
      </c>
      <c r="I101" s="1488">
        <v>10349766.32</v>
      </c>
    </row>
    <row r="102" spans="1:9" ht="15" thickTop="1" x14ac:dyDescent="0.3">
      <c r="A102" s="1410"/>
      <c r="B102" s="1410"/>
      <c r="C102" s="1410"/>
      <c r="D102" s="1485"/>
      <c r="E102" s="1485"/>
      <c r="F102" s="1485"/>
      <c r="G102" s="1485"/>
      <c r="H102" s="1485"/>
      <c r="I102" s="1485"/>
    </row>
    <row r="103" spans="1:9" x14ac:dyDescent="0.3">
      <c r="A103" s="1410"/>
      <c r="B103" s="1410"/>
      <c r="C103" s="1410"/>
      <c r="D103" s="1485"/>
      <c r="E103" s="1485"/>
      <c r="F103" s="1485"/>
      <c r="G103" s="1485"/>
      <c r="H103" s="1485"/>
      <c r="I103" s="1485"/>
    </row>
    <row r="104" spans="1:9" x14ac:dyDescent="0.3">
      <c r="A104" s="1410"/>
      <c r="B104" s="1410"/>
      <c r="C104" s="1410"/>
      <c r="D104" s="1485"/>
      <c r="E104" s="1485"/>
      <c r="F104" s="1485"/>
      <c r="G104" s="1485"/>
      <c r="H104" s="1485"/>
      <c r="I104" s="1485"/>
    </row>
    <row r="105" spans="1:9" x14ac:dyDescent="0.3">
      <c r="A105" s="1410"/>
      <c r="B105" s="1410"/>
      <c r="C105" s="1410"/>
      <c r="D105" s="1485"/>
      <c r="E105" s="1485"/>
      <c r="F105" s="1485"/>
      <c r="G105" s="1485"/>
      <c r="H105" s="1485"/>
      <c r="I105" s="1485"/>
    </row>
    <row r="106" spans="1:9" x14ac:dyDescent="0.3">
      <c r="A106" s="1410"/>
      <c r="B106" s="1410"/>
      <c r="C106" s="1410"/>
      <c r="D106" s="1485"/>
      <c r="E106" s="1485"/>
      <c r="F106" s="1485"/>
      <c r="G106" s="1485"/>
      <c r="H106" s="1485"/>
      <c r="I106" s="1485"/>
    </row>
    <row r="107" spans="1:9" x14ac:dyDescent="0.3">
      <c r="A107" s="1410"/>
      <c r="B107" s="1410"/>
      <c r="C107" s="1410"/>
      <c r="D107" s="1485"/>
      <c r="E107" s="1485"/>
      <c r="F107" s="1485"/>
      <c r="G107" s="1485"/>
      <c r="H107" s="1485"/>
      <c r="I107" s="1485"/>
    </row>
    <row r="108" spans="1:9" x14ac:dyDescent="0.3">
      <c r="A108" s="1410"/>
      <c r="B108" s="1410"/>
      <c r="C108" s="1410"/>
      <c r="D108" s="1485"/>
      <c r="E108" s="1485"/>
      <c r="F108" s="1485"/>
      <c r="G108" s="1485"/>
      <c r="H108" s="1485"/>
      <c r="I108" s="1485"/>
    </row>
    <row r="109" spans="1:9" x14ac:dyDescent="0.3">
      <c r="A109" s="1410"/>
      <c r="B109" s="1410"/>
      <c r="C109" s="1410"/>
      <c r="D109" s="1485"/>
      <c r="E109" s="1485"/>
      <c r="F109" s="1485"/>
      <c r="G109" s="1485"/>
      <c r="H109" s="1485"/>
      <c r="I109" s="1485"/>
    </row>
    <row r="110" spans="1:9" x14ac:dyDescent="0.3">
      <c r="A110" s="1410"/>
      <c r="B110" s="1410"/>
      <c r="C110" s="1410"/>
      <c r="D110" s="1485"/>
      <c r="E110" s="1485"/>
      <c r="F110" s="1485"/>
      <c r="G110" s="1485"/>
      <c r="H110" s="1485"/>
      <c r="I110" s="1485"/>
    </row>
    <row r="111" spans="1:9" x14ac:dyDescent="0.3">
      <c r="A111" s="1410"/>
      <c r="B111" s="1410"/>
      <c r="C111" s="1410"/>
      <c r="D111" s="1485"/>
      <c r="E111" s="1485"/>
      <c r="F111" s="1485"/>
      <c r="G111" s="1485"/>
      <c r="H111" s="1485"/>
      <c r="I111" s="1485"/>
    </row>
    <row r="112" spans="1:9" x14ac:dyDescent="0.3">
      <c r="A112" s="1410"/>
      <c r="B112" s="1410"/>
      <c r="C112" s="1410"/>
      <c r="D112" s="1485"/>
      <c r="E112" s="1485"/>
      <c r="F112" s="1485"/>
      <c r="G112" s="1485"/>
      <c r="H112" s="1485"/>
      <c r="I112" s="1485"/>
    </row>
    <row r="113" spans="1:9" x14ac:dyDescent="0.3">
      <c r="A113" s="1410"/>
      <c r="B113" s="1410"/>
      <c r="C113" s="1410"/>
      <c r="D113" s="1485"/>
      <c r="E113" s="1485"/>
      <c r="F113" s="1485"/>
      <c r="G113" s="1485"/>
      <c r="H113" s="1485"/>
      <c r="I113" s="1485"/>
    </row>
    <row r="114" spans="1:9" x14ac:dyDescent="0.3">
      <c r="A114" s="1410"/>
      <c r="B114" s="1410"/>
      <c r="C114" s="1410"/>
      <c r="D114" s="1485"/>
      <c r="E114" s="1485"/>
      <c r="F114" s="1485"/>
      <c r="G114" s="1485"/>
      <c r="H114" s="1485"/>
      <c r="I114" s="1485"/>
    </row>
    <row r="115" spans="1:9" x14ac:dyDescent="0.3">
      <c r="A115" s="1410"/>
      <c r="B115" s="1410"/>
      <c r="C115" s="1410"/>
      <c r="D115" s="1485"/>
      <c r="E115" s="1485"/>
      <c r="F115" s="1485"/>
      <c r="G115" s="1485"/>
      <c r="H115" s="1485"/>
      <c r="I115" s="1485"/>
    </row>
    <row r="116" spans="1:9" x14ac:dyDescent="0.3">
      <c r="A116" s="1410"/>
      <c r="B116" s="1410"/>
      <c r="C116" s="1410"/>
      <c r="D116" s="1485"/>
      <c r="E116" s="1485"/>
      <c r="F116" s="1485"/>
      <c r="G116" s="1485"/>
      <c r="H116" s="1485"/>
      <c r="I116" s="1485"/>
    </row>
    <row r="117" spans="1:9" x14ac:dyDescent="0.3">
      <c r="A117" s="1410"/>
      <c r="B117" s="1410"/>
      <c r="C117" s="1410"/>
      <c r="D117" s="1485"/>
      <c r="E117" s="1485"/>
      <c r="F117" s="1485"/>
      <c r="G117" s="1485"/>
      <c r="H117" s="1485"/>
      <c r="I117" s="1485"/>
    </row>
    <row r="118" spans="1:9" x14ac:dyDescent="0.3">
      <c r="A118" s="1410"/>
      <c r="B118" s="1410"/>
      <c r="C118" s="1410"/>
      <c r="D118" s="1485"/>
      <c r="E118" s="1485"/>
      <c r="F118" s="1485"/>
      <c r="G118" s="1485"/>
      <c r="H118" s="1485"/>
      <c r="I118" s="1485"/>
    </row>
    <row r="119" spans="1:9" x14ac:dyDescent="0.3">
      <c r="A119" s="1410"/>
      <c r="B119" s="1410"/>
      <c r="C119" s="1410"/>
      <c r="D119" s="1485"/>
      <c r="E119" s="1485"/>
      <c r="F119" s="1485"/>
      <c r="G119" s="1485"/>
      <c r="H119" s="1485"/>
      <c r="I119" s="1485"/>
    </row>
    <row r="120" spans="1:9" x14ac:dyDescent="0.3">
      <c r="A120" s="1410"/>
      <c r="B120" s="1410"/>
      <c r="C120" s="1410"/>
      <c r="D120" s="1485"/>
      <c r="E120" s="1485"/>
      <c r="F120" s="1485"/>
      <c r="G120" s="1485"/>
      <c r="H120" s="1485"/>
      <c r="I120" s="1485"/>
    </row>
    <row r="121" spans="1:9" x14ac:dyDescent="0.3">
      <c r="A121" s="1410"/>
      <c r="B121" s="1410"/>
      <c r="C121" s="1410"/>
      <c r="D121" s="1485"/>
      <c r="E121" s="1485"/>
      <c r="F121" s="1485"/>
      <c r="G121" s="1485"/>
      <c r="H121" s="1485"/>
      <c r="I121" s="1485"/>
    </row>
    <row r="122" spans="1:9" x14ac:dyDescent="0.3">
      <c r="A122" s="1410"/>
      <c r="B122" s="1410"/>
      <c r="C122" s="1410"/>
      <c r="D122" s="1485"/>
      <c r="E122" s="1485"/>
      <c r="F122" s="1485"/>
      <c r="G122" s="1485"/>
      <c r="H122" s="1485"/>
      <c r="I122" s="1485"/>
    </row>
    <row r="123" spans="1:9" x14ac:dyDescent="0.3">
      <c r="A123" s="1410"/>
      <c r="B123" s="1410"/>
      <c r="C123" s="1410"/>
      <c r="D123" s="1485"/>
      <c r="E123" s="1485"/>
      <c r="F123" s="1485"/>
      <c r="G123" s="1485"/>
      <c r="H123" s="1485"/>
      <c r="I123" s="1485"/>
    </row>
    <row r="124" spans="1:9" x14ac:dyDescent="0.3">
      <c r="A124" s="1410"/>
      <c r="B124" s="1410"/>
      <c r="C124" s="1410"/>
      <c r="D124" s="1485"/>
      <c r="E124" s="1485"/>
      <c r="F124" s="1485"/>
      <c r="G124" s="1485"/>
      <c r="H124" s="1485"/>
      <c r="I124" s="1485"/>
    </row>
    <row r="125" spans="1:9" x14ac:dyDescent="0.3">
      <c r="A125" s="1410"/>
      <c r="B125" s="1410"/>
      <c r="C125" s="1410"/>
      <c r="D125" s="1485"/>
      <c r="E125" s="1485"/>
      <c r="F125" s="1485"/>
      <c r="G125" s="1485"/>
      <c r="H125" s="1485"/>
      <c r="I125" s="1485"/>
    </row>
    <row r="126" spans="1:9" x14ac:dyDescent="0.3">
      <c r="A126" s="1410"/>
      <c r="B126" s="1410"/>
      <c r="C126" s="1410"/>
      <c r="D126" s="1485"/>
      <c r="E126" s="1485"/>
      <c r="F126" s="1485"/>
      <c r="G126" s="1485"/>
      <c r="H126" s="1485"/>
      <c r="I126" s="1485"/>
    </row>
    <row r="127" spans="1:9" x14ac:dyDescent="0.3">
      <c r="A127" s="1410"/>
      <c r="B127" s="1410"/>
      <c r="C127" s="1410"/>
      <c r="D127" s="1485"/>
      <c r="E127" s="1485"/>
      <c r="F127" s="1485"/>
      <c r="G127" s="1485"/>
      <c r="H127" s="1485"/>
      <c r="I127" s="1485"/>
    </row>
    <row r="128" spans="1:9" x14ac:dyDescent="0.3">
      <c r="A128" s="1410"/>
      <c r="B128" s="1410"/>
      <c r="C128" s="1410"/>
      <c r="D128" s="1485"/>
      <c r="E128" s="1485"/>
      <c r="F128" s="1485"/>
      <c r="G128" s="1485"/>
      <c r="H128" s="1485"/>
      <c r="I128" s="1485"/>
    </row>
    <row r="129" spans="1:9" x14ac:dyDescent="0.3">
      <c r="A129" s="1410"/>
      <c r="B129" s="1410"/>
      <c r="C129" s="1410"/>
      <c r="D129" s="1485"/>
      <c r="E129" s="1485"/>
      <c r="F129" s="1485"/>
      <c r="G129" s="1485"/>
      <c r="H129" s="1485"/>
      <c r="I129" s="1485"/>
    </row>
    <row r="130" spans="1:9" x14ac:dyDescent="0.3">
      <c r="A130" s="1410"/>
      <c r="B130" s="1410"/>
      <c r="C130" s="1410"/>
      <c r="D130" s="1485"/>
      <c r="E130" s="1485"/>
      <c r="F130" s="1485"/>
      <c r="G130" s="1485"/>
      <c r="H130" s="1485"/>
      <c r="I130" s="1485"/>
    </row>
    <row r="131" spans="1:9" x14ac:dyDescent="0.3">
      <c r="A131" s="1410"/>
      <c r="B131" s="1410"/>
      <c r="C131" s="1410"/>
      <c r="D131" s="1485"/>
      <c r="E131" s="1485"/>
      <c r="F131" s="1485"/>
      <c r="G131" s="1485"/>
      <c r="H131" s="1485"/>
      <c r="I131" s="1485"/>
    </row>
    <row r="132" spans="1:9" x14ac:dyDescent="0.3">
      <c r="A132" s="1410"/>
      <c r="B132" s="1410"/>
      <c r="C132" s="1410"/>
      <c r="D132" s="1485"/>
      <c r="E132" s="1485"/>
      <c r="F132" s="1485"/>
      <c r="G132" s="1485"/>
      <c r="H132" s="1485"/>
      <c r="I132" s="1485"/>
    </row>
    <row r="133" spans="1:9" x14ac:dyDescent="0.3">
      <c r="A133" s="1410"/>
      <c r="B133" s="1410"/>
      <c r="C133" s="1410"/>
      <c r="D133" s="1485"/>
      <c r="E133" s="1485"/>
      <c r="F133" s="1485"/>
      <c r="G133" s="1485"/>
      <c r="H133" s="1485"/>
      <c r="I133" s="1485"/>
    </row>
    <row r="134" spans="1:9" x14ac:dyDescent="0.3">
      <c r="A134" s="1410"/>
      <c r="B134" s="1410"/>
      <c r="C134" s="1410"/>
      <c r="D134" s="1485"/>
      <c r="E134" s="1485"/>
      <c r="F134" s="1485"/>
      <c r="G134" s="1485"/>
      <c r="H134" s="1485"/>
      <c r="I134" s="1485"/>
    </row>
    <row r="135" spans="1:9" x14ac:dyDescent="0.3">
      <c r="A135" s="1410"/>
      <c r="B135" s="1410"/>
      <c r="C135" s="1410"/>
      <c r="D135" s="1485"/>
      <c r="E135" s="1485"/>
      <c r="F135" s="1485"/>
      <c r="G135" s="1485"/>
      <c r="H135" s="1485"/>
      <c r="I135" s="1485"/>
    </row>
    <row r="136" spans="1:9" x14ac:dyDescent="0.3">
      <c r="A136" s="1410"/>
      <c r="B136" s="1410"/>
      <c r="C136" s="1410"/>
      <c r="D136" s="1485"/>
      <c r="E136" s="1485"/>
      <c r="F136" s="1485"/>
      <c r="G136" s="1485"/>
      <c r="H136" s="1485"/>
      <c r="I136" s="1485"/>
    </row>
    <row r="137" spans="1:9" x14ac:dyDescent="0.3">
      <c r="A137" s="1410"/>
      <c r="B137" s="1410"/>
      <c r="C137" s="1410"/>
      <c r="D137" s="1485"/>
      <c r="E137" s="1485"/>
      <c r="F137" s="1485"/>
      <c r="G137" s="1485"/>
      <c r="H137" s="1485"/>
      <c r="I137" s="1485"/>
    </row>
    <row r="138" spans="1:9" x14ac:dyDescent="0.3">
      <c r="A138" s="1410"/>
      <c r="B138" s="1410"/>
      <c r="C138" s="1410"/>
      <c r="D138" s="1485"/>
      <c r="E138" s="1485"/>
      <c r="F138" s="1485"/>
      <c r="G138" s="1485"/>
      <c r="H138" s="1485"/>
      <c r="I138" s="1485"/>
    </row>
    <row r="139" spans="1:9" x14ac:dyDescent="0.3">
      <c r="A139" s="1410"/>
      <c r="B139" s="1410"/>
      <c r="C139" s="1410"/>
      <c r="D139" s="1485"/>
      <c r="E139" s="1485"/>
      <c r="F139" s="1485"/>
      <c r="G139" s="1485"/>
      <c r="H139" s="1485"/>
      <c r="I139" s="1485"/>
    </row>
    <row r="140" spans="1:9" x14ac:dyDescent="0.3">
      <c r="A140" s="1410"/>
      <c r="B140" s="1410"/>
      <c r="C140" s="1410"/>
      <c r="D140" s="1485"/>
      <c r="E140" s="1485"/>
      <c r="F140" s="1485"/>
      <c r="G140" s="1485"/>
      <c r="H140" s="1485"/>
      <c r="I140" s="1485"/>
    </row>
    <row r="141" spans="1:9" x14ac:dyDescent="0.3">
      <c r="A141" s="1410"/>
      <c r="B141" s="1410"/>
      <c r="C141" s="1410"/>
      <c r="D141" s="1485"/>
      <c r="E141" s="1485"/>
      <c r="F141" s="1485"/>
      <c r="G141" s="1485"/>
      <c r="H141" s="1485"/>
      <c r="I141" s="1485"/>
    </row>
    <row r="142" spans="1:9" x14ac:dyDescent="0.3">
      <c r="A142" s="1410"/>
      <c r="B142" s="1410"/>
      <c r="C142" s="1410"/>
      <c r="D142" s="1485"/>
      <c r="E142" s="1485"/>
      <c r="F142" s="1485"/>
      <c r="G142" s="1485"/>
      <c r="H142" s="1485"/>
      <c r="I142" s="1485"/>
    </row>
    <row r="143" spans="1:9" x14ac:dyDescent="0.3">
      <c r="A143" s="1410"/>
      <c r="B143" s="1410"/>
      <c r="C143" s="1410"/>
      <c r="D143" s="1485"/>
      <c r="E143" s="1485"/>
      <c r="F143" s="1485"/>
      <c r="G143" s="1485"/>
      <c r="H143" s="1485"/>
      <c r="I143" s="1485"/>
    </row>
    <row r="144" spans="1:9" x14ac:dyDescent="0.3">
      <c r="A144" s="1410"/>
      <c r="B144" s="1410"/>
      <c r="C144" s="1410"/>
      <c r="D144" s="1485"/>
      <c r="E144" s="1485"/>
      <c r="F144" s="1485"/>
      <c r="G144" s="1485"/>
      <c r="H144" s="1485"/>
      <c r="I144" s="1485"/>
    </row>
    <row r="145" spans="1:9" x14ac:dyDescent="0.3">
      <c r="A145" s="1410"/>
      <c r="B145" s="1410"/>
      <c r="C145" s="1410"/>
      <c r="D145" s="1485"/>
      <c r="E145" s="1485"/>
      <c r="F145" s="1485"/>
      <c r="G145" s="1485"/>
      <c r="H145" s="1485"/>
      <c r="I145" s="1485"/>
    </row>
    <row r="146" spans="1:9" x14ac:dyDescent="0.3">
      <c r="A146" s="1410"/>
      <c r="B146" s="1410"/>
      <c r="C146" s="1410"/>
      <c r="D146" s="1485"/>
      <c r="E146" s="1485"/>
      <c r="F146" s="1485"/>
      <c r="G146" s="1485"/>
      <c r="H146" s="1485"/>
      <c r="I146" s="1485"/>
    </row>
    <row r="147" spans="1:9" x14ac:dyDescent="0.3">
      <c r="A147" s="1410"/>
      <c r="B147" s="1410"/>
      <c r="C147" s="1410"/>
      <c r="D147" s="1485"/>
      <c r="E147" s="1485"/>
      <c r="F147" s="1485"/>
      <c r="G147" s="1485"/>
      <c r="H147" s="1485"/>
      <c r="I147" s="1485"/>
    </row>
    <row r="148" spans="1:9" x14ac:dyDescent="0.3">
      <c r="A148" s="1410"/>
      <c r="B148" s="1410"/>
      <c r="C148" s="1410"/>
      <c r="D148" s="1485"/>
      <c r="E148" s="1485"/>
      <c r="F148" s="1485"/>
      <c r="G148" s="1485"/>
      <c r="H148" s="1485"/>
      <c r="I148" s="1485"/>
    </row>
    <row r="149" spans="1:9" x14ac:dyDescent="0.3">
      <c r="A149" s="1410"/>
      <c r="B149" s="1410"/>
      <c r="C149" s="1410"/>
      <c r="D149" s="1485"/>
      <c r="E149" s="1485"/>
      <c r="F149" s="1485"/>
      <c r="G149" s="1485"/>
      <c r="H149" s="1485"/>
      <c r="I149" s="1485"/>
    </row>
    <row r="150" spans="1:9" x14ac:dyDescent="0.3">
      <c r="A150" s="1410"/>
      <c r="B150" s="1410"/>
      <c r="C150" s="1410"/>
      <c r="D150" s="1485"/>
      <c r="E150" s="1485"/>
      <c r="F150" s="1485"/>
      <c r="G150" s="1485"/>
      <c r="H150" s="1485"/>
      <c r="I150" s="1485"/>
    </row>
    <row r="151" spans="1:9" x14ac:dyDescent="0.3">
      <c r="A151" s="1410"/>
      <c r="B151" s="1410"/>
      <c r="C151" s="1410"/>
      <c r="D151" s="1485"/>
      <c r="E151" s="1485"/>
      <c r="F151" s="1485"/>
      <c r="G151" s="1485"/>
      <c r="H151" s="1485"/>
      <c r="I151" s="1485"/>
    </row>
    <row r="152" spans="1:9" x14ac:dyDescent="0.3">
      <c r="A152" s="1410"/>
      <c r="B152" s="1410"/>
      <c r="C152" s="1410"/>
      <c r="D152" s="1485"/>
      <c r="E152" s="1485"/>
      <c r="F152" s="1485"/>
      <c r="G152" s="1485"/>
      <c r="H152" s="1485"/>
      <c r="I152" s="1485"/>
    </row>
    <row r="153" spans="1:9" x14ac:dyDescent="0.3">
      <c r="A153" s="1410"/>
      <c r="B153" s="1410"/>
      <c r="C153" s="1410"/>
      <c r="D153" s="1485"/>
      <c r="E153" s="1485"/>
      <c r="F153" s="1485"/>
      <c r="G153" s="1485"/>
      <c r="H153" s="1485"/>
      <c r="I153" s="1485"/>
    </row>
    <row r="154" spans="1:9" x14ac:dyDescent="0.3">
      <c r="A154" s="1410"/>
      <c r="B154" s="1410"/>
      <c r="C154" s="1410"/>
      <c r="D154" s="1485"/>
      <c r="E154" s="1485"/>
      <c r="F154" s="1485"/>
      <c r="G154" s="1485"/>
      <c r="H154" s="1485"/>
      <c r="I154" s="1485"/>
    </row>
    <row r="155" spans="1:9" x14ac:dyDescent="0.3">
      <c r="A155" s="1410"/>
      <c r="B155" s="1410"/>
      <c r="C155" s="1410"/>
      <c r="D155" s="1485"/>
      <c r="E155" s="1485"/>
      <c r="F155" s="1485"/>
      <c r="G155" s="1485"/>
      <c r="H155" s="1485"/>
      <c r="I155" s="1485"/>
    </row>
    <row r="156" spans="1:9" x14ac:dyDescent="0.3">
      <c r="A156" s="1410"/>
      <c r="B156" s="1410"/>
      <c r="C156" s="1410"/>
      <c r="D156" s="1485"/>
      <c r="E156" s="1485"/>
      <c r="F156" s="1485"/>
      <c r="G156" s="1485"/>
      <c r="H156" s="1485"/>
      <c r="I156" s="1485"/>
    </row>
    <row r="157" spans="1:9" x14ac:dyDescent="0.3">
      <c r="A157" s="1410"/>
      <c r="B157" s="1410"/>
      <c r="C157" s="1410"/>
      <c r="D157" s="1485"/>
      <c r="E157" s="1485"/>
      <c r="F157" s="1485"/>
      <c r="G157" s="1485"/>
      <c r="H157" s="1485"/>
      <c r="I157" s="1485"/>
    </row>
    <row r="158" spans="1:9" x14ac:dyDescent="0.3">
      <c r="A158" s="1410"/>
      <c r="B158" s="1410"/>
      <c r="C158" s="1410"/>
      <c r="D158" s="1485"/>
      <c r="E158" s="1485"/>
      <c r="F158" s="1485"/>
      <c r="G158" s="1485"/>
      <c r="H158" s="1485"/>
      <c r="I158" s="1485"/>
    </row>
    <row r="159" spans="1:9" x14ac:dyDescent="0.3">
      <c r="A159" s="1410"/>
      <c r="B159" s="1410"/>
      <c r="C159" s="1410"/>
      <c r="D159" s="1485"/>
      <c r="E159" s="1485"/>
      <c r="F159" s="1485"/>
      <c r="G159" s="1485"/>
      <c r="H159" s="1485"/>
      <c r="I159" s="1485"/>
    </row>
    <row r="160" spans="1:9" x14ac:dyDescent="0.3">
      <c r="A160" s="1410"/>
      <c r="B160" s="1410"/>
      <c r="C160" s="1410"/>
      <c r="D160" s="1485"/>
      <c r="E160" s="1485"/>
      <c r="F160" s="1485"/>
      <c r="G160" s="1485"/>
      <c r="H160" s="1485"/>
      <c r="I160" s="1485"/>
    </row>
    <row r="161" spans="1:9" x14ac:dyDescent="0.3">
      <c r="A161" s="1410"/>
      <c r="B161" s="1410"/>
      <c r="C161" s="1410"/>
      <c r="D161" s="1485"/>
      <c r="E161" s="1485"/>
      <c r="F161" s="1485"/>
      <c r="G161" s="1485"/>
      <c r="H161" s="1485"/>
      <c r="I161" s="1485"/>
    </row>
    <row r="162" spans="1:9" x14ac:dyDescent="0.3">
      <c r="A162" s="1410"/>
      <c r="B162" s="1410"/>
      <c r="C162" s="1410"/>
      <c r="D162" s="1485"/>
      <c r="E162" s="1485"/>
      <c r="F162" s="1485"/>
      <c r="G162" s="1485"/>
      <c r="H162" s="1485"/>
      <c r="I162" s="1485"/>
    </row>
    <row r="163" spans="1:9" x14ac:dyDescent="0.3">
      <c r="A163" s="1410"/>
      <c r="B163" s="1410"/>
      <c r="C163" s="1410"/>
      <c r="D163" s="1485"/>
      <c r="E163" s="1485"/>
      <c r="F163" s="1485"/>
      <c r="G163" s="1485"/>
      <c r="H163" s="1485"/>
      <c r="I163" s="1485"/>
    </row>
    <row r="164" spans="1:9" x14ac:dyDescent="0.3">
      <c r="A164" s="1410"/>
      <c r="B164" s="1410"/>
      <c r="C164" s="1410"/>
      <c r="D164" s="1485"/>
      <c r="E164" s="1485"/>
      <c r="F164" s="1485"/>
      <c r="G164" s="1485"/>
      <c r="H164" s="1485"/>
      <c r="I164" s="1485"/>
    </row>
    <row r="165" spans="1:9" x14ac:dyDescent="0.3">
      <c r="A165" s="1410"/>
      <c r="B165" s="1410"/>
      <c r="C165" s="1410"/>
      <c r="D165" s="1485"/>
      <c r="E165" s="1485"/>
      <c r="F165" s="1485"/>
      <c r="G165" s="1485"/>
      <c r="H165" s="1485"/>
      <c r="I165" s="1485"/>
    </row>
    <row r="166" spans="1:9" x14ac:dyDescent="0.3">
      <c r="A166" s="1410"/>
      <c r="B166" s="1410"/>
      <c r="C166" s="1410"/>
      <c r="D166" s="1485"/>
      <c r="E166" s="1485"/>
      <c r="F166" s="1485"/>
      <c r="G166" s="1485"/>
      <c r="H166" s="1485"/>
      <c r="I166" s="1485"/>
    </row>
    <row r="167" spans="1:9" x14ac:dyDescent="0.3">
      <c r="A167" s="1410"/>
      <c r="B167" s="1410"/>
      <c r="C167" s="1410"/>
      <c r="D167" s="1485"/>
      <c r="E167" s="1485"/>
      <c r="F167" s="1485"/>
      <c r="G167" s="1485"/>
      <c r="H167" s="1485"/>
      <c r="I167" s="1485"/>
    </row>
    <row r="168" spans="1:9" x14ac:dyDescent="0.3">
      <c r="A168" s="1410"/>
      <c r="B168" s="1410"/>
      <c r="C168" s="1410"/>
      <c r="D168" s="1485"/>
      <c r="E168" s="1485"/>
      <c r="F168" s="1485"/>
      <c r="G168" s="1485"/>
      <c r="H168" s="1485"/>
      <c r="I168" s="1485"/>
    </row>
    <row r="169" spans="1:9" x14ac:dyDescent="0.3">
      <c r="A169" s="1410"/>
      <c r="B169" s="1410"/>
      <c r="C169" s="1410"/>
      <c r="D169" s="1485"/>
      <c r="E169" s="1485"/>
      <c r="F169" s="1485"/>
      <c r="G169" s="1485"/>
      <c r="H169" s="1485"/>
      <c r="I169" s="1485"/>
    </row>
    <row r="170" spans="1:9" x14ac:dyDescent="0.3">
      <c r="A170" s="1410"/>
      <c r="B170" s="1410"/>
      <c r="C170" s="1410"/>
      <c r="D170" s="1485"/>
      <c r="E170" s="1485"/>
      <c r="F170" s="1485"/>
      <c r="G170" s="1485"/>
      <c r="H170" s="1485"/>
      <c r="I170" s="1485"/>
    </row>
    <row r="171" spans="1:9" x14ac:dyDescent="0.3">
      <c r="A171" s="1410"/>
      <c r="B171" s="1410"/>
      <c r="C171" s="1410"/>
      <c r="D171" s="1485"/>
      <c r="E171" s="1485"/>
      <c r="F171" s="1485"/>
      <c r="G171" s="1485"/>
      <c r="H171" s="1485"/>
      <c r="I171" s="1485"/>
    </row>
    <row r="172" spans="1:9" x14ac:dyDescent="0.3">
      <c r="A172" s="1410"/>
      <c r="B172" s="1410"/>
      <c r="C172" s="1410"/>
      <c r="D172" s="1485"/>
      <c r="E172" s="1485"/>
      <c r="F172" s="1485"/>
      <c r="G172" s="1485"/>
      <c r="H172" s="1485"/>
      <c r="I172" s="1485"/>
    </row>
    <row r="173" spans="1:9" x14ac:dyDescent="0.3">
      <c r="A173" s="1410"/>
      <c r="B173" s="1410"/>
      <c r="C173" s="1410"/>
      <c r="D173" s="1485"/>
      <c r="E173" s="1485"/>
      <c r="F173" s="1485"/>
      <c r="G173" s="1485"/>
      <c r="H173" s="1485"/>
      <c r="I173" s="1485"/>
    </row>
    <row r="174" spans="1:9" x14ac:dyDescent="0.3">
      <c r="A174" s="1410"/>
      <c r="B174" s="1410"/>
      <c r="C174" s="1410"/>
      <c r="D174" s="1485"/>
      <c r="E174" s="1485"/>
      <c r="F174" s="1485"/>
      <c r="G174" s="1485"/>
      <c r="H174" s="1485"/>
      <c r="I174" s="1485"/>
    </row>
    <row r="175" spans="1:9" x14ac:dyDescent="0.3">
      <c r="A175" s="1410"/>
      <c r="B175" s="1410"/>
      <c r="C175" s="1410"/>
      <c r="D175" s="1485"/>
      <c r="E175" s="1485"/>
      <c r="F175" s="1485"/>
      <c r="G175" s="1485"/>
      <c r="H175" s="1485"/>
      <c r="I175" s="1485"/>
    </row>
    <row r="176" spans="1:9" x14ac:dyDescent="0.3">
      <c r="A176" s="1410"/>
      <c r="B176" s="1410"/>
      <c r="C176" s="1410"/>
      <c r="D176" s="1485"/>
      <c r="E176" s="1485"/>
      <c r="F176" s="1485"/>
      <c r="G176" s="1485"/>
      <c r="H176" s="1485"/>
      <c r="I176" s="1485"/>
    </row>
    <row r="177" spans="1:9" x14ac:dyDescent="0.3">
      <c r="A177" s="1410"/>
      <c r="B177" s="1410"/>
      <c r="C177" s="1410"/>
      <c r="D177" s="1485"/>
      <c r="E177" s="1485"/>
      <c r="F177" s="1485"/>
      <c r="G177" s="1485"/>
      <c r="H177" s="1485"/>
      <c r="I177" s="1485"/>
    </row>
    <row r="178" spans="1:9" x14ac:dyDescent="0.3">
      <c r="A178" s="1410"/>
      <c r="B178" s="1410"/>
      <c r="C178" s="1410"/>
      <c r="D178" s="1485"/>
      <c r="E178" s="1485"/>
      <c r="F178" s="1485"/>
      <c r="G178" s="1485"/>
      <c r="H178" s="1485"/>
      <c r="I178" s="1485"/>
    </row>
    <row r="179" spans="1:9" x14ac:dyDescent="0.3">
      <c r="A179" s="1410"/>
      <c r="B179" s="1410"/>
      <c r="C179" s="1410"/>
      <c r="D179" s="1485"/>
      <c r="E179" s="1485"/>
      <c r="F179" s="1485"/>
      <c r="G179" s="1485"/>
      <c r="H179" s="1485"/>
      <c r="I179" s="1485"/>
    </row>
    <row r="180" spans="1:9" x14ac:dyDescent="0.3">
      <c r="A180" s="1410"/>
      <c r="B180" s="1410"/>
      <c r="C180" s="1410"/>
      <c r="D180" s="1485"/>
      <c r="E180" s="1485"/>
      <c r="F180" s="1485"/>
      <c r="G180" s="1485"/>
      <c r="H180" s="1485"/>
      <c r="I180" s="1485"/>
    </row>
    <row r="181" spans="1:9" x14ac:dyDescent="0.3">
      <c r="A181" s="1410"/>
      <c r="B181" s="1410"/>
      <c r="C181" s="1410"/>
      <c r="D181" s="1485"/>
      <c r="E181" s="1485"/>
      <c r="F181" s="1485"/>
      <c r="G181" s="1485"/>
      <c r="H181" s="1485"/>
      <c r="I181" s="1485"/>
    </row>
    <row r="182" spans="1:9" x14ac:dyDescent="0.3">
      <c r="A182" s="1410"/>
      <c r="B182" s="1410"/>
      <c r="C182" s="1410"/>
      <c r="D182" s="1485"/>
      <c r="E182" s="1485"/>
      <c r="F182" s="1485"/>
      <c r="G182" s="1485"/>
      <c r="H182" s="1485"/>
      <c r="I182" s="1485"/>
    </row>
    <row r="183" spans="1:9" x14ac:dyDescent="0.3">
      <c r="A183" s="1410"/>
      <c r="B183" s="1410"/>
      <c r="C183" s="1410"/>
      <c r="D183" s="1485"/>
      <c r="E183" s="1485"/>
      <c r="F183" s="1485"/>
      <c r="G183" s="1485"/>
      <c r="H183" s="1485"/>
      <c r="I183" s="1485"/>
    </row>
    <row r="184" spans="1:9" x14ac:dyDescent="0.3">
      <c r="A184" s="1410"/>
      <c r="B184" s="1410"/>
      <c r="C184" s="1410"/>
      <c r="D184" s="1485"/>
      <c r="E184" s="1485"/>
      <c r="F184" s="1485"/>
      <c r="G184" s="1485"/>
      <c r="H184" s="1485"/>
      <c r="I184" s="1485"/>
    </row>
    <row r="185" spans="1:9" x14ac:dyDescent="0.3">
      <c r="A185" s="1410"/>
      <c r="B185" s="1410"/>
      <c r="C185" s="1410"/>
      <c r="D185" s="1485"/>
      <c r="E185" s="1485"/>
      <c r="F185" s="1485"/>
      <c r="G185" s="1485"/>
      <c r="H185" s="1485"/>
      <c r="I185" s="1485"/>
    </row>
    <row r="186" spans="1:9" x14ac:dyDescent="0.3">
      <c r="A186" s="1410"/>
      <c r="B186" s="1410"/>
      <c r="C186" s="1410"/>
      <c r="D186" s="1485"/>
      <c r="E186" s="1485"/>
      <c r="F186" s="1485"/>
      <c r="G186" s="1485"/>
      <c r="H186" s="1485"/>
      <c r="I186" s="1485"/>
    </row>
    <row r="187" spans="1:9" x14ac:dyDescent="0.3">
      <c r="A187" s="1410"/>
      <c r="B187" s="1410"/>
      <c r="C187" s="1410"/>
      <c r="D187" s="1485"/>
      <c r="E187" s="1485"/>
      <c r="F187" s="1485"/>
      <c r="G187" s="1485"/>
      <c r="H187" s="1485"/>
      <c r="I187" s="1485"/>
    </row>
    <row r="188" spans="1:9" x14ac:dyDescent="0.3">
      <c r="A188" s="1410"/>
      <c r="B188" s="1410"/>
      <c r="C188" s="1410"/>
      <c r="D188" s="1485"/>
      <c r="E188" s="1485"/>
      <c r="F188" s="1485"/>
      <c r="G188" s="1485"/>
      <c r="H188" s="1485"/>
      <c r="I188" s="1485"/>
    </row>
    <row r="189" spans="1:9" x14ac:dyDescent="0.3">
      <c r="A189" s="1410"/>
      <c r="B189" s="1410"/>
      <c r="C189" s="1410"/>
      <c r="D189" s="1485"/>
      <c r="E189" s="1485"/>
      <c r="F189" s="1485"/>
      <c r="G189" s="1485"/>
      <c r="H189" s="1485"/>
      <c r="I189" s="1485"/>
    </row>
    <row r="190" spans="1:9" x14ac:dyDescent="0.3">
      <c r="A190" s="1410"/>
      <c r="B190" s="1410"/>
      <c r="C190" s="1410"/>
      <c r="D190" s="1485"/>
      <c r="E190" s="1485"/>
      <c r="F190" s="1485"/>
      <c r="G190" s="1485"/>
      <c r="H190" s="1485"/>
      <c r="I190" s="1485"/>
    </row>
    <row r="191" spans="1:9" x14ac:dyDescent="0.3">
      <c r="A191" s="1410"/>
      <c r="B191" s="1410"/>
      <c r="C191" s="1410"/>
      <c r="D191" s="1485"/>
      <c r="E191" s="1485"/>
      <c r="F191" s="1485"/>
      <c r="G191" s="1485"/>
      <c r="H191" s="1485"/>
      <c r="I191" s="1485"/>
    </row>
    <row r="192" spans="1:9" x14ac:dyDescent="0.3">
      <c r="A192" s="1410"/>
      <c r="B192" s="1410"/>
      <c r="C192" s="1410"/>
      <c r="D192" s="1485"/>
      <c r="E192" s="1485"/>
      <c r="F192" s="1485"/>
      <c r="G192" s="1485"/>
      <c r="H192" s="1485"/>
      <c r="I192" s="1485"/>
    </row>
    <row r="193" spans="1:9" x14ac:dyDescent="0.3">
      <c r="A193" s="1410"/>
      <c r="B193" s="1410"/>
      <c r="C193" s="1410"/>
      <c r="D193" s="1485"/>
      <c r="E193" s="1485"/>
      <c r="F193" s="1485"/>
      <c r="G193" s="1485"/>
      <c r="H193" s="1485"/>
      <c r="I193" s="1485"/>
    </row>
    <row r="194" spans="1:9" x14ac:dyDescent="0.3">
      <c r="A194" s="1410"/>
      <c r="B194" s="1410"/>
      <c r="C194" s="1410"/>
      <c r="D194" s="1485"/>
      <c r="E194" s="1485"/>
      <c r="F194" s="1485"/>
      <c r="G194" s="1485"/>
      <c r="H194" s="1485"/>
      <c r="I194" s="1485"/>
    </row>
    <row r="195" spans="1:9" x14ac:dyDescent="0.3">
      <c r="A195" s="1410"/>
      <c r="B195" s="1410"/>
      <c r="C195" s="1410"/>
      <c r="D195" s="1485"/>
      <c r="E195" s="1485"/>
      <c r="F195" s="1485"/>
      <c r="G195" s="1485"/>
      <c r="H195" s="1485"/>
      <c r="I195" s="1485"/>
    </row>
    <row r="196" spans="1:9" x14ac:dyDescent="0.3">
      <c r="A196" s="1410"/>
      <c r="B196" s="1410"/>
      <c r="C196" s="1410"/>
      <c r="D196" s="1485"/>
      <c r="E196" s="1485"/>
      <c r="F196" s="1485"/>
      <c r="G196" s="1485"/>
      <c r="H196" s="1485"/>
      <c r="I196" s="1485"/>
    </row>
    <row r="197" spans="1:9" x14ac:dyDescent="0.3">
      <c r="A197" s="1410"/>
      <c r="B197" s="1410"/>
      <c r="C197" s="1410"/>
      <c r="D197" s="1485"/>
      <c r="E197" s="1485"/>
      <c r="F197" s="1485"/>
      <c r="G197" s="1485"/>
      <c r="H197" s="1485"/>
      <c r="I197" s="1485"/>
    </row>
    <row r="198" spans="1:9" x14ac:dyDescent="0.3">
      <c r="A198" s="1410"/>
      <c r="B198" s="1410"/>
      <c r="C198" s="1410"/>
      <c r="D198" s="1485"/>
      <c r="E198" s="1485"/>
      <c r="F198" s="1485"/>
      <c r="G198" s="1485"/>
      <c r="H198" s="1485"/>
      <c r="I198" s="1485"/>
    </row>
    <row r="199" spans="1:9" x14ac:dyDescent="0.3">
      <c r="A199" s="1410"/>
      <c r="B199" s="1410"/>
      <c r="C199" s="1410"/>
      <c r="D199" s="1485"/>
      <c r="E199" s="1485"/>
      <c r="F199" s="1485"/>
      <c r="G199" s="1485"/>
      <c r="H199" s="1485"/>
      <c r="I199" s="1485"/>
    </row>
    <row r="200" spans="1:9" x14ac:dyDescent="0.3">
      <c r="A200" s="1410"/>
      <c r="B200" s="1410"/>
      <c r="C200" s="1410"/>
      <c r="D200" s="1485"/>
      <c r="E200" s="1485"/>
      <c r="F200" s="1485"/>
      <c r="G200" s="1485"/>
      <c r="H200" s="1485"/>
      <c r="I200" s="1485"/>
    </row>
    <row r="201" spans="1:9" x14ac:dyDescent="0.3">
      <c r="A201" s="1410"/>
      <c r="B201" s="1410"/>
      <c r="C201" s="1410"/>
      <c r="D201" s="1485"/>
      <c r="E201" s="1485"/>
      <c r="F201" s="1485"/>
      <c r="G201" s="1485"/>
      <c r="H201" s="1485"/>
      <c r="I201" s="1485"/>
    </row>
    <row r="202" spans="1:9" x14ac:dyDescent="0.3">
      <c r="A202" s="1410"/>
      <c r="B202" s="1410"/>
      <c r="C202" s="1410"/>
      <c r="D202" s="1485"/>
      <c r="E202" s="1485"/>
      <c r="F202" s="1485"/>
      <c r="G202" s="1485"/>
      <c r="H202" s="1485"/>
      <c r="I202" s="1485"/>
    </row>
    <row r="203" spans="1:9" x14ac:dyDescent="0.3">
      <c r="A203" s="1410"/>
      <c r="B203" s="1410"/>
      <c r="C203" s="1410"/>
      <c r="D203" s="1485"/>
      <c r="E203" s="1485"/>
      <c r="F203" s="1485"/>
      <c r="G203" s="1485"/>
      <c r="H203" s="1485"/>
      <c r="I203" s="1485"/>
    </row>
    <row r="204" spans="1:9" x14ac:dyDescent="0.3">
      <c r="A204" s="1410"/>
      <c r="B204" s="1410"/>
      <c r="C204" s="1410"/>
      <c r="D204" s="1485"/>
      <c r="E204" s="1485"/>
      <c r="F204" s="1485"/>
      <c r="G204" s="1485"/>
      <c r="H204" s="1485"/>
      <c r="I204" s="1485"/>
    </row>
    <row r="205" spans="1:9" x14ac:dyDescent="0.3">
      <c r="A205" s="1410"/>
      <c r="B205" s="1410"/>
      <c r="C205" s="1410"/>
      <c r="D205" s="1485"/>
      <c r="E205" s="1485"/>
      <c r="F205" s="1485"/>
      <c r="G205" s="1485"/>
      <c r="H205" s="1485"/>
      <c r="I205" s="1485"/>
    </row>
    <row r="206" spans="1:9" x14ac:dyDescent="0.3">
      <c r="A206" s="1410"/>
      <c r="B206" s="1410"/>
      <c r="C206" s="1410"/>
      <c r="D206" s="1485"/>
      <c r="E206" s="1485"/>
      <c r="F206" s="1485"/>
      <c r="G206" s="1485"/>
      <c r="H206" s="1485"/>
      <c r="I206" s="1485"/>
    </row>
    <row r="207" spans="1:9" x14ac:dyDescent="0.3">
      <c r="A207" s="1410"/>
      <c r="B207" s="1410"/>
      <c r="C207" s="1410"/>
      <c r="D207" s="1485"/>
      <c r="E207" s="1485"/>
      <c r="F207" s="1485"/>
      <c r="G207" s="1485"/>
      <c r="H207" s="1485"/>
      <c r="I207" s="1485"/>
    </row>
    <row r="208" spans="1:9" x14ac:dyDescent="0.3">
      <c r="A208" s="1410"/>
      <c r="B208" s="1410"/>
      <c r="C208" s="1410"/>
      <c r="D208" s="1485"/>
      <c r="E208" s="1485"/>
      <c r="F208" s="1485"/>
      <c r="G208" s="1485"/>
      <c r="H208" s="1485"/>
      <c r="I208" s="1485"/>
    </row>
    <row r="209" spans="1:9" x14ac:dyDescent="0.3">
      <c r="A209" s="1410"/>
      <c r="B209" s="1410"/>
      <c r="C209" s="1410"/>
      <c r="D209" s="1485"/>
      <c r="E209" s="1485"/>
      <c r="F209" s="1485"/>
      <c r="G209" s="1485"/>
      <c r="H209" s="1485"/>
      <c r="I209" s="1485"/>
    </row>
    <row r="210" spans="1:9" x14ac:dyDescent="0.3">
      <c r="A210" s="1410"/>
      <c r="B210" s="1410"/>
      <c r="C210" s="1410"/>
      <c r="D210" s="1485"/>
      <c r="E210" s="1485"/>
      <c r="F210" s="1485"/>
      <c r="G210" s="1485"/>
      <c r="H210" s="1485"/>
      <c r="I210" s="1485"/>
    </row>
    <row r="211" spans="1:9" x14ac:dyDescent="0.3">
      <c r="A211" s="1410"/>
      <c r="B211" s="1410"/>
      <c r="C211" s="1410"/>
      <c r="D211" s="1485"/>
      <c r="E211" s="1485"/>
      <c r="F211" s="1485"/>
      <c r="G211" s="1485"/>
      <c r="H211" s="1485"/>
      <c r="I211" s="1485"/>
    </row>
    <row r="212" spans="1:9" x14ac:dyDescent="0.3">
      <c r="A212" s="1410"/>
      <c r="B212" s="1410"/>
      <c r="C212" s="1410"/>
      <c r="D212" s="1485"/>
      <c r="E212" s="1485"/>
      <c r="F212" s="1485"/>
      <c r="G212" s="1485"/>
      <c r="H212" s="1485"/>
      <c r="I212" s="1485"/>
    </row>
    <row r="213" spans="1:9" x14ac:dyDescent="0.3">
      <c r="A213" s="1410"/>
      <c r="B213" s="1410"/>
      <c r="C213" s="1410"/>
      <c r="D213" s="1485"/>
      <c r="E213" s="1485"/>
      <c r="F213" s="1485"/>
      <c r="G213" s="1485"/>
      <c r="H213" s="1485"/>
      <c r="I213" s="1485"/>
    </row>
    <row r="214" spans="1:9" x14ac:dyDescent="0.3">
      <c r="A214" s="1410"/>
      <c r="B214" s="1410"/>
      <c r="C214" s="1410"/>
      <c r="D214" s="1485"/>
      <c r="E214" s="1485"/>
      <c r="F214" s="1485"/>
      <c r="G214" s="1485"/>
      <c r="H214" s="1485"/>
      <c r="I214" s="1485"/>
    </row>
    <row r="215" spans="1:9" x14ac:dyDescent="0.3">
      <c r="A215" s="1410"/>
      <c r="B215" s="1410"/>
      <c r="C215" s="1410"/>
      <c r="D215" s="1485"/>
      <c r="E215" s="1485"/>
      <c r="F215" s="1485"/>
      <c r="G215" s="1485"/>
      <c r="H215" s="1485"/>
      <c r="I215" s="1485"/>
    </row>
    <row r="216" spans="1:9" x14ac:dyDescent="0.3">
      <c r="A216" s="1410"/>
      <c r="B216" s="1410"/>
      <c r="C216" s="1410"/>
      <c r="D216" s="1485"/>
      <c r="E216" s="1485"/>
      <c r="F216" s="1485"/>
      <c r="G216" s="1485"/>
      <c r="H216" s="1485"/>
      <c r="I216" s="1485"/>
    </row>
    <row r="217" spans="1:9" x14ac:dyDescent="0.3">
      <c r="A217" s="1410"/>
      <c r="B217" s="1410"/>
      <c r="C217" s="1410"/>
      <c r="D217" s="1485"/>
      <c r="E217" s="1485"/>
      <c r="F217" s="1485"/>
      <c r="G217" s="1485"/>
      <c r="H217" s="1485"/>
      <c r="I217" s="1485"/>
    </row>
    <row r="218" spans="1:9" x14ac:dyDescent="0.3">
      <c r="A218" s="1410"/>
      <c r="B218" s="1410"/>
      <c r="C218" s="1410"/>
      <c r="D218" s="1485"/>
      <c r="E218" s="1485"/>
      <c r="F218" s="1485"/>
      <c r="G218" s="1485"/>
      <c r="H218" s="1485"/>
      <c r="I218" s="1485"/>
    </row>
    <row r="219" spans="1:9" x14ac:dyDescent="0.3">
      <c r="A219" s="1410"/>
      <c r="B219" s="1410"/>
      <c r="C219" s="1410"/>
      <c r="D219" s="1485"/>
      <c r="E219" s="1485"/>
      <c r="F219" s="1485"/>
      <c r="G219" s="1485"/>
      <c r="H219" s="1485"/>
      <c r="I219" s="1485"/>
    </row>
    <row r="220" spans="1:9" x14ac:dyDescent="0.3">
      <c r="A220" s="1410"/>
      <c r="B220" s="1410"/>
      <c r="C220" s="1410"/>
      <c r="D220" s="1485"/>
      <c r="E220" s="1485"/>
      <c r="F220" s="1485"/>
      <c r="G220" s="1485"/>
      <c r="H220" s="1485"/>
      <c r="I220" s="1485"/>
    </row>
    <row r="221" spans="1:9" x14ac:dyDescent="0.3">
      <c r="A221" s="1410"/>
      <c r="B221" s="1410"/>
      <c r="C221" s="1410"/>
      <c r="D221" s="1485"/>
      <c r="E221" s="1485"/>
      <c r="F221" s="1485"/>
      <c r="G221" s="1485"/>
      <c r="H221" s="1485"/>
      <c r="I221" s="1485"/>
    </row>
    <row r="222" spans="1:9" x14ac:dyDescent="0.3">
      <c r="A222" s="1410"/>
      <c r="B222" s="1410"/>
      <c r="C222" s="1410"/>
      <c r="D222" s="1485"/>
      <c r="E222" s="1485"/>
      <c r="F222" s="1485"/>
      <c r="G222" s="1485"/>
      <c r="H222" s="1485"/>
      <c r="I222" s="1485"/>
    </row>
    <row r="223" spans="1:9" x14ac:dyDescent="0.3">
      <c r="A223" s="1410"/>
      <c r="B223" s="1410"/>
      <c r="C223" s="1410"/>
      <c r="D223" s="1485"/>
      <c r="E223" s="1485"/>
      <c r="F223" s="1485"/>
      <c r="G223" s="1485"/>
      <c r="H223" s="1485"/>
      <c r="I223" s="1485"/>
    </row>
    <row r="224" spans="1:9" x14ac:dyDescent="0.3">
      <c r="A224" s="1410"/>
      <c r="B224" s="1410"/>
      <c r="C224" s="1410"/>
      <c r="D224" s="1485"/>
      <c r="E224" s="1485"/>
      <c r="F224" s="1485"/>
      <c r="G224" s="1485"/>
      <c r="H224" s="1485"/>
      <c r="I224" s="1485"/>
    </row>
    <row r="225" spans="1:9" x14ac:dyDescent="0.3">
      <c r="A225" s="1410"/>
      <c r="B225" s="1410"/>
      <c r="C225" s="1410"/>
      <c r="D225" s="1485"/>
      <c r="E225" s="1485"/>
      <c r="F225" s="1485"/>
      <c r="G225" s="1485"/>
      <c r="H225" s="1485"/>
      <c r="I225" s="1485"/>
    </row>
    <row r="226" spans="1:9" x14ac:dyDescent="0.3">
      <c r="A226" s="1410"/>
      <c r="B226" s="1410"/>
      <c r="C226" s="1410"/>
      <c r="D226" s="1485"/>
      <c r="E226" s="1485"/>
      <c r="F226" s="1485"/>
      <c r="G226" s="1485"/>
      <c r="H226" s="1485"/>
      <c r="I226" s="1485"/>
    </row>
    <row r="227" spans="1:9" x14ac:dyDescent="0.3">
      <c r="A227" s="1410"/>
      <c r="B227" s="1410"/>
      <c r="C227" s="1410"/>
      <c r="D227" s="1485"/>
      <c r="E227" s="1485"/>
      <c r="F227" s="1485"/>
      <c r="G227" s="1485"/>
      <c r="H227" s="1485"/>
      <c r="I227" s="1485"/>
    </row>
    <row r="228" spans="1:9" x14ac:dyDescent="0.3">
      <c r="A228" s="1410"/>
      <c r="B228" s="1410"/>
      <c r="C228" s="1410"/>
      <c r="D228" s="1485"/>
      <c r="E228" s="1485"/>
      <c r="F228" s="1485"/>
      <c r="G228" s="1485"/>
      <c r="H228" s="1485"/>
      <c r="I228" s="1485"/>
    </row>
    <row r="229" spans="1:9" x14ac:dyDescent="0.3">
      <c r="A229" s="1410"/>
      <c r="B229" s="1410"/>
      <c r="C229" s="1410"/>
      <c r="D229" s="1485"/>
      <c r="E229" s="1485"/>
      <c r="F229" s="1485"/>
      <c r="G229" s="1485"/>
      <c r="H229" s="1485"/>
      <c r="I229" s="1485"/>
    </row>
    <row r="230" spans="1:9" x14ac:dyDescent="0.3">
      <c r="A230" s="1410"/>
      <c r="B230" s="1410"/>
      <c r="C230" s="1410"/>
      <c r="D230" s="1485"/>
      <c r="E230" s="1485"/>
      <c r="F230" s="1485"/>
      <c r="G230" s="1485"/>
      <c r="H230" s="1485"/>
      <c r="I230" s="1485"/>
    </row>
    <row r="231" spans="1:9" x14ac:dyDescent="0.3">
      <c r="A231" s="1410"/>
      <c r="B231" s="1410"/>
      <c r="C231" s="1410"/>
      <c r="D231" s="1485"/>
      <c r="E231" s="1485"/>
      <c r="F231" s="1485"/>
      <c r="G231" s="1485"/>
      <c r="H231" s="1485"/>
      <c r="I231" s="1485"/>
    </row>
    <row r="232" spans="1:9" x14ac:dyDescent="0.3">
      <c r="A232" s="1410"/>
      <c r="B232" s="1410"/>
      <c r="C232" s="1410"/>
      <c r="D232" s="1485"/>
      <c r="E232" s="1485"/>
      <c r="F232" s="1485"/>
      <c r="G232" s="1485"/>
      <c r="H232" s="1485"/>
      <c r="I232" s="1485"/>
    </row>
    <row r="233" spans="1:9" x14ac:dyDescent="0.3">
      <c r="A233" s="1410"/>
      <c r="B233" s="1410"/>
      <c r="C233" s="1410"/>
      <c r="D233" s="1485"/>
      <c r="E233" s="1485"/>
      <c r="F233" s="1485"/>
      <c r="G233" s="1485"/>
      <c r="H233" s="1485"/>
      <c r="I233" s="1485"/>
    </row>
    <row r="234" spans="1:9" x14ac:dyDescent="0.3">
      <c r="A234" s="1410"/>
      <c r="B234" s="1410"/>
      <c r="C234" s="1410"/>
      <c r="D234" s="1485"/>
      <c r="E234" s="1485"/>
      <c r="F234" s="1485"/>
      <c r="G234" s="1485"/>
      <c r="H234" s="1485"/>
      <c r="I234" s="1485"/>
    </row>
    <row r="235" spans="1:9" x14ac:dyDescent="0.3">
      <c r="A235" s="1410"/>
      <c r="B235" s="1410"/>
      <c r="C235" s="1410"/>
      <c r="D235" s="1485"/>
      <c r="E235" s="1485"/>
      <c r="F235" s="1485"/>
      <c r="G235" s="1485"/>
      <c r="H235" s="1485"/>
      <c r="I235" s="1485"/>
    </row>
    <row r="236" spans="1:9" x14ac:dyDescent="0.3">
      <c r="A236" s="1410"/>
      <c r="B236" s="1410"/>
      <c r="C236" s="1410"/>
      <c r="D236" s="1485"/>
      <c r="E236" s="1485"/>
      <c r="F236" s="1485"/>
      <c r="G236" s="1485"/>
      <c r="H236" s="1485"/>
      <c r="I236" s="1485"/>
    </row>
    <row r="237" spans="1:9" x14ac:dyDescent="0.3">
      <c r="A237" s="1410"/>
      <c r="B237" s="1410"/>
      <c r="C237" s="1410"/>
      <c r="D237" s="1485"/>
      <c r="E237" s="1485"/>
      <c r="F237" s="1485"/>
      <c r="G237" s="1485"/>
      <c r="H237" s="1485"/>
      <c r="I237" s="1485"/>
    </row>
    <row r="238" spans="1:9" x14ac:dyDescent="0.3">
      <c r="A238" s="1410"/>
      <c r="B238" s="1410"/>
      <c r="C238" s="1410"/>
      <c r="D238" s="1485"/>
      <c r="E238" s="1485"/>
      <c r="F238" s="1485"/>
      <c r="G238" s="1485"/>
      <c r="H238" s="1485"/>
      <c r="I238" s="1485"/>
    </row>
    <row r="239" spans="1:9" x14ac:dyDescent="0.3">
      <c r="A239" s="1410"/>
      <c r="B239" s="1410"/>
      <c r="C239" s="1410"/>
      <c r="D239" s="1485"/>
      <c r="E239" s="1485"/>
      <c r="F239" s="1485"/>
      <c r="G239" s="1485"/>
      <c r="H239" s="1485"/>
      <c r="I239" s="1485"/>
    </row>
    <row r="240" spans="1:9" x14ac:dyDescent="0.3">
      <c r="A240" s="1410"/>
      <c r="B240" s="1410"/>
      <c r="C240" s="1410"/>
      <c r="D240" s="1485"/>
      <c r="E240" s="1485"/>
      <c r="F240" s="1485"/>
      <c r="G240" s="1485"/>
      <c r="H240" s="1485"/>
      <c r="I240" s="1485"/>
    </row>
    <row r="241" spans="1:9" x14ac:dyDescent="0.3">
      <c r="A241" s="1410"/>
      <c r="B241" s="1410"/>
      <c r="C241" s="1410"/>
      <c r="D241" s="1485"/>
      <c r="E241" s="1485"/>
      <c r="F241" s="1485"/>
      <c r="G241" s="1485"/>
      <c r="H241" s="1485"/>
      <c r="I241" s="1485"/>
    </row>
    <row r="242" spans="1:9" x14ac:dyDescent="0.3">
      <c r="A242" s="1410"/>
      <c r="B242" s="1410"/>
      <c r="C242" s="1410"/>
      <c r="D242" s="1485"/>
      <c r="E242" s="1485"/>
      <c r="F242" s="1485"/>
      <c r="G242" s="1485"/>
      <c r="H242" s="1485"/>
      <c r="I242" s="1485"/>
    </row>
    <row r="243" spans="1:9" x14ac:dyDescent="0.3">
      <c r="A243" s="1410"/>
      <c r="B243" s="1410"/>
      <c r="C243" s="1410"/>
      <c r="D243" s="1485"/>
      <c r="E243" s="1485"/>
      <c r="F243" s="1485"/>
      <c r="G243" s="1485"/>
      <c r="H243" s="1485"/>
      <c r="I243" s="1485"/>
    </row>
    <row r="244" spans="1:9" x14ac:dyDescent="0.3">
      <c r="A244" s="1410"/>
      <c r="B244" s="1410"/>
      <c r="C244" s="1410"/>
      <c r="D244" s="1485"/>
      <c r="E244" s="1485"/>
      <c r="F244" s="1485"/>
      <c r="G244" s="1485"/>
      <c r="H244" s="1485"/>
      <c r="I244" s="1485"/>
    </row>
    <row r="245" spans="1:9" x14ac:dyDescent="0.3">
      <c r="A245" s="1410"/>
      <c r="B245" s="1410"/>
      <c r="C245" s="1410"/>
      <c r="D245" s="1485"/>
      <c r="E245" s="1485"/>
      <c r="F245" s="1485"/>
      <c r="G245" s="1485"/>
      <c r="H245" s="1485"/>
      <c r="I245" s="1485"/>
    </row>
    <row r="246" spans="1:9" x14ac:dyDescent="0.3">
      <c r="A246" s="1410"/>
      <c r="B246" s="1410"/>
      <c r="C246" s="1410"/>
      <c r="D246" s="1485"/>
      <c r="E246" s="1485"/>
      <c r="F246" s="1485"/>
      <c r="G246" s="1485"/>
      <c r="H246" s="1485"/>
      <c r="I246" s="1485"/>
    </row>
    <row r="247" spans="1:9" x14ac:dyDescent="0.3">
      <c r="A247" s="1410"/>
      <c r="B247" s="1410"/>
      <c r="C247" s="1410"/>
      <c r="D247" s="1485"/>
      <c r="E247" s="1485"/>
      <c r="F247" s="1485"/>
      <c r="G247" s="1485"/>
      <c r="H247" s="1485"/>
      <c r="I247" s="1485"/>
    </row>
    <row r="248" spans="1:9" x14ac:dyDescent="0.3">
      <c r="A248" s="1410"/>
      <c r="B248" s="1410"/>
      <c r="C248" s="1410"/>
      <c r="D248" s="1485"/>
      <c r="E248" s="1485"/>
      <c r="F248" s="1485"/>
      <c r="G248" s="1485"/>
      <c r="H248" s="1485"/>
      <c r="I248" s="1485"/>
    </row>
    <row r="249" spans="1:9" x14ac:dyDescent="0.3">
      <c r="A249" s="1410"/>
      <c r="B249" s="1410"/>
      <c r="C249" s="1410"/>
      <c r="D249" s="1485"/>
      <c r="E249" s="1485"/>
      <c r="F249" s="1485"/>
      <c r="G249" s="1485"/>
      <c r="H249" s="1485"/>
      <c r="I249" s="1485"/>
    </row>
    <row r="250" spans="1:9" x14ac:dyDescent="0.3">
      <c r="A250" s="1410"/>
      <c r="B250" s="1410"/>
      <c r="C250" s="1410"/>
      <c r="D250" s="1485"/>
      <c r="E250" s="1485"/>
      <c r="F250" s="1485"/>
      <c r="G250" s="1485"/>
      <c r="H250" s="1485"/>
      <c r="I250" s="1485"/>
    </row>
    <row r="251" spans="1:9" x14ac:dyDescent="0.3">
      <c r="A251" s="1410"/>
      <c r="B251" s="1410"/>
      <c r="C251" s="1410"/>
      <c r="D251" s="1485"/>
      <c r="E251" s="1485"/>
      <c r="F251" s="1485"/>
      <c r="G251" s="1485"/>
      <c r="H251" s="1485"/>
      <c r="I251" s="1485"/>
    </row>
    <row r="252" spans="1:9" x14ac:dyDescent="0.3">
      <c r="A252" s="1410"/>
      <c r="B252" s="1410"/>
      <c r="C252" s="1410"/>
      <c r="D252" s="1485"/>
      <c r="E252" s="1485"/>
      <c r="F252" s="1485"/>
      <c r="G252" s="1485"/>
      <c r="H252" s="1485"/>
      <c r="I252" s="1485"/>
    </row>
    <row r="253" spans="1:9" x14ac:dyDescent="0.3">
      <c r="A253" s="1410"/>
      <c r="B253" s="1410"/>
      <c r="C253" s="1410"/>
      <c r="D253" s="1485"/>
      <c r="E253" s="1485"/>
      <c r="F253" s="1485"/>
      <c r="G253" s="1485"/>
      <c r="H253" s="1485"/>
      <c r="I253" s="1485"/>
    </row>
    <row r="254" spans="1:9" x14ac:dyDescent="0.3">
      <c r="A254" s="1410"/>
      <c r="B254" s="1410"/>
      <c r="C254" s="1410"/>
      <c r="D254" s="1485"/>
      <c r="E254" s="1485"/>
      <c r="F254" s="1485"/>
      <c r="G254" s="1485"/>
      <c r="H254" s="1485"/>
      <c r="I254" s="1485"/>
    </row>
    <row r="255" spans="1:9" x14ac:dyDescent="0.3">
      <c r="A255" s="1410"/>
      <c r="B255" s="1410"/>
      <c r="C255" s="1410"/>
      <c r="D255" s="1485"/>
      <c r="E255" s="1485"/>
      <c r="F255" s="1485"/>
      <c r="G255" s="1485"/>
      <c r="H255" s="1485"/>
      <c r="I255" s="1485"/>
    </row>
    <row r="256" spans="1:9" x14ac:dyDescent="0.3">
      <c r="A256" s="1410"/>
      <c r="B256" s="1410"/>
      <c r="C256" s="1410"/>
      <c r="D256" s="1485"/>
      <c r="E256" s="1485"/>
      <c r="F256" s="1485"/>
      <c r="G256" s="1485"/>
      <c r="H256" s="1485"/>
      <c r="I256" s="1485"/>
    </row>
    <row r="257" spans="1:9" x14ac:dyDescent="0.3">
      <c r="A257" s="1410"/>
      <c r="B257" s="1410"/>
      <c r="C257" s="1410"/>
      <c r="D257" s="1485"/>
      <c r="E257" s="1485"/>
      <c r="F257" s="1485"/>
      <c r="G257" s="1485"/>
      <c r="H257" s="1485"/>
      <c r="I257" s="1485"/>
    </row>
    <row r="258" spans="1:9" x14ac:dyDescent="0.3">
      <c r="A258" s="1410"/>
      <c r="B258" s="1410"/>
      <c r="C258" s="1410"/>
      <c r="D258" s="1485"/>
      <c r="E258" s="1485"/>
      <c r="F258" s="1485"/>
      <c r="G258" s="1485"/>
      <c r="H258" s="1485"/>
      <c r="I258" s="1485"/>
    </row>
    <row r="259" spans="1:9" x14ac:dyDescent="0.3">
      <c r="A259" s="1410"/>
      <c r="B259" s="1410"/>
      <c r="C259" s="1410"/>
      <c r="D259" s="1485"/>
      <c r="E259" s="1485"/>
      <c r="F259" s="1485"/>
      <c r="G259" s="1485"/>
      <c r="H259" s="1485"/>
      <c r="I259" s="1485"/>
    </row>
    <row r="260" spans="1:9" x14ac:dyDescent="0.3">
      <c r="A260" s="1410"/>
      <c r="B260" s="1410"/>
      <c r="C260" s="1410"/>
      <c r="D260" s="1485"/>
      <c r="E260" s="1485"/>
      <c r="F260" s="1485"/>
      <c r="G260" s="1485"/>
      <c r="H260" s="1485"/>
      <c r="I260" s="1485"/>
    </row>
    <row r="261" spans="1:9" x14ac:dyDescent="0.3">
      <c r="A261" s="1410"/>
      <c r="B261" s="1410"/>
      <c r="C261" s="1410"/>
      <c r="D261" s="1485"/>
      <c r="E261" s="1485"/>
      <c r="F261" s="1485"/>
      <c r="G261" s="1485"/>
      <c r="H261" s="1485"/>
      <c r="I261" s="1485"/>
    </row>
    <row r="262" spans="1:9" x14ac:dyDescent="0.3">
      <c r="A262" s="1410"/>
      <c r="B262" s="1410"/>
      <c r="C262" s="1410"/>
      <c r="D262" s="1485"/>
      <c r="E262" s="1485"/>
      <c r="F262" s="1485"/>
      <c r="G262" s="1485"/>
      <c r="H262" s="1485"/>
      <c r="I262" s="1485"/>
    </row>
    <row r="263" spans="1:9" x14ac:dyDescent="0.3">
      <c r="A263" s="1410"/>
      <c r="B263" s="1410"/>
      <c r="C263" s="1410"/>
      <c r="D263" s="1485"/>
      <c r="E263" s="1485"/>
      <c r="F263" s="1485"/>
      <c r="G263" s="1485"/>
      <c r="H263" s="1485"/>
      <c r="I263" s="1485"/>
    </row>
    <row r="264" spans="1:9" x14ac:dyDescent="0.3">
      <c r="A264" s="1410"/>
      <c r="B264" s="1410"/>
      <c r="C264" s="1410"/>
      <c r="D264" s="1485"/>
      <c r="E264" s="1485"/>
      <c r="F264" s="1485"/>
      <c r="G264" s="1485"/>
      <c r="H264" s="1485"/>
      <c r="I264" s="1485"/>
    </row>
    <row r="265" spans="1:9" x14ac:dyDescent="0.3">
      <c r="A265" s="1410"/>
      <c r="B265" s="1410"/>
      <c r="C265" s="1410"/>
      <c r="D265" s="1485"/>
      <c r="E265" s="1485"/>
      <c r="F265" s="1485"/>
      <c r="G265" s="1485"/>
      <c r="H265" s="1485"/>
      <c r="I265" s="1485"/>
    </row>
    <row r="266" spans="1:9" x14ac:dyDescent="0.3">
      <c r="A266" s="1410"/>
      <c r="B266" s="1410"/>
      <c r="C266" s="1410"/>
      <c r="D266" s="1485"/>
      <c r="E266" s="1485"/>
      <c r="F266" s="1485"/>
      <c r="G266" s="1485"/>
      <c r="H266" s="1485"/>
      <c r="I266" s="1485"/>
    </row>
    <row r="267" spans="1:9" x14ac:dyDescent="0.3">
      <c r="A267" s="1410"/>
      <c r="B267" s="1410"/>
      <c r="C267" s="1410"/>
      <c r="D267" s="1485"/>
      <c r="E267" s="1485"/>
      <c r="F267" s="1485"/>
      <c r="G267" s="1485"/>
      <c r="H267" s="1485"/>
      <c r="I267" s="1485"/>
    </row>
    <row r="268" spans="1:9" x14ac:dyDescent="0.3">
      <c r="A268" s="1410"/>
      <c r="B268" s="1410"/>
      <c r="C268" s="1410"/>
      <c r="D268" s="1485"/>
      <c r="E268" s="1485"/>
      <c r="F268" s="1485"/>
      <c r="G268" s="1485"/>
      <c r="H268" s="1485"/>
      <c r="I268" s="1485"/>
    </row>
    <row r="269" spans="1:9" x14ac:dyDescent="0.3">
      <c r="A269" s="1410"/>
      <c r="B269" s="1410"/>
      <c r="C269" s="1410"/>
      <c r="D269" s="1485"/>
      <c r="E269" s="1485"/>
      <c r="F269" s="1485"/>
      <c r="G269" s="1485"/>
      <c r="H269" s="1485"/>
      <c r="I269" s="1485"/>
    </row>
    <row r="270" spans="1:9" x14ac:dyDescent="0.3">
      <c r="A270" s="1410"/>
      <c r="B270" s="1410"/>
      <c r="C270" s="1410"/>
      <c r="D270" s="1485"/>
      <c r="E270" s="1485"/>
      <c r="F270" s="1485"/>
      <c r="G270" s="1485"/>
      <c r="H270" s="1485"/>
      <c r="I270" s="1485"/>
    </row>
    <row r="271" spans="1:9" x14ac:dyDescent="0.3">
      <c r="A271" s="1410"/>
      <c r="B271" s="1410"/>
      <c r="C271" s="1410"/>
      <c r="D271" s="1485"/>
      <c r="E271" s="1485"/>
      <c r="F271" s="1485"/>
      <c r="G271" s="1485"/>
      <c r="H271" s="1485"/>
      <c r="I271" s="1485"/>
    </row>
    <row r="272" spans="1:9" x14ac:dyDescent="0.3">
      <c r="A272" s="1410"/>
      <c r="B272" s="1410"/>
      <c r="C272" s="1410"/>
      <c r="D272" s="1485"/>
      <c r="E272" s="1485"/>
      <c r="F272" s="1485"/>
      <c r="G272" s="1485"/>
      <c r="H272" s="1485"/>
      <c r="I272" s="1485"/>
    </row>
    <row r="273" spans="1:9" x14ac:dyDescent="0.3">
      <c r="A273" s="1410"/>
      <c r="B273" s="1410"/>
      <c r="C273" s="1410"/>
      <c r="D273" s="1485"/>
      <c r="E273" s="1485"/>
      <c r="F273" s="1485"/>
      <c r="G273" s="1485"/>
      <c r="H273" s="1485"/>
      <c r="I273" s="1485"/>
    </row>
    <row r="274" spans="1:9" x14ac:dyDescent="0.3">
      <c r="A274" s="1410"/>
      <c r="B274" s="1410"/>
      <c r="C274" s="1410"/>
      <c r="D274" s="1485"/>
      <c r="E274" s="1485"/>
      <c r="F274" s="1485"/>
      <c r="G274" s="1485"/>
      <c r="H274" s="1485"/>
      <c r="I274" s="1485"/>
    </row>
    <row r="275" spans="1:9" x14ac:dyDescent="0.3">
      <c r="A275" s="1410"/>
      <c r="B275" s="1410"/>
      <c r="C275" s="1410"/>
      <c r="D275" s="1485"/>
      <c r="E275" s="1485"/>
      <c r="F275" s="1485"/>
      <c r="G275" s="1485"/>
      <c r="H275" s="1485"/>
      <c r="I275" s="1485"/>
    </row>
    <row r="276" spans="1:9" x14ac:dyDescent="0.3">
      <c r="A276" s="1410"/>
      <c r="B276" s="1410"/>
      <c r="C276" s="1410"/>
      <c r="D276" s="1485"/>
      <c r="E276" s="1485"/>
      <c r="F276" s="1485"/>
      <c r="G276" s="1485"/>
      <c r="H276" s="1485"/>
      <c r="I276" s="1485"/>
    </row>
    <row r="277" spans="1:9" x14ac:dyDescent="0.3">
      <c r="A277" s="1410"/>
      <c r="B277" s="1410"/>
      <c r="C277" s="1410"/>
      <c r="D277" s="1485"/>
      <c r="E277" s="1485"/>
      <c r="F277" s="1485"/>
      <c r="G277" s="1485"/>
      <c r="H277" s="1485"/>
      <c r="I277" s="1485"/>
    </row>
    <row r="278" spans="1:9" x14ac:dyDescent="0.3">
      <c r="A278" s="1410"/>
      <c r="B278" s="1410"/>
      <c r="C278" s="1410"/>
      <c r="D278" s="1485"/>
      <c r="E278" s="1485"/>
      <c r="F278" s="1485"/>
      <c r="G278" s="1485"/>
      <c r="H278" s="1485"/>
      <c r="I278" s="1485"/>
    </row>
    <row r="279" spans="1:9" x14ac:dyDescent="0.3">
      <c r="A279" s="1410"/>
      <c r="B279" s="1410"/>
      <c r="C279" s="1410"/>
      <c r="D279" s="1485"/>
      <c r="E279" s="1485"/>
      <c r="F279" s="1485"/>
      <c r="G279" s="1485"/>
      <c r="H279" s="1485"/>
      <c r="I279" s="1485"/>
    </row>
    <row r="280" spans="1:9" x14ac:dyDescent="0.3">
      <c r="A280" s="1410"/>
      <c r="B280" s="1410"/>
      <c r="C280" s="1410"/>
      <c r="D280" s="1485"/>
      <c r="E280" s="1485"/>
      <c r="F280" s="1485"/>
      <c r="G280" s="1485"/>
      <c r="H280" s="1485"/>
      <c r="I280" s="1485"/>
    </row>
    <row r="281" spans="1:9" x14ac:dyDescent="0.3">
      <c r="A281" s="1410"/>
      <c r="B281" s="1410"/>
      <c r="C281" s="1410"/>
      <c r="D281" s="1485"/>
      <c r="E281" s="1485"/>
      <c r="F281" s="1485"/>
      <c r="G281" s="1485"/>
      <c r="H281" s="1485"/>
      <c r="I281" s="1485"/>
    </row>
    <row r="282" spans="1:9" x14ac:dyDescent="0.3">
      <c r="A282" s="1410"/>
      <c r="B282" s="1410"/>
      <c r="C282" s="1410"/>
      <c r="D282" s="1485"/>
      <c r="E282" s="1485"/>
      <c r="F282" s="1485"/>
      <c r="G282" s="1485"/>
      <c r="H282" s="1485"/>
      <c r="I282" s="1485"/>
    </row>
    <row r="283" spans="1:9" x14ac:dyDescent="0.3">
      <c r="A283" s="1410"/>
      <c r="B283" s="1410"/>
      <c r="C283" s="1410"/>
      <c r="D283" s="1485"/>
      <c r="E283" s="1485"/>
      <c r="F283" s="1485"/>
      <c r="G283" s="1485"/>
      <c r="H283" s="1485"/>
      <c r="I283" s="1485"/>
    </row>
    <row r="284" spans="1:9" x14ac:dyDescent="0.3">
      <c r="A284" s="1410"/>
      <c r="B284" s="1410"/>
      <c r="C284" s="1410"/>
      <c r="D284" s="1485"/>
      <c r="E284" s="1485"/>
      <c r="F284" s="1485"/>
      <c r="G284" s="1485"/>
      <c r="H284" s="1485"/>
      <c r="I284" s="1485"/>
    </row>
    <row r="285" spans="1:9" x14ac:dyDescent="0.3">
      <c r="A285" s="1410"/>
      <c r="B285" s="1410"/>
      <c r="C285" s="1410"/>
      <c r="D285" s="1485"/>
      <c r="E285" s="1485"/>
      <c r="F285" s="1485"/>
      <c r="G285" s="1485"/>
      <c r="H285" s="1485"/>
      <c r="I285" s="1485"/>
    </row>
    <row r="286" spans="1:9" x14ac:dyDescent="0.3">
      <c r="A286" s="1410"/>
      <c r="B286" s="1410"/>
      <c r="C286" s="1410"/>
      <c r="D286" s="1485"/>
      <c r="E286" s="1485"/>
      <c r="F286" s="1485"/>
      <c r="G286" s="1485"/>
      <c r="H286" s="1485"/>
      <c r="I286" s="1485"/>
    </row>
    <row r="287" spans="1:9" x14ac:dyDescent="0.3">
      <c r="A287" s="1410"/>
      <c r="B287" s="1410"/>
      <c r="C287" s="1410"/>
      <c r="D287" s="1485"/>
      <c r="E287" s="1485"/>
      <c r="F287" s="1485"/>
      <c r="G287" s="1485"/>
      <c r="H287" s="1485"/>
      <c r="I287" s="1485"/>
    </row>
    <row r="288" spans="1:9" x14ac:dyDescent="0.3">
      <c r="A288" s="1410"/>
      <c r="B288" s="1410"/>
      <c r="C288" s="1410"/>
      <c r="D288" s="1485"/>
      <c r="E288" s="1485"/>
      <c r="F288" s="1485"/>
      <c r="G288" s="1485"/>
      <c r="H288" s="1485"/>
      <c r="I288" s="1485"/>
    </row>
    <row r="289" spans="1:9" x14ac:dyDescent="0.3">
      <c r="A289" s="1410"/>
      <c r="B289" s="1410"/>
      <c r="C289" s="1410"/>
      <c r="D289" s="1485"/>
      <c r="E289" s="1485"/>
      <c r="F289" s="1485"/>
      <c r="G289" s="1485"/>
      <c r="H289" s="1485"/>
      <c r="I289" s="1485"/>
    </row>
    <row r="290" spans="1:9" x14ac:dyDescent="0.3">
      <c r="A290" s="1410"/>
      <c r="B290" s="1410"/>
      <c r="C290" s="1410"/>
      <c r="D290" s="1485"/>
      <c r="E290" s="1485"/>
      <c r="F290" s="1485"/>
      <c r="G290" s="1485"/>
      <c r="H290" s="1485"/>
      <c r="I290" s="1485"/>
    </row>
    <row r="291" spans="1:9" x14ac:dyDescent="0.3">
      <c r="A291" s="1410"/>
      <c r="B291" s="1410"/>
      <c r="C291" s="1410"/>
      <c r="D291" s="1485"/>
      <c r="E291" s="1485"/>
      <c r="F291" s="1485"/>
      <c r="G291" s="1485"/>
      <c r="H291" s="1485"/>
      <c r="I291" s="1485"/>
    </row>
    <row r="292" spans="1:9" x14ac:dyDescent="0.3">
      <c r="A292" s="1410"/>
      <c r="B292" s="1410"/>
      <c r="C292" s="1410"/>
      <c r="D292" s="1485"/>
      <c r="E292" s="1485"/>
      <c r="F292" s="1485"/>
      <c r="G292" s="1485"/>
      <c r="H292" s="1485"/>
      <c r="I292" s="1485"/>
    </row>
    <row r="293" spans="1:9" x14ac:dyDescent="0.3">
      <c r="A293" s="1410"/>
      <c r="B293" s="1410"/>
      <c r="C293" s="1410"/>
      <c r="D293" s="1485"/>
      <c r="E293" s="1485"/>
      <c r="F293" s="1485"/>
      <c r="G293" s="1485"/>
      <c r="H293" s="1485"/>
      <c r="I293" s="1485"/>
    </row>
    <row r="294" spans="1:9" x14ac:dyDescent="0.3">
      <c r="A294" s="1410"/>
      <c r="B294" s="1410"/>
      <c r="C294" s="1410"/>
      <c r="D294" s="1485"/>
      <c r="E294" s="1485"/>
      <c r="F294" s="1485"/>
      <c r="G294" s="1485"/>
      <c r="H294" s="1485"/>
      <c r="I294" s="1485"/>
    </row>
    <row r="295" spans="1:9" x14ac:dyDescent="0.3">
      <c r="A295" s="1410"/>
      <c r="B295" s="1410"/>
      <c r="C295" s="1410"/>
      <c r="D295" s="1485"/>
      <c r="E295" s="1485"/>
      <c r="F295" s="1485"/>
      <c r="G295" s="1485"/>
      <c r="H295" s="1485"/>
      <c r="I295" s="1485"/>
    </row>
    <row r="296" spans="1:9" x14ac:dyDescent="0.3">
      <c r="A296" s="1410"/>
      <c r="B296" s="1410"/>
      <c r="C296" s="1410"/>
      <c r="D296" s="1485"/>
      <c r="E296" s="1485"/>
      <c r="F296" s="1485"/>
      <c r="G296" s="1485"/>
      <c r="H296" s="1485"/>
      <c r="I296" s="1485"/>
    </row>
    <row r="297" spans="1:9" x14ac:dyDescent="0.3">
      <c r="A297" s="1410"/>
      <c r="B297" s="1410"/>
      <c r="C297" s="1410"/>
      <c r="D297" s="1485"/>
      <c r="E297" s="1485"/>
      <c r="F297" s="1485"/>
      <c r="G297" s="1485"/>
      <c r="H297" s="1485"/>
      <c r="I297" s="1485"/>
    </row>
    <row r="298" spans="1:9" x14ac:dyDescent="0.3">
      <c r="A298" s="1410"/>
      <c r="B298" s="1410"/>
      <c r="C298" s="1410"/>
      <c r="D298" s="1485"/>
      <c r="E298" s="1485"/>
      <c r="F298" s="1485"/>
      <c r="G298" s="1485"/>
      <c r="H298" s="1485"/>
      <c r="I298" s="1485"/>
    </row>
    <row r="299" spans="1:9" x14ac:dyDescent="0.3">
      <c r="A299" s="1410"/>
      <c r="B299" s="1410"/>
      <c r="C299" s="1410"/>
      <c r="D299" s="1485"/>
      <c r="E299" s="1485"/>
      <c r="F299" s="1485"/>
      <c r="G299" s="1485"/>
      <c r="H299" s="1485"/>
      <c r="I299" s="1485"/>
    </row>
    <row r="300" spans="1:9" x14ac:dyDescent="0.3">
      <c r="A300" s="1410"/>
      <c r="B300" s="1410"/>
      <c r="C300" s="1410"/>
      <c r="D300" s="1485"/>
      <c r="E300" s="1485"/>
      <c r="F300" s="1485"/>
      <c r="G300" s="1485"/>
      <c r="H300" s="1485"/>
      <c r="I300" s="1485"/>
    </row>
    <row r="301" spans="1:9" x14ac:dyDescent="0.3">
      <c r="A301" s="1410"/>
      <c r="B301" s="1410"/>
      <c r="C301" s="1410"/>
      <c r="D301" s="1485"/>
      <c r="E301" s="1485"/>
      <c r="F301" s="1485"/>
      <c r="G301" s="1485"/>
      <c r="H301" s="1485"/>
      <c r="I301" s="1485"/>
    </row>
    <row r="302" spans="1:9" x14ac:dyDescent="0.3">
      <c r="A302" s="1410"/>
      <c r="B302" s="1410"/>
      <c r="C302" s="1410"/>
      <c r="D302" s="1485"/>
      <c r="E302" s="1485"/>
      <c r="F302" s="1485"/>
      <c r="G302" s="1485"/>
      <c r="H302" s="1485"/>
      <c r="I302" s="1485"/>
    </row>
    <row r="303" spans="1:9" x14ac:dyDescent="0.3">
      <c r="A303" s="1410"/>
      <c r="B303" s="1410"/>
      <c r="C303" s="1410"/>
      <c r="D303" s="1485"/>
      <c r="E303" s="1485"/>
      <c r="F303" s="1485"/>
      <c r="G303" s="1485"/>
      <c r="H303" s="1485"/>
      <c r="I303" s="1485"/>
    </row>
    <row r="304" spans="1:9" x14ac:dyDescent="0.3">
      <c r="A304" s="1410"/>
      <c r="B304" s="1410"/>
      <c r="C304" s="1410"/>
      <c r="D304" s="1485"/>
      <c r="E304" s="1485"/>
      <c r="F304" s="1485"/>
      <c r="G304" s="1485"/>
      <c r="H304" s="1485"/>
      <c r="I304" s="1485"/>
    </row>
    <row r="305" spans="1:9" x14ac:dyDescent="0.3">
      <c r="A305" s="1410"/>
      <c r="B305" s="1410"/>
      <c r="C305" s="1410"/>
      <c r="D305" s="1485"/>
      <c r="E305" s="1485"/>
      <c r="F305" s="1485"/>
      <c r="G305" s="1485"/>
      <c r="H305" s="1485"/>
      <c r="I305" s="1485"/>
    </row>
    <row r="306" spans="1:9" x14ac:dyDescent="0.3">
      <c r="A306" s="1410"/>
      <c r="B306" s="1410"/>
      <c r="C306" s="1410"/>
      <c r="D306" s="1485"/>
      <c r="E306" s="1485"/>
      <c r="F306" s="1485"/>
      <c r="G306" s="1485"/>
      <c r="H306" s="1485"/>
      <c r="I306" s="1485"/>
    </row>
    <row r="307" spans="1:9" x14ac:dyDescent="0.3">
      <c r="A307" s="1410"/>
      <c r="B307" s="1410"/>
      <c r="C307" s="1410"/>
      <c r="D307" s="1485"/>
      <c r="E307" s="1485"/>
      <c r="F307" s="1485"/>
      <c r="G307" s="1485"/>
      <c r="H307" s="1485"/>
      <c r="I307" s="1485"/>
    </row>
    <row r="308" spans="1:9" x14ac:dyDescent="0.3">
      <c r="A308" s="1410"/>
      <c r="B308" s="1410"/>
      <c r="C308" s="1410"/>
      <c r="D308" s="1485"/>
      <c r="E308" s="1485"/>
      <c r="F308" s="1485"/>
      <c r="G308" s="1485"/>
      <c r="H308" s="1485"/>
      <c r="I308" s="1485"/>
    </row>
    <row r="309" spans="1:9" x14ac:dyDescent="0.3">
      <c r="A309" s="1410"/>
      <c r="B309" s="1410"/>
      <c r="C309" s="1410"/>
      <c r="D309" s="1485"/>
      <c r="E309" s="1485"/>
      <c r="F309" s="1485"/>
      <c r="G309" s="1485"/>
      <c r="H309" s="1485"/>
      <c r="I309" s="1485"/>
    </row>
    <row r="310" spans="1:9" x14ac:dyDescent="0.3">
      <c r="A310" s="1410"/>
      <c r="B310" s="1410"/>
      <c r="C310" s="1410"/>
      <c r="D310" s="1485"/>
      <c r="E310" s="1485"/>
      <c r="F310" s="1485"/>
      <c r="G310" s="1485"/>
      <c r="H310" s="1485"/>
      <c r="I310" s="1485"/>
    </row>
    <row r="311" spans="1:9" x14ac:dyDescent="0.3">
      <c r="A311" s="1410"/>
      <c r="B311" s="1410"/>
      <c r="C311" s="1410"/>
      <c r="D311" s="1485"/>
      <c r="E311" s="1485"/>
      <c r="F311" s="1485"/>
      <c r="G311" s="1485"/>
      <c r="H311" s="1485"/>
      <c r="I311" s="1485"/>
    </row>
    <row r="312" spans="1:9" x14ac:dyDescent="0.3">
      <c r="A312" s="1410"/>
      <c r="B312" s="1410"/>
      <c r="C312" s="1410"/>
      <c r="D312" s="1485"/>
      <c r="E312" s="1485"/>
      <c r="F312" s="1485"/>
      <c r="G312" s="1485"/>
      <c r="H312" s="1485"/>
      <c r="I312" s="1485"/>
    </row>
    <row r="313" spans="1:9" x14ac:dyDescent="0.3">
      <c r="A313" s="1410"/>
      <c r="B313" s="1410"/>
      <c r="C313" s="1410"/>
      <c r="D313" s="1485"/>
      <c r="E313" s="1485"/>
      <c r="F313" s="1485"/>
      <c r="G313" s="1485"/>
      <c r="H313" s="1485"/>
      <c r="I313" s="1485"/>
    </row>
    <row r="314" spans="1:9" x14ac:dyDescent="0.3">
      <c r="A314" s="1410"/>
      <c r="B314" s="1410"/>
      <c r="C314" s="1410"/>
      <c r="D314" s="1485"/>
      <c r="E314" s="1485"/>
      <c r="F314" s="1485"/>
      <c r="G314" s="1485"/>
      <c r="H314" s="1485"/>
      <c r="I314" s="1485"/>
    </row>
    <row r="315" spans="1:9" x14ac:dyDescent="0.3">
      <c r="A315" s="1410"/>
      <c r="B315" s="1410"/>
      <c r="C315" s="1410"/>
      <c r="D315" s="1485"/>
      <c r="E315" s="1485"/>
      <c r="F315" s="1485"/>
      <c r="G315" s="1485"/>
      <c r="H315" s="1485"/>
      <c r="I315" s="1485"/>
    </row>
    <row r="316" spans="1:9" x14ac:dyDescent="0.3">
      <c r="A316" s="1410"/>
      <c r="B316" s="1410"/>
      <c r="C316" s="1410"/>
      <c r="D316" s="1485"/>
      <c r="E316" s="1485"/>
      <c r="F316" s="1485"/>
      <c r="G316" s="1485"/>
      <c r="H316" s="1485"/>
      <c r="I316" s="1485"/>
    </row>
    <row r="317" spans="1:9" x14ac:dyDescent="0.3">
      <c r="A317" s="1410"/>
      <c r="B317" s="1410"/>
      <c r="C317" s="1410"/>
      <c r="D317" s="1485"/>
      <c r="E317" s="1485"/>
      <c r="F317" s="1485"/>
      <c r="G317" s="1485"/>
      <c r="H317" s="1485"/>
      <c r="I317" s="1485"/>
    </row>
    <row r="318" spans="1:9" x14ac:dyDescent="0.3">
      <c r="A318" s="1410"/>
      <c r="B318" s="1410"/>
      <c r="C318" s="1410"/>
      <c r="D318" s="1485"/>
      <c r="E318" s="1485"/>
      <c r="F318" s="1485"/>
      <c r="G318" s="1485"/>
      <c r="H318" s="1485"/>
      <c r="I318" s="1485"/>
    </row>
    <row r="319" spans="1:9" x14ac:dyDescent="0.3">
      <c r="A319" s="1410"/>
      <c r="B319" s="1410"/>
      <c r="C319" s="1410"/>
      <c r="D319" s="1485"/>
      <c r="E319" s="1485"/>
      <c r="F319" s="1485"/>
      <c r="G319" s="1485"/>
      <c r="H319" s="1485"/>
      <c r="I319" s="1485"/>
    </row>
    <row r="320" spans="1:9" x14ac:dyDescent="0.3">
      <c r="A320" s="1410"/>
      <c r="B320" s="1410"/>
      <c r="C320" s="1410"/>
      <c r="D320" s="1485"/>
      <c r="E320" s="1485"/>
      <c r="F320" s="1485"/>
      <c r="G320" s="1485"/>
      <c r="H320" s="1485"/>
      <c r="I320" s="1485"/>
    </row>
    <row r="321" spans="1:9" x14ac:dyDescent="0.3">
      <c r="A321" s="1410"/>
      <c r="B321" s="1410"/>
      <c r="C321" s="1410"/>
      <c r="D321" s="1485"/>
      <c r="E321" s="1485"/>
      <c r="F321" s="1485"/>
      <c r="G321" s="1485"/>
      <c r="H321" s="1485"/>
      <c r="I321" s="1485"/>
    </row>
    <row r="322" spans="1:9" x14ac:dyDescent="0.3">
      <c r="A322" s="1410"/>
      <c r="B322" s="1410"/>
      <c r="C322" s="1410"/>
      <c r="D322" s="1485"/>
      <c r="E322" s="1485"/>
      <c r="F322" s="1485"/>
      <c r="G322" s="1485"/>
      <c r="H322" s="1485"/>
      <c r="I322" s="1485"/>
    </row>
    <row r="323" spans="1:9" x14ac:dyDescent="0.3">
      <c r="A323" s="1410"/>
      <c r="B323" s="1410"/>
      <c r="C323" s="1410"/>
      <c r="D323" s="1485"/>
      <c r="E323" s="1485"/>
      <c r="F323" s="1485"/>
      <c r="G323" s="1485"/>
      <c r="H323" s="1485"/>
      <c r="I323" s="1485"/>
    </row>
    <row r="324" spans="1:9" x14ac:dyDescent="0.3">
      <c r="A324" s="1410"/>
      <c r="B324" s="1410"/>
      <c r="C324" s="1410"/>
      <c r="D324" s="1485"/>
      <c r="E324" s="1485"/>
      <c r="F324" s="1485"/>
      <c r="G324" s="1485"/>
      <c r="H324" s="1485"/>
      <c r="I324" s="1485"/>
    </row>
    <row r="325" spans="1:9" x14ac:dyDescent="0.3">
      <c r="A325" s="1410"/>
      <c r="B325" s="1410"/>
      <c r="C325" s="1410"/>
      <c r="D325" s="1485"/>
      <c r="E325" s="1485"/>
      <c r="F325" s="1485"/>
      <c r="G325" s="1485"/>
      <c r="H325" s="1485"/>
      <c r="I325" s="1485"/>
    </row>
    <row r="326" spans="1:9" x14ac:dyDescent="0.3">
      <c r="A326" s="1410"/>
      <c r="B326" s="1410"/>
      <c r="C326" s="1410"/>
      <c r="D326" s="1485"/>
      <c r="E326" s="1485"/>
      <c r="F326" s="1485"/>
      <c r="G326" s="1485"/>
      <c r="H326" s="1485"/>
      <c r="I326" s="1485"/>
    </row>
    <row r="327" spans="1:9" x14ac:dyDescent="0.3">
      <c r="A327" s="1410"/>
      <c r="B327" s="1410"/>
      <c r="C327" s="1410"/>
      <c r="D327" s="1485"/>
      <c r="E327" s="1485"/>
      <c r="F327" s="1485"/>
      <c r="G327" s="1485"/>
      <c r="H327" s="1485"/>
      <c r="I327" s="1485"/>
    </row>
    <row r="328" spans="1:9" x14ac:dyDescent="0.3">
      <c r="A328" s="1410"/>
      <c r="B328" s="1410"/>
      <c r="C328" s="1410"/>
      <c r="D328" s="1485"/>
      <c r="E328" s="1485"/>
      <c r="F328" s="1485"/>
      <c r="G328" s="1485"/>
      <c r="H328" s="1485"/>
      <c r="I328" s="1485"/>
    </row>
    <row r="329" spans="1:9" x14ac:dyDescent="0.3">
      <c r="A329" s="1410"/>
      <c r="B329" s="1410"/>
      <c r="C329" s="1410"/>
      <c r="D329" s="1485"/>
      <c r="E329" s="1485"/>
      <c r="F329" s="1485"/>
      <c r="G329" s="1485"/>
      <c r="H329" s="1485"/>
      <c r="I329" s="1485"/>
    </row>
    <row r="330" spans="1:9" x14ac:dyDescent="0.3">
      <c r="A330" s="1410"/>
      <c r="B330" s="1410"/>
      <c r="C330" s="1410"/>
      <c r="D330" s="1485"/>
      <c r="E330" s="1485"/>
      <c r="F330" s="1485"/>
      <c r="G330" s="1485"/>
      <c r="H330" s="1485"/>
      <c r="I330" s="1485"/>
    </row>
    <row r="331" spans="1:9" x14ac:dyDescent="0.3">
      <c r="A331" s="1410"/>
      <c r="B331" s="1410"/>
      <c r="C331" s="1410"/>
      <c r="D331" s="1485"/>
      <c r="E331" s="1485"/>
      <c r="F331" s="1485"/>
      <c r="G331" s="1485"/>
      <c r="H331" s="1485"/>
      <c r="I331" s="1485"/>
    </row>
    <row r="332" spans="1:9" x14ac:dyDescent="0.3">
      <c r="A332" s="1410"/>
      <c r="B332" s="1410"/>
      <c r="C332" s="1410"/>
      <c r="D332" s="1485"/>
      <c r="E332" s="1485"/>
      <c r="F332" s="1485"/>
      <c r="G332" s="1485"/>
      <c r="H332" s="1485"/>
      <c r="I332" s="1485"/>
    </row>
    <row r="333" spans="1:9" x14ac:dyDescent="0.3">
      <c r="A333" s="1410"/>
      <c r="B333" s="1410"/>
      <c r="C333" s="1410"/>
      <c r="D333" s="1485"/>
      <c r="E333" s="1485"/>
      <c r="F333" s="1485"/>
      <c r="G333" s="1485"/>
      <c r="H333" s="1485"/>
      <c r="I333" s="1485"/>
    </row>
    <row r="334" spans="1:9" x14ac:dyDescent="0.3">
      <c r="A334" s="1410"/>
      <c r="B334" s="1410"/>
      <c r="C334" s="1410"/>
      <c r="D334" s="1485"/>
      <c r="E334" s="1485"/>
      <c r="F334" s="1485"/>
      <c r="G334" s="1485"/>
      <c r="H334" s="1485"/>
      <c r="I334" s="1485"/>
    </row>
    <row r="335" spans="1:9" x14ac:dyDescent="0.3">
      <c r="A335" s="1410"/>
      <c r="B335" s="1410"/>
      <c r="C335" s="1410"/>
      <c r="D335" s="1485"/>
      <c r="E335" s="1485"/>
      <c r="F335" s="1485"/>
      <c r="G335" s="1485"/>
      <c r="H335" s="1485"/>
      <c r="I335" s="1485"/>
    </row>
    <row r="336" spans="1:9" x14ac:dyDescent="0.3">
      <c r="A336" s="1410"/>
      <c r="B336" s="1410"/>
      <c r="C336" s="1410"/>
      <c r="D336" s="1485"/>
      <c r="E336" s="1485"/>
      <c r="F336" s="1485"/>
      <c r="G336" s="1485"/>
      <c r="H336" s="1485"/>
      <c r="I336" s="1485"/>
    </row>
    <row r="337" spans="1:9" x14ac:dyDescent="0.3">
      <c r="A337" s="1410"/>
      <c r="B337" s="1410"/>
      <c r="C337" s="1410"/>
      <c r="D337" s="1485"/>
      <c r="E337" s="1485"/>
      <c r="F337" s="1485"/>
      <c r="G337" s="1485"/>
      <c r="H337" s="1485"/>
      <c r="I337" s="1485"/>
    </row>
    <row r="338" spans="1:9" x14ac:dyDescent="0.3">
      <c r="A338" s="1410"/>
      <c r="B338" s="1410"/>
      <c r="C338" s="1410"/>
      <c r="D338" s="1485"/>
      <c r="E338" s="1485"/>
      <c r="F338" s="1485"/>
      <c r="G338" s="1485"/>
      <c r="H338" s="1485"/>
      <c r="I338" s="1485"/>
    </row>
    <row r="339" spans="1:9" x14ac:dyDescent="0.3">
      <c r="A339" s="1410"/>
      <c r="B339" s="1410"/>
      <c r="C339" s="1410"/>
      <c r="D339" s="1485"/>
      <c r="E339" s="1485"/>
      <c r="F339" s="1485"/>
      <c r="G339" s="1485"/>
      <c r="H339" s="1485"/>
      <c r="I339" s="1485"/>
    </row>
    <row r="340" spans="1:9" x14ac:dyDescent="0.3">
      <c r="A340" s="1410"/>
      <c r="B340" s="1410"/>
      <c r="C340" s="1410"/>
      <c r="D340" s="1485"/>
      <c r="E340" s="1485"/>
      <c r="F340" s="1485"/>
      <c r="G340" s="1485"/>
      <c r="H340" s="1485"/>
      <c r="I340" s="1485"/>
    </row>
    <row r="341" spans="1:9" x14ac:dyDescent="0.3">
      <c r="A341" s="1410"/>
      <c r="B341" s="1410"/>
      <c r="C341" s="1410"/>
      <c r="D341" s="1485"/>
      <c r="E341" s="1485"/>
      <c r="F341" s="1485"/>
      <c r="G341" s="1485"/>
      <c r="H341" s="1485"/>
      <c r="I341" s="1485"/>
    </row>
    <row r="342" spans="1:9" x14ac:dyDescent="0.3">
      <c r="A342" s="1410"/>
      <c r="B342" s="1410"/>
      <c r="C342" s="1410"/>
      <c r="D342" s="1485"/>
      <c r="E342" s="1485"/>
      <c r="F342" s="1485"/>
      <c r="G342" s="1485"/>
      <c r="H342" s="1485"/>
      <c r="I342" s="1485"/>
    </row>
    <row r="343" spans="1:9" x14ac:dyDescent="0.3">
      <c r="A343" s="1410"/>
      <c r="B343" s="1410"/>
      <c r="C343" s="1410"/>
      <c r="D343" s="1485"/>
      <c r="E343" s="1485"/>
      <c r="F343" s="1485"/>
      <c r="G343" s="1485"/>
      <c r="H343" s="1485"/>
      <c r="I343" s="1485"/>
    </row>
    <row r="344" spans="1:9" x14ac:dyDescent="0.3">
      <c r="A344" s="1410"/>
      <c r="B344" s="1410"/>
      <c r="C344" s="1410"/>
      <c r="D344" s="1485"/>
      <c r="E344" s="1485"/>
      <c r="F344" s="1485"/>
      <c r="G344" s="1485"/>
      <c r="H344" s="1485"/>
      <c r="I344" s="1485"/>
    </row>
    <row r="345" spans="1:9" x14ac:dyDescent="0.3">
      <c r="A345" s="1410"/>
      <c r="B345" s="1410"/>
      <c r="C345" s="1410"/>
      <c r="D345" s="1485"/>
      <c r="E345" s="1485"/>
      <c r="F345" s="1485"/>
      <c r="G345" s="1485"/>
      <c r="H345" s="1485"/>
      <c r="I345" s="1485"/>
    </row>
    <row r="346" spans="1:9" x14ac:dyDescent="0.3">
      <c r="A346" s="1410"/>
      <c r="B346" s="1410"/>
      <c r="C346" s="1410"/>
      <c r="D346" s="1485"/>
      <c r="E346" s="1485"/>
      <c r="F346" s="1485"/>
      <c r="G346" s="1485"/>
      <c r="H346" s="1485"/>
      <c r="I346" s="1485"/>
    </row>
    <row r="347" spans="1:9" x14ac:dyDescent="0.3">
      <c r="A347" s="1410"/>
      <c r="B347" s="1410"/>
      <c r="C347" s="1410"/>
      <c r="D347" s="1485"/>
      <c r="E347" s="1485"/>
      <c r="F347" s="1485"/>
      <c r="G347" s="1485"/>
      <c r="H347" s="1485"/>
      <c r="I347" s="1485"/>
    </row>
    <row r="348" spans="1:9" x14ac:dyDescent="0.3">
      <c r="A348" s="1410"/>
      <c r="B348" s="1410"/>
      <c r="C348" s="1410"/>
      <c r="D348" s="1485"/>
      <c r="E348" s="1485"/>
      <c r="F348" s="1485"/>
      <c r="G348" s="1485"/>
      <c r="H348" s="1485"/>
      <c r="I348" s="1485"/>
    </row>
    <row r="349" spans="1:9" x14ac:dyDescent="0.3">
      <c r="A349" s="1410"/>
      <c r="B349" s="1410"/>
      <c r="C349" s="1410"/>
      <c r="D349" s="1485"/>
      <c r="E349" s="1485"/>
      <c r="F349" s="1485"/>
      <c r="G349" s="1485"/>
      <c r="H349" s="1485"/>
      <c r="I349" s="1485"/>
    </row>
    <row r="350" spans="1:9" x14ac:dyDescent="0.3">
      <c r="A350" s="1410"/>
      <c r="B350" s="1410"/>
      <c r="C350" s="1410"/>
      <c r="D350" s="1485"/>
      <c r="E350" s="1485"/>
      <c r="F350" s="1485"/>
      <c r="G350" s="1485"/>
      <c r="H350" s="1485"/>
      <c r="I350" s="1485"/>
    </row>
    <row r="351" spans="1:9" x14ac:dyDescent="0.3">
      <c r="A351" s="1410"/>
      <c r="B351" s="1410"/>
      <c r="C351" s="1410"/>
      <c r="D351" s="1485"/>
      <c r="E351" s="1485"/>
      <c r="F351" s="1485"/>
      <c r="G351" s="1485"/>
      <c r="H351" s="1485"/>
      <c r="I351" s="1485"/>
    </row>
    <row r="352" spans="1:9" x14ac:dyDescent="0.3">
      <c r="A352" s="1410"/>
      <c r="B352" s="1410"/>
      <c r="C352" s="1410"/>
      <c r="D352" s="1485"/>
      <c r="E352" s="1485"/>
      <c r="F352" s="1485"/>
      <c r="G352" s="1485"/>
      <c r="H352" s="1485"/>
      <c r="I352" s="1485"/>
    </row>
    <row r="353" spans="1:9" x14ac:dyDescent="0.3">
      <c r="A353" s="1410"/>
      <c r="B353" s="1410"/>
      <c r="C353" s="1410"/>
      <c r="D353" s="1485"/>
      <c r="E353" s="1485"/>
      <c r="F353" s="1485"/>
      <c r="G353" s="1485"/>
      <c r="H353" s="1485"/>
      <c r="I353" s="1485"/>
    </row>
    <row r="354" spans="1:9" x14ac:dyDescent="0.3">
      <c r="A354" s="1410"/>
      <c r="B354" s="1410"/>
      <c r="C354" s="1410"/>
      <c r="D354" s="1485"/>
      <c r="E354" s="1485"/>
      <c r="F354" s="1485"/>
      <c r="G354" s="1485"/>
      <c r="H354" s="1485"/>
      <c r="I354" s="1485"/>
    </row>
    <row r="355" spans="1:9" x14ac:dyDescent="0.3">
      <c r="A355" s="1410"/>
      <c r="B355" s="1410"/>
      <c r="C355" s="1410"/>
      <c r="D355" s="1485"/>
      <c r="E355" s="1485"/>
      <c r="F355" s="1485"/>
      <c r="G355" s="1485"/>
      <c r="H355" s="1485"/>
      <c r="I355" s="1485"/>
    </row>
    <row r="356" spans="1:9" x14ac:dyDescent="0.3">
      <c r="A356" s="1410"/>
      <c r="B356" s="1410"/>
      <c r="C356" s="1410"/>
      <c r="D356" s="1485"/>
      <c r="E356" s="1485"/>
      <c r="F356" s="1485"/>
      <c r="G356" s="1485"/>
      <c r="H356" s="1485"/>
      <c r="I356" s="1485"/>
    </row>
    <row r="357" spans="1:9" x14ac:dyDescent="0.3">
      <c r="A357" s="1410"/>
      <c r="B357" s="1410"/>
      <c r="C357" s="1410"/>
      <c r="D357" s="1485"/>
      <c r="E357" s="1485"/>
      <c r="F357" s="1485"/>
      <c r="G357" s="1485"/>
      <c r="H357" s="1485"/>
      <c r="I357" s="1485"/>
    </row>
    <row r="358" spans="1:9" x14ac:dyDescent="0.3">
      <c r="A358" s="1410"/>
      <c r="B358" s="1410"/>
      <c r="C358" s="1410"/>
      <c r="D358" s="1485"/>
      <c r="E358" s="1485"/>
      <c r="F358" s="1485"/>
      <c r="G358" s="1485"/>
      <c r="H358" s="1485"/>
      <c r="I358" s="1485"/>
    </row>
    <row r="359" spans="1:9" x14ac:dyDescent="0.3">
      <c r="A359" s="1410"/>
      <c r="B359" s="1410"/>
      <c r="C359" s="1410"/>
      <c r="D359" s="1485"/>
      <c r="E359" s="1485"/>
      <c r="F359" s="1485"/>
      <c r="G359" s="1485"/>
      <c r="H359" s="1485"/>
      <c r="I359" s="1485"/>
    </row>
    <row r="360" spans="1:9" x14ac:dyDescent="0.3">
      <c r="A360" s="1410"/>
      <c r="B360" s="1410"/>
      <c r="C360" s="1410"/>
      <c r="D360" s="1485"/>
      <c r="E360" s="1485"/>
      <c r="F360" s="1485"/>
      <c r="G360" s="1485"/>
      <c r="H360" s="1485"/>
      <c r="I360" s="1485"/>
    </row>
    <row r="361" spans="1:9" x14ac:dyDescent="0.3">
      <c r="A361" s="1410"/>
      <c r="B361" s="1410"/>
      <c r="C361" s="1410"/>
      <c r="D361" s="1485"/>
      <c r="E361" s="1485"/>
      <c r="F361" s="1485"/>
      <c r="G361" s="1485"/>
      <c r="H361" s="1485"/>
      <c r="I361" s="1485"/>
    </row>
    <row r="362" spans="1:9" x14ac:dyDescent="0.3">
      <c r="A362" s="1410"/>
      <c r="B362" s="1410"/>
      <c r="C362" s="1410"/>
      <c r="D362" s="1485"/>
      <c r="E362" s="1485"/>
      <c r="F362" s="1485"/>
      <c r="G362" s="1485"/>
      <c r="H362" s="1485"/>
      <c r="I362" s="1485"/>
    </row>
    <row r="363" spans="1:9" x14ac:dyDescent="0.3">
      <c r="A363" s="1410"/>
      <c r="B363" s="1410"/>
      <c r="C363" s="1410"/>
      <c r="D363" s="1485"/>
      <c r="E363" s="1485"/>
      <c r="F363" s="1485"/>
      <c r="G363" s="1485"/>
      <c r="H363" s="1485"/>
      <c r="I363" s="1485"/>
    </row>
    <row r="364" spans="1:9" x14ac:dyDescent="0.3">
      <c r="A364" s="1410"/>
      <c r="B364" s="1410"/>
      <c r="C364" s="1410"/>
      <c r="D364" s="1485"/>
      <c r="E364" s="1485"/>
      <c r="F364" s="1485"/>
      <c r="G364" s="1485"/>
      <c r="H364" s="1485"/>
      <c r="I364" s="1485"/>
    </row>
    <row r="365" spans="1:9" x14ac:dyDescent="0.3">
      <c r="A365" s="1410"/>
      <c r="B365" s="1410"/>
      <c r="C365" s="1410"/>
      <c r="D365" s="1485"/>
      <c r="E365" s="1485"/>
      <c r="F365" s="1485"/>
      <c r="G365" s="1485"/>
      <c r="H365" s="1485"/>
      <c r="I365" s="1485"/>
    </row>
    <row r="366" spans="1:9" x14ac:dyDescent="0.3">
      <c r="A366" s="1410"/>
      <c r="B366" s="1410"/>
      <c r="C366" s="1410"/>
      <c r="D366" s="1485"/>
      <c r="E366" s="1485"/>
      <c r="F366" s="1485"/>
      <c r="G366" s="1485"/>
      <c r="H366" s="1485"/>
      <c r="I366" s="1485"/>
    </row>
    <row r="367" spans="1:9" x14ac:dyDescent="0.3">
      <c r="A367" s="1410"/>
      <c r="B367" s="1410"/>
      <c r="C367" s="1410"/>
      <c r="D367" s="1485"/>
      <c r="E367" s="1485"/>
      <c r="F367" s="1485"/>
      <c r="G367" s="1485"/>
      <c r="H367" s="1485"/>
      <c r="I367" s="1485"/>
    </row>
    <row r="368" spans="1:9" x14ac:dyDescent="0.3">
      <c r="A368" s="1410"/>
      <c r="B368" s="1410"/>
      <c r="C368" s="1410"/>
      <c r="D368" s="1485"/>
      <c r="E368" s="1485"/>
      <c r="F368" s="1485"/>
      <c r="G368" s="1485"/>
      <c r="H368" s="1485"/>
      <c r="I368" s="1485"/>
    </row>
    <row r="369" spans="1:9" x14ac:dyDescent="0.3">
      <c r="A369" s="1410"/>
      <c r="B369" s="1410"/>
      <c r="C369" s="1410"/>
      <c r="D369" s="1485"/>
      <c r="E369" s="1485"/>
      <c r="F369" s="1485"/>
      <c r="G369" s="1485"/>
      <c r="H369" s="1485"/>
      <c r="I369" s="1485"/>
    </row>
    <row r="370" spans="1:9" x14ac:dyDescent="0.3">
      <c r="A370" s="1410"/>
      <c r="B370" s="1410"/>
      <c r="C370" s="1410"/>
      <c r="D370" s="1485"/>
      <c r="E370" s="1485"/>
      <c r="F370" s="1485"/>
      <c r="G370" s="1485"/>
      <c r="H370" s="1485"/>
      <c r="I370" s="1485"/>
    </row>
    <row r="371" spans="1:9" x14ac:dyDescent="0.3">
      <c r="A371" s="1410"/>
      <c r="B371" s="1410"/>
      <c r="C371" s="1410"/>
      <c r="D371" s="1485"/>
      <c r="E371" s="1485"/>
      <c r="F371" s="1485"/>
      <c r="G371" s="1485"/>
      <c r="H371" s="1485"/>
      <c r="I371" s="1485"/>
    </row>
    <row r="372" spans="1:9" x14ac:dyDescent="0.3">
      <c r="A372" s="1410"/>
      <c r="B372" s="1410"/>
      <c r="C372" s="1410"/>
      <c r="D372" s="1485"/>
      <c r="E372" s="1485"/>
      <c r="F372" s="1485"/>
      <c r="G372" s="1485"/>
      <c r="H372" s="1485"/>
      <c r="I372" s="1485"/>
    </row>
    <row r="373" spans="1:9" x14ac:dyDescent="0.3">
      <c r="A373" s="1410"/>
      <c r="B373" s="1410"/>
      <c r="C373" s="1410"/>
      <c r="D373" s="1485"/>
      <c r="E373" s="1485"/>
      <c r="F373" s="1485"/>
      <c r="G373" s="1485"/>
      <c r="H373" s="1485"/>
      <c r="I373" s="1485"/>
    </row>
    <row r="374" spans="1:9" x14ac:dyDescent="0.3">
      <c r="A374" s="1410"/>
      <c r="B374" s="1410"/>
      <c r="C374" s="1410"/>
      <c r="D374" s="1485"/>
      <c r="E374" s="1485"/>
      <c r="F374" s="1485"/>
      <c r="G374" s="1485"/>
      <c r="H374" s="1485"/>
      <c r="I374" s="1485"/>
    </row>
    <row r="375" spans="1:9" x14ac:dyDescent="0.3">
      <c r="A375" s="1410"/>
      <c r="B375" s="1410"/>
      <c r="C375" s="1410"/>
      <c r="D375" s="1485"/>
      <c r="E375" s="1485"/>
      <c r="F375" s="1485"/>
      <c r="G375" s="1485"/>
      <c r="H375" s="1485"/>
      <c r="I375" s="1485"/>
    </row>
    <row r="376" spans="1:9" x14ac:dyDescent="0.3">
      <c r="A376" s="1410"/>
      <c r="B376" s="1410"/>
      <c r="C376" s="1410"/>
      <c r="D376" s="1485"/>
      <c r="E376" s="1485"/>
      <c r="F376" s="1485"/>
      <c r="G376" s="1485"/>
      <c r="H376" s="1485"/>
      <c r="I376" s="1485"/>
    </row>
    <row r="377" spans="1:9" x14ac:dyDescent="0.3">
      <c r="A377" s="1410"/>
      <c r="B377" s="1410"/>
      <c r="C377" s="1410"/>
      <c r="D377" s="1485"/>
      <c r="E377" s="1485"/>
      <c r="F377" s="1485"/>
      <c r="G377" s="1485"/>
      <c r="H377" s="1485"/>
      <c r="I377" s="1485"/>
    </row>
    <row r="378" spans="1:9" x14ac:dyDescent="0.3">
      <c r="A378" s="1410"/>
      <c r="B378" s="1410"/>
      <c r="C378" s="1410"/>
      <c r="D378" s="1485"/>
      <c r="E378" s="1485"/>
      <c r="F378" s="1485"/>
      <c r="G378" s="1485"/>
      <c r="H378" s="1485"/>
      <c r="I378" s="1485"/>
    </row>
    <row r="379" spans="1:9" x14ac:dyDescent="0.3">
      <c r="A379" s="1410"/>
      <c r="B379" s="1410"/>
      <c r="C379" s="1410"/>
      <c r="D379" s="1485"/>
      <c r="E379" s="1485"/>
      <c r="F379" s="1485"/>
      <c r="G379" s="1485"/>
      <c r="H379" s="1485"/>
      <c r="I379" s="1485"/>
    </row>
    <row r="380" spans="1:9" x14ac:dyDescent="0.3">
      <c r="A380" s="1410"/>
      <c r="B380" s="1410"/>
      <c r="C380" s="1410"/>
      <c r="D380" s="1485"/>
      <c r="E380" s="1485"/>
      <c r="F380" s="1485"/>
      <c r="G380" s="1485"/>
      <c r="H380" s="1485"/>
      <c r="I380" s="1485"/>
    </row>
    <row r="381" spans="1:9" x14ac:dyDescent="0.3">
      <c r="A381" s="1410"/>
      <c r="B381" s="1410"/>
      <c r="C381" s="1410"/>
      <c r="D381" s="1485"/>
      <c r="E381" s="1485"/>
      <c r="F381" s="1485"/>
      <c r="G381" s="1485"/>
      <c r="H381" s="1485"/>
      <c r="I381" s="1485"/>
    </row>
    <row r="382" spans="1:9" x14ac:dyDescent="0.3">
      <c r="A382" s="1410"/>
      <c r="B382" s="1410"/>
      <c r="C382" s="1410"/>
      <c r="D382" s="1485"/>
      <c r="E382" s="1485"/>
      <c r="F382" s="1485"/>
      <c r="G382" s="1485"/>
      <c r="H382" s="1485"/>
      <c r="I382" s="1485"/>
    </row>
    <row r="383" spans="1:9" x14ac:dyDescent="0.3">
      <c r="A383" s="1410"/>
      <c r="B383" s="1410"/>
      <c r="C383" s="1410"/>
      <c r="D383" s="1485"/>
      <c r="E383" s="1485"/>
      <c r="F383" s="1485"/>
      <c r="G383" s="1485"/>
      <c r="H383" s="1485"/>
      <c r="I383" s="1485"/>
    </row>
    <row r="384" spans="1:9" x14ac:dyDescent="0.3">
      <c r="A384" s="1410"/>
      <c r="B384" s="1410"/>
      <c r="C384" s="1410"/>
      <c r="D384" s="1485"/>
      <c r="E384" s="1485"/>
      <c r="F384" s="1485"/>
      <c r="G384" s="1485"/>
      <c r="H384" s="1485"/>
      <c r="I384" s="1485"/>
    </row>
    <row r="385" spans="1:9" x14ac:dyDescent="0.3">
      <c r="A385" s="1410"/>
      <c r="B385" s="1410"/>
      <c r="C385" s="1410"/>
      <c r="D385" s="1485"/>
      <c r="E385" s="1485"/>
      <c r="F385" s="1485"/>
      <c r="G385" s="1485"/>
      <c r="H385" s="1485"/>
      <c r="I385" s="1485"/>
    </row>
    <row r="386" spans="1:9" x14ac:dyDescent="0.3">
      <c r="A386" s="1410"/>
      <c r="B386" s="1410"/>
      <c r="C386" s="1410"/>
      <c r="D386" s="1485"/>
      <c r="E386" s="1485"/>
      <c r="F386" s="1485"/>
      <c r="G386" s="1485"/>
      <c r="H386" s="1485"/>
      <c r="I386" s="1485"/>
    </row>
    <row r="387" spans="1:9" x14ac:dyDescent="0.3">
      <c r="A387" s="1410"/>
      <c r="B387" s="1410"/>
      <c r="C387" s="1410"/>
      <c r="D387" s="1485"/>
      <c r="E387" s="1485"/>
      <c r="F387" s="1485"/>
      <c r="G387" s="1485"/>
      <c r="H387" s="1485"/>
      <c r="I387" s="1485"/>
    </row>
    <row r="388" spans="1:9" x14ac:dyDescent="0.3">
      <c r="A388" s="1410"/>
      <c r="B388" s="1410"/>
      <c r="C388" s="1410"/>
      <c r="D388" s="1485"/>
      <c r="E388" s="1485"/>
      <c r="F388" s="1485"/>
      <c r="G388" s="1485"/>
      <c r="H388" s="1485"/>
      <c r="I388" s="1485"/>
    </row>
    <row r="389" spans="1:9" x14ac:dyDescent="0.3">
      <c r="A389" s="1410"/>
      <c r="B389" s="1410"/>
      <c r="C389" s="1410"/>
      <c r="D389" s="1485"/>
      <c r="E389" s="1485"/>
      <c r="F389" s="1485"/>
      <c r="G389" s="1485"/>
      <c r="H389" s="1485"/>
      <c r="I389" s="1485"/>
    </row>
    <row r="390" spans="1:9" x14ac:dyDescent="0.3">
      <c r="A390" s="1410"/>
      <c r="B390" s="1410"/>
      <c r="C390" s="1410"/>
      <c r="D390" s="1485"/>
      <c r="E390" s="1485"/>
      <c r="F390" s="1485"/>
      <c r="G390" s="1485"/>
      <c r="H390" s="1485"/>
      <c r="I390" s="1485"/>
    </row>
    <row r="391" spans="1:9" x14ac:dyDescent="0.3">
      <c r="A391" s="1410"/>
      <c r="B391" s="1410"/>
      <c r="C391" s="1410"/>
      <c r="D391" s="1485"/>
      <c r="E391" s="1485"/>
      <c r="F391" s="1485"/>
      <c r="G391" s="1485"/>
      <c r="H391" s="1485"/>
      <c r="I391" s="1485"/>
    </row>
    <row r="392" spans="1:9" x14ac:dyDescent="0.3">
      <c r="A392" s="1410"/>
      <c r="B392" s="1410"/>
      <c r="C392" s="1410"/>
      <c r="D392" s="1485"/>
      <c r="E392" s="1485"/>
      <c r="F392" s="1485"/>
      <c r="G392" s="1485"/>
      <c r="H392" s="1485"/>
      <c r="I392" s="1485"/>
    </row>
    <row r="393" spans="1:9" x14ac:dyDescent="0.3">
      <c r="A393" s="1410"/>
      <c r="B393" s="1410"/>
      <c r="C393" s="1410"/>
      <c r="D393" s="1485"/>
      <c r="E393" s="1485"/>
      <c r="F393" s="1485"/>
      <c r="G393" s="1485"/>
      <c r="H393" s="1485"/>
      <c r="I393" s="1485"/>
    </row>
    <row r="394" spans="1:9" x14ac:dyDescent="0.3">
      <c r="A394" s="1410"/>
      <c r="B394" s="1410"/>
      <c r="C394" s="1410"/>
      <c r="D394" s="1485"/>
      <c r="E394" s="1485"/>
      <c r="F394" s="1485"/>
      <c r="G394" s="1485"/>
      <c r="H394" s="1485"/>
      <c r="I394" s="1485"/>
    </row>
    <row r="395" spans="1:9" x14ac:dyDescent="0.3">
      <c r="A395" s="1410"/>
      <c r="B395" s="1410"/>
      <c r="C395" s="1410"/>
      <c r="D395" s="1485"/>
      <c r="E395" s="1485"/>
      <c r="F395" s="1485"/>
      <c r="G395" s="1485"/>
      <c r="H395" s="1485"/>
      <c r="I395" s="1485"/>
    </row>
    <row r="396" spans="1:9" x14ac:dyDescent="0.3">
      <c r="A396" s="1410"/>
      <c r="B396" s="1410"/>
      <c r="C396" s="1410"/>
      <c r="D396" s="1485"/>
      <c r="E396" s="1485"/>
      <c r="F396" s="1485"/>
      <c r="G396" s="1485"/>
      <c r="H396" s="1485"/>
      <c r="I396" s="1485"/>
    </row>
    <row r="397" spans="1:9" x14ac:dyDescent="0.3">
      <c r="A397" s="1410"/>
      <c r="B397" s="1410"/>
      <c r="C397" s="1410"/>
      <c r="D397" s="1485"/>
      <c r="E397" s="1485"/>
      <c r="F397" s="1485"/>
      <c r="G397" s="1485"/>
      <c r="H397" s="1485"/>
      <c r="I397" s="1485"/>
    </row>
    <row r="398" spans="1:9" x14ac:dyDescent="0.3">
      <c r="A398" s="1410"/>
      <c r="B398" s="1410"/>
      <c r="C398" s="1410"/>
      <c r="D398" s="1485"/>
      <c r="E398" s="1485"/>
      <c r="F398" s="1485"/>
      <c r="G398" s="1485"/>
      <c r="H398" s="1485"/>
      <c r="I398" s="1485"/>
    </row>
    <row r="399" spans="1:9" x14ac:dyDescent="0.3">
      <c r="A399" s="1410"/>
      <c r="B399" s="1410"/>
      <c r="C399" s="1410"/>
      <c r="D399" s="1485"/>
      <c r="E399" s="1485"/>
      <c r="F399" s="1485"/>
      <c r="G399" s="1485"/>
      <c r="H399" s="1485"/>
      <c r="I399" s="1485"/>
    </row>
    <row r="400" spans="1:9" x14ac:dyDescent="0.3">
      <c r="A400" s="1410"/>
      <c r="B400" s="1410"/>
      <c r="C400" s="1410"/>
      <c r="D400" s="1485"/>
      <c r="E400" s="1485"/>
      <c r="F400" s="1485"/>
      <c r="G400" s="1485"/>
      <c r="H400" s="1485"/>
      <c r="I400" s="1485"/>
    </row>
    <row r="401" spans="1:9" x14ac:dyDescent="0.3">
      <c r="A401" s="1410"/>
      <c r="B401" s="1410"/>
      <c r="C401" s="1410"/>
      <c r="D401" s="1485"/>
      <c r="E401" s="1485"/>
      <c r="F401" s="1485"/>
      <c r="G401" s="1485"/>
      <c r="H401" s="1485"/>
      <c r="I401" s="1485"/>
    </row>
    <row r="402" spans="1:9" x14ac:dyDescent="0.3">
      <c r="A402" s="1410"/>
      <c r="B402" s="1410"/>
      <c r="C402" s="1410"/>
      <c r="D402" s="1485"/>
      <c r="E402" s="1485"/>
      <c r="F402" s="1485"/>
      <c r="G402" s="1485"/>
      <c r="H402" s="1485"/>
      <c r="I402" s="1485"/>
    </row>
    <row r="403" spans="1:9" x14ac:dyDescent="0.3">
      <c r="A403" s="1410"/>
      <c r="B403" s="1410"/>
      <c r="C403" s="1410"/>
      <c r="D403" s="1485"/>
      <c r="E403" s="1485"/>
      <c r="F403" s="1485"/>
      <c r="G403" s="1485"/>
      <c r="H403" s="1485"/>
      <c r="I403" s="1485"/>
    </row>
    <row r="404" spans="1:9" x14ac:dyDescent="0.3">
      <c r="A404" s="1410"/>
      <c r="B404" s="1410"/>
      <c r="C404" s="1410"/>
      <c r="D404" s="1485"/>
      <c r="E404" s="1485"/>
      <c r="F404" s="1485"/>
      <c r="G404" s="1485"/>
      <c r="H404" s="1485"/>
      <c r="I404" s="1485"/>
    </row>
    <row r="405" spans="1:9" x14ac:dyDescent="0.3">
      <c r="A405" s="1410"/>
      <c r="B405" s="1410"/>
      <c r="C405" s="1410"/>
      <c r="D405" s="1485"/>
      <c r="E405" s="1485"/>
      <c r="F405" s="1485"/>
      <c r="G405" s="1485"/>
      <c r="H405" s="1485"/>
      <c r="I405" s="1485"/>
    </row>
    <row r="406" spans="1:9" x14ac:dyDescent="0.3">
      <c r="A406" s="1410"/>
      <c r="B406" s="1410"/>
      <c r="C406" s="1410"/>
      <c r="D406" s="1485"/>
      <c r="E406" s="1485"/>
      <c r="F406" s="1485"/>
      <c r="G406" s="1485"/>
      <c r="H406" s="1485"/>
      <c r="I406" s="1485"/>
    </row>
    <row r="407" spans="1:9" x14ac:dyDescent="0.3">
      <c r="A407" s="1410"/>
      <c r="B407" s="1410"/>
      <c r="C407" s="1410"/>
      <c r="D407" s="1485"/>
      <c r="E407" s="1485"/>
      <c r="F407" s="1485"/>
      <c r="G407" s="1485"/>
      <c r="H407" s="1485"/>
      <c r="I407" s="1485"/>
    </row>
    <row r="408" spans="1:9" x14ac:dyDescent="0.3">
      <c r="A408" s="1410"/>
      <c r="B408" s="1410"/>
      <c r="C408" s="1410"/>
      <c r="D408" s="1485"/>
      <c r="E408" s="1485"/>
      <c r="F408" s="1485"/>
      <c r="G408" s="1485"/>
      <c r="H408" s="1485"/>
      <c r="I408" s="1485"/>
    </row>
    <row r="409" spans="1:9" x14ac:dyDescent="0.3">
      <c r="A409" s="1410"/>
      <c r="B409" s="1410"/>
      <c r="C409" s="1410"/>
      <c r="D409" s="1485"/>
      <c r="E409" s="1485"/>
      <c r="F409" s="1485"/>
      <c r="G409" s="1485"/>
      <c r="H409" s="1485"/>
      <c r="I409" s="1485"/>
    </row>
    <row r="410" spans="1:9" x14ac:dyDescent="0.3">
      <c r="A410" s="1410"/>
      <c r="B410" s="1410"/>
      <c r="C410" s="1410"/>
      <c r="D410" s="1485"/>
      <c r="E410" s="1485"/>
      <c r="F410" s="1485"/>
      <c r="G410" s="1485"/>
      <c r="H410" s="1485"/>
      <c r="I410" s="1485"/>
    </row>
    <row r="411" spans="1:9" x14ac:dyDescent="0.3">
      <c r="A411" s="1410"/>
      <c r="B411" s="1410"/>
      <c r="C411" s="1410"/>
      <c r="D411" s="1485"/>
      <c r="E411" s="1485"/>
      <c r="F411" s="1485"/>
      <c r="G411" s="1485"/>
      <c r="H411" s="1485"/>
      <c r="I411" s="1485"/>
    </row>
    <row r="412" spans="1:9" x14ac:dyDescent="0.3">
      <c r="A412" s="1410"/>
      <c r="B412" s="1410"/>
      <c r="C412" s="1410"/>
      <c r="D412" s="1485"/>
      <c r="E412" s="1485"/>
      <c r="F412" s="1485"/>
      <c r="G412" s="1485"/>
      <c r="H412" s="1485"/>
      <c r="I412" s="1485"/>
    </row>
    <row r="413" spans="1:9" x14ac:dyDescent="0.3">
      <c r="A413" s="1410"/>
      <c r="B413" s="1410"/>
      <c r="C413" s="1410"/>
      <c r="D413" s="1485"/>
      <c r="E413" s="1485"/>
      <c r="F413" s="1485"/>
      <c r="G413" s="1485"/>
      <c r="H413" s="1485"/>
      <c r="I413" s="1485"/>
    </row>
    <row r="414" spans="1:9" x14ac:dyDescent="0.3">
      <c r="A414" s="1410"/>
      <c r="B414" s="1410"/>
      <c r="C414" s="1410"/>
      <c r="D414" s="1485"/>
      <c r="E414" s="1485"/>
      <c r="F414" s="1485"/>
      <c r="G414" s="1485"/>
      <c r="H414" s="1485"/>
      <c r="I414" s="1485"/>
    </row>
    <row r="415" spans="1:9" x14ac:dyDescent="0.3">
      <c r="A415" s="1410"/>
      <c r="B415" s="1410"/>
      <c r="C415" s="1410"/>
      <c r="D415" s="1485"/>
      <c r="E415" s="1485"/>
      <c r="F415" s="1485"/>
      <c r="G415" s="1485"/>
      <c r="H415" s="1485"/>
      <c r="I415" s="1485"/>
    </row>
    <row r="416" spans="1:9" x14ac:dyDescent="0.3">
      <c r="A416" s="1410"/>
      <c r="B416" s="1410"/>
      <c r="C416" s="1410"/>
      <c r="D416" s="1485"/>
      <c r="E416" s="1485"/>
      <c r="F416" s="1485"/>
      <c r="G416" s="1485"/>
      <c r="H416" s="1485"/>
      <c r="I416" s="1485"/>
    </row>
    <row r="417" spans="1:9" x14ac:dyDescent="0.3">
      <c r="A417" s="1410"/>
      <c r="B417" s="1410"/>
      <c r="C417" s="1410"/>
      <c r="D417" s="1485"/>
      <c r="E417" s="1485"/>
      <c r="F417" s="1485"/>
      <c r="G417" s="1485"/>
      <c r="H417" s="1485"/>
      <c r="I417" s="1485"/>
    </row>
    <row r="418" spans="1:9" x14ac:dyDescent="0.3">
      <c r="A418" s="1410"/>
      <c r="B418" s="1410"/>
      <c r="C418" s="1410"/>
      <c r="D418" s="1485"/>
      <c r="E418" s="1485"/>
      <c r="F418" s="1485"/>
      <c r="G418" s="1485"/>
      <c r="H418" s="1485"/>
      <c r="I418" s="1485"/>
    </row>
    <row r="419" spans="1:9" x14ac:dyDescent="0.3">
      <c r="A419" s="1410"/>
      <c r="B419" s="1410"/>
      <c r="C419" s="1410"/>
      <c r="D419" s="1485"/>
      <c r="E419" s="1485"/>
      <c r="F419" s="1485"/>
      <c r="G419" s="1485"/>
      <c r="H419" s="1485"/>
      <c r="I419" s="1485"/>
    </row>
    <row r="420" spans="1:9" x14ac:dyDescent="0.3">
      <c r="A420" s="1410"/>
      <c r="B420" s="1410"/>
      <c r="C420" s="1410"/>
      <c r="D420" s="1485"/>
      <c r="E420" s="1485"/>
      <c r="F420" s="1485"/>
      <c r="G420" s="1485"/>
      <c r="H420" s="1485"/>
      <c r="I420" s="1485"/>
    </row>
    <row r="421" spans="1:9" x14ac:dyDescent="0.3">
      <c r="A421" s="1410"/>
      <c r="B421" s="1410"/>
      <c r="C421" s="1410"/>
      <c r="D421" s="1485"/>
      <c r="E421" s="1485"/>
      <c r="F421" s="1485"/>
      <c r="G421" s="1485"/>
      <c r="H421" s="1485"/>
      <c r="I421" s="1485"/>
    </row>
    <row r="422" spans="1:9" x14ac:dyDescent="0.3">
      <c r="A422" s="1410"/>
      <c r="B422" s="1410"/>
      <c r="C422" s="1410"/>
      <c r="D422" s="1485"/>
      <c r="E422" s="1485"/>
      <c r="F422" s="1485"/>
      <c r="G422" s="1485"/>
      <c r="H422" s="1485"/>
      <c r="I422" s="1485"/>
    </row>
    <row r="423" spans="1:9" x14ac:dyDescent="0.3">
      <c r="A423" s="1410"/>
      <c r="B423" s="1410"/>
      <c r="C423" s="1410"/>
      <c r="D423" s="1485"/>
      <c r="E423" s="1485"/>
      <c r="F423" s="1485"/>
      <c r="G423" s="1485"/>
      <c r="H423" s="1485"/>
      <c r="I423" s="1485"/>
    </row>
    <row r="424" spans="1:9" x14ac:dyDescent="0.3">
      <c r="A424" s="1410"/>
      <c r="B424" s="1410"/>
      <c r="C424" s="1410"/>
      <c r="D424" s="1485"/>
      <c r="E424" s="1485"/>
      <c r="F424" s="1485"/>
      <c r="G424" s="1485"/>
      <c r="H424" s="1485"/>
      <c r="I424" s="1485"/>
    </row>
    <row r="425" spans="1:9" x14ac:dyDescent="0.3">
      <c r="A425" s="1410"/>
      <c r="B425" s="1410"/>
      <c r="C425" s="1410"/>
      <c r="D425" s="1485"/>
      <c r="E425" s="1485"/>
      <c r="F425" s="1485"/>
      <c r="G425" s="1485"/>
      <c r="H425" s="1485"/>
      <c r="I425" s="1485"/>
    </row>
    <row r="426" spans="1:9" x14ac:dyDescent="0.3">
      <c r="A426" s="1410"/>
      <c r="B426" s="1410"/>
      <c r="C426" s="1410"/>
      <c r="D426" s="1485"/>
      <c r="E426" s="1485"/>
      <c r="F426" s="1485"/>
      <c r="G426" s="1485"/>
      <c r="H426" s="1485"/>
      <c r="I426" s="1485"/>
    </row>
    <row r="427" spans="1:9" x14ac:dyDescent="0.3">
      <c r="A427" s="1410"/>
      <c r="B427" s="1410"/>
      <c r="C427" s="1410"/>
      <c r="D427" s="1485"/>
      <c r="E427" s="1485"/>
      <c r="F427" s="1485"/>
      <c r="G427" s="1485"/>
      <c r="H427" s="1485"/>
      <c r="I427" s="1485"/>
    </row>
    <row r="428" spans="1:9" x14ac:dyDescent="0.3">
      <c r="A428" s="1410"/>
      <c r="B428" s="1410"/>
      <c r="C428" s="1410"/>
      <c r="D428" s="1485"/>
      <c r="E428" s="1485"/>
      <c r="F428" s="1485"/>
      <c r="G428" s="1485"/>
      <c r="H428" s="1485"/>
      <c r="I428" s="1485"/>
    </row>
    <row r="429" spans="1:9" x14ac:dyDescent="0.3">
      <c r="A429" s="1410"/>
      <c r="B429" s="1410"/>
      <c r="C429" s="1410"/>
      <c r="D429" s="1485"/>
      <c r="E429" s="1485"/>
      <c r="F429" s="1485"/>
      <c r="G429" s="1485"/>
      <c r="H429" s="1485"/>
      <c r="I429" s="1485"/>
    </row>
    <row r="430" spans="1:9" x14ac:dyDescent="0.3">
      <c r="A430" s="1410"/>
      <c r="B430" s="1410"/>
      <c r="C430" s="1410"/>
      <c r="D430" s="1485"/>
      <c r="E430" s="1485"/>
      <c r="F430" s="1485"/>
      <c r="G430" s="1485"/>
      <c r="H430" s="1485"/>
      <c r="I430" s="1485"/>
    </row>
    <row r="431" spans="1:9" x14ac:dyDescent="0.3">
      <c r="A431" s="1410"/>
      <c r="B431" s="1410"/>
      <c r="C431" s="1410"/>
      <c r="D431" s="1485"/>
      <c r="E431" s="1485"/>
      <c r="F431" s="1485"/>
      <c r="G431" s="1485"/>
      <c r="H431" s="1485"/>
      <c r="I431" s="1485"/>
    </row>
    <row r="432" spans="1:9" x14ac:dyDescent="0.3">
      <c r="A432" s="1410"/>
      <c r="B432" s="1410"/>
      <c r="C432" s="1410"/>
      <c r="D432" s="1485"/>
      <c r="E432" s="1485"/>
      <c r="F432" s="1485"/>
      <c r="G432" s="1485"/>
      <c r="H432" s="1485"/>
      <c r="I432" s="1485"/>
    </row>
    <row r="433" spans="1:9" x14ac:dyDescent="0.3">
      <c r="A433" s="1410"/>
      <c r="B433" s="1410"/>
      <c r="C433" s="1410"/>
      <c r="D433" s="1485"/>
      <c r="E433" s="1485"/>
      <c r="F433" s="1485"/>
      <c r="G433" s="1485"/>
      <c r="H433" s="1485"/>
      <c r="I433" s="1485"/>
    </row>
    <row r="434" spans="1:9" x14ac:dyDescent="0.3">
      <c r="A434" s="1410"/>
      <c r="B434" s="1410"/>
      <c r="C434" s="1410"/>
      <c r="D434" s="1485"/>
      <c r="E434" s="1485"/>
      <c r="F434" s="1485"/>
      <c r="G434" s="1485"/>
      <c r="H434" s="1485"/>
      <c r="I434" s="1485"/>
    </row>
    <row r="435" spans="1:9" x14ac:dyDescent="0.3">
      <c r="A435" s="1410"/>
      <c r="B435" s="1410"/>
      <c r="C435" s="1410"/>
      <c r="D435" s="1485"/>
      <c r="E435" s="1485"/>
      <c r="F435" s="1485"/>
      <c r="G435" s="1485"/>
      <c r="H435" s="1485"/>
      <c r="I435" s="1485"/>
    </row>
    <row r="436" spans="1:9" x14ac:dyDescent="0.3">
      <c r="A436" s="1410"/>
      <c r="B436" s="1410"/>
      <c r="C436" s="1410"/>
      <c r="D436" s="1485"/>
      <c r="E436" s="1485"/>
      <c r="F436" s="1485"/>
      <c r="G436" s="1485"/>
      <c r="H436" s="1485"/>
      <c r="I436" s="1485"/>
    </row>
    <row r="437" spans="1:9" x14ac:dyDescent="0.3">
      <c r="A437" s="1410"/>
      <c r="B437" s="1410"/>
      <c r="C437" s="1410"/>
      <c r="D437" s="1485"/>
      <c r="E437" s="1485"/>
      <c r="F437" s="1485"/>
      <c r="G437" s="1485"/>
      <c r="H437" s="1485"/>
      <c r="I437" s="1485"/>
    </row>
    <row r="438" spans="1:9" x14ac:dyDescent="0.3">
      <c r="A438" s="1410"/>
      <c r="B438" s="1410"/>
      <c r="C438" s="1410"/>
      <c r="D438" s="1485"/>
      <c r="E438" s="1485"/>
      <c r="F438" s="1485"/>
      <c r="G438" s="1485"/>
      <c r="H438" s="1485"/>
      <c r="I438" s="1485"/>
    </row>
    <row r="439" spans="1:9" x14ac:dyDescent="0.3">
      <c r="A439" s="1410"/>
      <c r="B439" s="1410"/>
      <c r="C439" s="1410"/>
      <c r="D439" s="1485"/>
      <c r="E439" s="1485"/>
      <c r="F439" s="1485"/>
      <c r="G439" s="1485"/>
      <c r="H439" s="1485"/>
      <c r="I439" s="1485"/>
    </row>
    <row r="440" spans="1:9" x14ac:dyDescent="0.3">
      <c r="A440" s="1410"/>
      <c r="B440" s="1410"/>
      <c r="C440" s="1410"/>
      <c r="D440" s="1485"/>
      <c r="E440" s="1485"/>
      <c r="F440" s="1485"/>
      <c r="G440" s="1485"/>
      <c r="H440" s="1485"/>
      <c r="I440" s="1485"/>
    </row>
    <row r="441" spans="1:9" x14ac:dyDescent="0.3">
      <c r="A441" s="1410"/>
      <c r="B441" s="1410"/>
      <c r="C441" s="1410"/>
      <c r="D441" s="1485"/>
      <c r="E441" s="1485"/>
      <c r="F441" s="1485"/>
      <c r="G441" s="1485"/>
      <c r="H441" s="1485"/>
      <c r="I441" s="1485"/>
    </row>
    <row r="442" spans="1:9" x14ac:dyDescent="0.3">
      <c r="A442" s="1410"/>
      <c r="B442" s="1410"/>
      <c r="C442" s="1410"/>
      <c r="D442" s="1485"/>
      <c r="E442" s="1485"/>
      <c r="F442" s="1485"/>
      <c r="G442" s="1485"/>
      <c r="H442" s="1485"/>
      <c r="I442" s="1485"/>
    </row>
    <row r="443" spans="1:9" x14ac:dyDescent="0.3">
      <c r="A443" s="1410"/>
      <c r="B443" s="1410"/>
      <c r="C443" s="1410"/>
      <c r="D443" s="1485"/>
      <c r="E443" s="1485"/>
      <c r="F443" s="1485"/>
      <c r="G443" s="1485"/>
      <c r="H443" s="1485"/>
      <c r="I443" s="1485"/>
    </row>
    <row r="444" spans="1:9" x14ac:dyDescent="0.3">
      <c r="A444" s="1410"/>
      <c r="B444" s="1410"/>
      <c r="C444" s="1410"/>
      <c r="D444" s="1485"/>
      <c r="E444" s="1485"/>
      <c r="F444" s="1485"/>
      <c r="G444" s="1485"/>
      <c r="H444" s="1485"/>
      <c r="I444" s="1485"/>
    </row>
    <row r="445" spans="1:9" x14ac:dyDescent="0.3">
      <c r="A445" s="1410"/>
      <c r="B445" s="1410"/>
      <c r="C445" s="1410"/>
      <c r="D445" s="1485"/>
      <c r="E445" s="1485"/>
      <c r="F445" s="1485"/>
      <c r="G445" s="1485"/>
      <c r="H445" s="1485"/>
      <c r="I445" s="1485"/>
    </row>
    <row r="446" spans="1:9" x14ac:dyDescent="0.3">
      <c r="A446" s="1410"/>
      <c r="B446" s="1410"/>
      <c r="C446" s="1410"/>
      <c r="D446" s="1485"/>
      <c r="E446" s="1485"/>
      <c r="F446" s="1485"/>
      <c r="G446" s="1485"/>
      <c r="H446" s="1485"/>
      <c r="I446" s="1485"/>
    </row>
    <row r="447" spans="1:9" x14ac:dyDescent="0.3">
      <c r="A447" s="1410"/>
      <c r="B447" s="1410"/>
      <c r="C447" s="1410"/>
      <c r="D447" s="1485"/>
      <c r="E447" s="1485"/>
      <c r="F447" s="1485"/>
      <c r="G447" s="1485"/>
      <c r="H447" s="1485"/>
      <c r="I447" s="1485"/>
    </row>
    <row r="448" spans="1:9" x14ac:dyDescent="0.3">
      <c r="A448" s="1410"/>
      <c r="B448" s="1410"/>
      <c r="C448" s="1410"/>
      <c r="D448" s="1485"/>
      <c r="E448" s="1485"/>
      <c r="F448" s="1485"/>
      <c r="G448" s="1485"/>
      <c r="H448" s="1485"/>
      <c r="I448" s="1485"/>
    </row>
    <row r="449" spans="1:9" x14ac:dyDescent="0.3">
      <c r="A449" s="1410"/>
      <c r="B449" s="1410"/>
      <c r="C449" s="1410"/>
      <c r="D449" s="1485"/>
      <c r="E449" s="1485"/>
      <c r="F449" s="1485"/>
      <c r="G449" s="1485"/>
      <c r="H449" s="1485"/>
      <c r="I449" s="1485"/>
    </row>
    <row r="450" spans="1:9" x14ac:dyDescent="0.3">
      <c r="A450" s="1410"/>
      <c r="B450" s="1410"/>
      <c r="C450" s="1410"/>
      <c r="D450" s="1485"/>
      <c r="E450" s="1485"/>
      <c r="F450" s="1485"/>
      <c r="G450" s="1485"/>
      <c r="H450" s="1485"/>
      <c r="I450" s="1485"/>
    </row>
    <row r="451" spans="1:9" x14ac:dyDescent="0.3">
      <c r="A451" s="1410"/>
      <c r="B451" s="1410"/>
      <c r="C451" s="1410"/>
      <c r="D451" s="1485"/>
      <c r="E451" s="1485"/>
      <c r="F451" s="1485"/>
      <c r="G451" s="1485"/>
      <c r="H451" s="1485"/>
      <c r="I451" s="1485"/>
    </row>
    <row r="452" spans="1:9" x14ac:dyDescent="0.3">
      <c r="A452" s="1410"/>
      <c r="B452" s="1410"/>
      <c r="C452" s="1410"/>
      <c r="D452" s="1485"/>
      <c r="E452" s="1485"/>
      <c r="F452" s="1485"/>
      <c r="G452" s="1485"/>
      <c r="H452" s="1485"/>
      <c r="I452" s="1485"/>
    </row>
    <row r="453" spans="1:9" x14ac:dyDescent="0.3">
      <c r="A453" s="1410"/>
      <c r="B453" s="1410"/>
      <c r="C453" s="1410"/>
      <c r="D453" s="1485"/>
      <c r="E453" s="1485"/>
      <c r="F453" s="1485"/>
      <c r="G453" s="1485"/>
      <c r="H453" s="1485"/>
      <c r="I453" s="1485"/>
    </row>
    <row r="454" spans="1:9" x14ac:dyDescent="0.3">
      <c r="A454" s="1410"/>
      <c r="B454" s="1410"/>
      <c r="C454" s="1410"/>
      <c r="D454" s="1485"/>
      <c r="E454" s="1485"/>
      <c r="F454" s="1485"/>
      <c r="G454" s="1485"/>
      <c r="H454" s="1485"/>
      <c r="I454" s="1485"/>
    </row>
    <row r="455" spans="1:9" x14ac:dyDescent="0.3">
      <c r="A455" s="1410"/>
      <c r="B455" s="1410"/>
      <c r="C455" s="1410"/>
      <c r="D455" s="1485"/>
      <c r="E455" s="1485"/>
      <c r="F455" s="1485"/>
      <c r="G455" s="1485"/>
      <c r="H455" s="1485"/>
      <c r="I455" s="1485"/>
    </row>
    <row r="456" spans="1:9" x14ac:dyDescent="0.3">
      <c r="A456" s="1410"/>
      <c r="B456" s="1410"/>
      <c r="C456" s="1410"/>
      <c r="D456" s="1485"/>
      <c r="E456" s="1485"/>
      <c r="F456" s="1485"/>
      <c r="G456" s="1485"/>
      <c r="H456" s="1485"/>
      <c r="I456" s="1485"/>
    </row>
    <row r="457" spans="1:9" x14ac:dyDescent="0.3">
      <c r="A457" s="1410"/>
      <c r="B457" s="1410"/>
      <c r="C457" s="1410"/>
      <c r="D457" s="1485"/>
      <c r="E457" s="1485"/>
      <c r="F457" s="1485"/>
      <c r="G457" s="1485"/>
      <c r="H457" s="1485"/>
      <c r="I457" s="1485"/>
    </row>
    <row r="458" spans="1:9" x14ac:dyDescent="0.3">
      <c r="A458" s="1410"/>
      <c r="B458" s="1410"/>
      <c r="C458" s="1410"/>
      <c r="D458" s="1485"/>
      <c r="E458" s="1485"/>
      <c r="F458" s="1485"/>
      <c r="G458" s="1485"/>
      <c r="H458" s="1485"/>
      <c r="I458" s="1485"/>
    </row>
    <row r="459" spans="1:9" x14ac:dyDescent="0.3">
      <c r="A459" s="1410"/>
      <c r="B459" s="1410"/>
      <c r="C459" s="1410"/>
      <c r="D459" s="1485"/>
      <c r="E459" s="1485"/>
      <c r="F459" s="1485"/>
      <c r="G459" s="1485"/>
      <c r="H459" s="1485"/>
      <c r="I459" s="1485"/>
    </row>
    <row r="460" spans="1:9" x14ac:dyDescent="0.3">
      <c r="A460" s="1410"/>
      <c r="B460" s="1410"/>
      <c r="C460" s="1410"/>
      <c r="D460" s="1485"/>
      <c r="E460" s="1485"/>
      <c r="F460" s="1485"/>
      <c r="G460" s="1485"/>
      <c r="H460" s="1485"/>
      <c r="I460" s="1485"/>
    </row>
    <row r="461" spans="1:9" x14ac:dyDescent="0.3">
      <c r="A461" s="1410"/>
      <c r="B461" s="1410"/>
      <c r="C461" s="1410"/>
      <c r="D461" s="1485"/>
      <c r="E461" s="1485"/>
      <c r="F461" s="1485"/>
      <c r="G461" s="1485"/>
      <c r="H461" s="1485"/>
      <c r="I461" s="1485"/>
    </row>
    <row r="462" spans="1:9" x14ac:dyDescent="0.3">
      <c r="A462" s="1410"/>
      <c r="B462" s="1410"/>
      <c r="C462" s="1410"/>
      <c r="D462" s="1485"/>
      <c r="E462" s="1485"/>
      <c r="F462" s="1485"/>
      <c r="G462" s="1485"/>
      <c r="H462" s="1485"/>
      <c r="I462" s="1485"/>
    </row>
    <row r="463" spans="1:9" x14ac:dyDescent="0.3">
      <c r="A463" s="1410"/>
      <c r="B463" s="1410"/>
      <c r="C463" s="1410"/>
      <c r="D463" s="1485"/>
      <c r="E463" s="1485"/>
      <c r="F463" s="1485"/>
      <c r="G463" s="1485"/>
      <c r="H463" s="1485"/>
      <c r="I463" s="1485"/>
    </row>
    <row r="464" spans="1:9" x14ac:dyDescent="0.3">
      <c r="A464" s="1410"/>
      <c r="B464" s="1410"/>
      <c r="C464" s="1410"/>
      <c r="D464" s="1485"/>
      <c r="E464" s="1485"/>
      <c r="F464" s="1485"/>
      <c r="G464" s="1485"/>
      <c r="H464" s="1485"/>
      <c r="I464" s="1485"/>
    </row>
    <row r="465" spans="1:9" x14ac:dyDescent="0.3">
      <c r="A465" s="1410"/>
      <c r="B465" s="1410"/>
      <c r="C465" s="1410"/>
      <c r="D465" s="1485"/>
      <c r="E465" s="1485"/>
      <c r="F465" s="1485"/>
      <c r="G465" s="1485"/>
      <c r="H465" s="1485"/>
      <c r="I465" s="1485"/>
    </row>
    <row r="466" spans="1:9" x14ac:dyDescent="0.3">
      <c r="A466" s="1410"/>
      <c r="B466" s="1410"/>
      <c r="C466" s="1410"/>
      <c r="D466" s="1485"/>
      <c r="E466" s="1485"/>
      <c r="F466" s="1485"/>
      <c r="G466" s="1485"/>
      <c r="H466" s="1485"/>
      <c r="I466" s="1485"/>
    </row>
    <row r="467" spans="1:9" x14ac:dyDescent="0.3">
      <c r="A467" s="1410"/>
      <c r="B467" s="1410"/>
      <c r="C467" s="1410"/>
      <c r="D467" s="1485"/>
      <c r="E467" s="1485"/>
      <c r="F467" s="1485"/>
      <c r="G467" s="1485"/>
      <c r="H467" s="1485"/>
      <c r="I467" s="1485"/>
    </row>
    <row r="468" spans="1:9" x14ac:dyDescent="0.3">
      <c r="A468" s="1410"/>
      <c r="B468" s="1410"/>
      <c r="C468" s="1410"/>
      <c r="D468" s="1485"/>
      <c r="E468" s="1485"/>
      <c r="F468" s="1485"/>
      <c r="G468" s="1485"/>
      <c r="H468" s="1485"/>
      <c r="I468" s="1485"/>
    </row>
    <row r="469" spans="1:9" x14ac:dyDescent="0.3">
      <c r="A469" s="1410"/>
      <c r="B469" s="1410"/>
      <c r="C469" s="1410"/>
      <c r="D469" s="1485"/>
      <c r="E469" s="1485"/>
      <c r="F469" s="1485"/>
      <c r="G469" s="1485"/>
      <c r="H469" s="1485"/>
      <c r="I469" s="1485"/>
    </row>
    <row r="470" spans="1:9" x14ac:dyDescent="0.3">
      <c r="A470" s="1410"/>
      <c r="B470" s="1410"/>
      <c r="C470" s="1410"/>
      <c r="D470" s="1485"/>
      <c r="E470" s="1485"/>
      <c r="F470" s="1485"/>
      <c r="G470" s="1485"/>
      <c r="H470" s="1485"/>
      <c r="I470" s="1485"/>
    </row>
    <row r="471" spans="1:9" x14ac:dyDescent="0.3">
      <c r="A471" s="1410"/>
      <c r="B471" s="1410"/>
      <c r="C471" s="1410"/>
      <c r="D471" s="1485"/>
      <c r="E471" s="1485"/>
      <c r="F471" s="1485"/>
      <c r="G471" s="1485"/>
      <c r="H471" s="1485"/>
      <c r="I471" s="1485"/>
    </row>
    <row r="472" spans="1:9" x14ac:dyDescent="0.3">
      <c r="A472" s="1410"/>
      <c r="B472" s="1410"/>
      <c r="C472" s="1410"/>
      <c r="D472" s="1485"/>
      <c r="E472" s="1485"/>
      <c r="F472" s="1485"/>
      <c r="G472" s="1485"/>
      <c r="H472" s="1485"/>
      <c r="I472" s="1485"/>
    </row>
    <row r="473" spans="1:9" x14ac:dyDescent="0.3">
      <c r="A473" s="1410"/>
      <c r="B473" s="1410"/>
      <c r="C473" s="1410"/>
      <c r="D473" s="1485"/>
      <c r="E473" s="1485"/>
      <c r="F473" s="1485"/>
      <c r="G473" s="1485"/>
      <c r="H473" s="1485"/>
      <c r="I473" s="1485"/>
    </row>
    <row r="474" spans="1:9" x14ac:dyDescent="0.3">
      <c r="A474" s="1410"/>
      <c r="B474" s="1410"/>
      <c r="C474" s="1410"/>
      <c r="D474" s="1485"/>
      <c r="E474" s="1485"/>
      <c r="F474" s="1485"/>
      <c r="G474" s="1485"/>
      <c r="H474" s="1485"/>
      <c r="I474" s="1485"/>
    </row>
    <row r="475" spans="1:9" x14ac:dyDescent="0.3">
      <c r="A475" s="1410"/>
      <c r="B475" s="1410"/>
      <c r="C475" s="1410"/>
      <c r="D475" s="1485"/>
      <c r="E475" s="1485"/>
      <c r="F475" s="1485"/>
      <c r="G475" s="1485"/>
      <c r="H475" s="1485"/>
      <c r="I475" s="1485"/>
    </row>
    <row r="476" spans="1:9" x14ac:dyDescent="0.3">
      <c r="A476" s="1410"/>
      <c r="B476" s="1410"/>
      <c r="C476" s="1410"/>
      <c r="D476" s="1485"/>
      <c r="E476" s="1485"/>
      <c r="F476" s="1485"/>
      <c r="G476" s="1485"/>
      <c r="H476" s="1485"/>
      <c r="I476" s="1485"/>
    </row>
    <row r="477" spans="1:9" x14ac:dyDescent="0.3">
      <c r="A477" s="1410"/>
      <c r="B477" s="1410"/>
      <c r="C477" s="1410"/>
      <c r="D477" s="1485"/>
      <c r="E477" s="1485"/>
      <c r="F477" s="1485"/>
      <c r="G477" s="1485"/>
      <c r="H477" s="1485"/>
      <c r="I477" s="1485"/>
    </row>
    <row r="478" spans="1:9" x14ac:dyDescent="0.3">
      <c r="A478" s="1410"/>
      <c r="B478" s="1410"/>
      <c r="C478" s="1410"/>
      <c r="D478" s="1485"/>
      <c r="E478" s="1485"/>
      <c r="F478" s="1485"/>
      <c r="G478" s="1485"/>
      <c r="H478" s="1485"/>
      <c r="I478" s="1485"/>
    </row>
    <row r="479" spans="1:9" x14ac:dyDescent="0.3">
      <c r="A479" s="1410"/>
      <c r="B479" s="1410"/>
      <c r="C479" s="1410"/>
      <c r="D479" s="1485"/>
      <c r="E479" s="1485"/>
      <c r="F479" s="1485"/>
      <c r="G479" s="1485"/>
      <c r="H479" s="1485"/>
      <c r="I479" s="1485"/>
    </row>
    <row r="480" spans="1:9" x14ac:dyDescent="0.3">
      <c r="A480" s="1410"/>
      <c r="B480" s="1410"/>
      <c r="C480" s="1410"/>
      <c r="D480" s="1485"/>
      <c r="E480" s="1485"/>
      <c r="F480" s="1485"/>
      <c r="G480" s="1485"/>
      <c r="H480" s="1485"/>
      <c r="I480" s="1485"/>
    </row>
    <row r="481" spans="1:9" x14ac:dyDescent="0.3">
      <c r="A481" s="1410"/>
      <c r="B481" s="1410"/>
      <c r="C481" s="1410"/>
      <c r="D481" s="1485"/>
      <c r="E481" s="1485"/>
      <c r="F481" s="1485"/>
      <c r="G481" s="1485"/>
      <c r="H481" s="1485"/>
      <c r="I481" s="1485"/>
    </row>
    <row r="482" spans="1:9" x14ac:dyDescent="0.3">
      <c r="A482" s="1410"/>
      <c r="B482" s="1410"/>
      <c r="C482" s="1410"/>
      <c r="D482" s="1485"/>
      <c r="E482" s="1485"/>
      <c r="F482" s="1485"/>
      <c r="G482" s="1485"/>
      <c r="H482" s="1485"/>
      <c r="I482" s="1485"/>
    </row>
    <row r="483" spans="1:9" x14ac:dyDescent="0.3">
      <c r="A483" s="1410"/>
      <c r="B483" s="1410"/>
      <c r="C483" s="1410"/>
      <c r="D483" s="1485"/>
      <c r="E483" s="1485"/>
      <c r="F483" s="1485"/>
      <c r="G483" s="1485"/>
      <c r="H483" s="1485"/>
      <c r="I483" s="1485"/>
    </row>
    <row r="484" spans="1:9" x14ac:dyDescent="0.3">
      <c r="A484" s="1410"/>
      <c r="B484" s="1410"/>
      <c r="C484" s="1410"/>
      <c r="D484" s="1485"/>
      <c r="E484" s="1485"/>
      <c r="F484" s="1485"/>
      <c r="G484" s="1485"/>
      <c r="H484" s="1485"/>
      <c r="I484" s="1485"/>
    </row>
    <row r="485" spans="1:9" x14ac:dyDescent="0.3">
      <c r="A485" s="1410"/>
      <c r="B485" s="1410"/>
      <c r="C485" s="1410"/>
      <c r="D485" s="1485"/>
      <c r="E485" s="1485"/>
      <c r="F485" s="1485"/>
      <c r="G485" s="1485"/>
      <c r="H485" s="1485"/>
      <c r="I485" s="1485"/>
    </row>
    <row r="486" spans="1:9" x14ac:dyDescent="0.3">
      <c r="A486" s="1410"/>
      <c r="B486" s="1410"/>
      <c r="C486" s="1410"/>
      <c r="D486" s="1485"/>
      <c r="E486" s="1485"/>
      <c r="F486" s="1485"/>
      <c r="G486" s="1485"/>
      <c r="H486" s="1485"/>
      <c r="I486" s="1485"/>
    </row>
    <row r="487" spans="1:9" x14ac:dyDescent="0.3">
      <c r="A487" s="1410"/>
      <c r="B487" s="1410"/>
      <c r="C487" s="1410"/>
      <c r="D487" s="1485"/>
      <c r="E487" s="1485"/>
      <c r="F487" s="1485"/>
      <c r="G487" s="1485"/>
      <c r="H487" s="1485"/>
      <c r="I487" s="1485"/>
    </row>
    <row r="488" spans="1:9" x14ac:dyDescent="0.3">
      <c r="A488" s="1410"/>
      <c r="B488" s="1410"/>
      <c r="C488" s="1410"/>
      <c r="D488" s="1485"/>
      <c r="E488" s="1485"/>
      <c r="F488" s="1485"/>
      <c r="G488" s="1485"/>
      <c r="H488" s="1485"/>
      <c r="I488" s="1485"/>
    </row>
    <row r="489" spans="1:9" x14ac:dyDescent="0.3">
      <c r="A489" s="1410"/>
      <c r="B489" s="1410"/>
      <c r="C489" s="1410"/>
      <c r="D489" s="1485"/>
      <c r="E489" s="1485"/>
      <c r="F489" s="1485"/>
      <c r="G489" s="1485"/>
      <c r="H489" s="1485"/>
      <c r="I489" s="1485"/>
    </row>
    <row r="490" spans="1:9" x14ac:dyDescent="0.3">
      <c r="A490" s="1410"/>
      <c r="B490" s="1410"/>
      <c r="C490" s="1410"/>
      <c r="D490" s="1485"/>
      <c r="E490" s="1485"/>
      <c r="F490" s="1485"/>
      <c r="G490" s="1485"/>
      <c r="H490" s="1485"/>
      <c r="I490" s="1485"/>
    </row>
    <row r="491" spans="1:9" x14ac:dyDescent="0.3">
      <c r="A491" s="1410"/>
      <c r="B491" s="1410"/>
      <c r="C491" s="1410"/>
      <c r="D491" s="1485"/>
      <c r="E491" s="1485"/>
      <c r="F491" s="1485"/>
      <c r="G491" s="1485"/>
      <c r="H491" s="1485"/>
      <c r="I491" s="1485"/>
    </row>
    <row r="492" spans="1:9" x14ac:dyDescent="0.3">
      <c r="A492" s="1410"/>
      <c r="B492" s="1410"/>
      <c r="C492" s="1410"/>
      <c r="D492" s="1485"/>
      <c r="E492" s="1485"/>
      <c r="F492" s="1485"/>
      <c r="G492" s="1485"/>
      <c r="H492" s="1485"/>
      <c r="I492" s="1485"/>
    </row>
    <row r="493" spans="1:9" x14ac:dyDescent="0.3">
      <c r="A493" s="1410"/>
      <c r="B493" s="1410"/>
      <c r="C493" s="1410"/>
      <c r="D493" s="1485"/>
      <c r="E493" s="1485"/>
      <c r="F493" s="1485"/>
      <c r="G493" s="1485"/>
      <c r="H493" s="1485"/>
      <c r="I493" s="1485"/>
    </row>
    <row r="494" spans="1:9" x14ac:dyDescent="0.3">
      <c r="A494" s="1410"/>
      <c r="B494" s="1410"/>
      <c r="C494" s="1410"/>
      <c r="D494" s="1485"/>
      <c r="E494" s="1485"/>
      <c r="F494" s="1485"/>
      <c r="G494" s="1485"/>
      <c r="H494" s="1485"/>
      <c r="I494" s="1485"/>
    </row>
    <row r="495" spans="1:9" x14ac:dyDescent="0.3">
      <c r="A495" s="1410"/>
      <c r="B495" s="1410"/>
      <c r="C495" s="1410"/>
      <c r="D495" s="1485"/>
      <c r="E495" s="1485"/>
      <c r="F495" s="1485"/>
      <c r="G495" s="1485"/>
      <c r="H495" s="1485"/>
      <c r="I495" s="1485"/>
    </row>
    <row r="496" spans="1:9" x14ac:dyDescent="0.3">
      <c r="A496" s="1410"/>
      <c r="B496" s="1410"/>
      <c r="C496" s="1410"/>
      <c r="D496" s="1485"/>
      <c r="E496" s="1485"/>
      <c r="F496" s="1485"/>
      <c r="G496" s="1485"/>
      <c r="H496" s="1485"/>
      <c r="I496" s="1485"/>
    </row>
    <row r="497" spans="1:9" x14ac:dyDescent="0.3">
      <c r="A497" s="1410"/>
      <c r="B497" s="1410"/>
      <c r="C497" s="1410"/>
      <c r="D497" s="1485"/>
      <c r="E497" s="1485"/>
      <c r="F497" s="1485"/>
      <c r="G497" s="1485"/>
      <c r="H497" s="1485"/>
      <c r="I497" s="1485"/>
    </row>
    <row r="498" spans="1:9" x14ac:dyDescent="0.3">
      <c r="A498" s="1410"/>
      <c r="B498" s="1410"/>
      <c r="C498" s="1410"/>
      <c r="D498" s="1485"/>
      <c r="E498" s="1485"/>
      <c r="F498" s="1485"/>
      <c r="G498" s="1485"/>
      <c r="H498" s="1485"/>
      <c r="I498" s="1485"/>
    </row>
    <row r="499" spans="1:9" x14ac:dyDescent="0.3">
      <c r="A499" s="1410"/>
      <c r="B499" s="1410"/>
      <c r="C499" s="1410"/>
      <c r="D499" s="1485"/>
      <c r="E499" s="1485"/>
      <c r="F499" s="1485"/>
      <c r="G499" s="1485"/>
      <c r="H499" s="1485"/>
      <c r="I499" s="1485"/>
    </row>
    <row r="500" spans="1:9" x14ac:dyDescent="0.3">
      <c r="A500" s="1410"/>
      <c r="B500" s="1410"/>
      <c r="C500" s="1410"/>
      <c r="D500" s="1485"/>
      <c r="E500" s="1485"/>
      <c r="F500" s="1485"/>
      <c r="G500" s="1485"/>
      <c r="H500" s="1485"/>
      <c r="I500" s="1485"/>
    </row>
    <row r="501" spans="1:9" x14ac:dyDescent="0.3">
      <c r="A501" s="1410"/>
      <c r="B501" s="1410"/>
      <c r="C501" s="1410"/>
      <c r="D501" s="1485"/>
      <c r="E501" s="1485"/>
      <c r="F501" s="1485"/>
      <c r="G501" s="1485"/>
      <c r="H501" s="1485"/>
      <c r="I501" s="1485"/>
    </row>
    <row r="502" spans="1:9" x14ac:dyDescent="0.3">
      <c r="A502" s="1410"/>
      <c r="B502" s="1410"/>
      <c r="C502" s="1410"/>
      <c r="D502" s="1485"/>
      <c r="E502" s="1485"/>
      <c r="F502" s="1485"/>
      <c r="G502" s="1485"/>
      <c r="H502" s="1485"/>
      <c r="I502" s="1485"/>
    </row>
    <row r="503" spans="1:9" x14ac:dyDescent="0.3">
      <c r="A503" s="1410"/>
      <c r="B503" s="1410"/>
      <c r="C503" s="1410"/>
      <c r="D503" s="1485"/>
      <c r="E503" s="1485"/>
      <c r="F503" s="1485"/>
      <c r="G503" s="1485"/>
      <c r="H503" s="1485"/>
      <c r="I503" s="1485"/>
    </row>
    <row r="504" spans="1:9" x14ac:dyDescent="0.3">
      <c r="A504" s="1410"/>
      <c r="B504" s="1410"/>
      <c r="C504" s="1410"/>
      <c r="D504" s="1485"/>
      <c r="E504" s="1485"/>
      <c r="F504" s="1485"/>
      <c r="G504" s="1485"/>
      <c r="H504" s="1485"/>
      <c r="I504" s="1485"/>
    </row>
    <row r="505" spans="1:9" x14ac:dyDescent="0.3">
      <c r="A505" s="1410"/>
      <c r="B505" s="1410"/>
      <c r="C505" s="1410"/>
      <c r="D505" s="1485"/>
      <c r="E505" s="1485"/>
      <c r="F505" s="1485"/>
      <c r="G505" s="1485"/>
      <c r="H505" s="1485"/>
      <c r="I505" s="1485"/>
    </row>
    <row r="506" spans="1:9" x14ac:dyDescent="0.3">
      <c r="A506" s="1410"/>
      <c r="B506" s="1410"/>
      <c r="C506" s="1410"/>
      <c r="D506" s="1485"/>
      <c r="E506" s="1485"/>
      <c r="F506" s="1485"/>
      <c r="G506" s="1485"/>
      <c r="H506" s="1485"/>
      <c r="I506" s="1485"/>
    </row>
    <row r="507" spans="1:9" x14ac:dyDescent="0.3">
      <c r="A507" s="1410"/>
      <c r="B507" s="1410"/>
      <c r="C507" s="1410"/>
      <c r="D507" s="1485"/>
      <c r="E507" s="1485"/>
      <c r="F507" s="1485"/>
      <c r="G507" s="1485"/>
      <c r="H507" s="1485"/>
      <c r="I507" s="1485"/>
    </row>
    <row r="508" spans="1:9" x14ac:dyDescent="0.3">
      <c r="A508" s="1410"/>
      <c r="B508" s="1410"/>
      <c r="C508" s="1410"/>
      <c r="D508" s="1485"/>
      <c r="E508" s="1485"/>
      <c r="F508" s="1485"/>
      <c r="G508" s="1485"/>
      <c r="H508" s="1485"/>
      <c r="I508" s="1485"/>
    </row>
    <row r="509" spans="1:9" x14ac:dyDescent="0.3">
      <c r="A509" s="1410"/>
      <c r="B509" s="1410"/>
      <c r="C509" s="1410"/>
      <c r="D509" s="1485"/>
      <c r="E509" s="1485"/>
      <c r="F509" s="1485"/>
      <c r="G509" s="1485"/>
      <c r="H509" s="1485"/>
      <c r="I509" s="1485"/>
    </row>
    <row r="510" spans="1:9" x14ac:dyDescent="0.3">
      <c r="A510" s="1410"/>
      <c r="B510" s="1410"/>
      <c r="C510" s="1410"/>
      <c r="D510" s="1485"/>
      <c r="E510" s="1485"/>
      <c r="F510" s="1485"/>
      <c r="G510" s="1485"/>
      <c r="H510" s="1485"/>
      <c r="I510" s="1485"/>
    </row>
    <row r="511" spans="1:9" x14ac:dyDescent="0.3">
      <c r="A511" s="1410"/>
      <c r="B511" s="1410"/>
      <c r="C511" s="1410"/>
      <c r="D511" s="1485"/>
      <c r="E511" s="1485"/>
      <c r="F511" s="1485"/>
      <c r="G511" s="1485"/>
      <c r="H511" s="1485"/>
      <c r="I511" s="1485"/>
    </row>
    <row r="512" spans="1:9" x14ac:dyDescent="0.3">
      <c r="A512" s="1410"/>
      <c r="B512" s="1410"/>
      <c r="C512" s="1410"/>
      <c r="D512" s="1485"/>
      <c r="E512" s="1485"/>
      <c r="F512" s="1485"/>
      <c r="G512" s="1485"/>
      <c r="H512" s="1485"/>
      <c r="I512" s="1485"/>
    </row>
    <row r="513" spans="1:9" x14ac:dyDescent="0.3">
      <c r="A513" s="1410"/>
      <c r="B513" s="1410"/>
      <c r="C513" s="1410"/>
      <c r="D513" s="1485"/>
      <c r="E513" s="1485"/>
      <c r="F513" s="1485"/>
      <c r="G513" s="1485"/>
      <c r="H513" s="1485"/>
      <c r="I513" s="1485"/>
    </row>
    <row r="514" spans="1:9" x14ac:dyDescent="0.3">
      <c r="A514" s="1410"/>
      <c r="B514" s="1410"/>
      <c r="C514" s="1410"/>
      <c r="D514" s="1485"/>
      <c r="E514" s="1485"/>
      <c r="F514" s="1485"/>
      <c r="G514" s="1485"/>
      <c r="H514" s="1485"/>
      <c r="I514" s="1485"/>
    </row>
    <row r="515" spans="1:9" x14ac:dyDescent="0.3">
      <c r="A515" s="1410"/>
      <c r="B515" s="1410"/>
      <c r="C515" s="1410"/>
      <c r="D515" s="1485"/>
      <c r="E515" s="1485"/>
      <c r="F515" s="1485"/>
      <c r="G515" s="1485"/>
      <c r="H515" s="1485"/>
      <c r="I515" s="1485"/>
    </row>
    <row r="516" spans="1:9" x14ac:dyDescent="0.3">
      <c r="A516" s="1410"/>
      <c r="B516" s="1410"/>
      <c r="C516" s="1410"/>
      <c r="D516" s="1485"/>
      <c r="E516" s="1485"/>
      <c r="F516" s="1485"/>
      <c r="G516" s="1485"/>
      <c r="H516" s="1485"/>
      <c r="I516" s="1485"/>
    </row>
    <row r="517" spans="1:9" x14ac:dyDescent="0.3">
      <c r="A517" s="1410"/>
      <c r="B517" s="1410"/>
      <c r="C517" s="1410"/>
      <c r="D517" s="1485"/>
      <c r="E517" s="1485"/>
      <c r="F517" s="1485"/>
      <c r="G517" s="1485"/>
      <c r="H517" s="1485"/>
      <c r="I517" s="1485"/>
    </row>
    <row r="518" spans="1:9" x14ac:dyDescent="0.3">
      <c r="A518" s="1410"/>
      <c r="B518" s="1410"/>
      <c r="C518" s="1410"/>
      <c r="D518" s="1485"/>
      <c r="E518" s="1485"/>
      <c r="F518" s="1485"/>
      <c r="G518" s="1485"/>
      <c r="H518" s="1485"/>
      <c r="I518" s="1485"/>
    </row>
    <row r="519" spans="1:9" x14ac:dyDescent="0.3">
      <c r="A519" s="1410"/>
      <c r="B519" s="1410"/>
      <c r="C519" s="1410"/>
      <c r="D519" s="1485"/>
      <c r="E519" s="1485"/>
      <c r="F519" s="1485"/>
      <c r="G519" s="1485"/>
      <c r="H519" s="1485"/>
      <c r="I519" s="1485"/>
    </row>
    <row r="520" spans="1:9" x14ac:dyDescent="0.3">
      <c r="A520" s="1410"/>
      <c r="B520" s="1410"/>
      <c r="C520" s="1410"/>
      <c r="D520" s="1485"/>
      <c r="E520" s="1485"/>
      <c r="F520" s="1485"/>
      <c r="G520" s="1485"/>
      <c r="H520" s="1485"/>
      <c r="I520" s="1485"/>
    </row>
    <row r="521" spans="1:9" x14ac:dyDescent="0.3">
      <c r="A521" s="1410"/>
      <c r="B521" s="1410"/>
      <c r="C521" s="1410"/>
      <c r="D521" s="1485"/>
      <c r="E521" s="1485"/>
      <c r="F521" s="1485"/>
      <c r="G521" s="1485"/>
      <c r="H521" s="1485"/>
      <c r="I521" s="1485"/>
    </row>
    <row r="522" spans="1:9" x14ac:dyDescent="0.3">
      <c r="A522" s="1410"/>
      <c r="B522" s="1410"/>
      <c r="C522" s="1410"/>
      <c r="D522" s="1485"/>
      <c r="E522" s="1485"/>
      <c r="F522" s="1485"/>
      <c r="G522" s="1485"/>
      <c r="H522" s="1485"/>
      <c r="I522" s="1485"/>
    </row>
    <row r="523" spans="1:9" x14ac:dyDescent="0.3">
      <c r="A523" s="1410"/>
      <c r="B523" s="1410"/>
      <c r="C523" s="1410"/>
      <c r="D523" s="1485"/>
      <c r="E523" s="1485"/>
      <c r="F523" s="1485"/>
      <c r="G523" s="1485"/>
      <c r="H523" s="1485"/>
      <c r="I523" s="1485"/>
    </row>
    <row r="524" spans="1:9" x14ac:dyDescent="0.3">
      <c r="A524" s="1410"/>
      <c r="B524" s="1410"/>
      <c r="C524" s="1410"/>
      <c r="D524" s="1485"/>
      <c r="E524" s="1485"/>
      <c r="F524" s="1485"/>
      <c r="G524" s="1485"/>
      <c r="H524" s="1485"/>
      <c r="I524" s="1485"/>
    </row>
    <row r="525" spans="1:9" x14ac:dyDescent="0.3">
      <c r="A525" s="1410"/>
      <c r="B525" s="1410"/>
      <c r="C525" s="1410"/>
      <c r="D525" s="1485"/>
      <c r="E525" s="1485"/>
      <c r="F525" s="1485"/>
      <c r="G525" s="1485"/>
      <c r="H525" s="1485"/>
      <c r="I525" s="1485"/>
    </row>
    <row r="526" spans="1:9" x14ac:dyDescent="0.3">
      <c r="A526" s="1410"/>
      <c r="B526" s="1410"/>
      <c r="C526" s="1410"/>
      <c r="D526" s="1485"/>
      <c r="E526" s="1485"/>
      <c r="F526" s="1485"/>
      <c r="G526" s="1485"/>
      <c r="H526" s="1485"/>
      <c r="I526" s="1485"/>
    </row>
    <row r="527" spans="1:9" x14ac:dyDescent="0.3">
      <c r="A527" s="1410"/>
      <c r="B527" s="1410"/>
      <c r="C527" s="1410"/>
      <c r="D527" s="1485"/>
      <c r="E527" s="1485"/>
      <c r="F527" s="1485"/>
      <c r="G527" s="1485"/>
      <c r="H527" s="1485"/>
      <c r="I527" s="1485"/>
    </row>
    <row r="528" spans="1:9" x14ac:dyDescent="0.3">
      <c r="A528" s="1410"/>
      <c r="B528" s="1410"/>
      <c r="C528" s="1410"/>
      <c r="D528" s="1485"/>
      <c r="E528" s="1485"/>
      <c r="F528" s="1485"/>
      <c r="G528" s="1485"/>
      <c r="H528" s="1485"/>
      <c r="I528" s="1485"/>
    </row>
    <row r="529" spans="1:9" x14ac:dyDescent="0.3">
      <c r="A529" s="1410"/>
      <c r="B529" s="1410"/>
      <c r="C529" s="1410"/>
      <c r="D529" s="1485"/>
      <c r="E529" s="1485"/>
      <c r="F529" s="1485"/>
      <c r="G529" s="1485"/>
      <c r="H529" s="1485"/>
      <c r="I529" s="1485"/>
    </row>
    <row r="530" spans="1:9" x14ac:dyDescent="0.3">
      <c r="A530" s="1410"/>
      <c r="B530" s="1410"/>
      <c r="C530" s="1410"/>
      <c r="D530" s="1485"/>
      <c r="E530" s="1485"/>
      <c r="F530" s="1485"/>
      <c r="G530" s="1485"/>
      <c r="H530" s="1485"/>
      <c r="I530" s="1485"/>
    </row>
    <row r="531" spans="1:9" x14ac:dyDescent="0.3">
      <c r="A531" s="1410"/>
      <c r="B531" s="1410"/>
      <c r="C531" s="1410"/>
      <c r="D531" s="1485"/>
      <c r="E531" s="1485"/>
      <c r="F531" s="1485"/>
      <c r="G531" s="1485"/>
      <c r="H531" s="1485"/>
      <c r="I531" s="1485"/>
    </row>
    <row r="532" spans="1:9" x14ac:dyDescent="0.3">
      <c r="A532" s="1410"/>
      <c r="B532" s="1410"/>
      <c r="C532" s="1410"/>
      <c r="D532" s="1485"/>
      <c r="E532" s="1485"/>
      <c r="F532" s="1485"/>
      <c r="G532" s="1485"/>
      <c r="H532" s="1485"/>
      <c r="I532" s="1485"/>
    </row>
    <row r="533" spans="1:9" x14ac:dyDescent="0.3">
      <c r="A533" s="1410"/>
      <c r="B533" s="1410"/>
      <c r="C533" s="1410"/>
      <c r="D533" s="1485"/>
      <c r="E533" s="1485"/>
      <c r="F533" s="1485"/>
      <c r="G533" s="1485"/>
      <c r="H533" s="1485"/>
      <c r="I533" s="1485"/>
    </row>
    <row r="534" spans="1:9" x14ac:dyDescent="0.3">
      <c r="A534" s="1410"/>
      <c r="B534" s="1410"/>
      <c r="C534" s="1410"/>
      <c r="D534" s="1485"/>
      <c r="E534" s="1485"/>
      <c r="F534" s="1485"/>
      <c r="G534" s="1485"/>
      <c r="H534" s="1485"/>
      <c r="I534" s="1485"/>
    </row>
    <row r="535" spans="1:9" x14ac:dyDescent="0.3">
      <c r="A535" s="1410"/>
      <c r="B535" s="1410"/>
      <c r="C535" s="1410"/>
      <c r="D535" s="1485"/>
      <c r="E535" s="1485"/>
      <c r="F535" s="1485"/>
      <c r="G535" s="1485"/>
      <c r="H535" s="1485"/>
      <c r="I535" s="1485"/>
    </row>
    <row r="536" spans="1:9" x14ac:dyDescent="0.3">
      <c r="A536" s="1410"/>
      <c r="B536" s="1410"/>
      <c r="C536" s="1410"/>
      <c r="D536" s="1485"/>
      <c r="E536" s="1485"/>
      <c r="F536" s="1485"/>
      <c r="G536" s="1485"/>
      <c r="H536" s="1485"/>
      <c r="I536" s="1485"/>
    </row>
    <row r="537" spans="1:9" x14ac:dyDescent="0.3">
      <c r="A537" s="1410"/>
      <c r="B537" s="1410"/>
      <c r="C537" s="1410"/>
      <c r="D537" s="1485"/>
      <c r="E537" s="1485"/>
      <c r="F537" s="1485"/>
      <c r="G537" s="1485"/>
      <c r="H537" s="1485"/>
      <c r="I537" s="1485"/>
    </row>
    <row r="538" spans="1:9" x14ac:dyDescent="0.3">
      <c r="A538" s="1410"/>
      <c r="B538" s="1410"/>
      <c r="C538" s="1410"/>
      <c r="D538" s="1485"/>
      <c r="E538" s="1485"/>
      <c r="F538" s="1485"/>
      <c r="G538" s="1485"/>
      <c r="H538" s="1485"/>
      <c r="I538" s="1485"/>
    </row>
    <row r="539" spans="1:9" x14ac:dyDescent="0.3">
      <c r="A539" s="1410"/>
      <c r="B539" s="1410"/>
      <c r="C539" s="1410"/>
      <c r="D539" s="1485"/>
      <c r="E539" s="1485"/>
      <c r="F539" s="1485"/>
      <c r="G539" s="1485"/>
      <c r="H539" s="1485"/>
      <c r="I539" s="1485"/>
    </row>
    <row r="540" spans="1:9" x14ac:dyDescent="0.3">
      <c r="A540" s="1410"/>
      <c r="B540" s="1410"/>
      <c r="C540" s="1410"/>
      <c r="D540" s="1485"/>
      <c r="E540" s="1485"/>
      <c r="F540" s="1485"/>
      <c r="G540" s="1485"/>
      <c r="H540" s="1485"/>
      <c r="I540" s="1485"/>
    </row>
    <row r="541" spans="1:9" x14ac:dyDescent="0.3">
      <c r="A541" s="1410"/>
      <c r="B541" s="1410"/>
      <c r="C541" s="1410"/>
      <c r="D541" s="1485"/>
      <c r="E541" s="1485"/>
      <c r="F541" s="1485"/>
      <c r="G541" s="1485"/>
      <c r="H541" s="1485"/>
      <c r="I541" s="1485"/>
    </row>
    <row r="542" spans="1:9" x14ac:dyDescent="0.3">
      <c r="A542" s="1410"/>
      <c r="B542" s="1410"/>
      <c r="C542" s="1410"/>
      <c r="D542" s="1485"/>
      <c r="E542" s="1485"/>
      <c r="F542" s="1485"/>
      <c r="G542" s="1485"/>
      <c r="H542" s="1485"/>
      <c r="I542" s="1485"/>
    </row>
    <row r="543" spans="1:9" x14ac:dyDescent="0.3">
      <c r="A543" s="1410"/>
      <c r="B543" s="1410"/>
      <c r="C543" s="1410"/>
      <c r="D543" s="1485"/>
      <c r="E543" s="1485"/>
      <c r="F543" s="1485"/>
      <c r="G543" s="1485"/>
      <c r="H543" s="1485"/>
      <c r="I543" s="1485"/>
    </row>
    <row r="544" spans="1:9" x14ac:dyDescent="0.3">
      <c r="A544" s="1410"/>
      <c r="B544" s="1410"/>
      <c r="C544" s="1410"/>
      <c r="D544" s="1485"/>
      <c r="E544" s="1485"/>
      <c r="F544" s="1485"/>
      <c r="G544" s="1485"/>
      <c r="H544" s="1485"/>
      <c r="I544" s="1485"/>
    </row>
    <row r="545" spans="1:9" x14ac:dyDescent="0.3">
      <c r="A545" s="1410"/>
      <c r="B545" s="1410"/>
      <c r="C545" s="1410"/>
      <c r="D545" s="1485"/>
      <c r="E545" s="1485"/>
      <c r="F545" s="1485"/>
      <c r="G545" s="1485"/>
      <c r="H545" s="1485"/>
      <c r="I545" s="1485"/>
    </row>
    <row r="546" spans="1:9" x14ac:dyDescent="0.3">
      <c r="A546" s="1410"/>
      <c r="B546" s="1410"/>
      <c r="C546" s="1410"/>
      <c r="D546" s="1485"/>
      <c r="E546" s="1485"/>
      <c r="F546" s="1485"/>
      <c r="G546" s="1485"/>
      <c r="H546" s="1485"/>
      <c r="I546" s="1485"/>
    </row>
    <row r="547" spans="1:9" x14ac:dyDescent="0.3">
      <c r="A547" s="1410"/>
      <c r="B547" s="1410"/>
      <c r="C547" s="1410"/>
      <c r="D547" s="1485"/>
      <c r="E547" s="1485"/>
      <c r="F547" s="1485"/>
      <c r="G547" s="1485"/>
      <c r="H547" s="1485"/>
      <c r="I547" s="1485"/>
    </row>
    <row r="548" spans="1:9" x14ac:dyDescent="0.3">
      <c r="A548" s="1410"/>
      <c r="B548" s="1410"/>
      <c r="C548" s="1410"/>
      <c r="D548" s="1485"/>
      <c r="E548" s="1485"/>
      <c r="F548" s="1485"/>
      <c r="G548" s="1485"/>
      <c r="H548" s="1485"/>
      <c r="I548" s="1485"/>
    </row>
    <row r="549" spans="1:9" x14ac:dyDescent="0.3">
      <c r="A549" s="1410"/>
      <c r="B549" s="1410"/>
      <c r="C549" s="1410"/>
      <c r="D549" s="1485"/>
      <c r="E549" s="1485"/>
      <c r="F549" s="1485"/>
      <c r="G549" s="1485"/>
      <c r="H549" s="1485"/>
      <c r="I549" s="1485"/>
    </row>
    <row r="550" spans="1:9" x14ac:dyDescent="0.3">
      <c r="A550" s="1410"/>
      <c r="B550" s="1410"/>
      <c r="C550" s="1410"/>
      <c r="D550" s="1485"/>
      <c r="E550" s="1485"/>
      <c r="F550" s="1485"/>
      <c r="G550" s="1485"/>
      <c r="H550" s="1485"/>
      <c r="I550" s="1485"/>
    </row>
    <row r="551" spans="1:9" x14ac:dyDescent="0.3">
      <c r="A551" s="1410"/>
      <c r="B551" s="1410"/>
      <c r="C551" s="1410"/>
      <c r="D551" s="1485"/>
      <c r="E551" s="1485"/>
      <c r="F551" s="1485"/>
      <c r="G551" s="1485"/>
      <c r="H551" s="1485"/>
      <c r="I551" s="1485"/>
    </row>
    <row r="552" spans="1:9" x14ac:dyDescent="0.3">
      <c r="A552" s="1410"/>
      <c r="B552" s="1410"/>
      <c r="C552" s="1410"/>
      <c r="D552" s="1485"/>
      <c r="E552" s="1485"/>
      <c r="F552" s="1485"/>
      <c r="G552" s="1485"/>
      <c r="H552" s="1485"/>
      <c r="I552" s="1485"/>
    </row>
    <row r="553" spans="1:9" x14ac:dyDescent="0.3">
      <c r="A553" s="1410"/>
      <c r="B553" s="1410"/>
      <c r="C553" s="1410"/>
      <c r="D553" s="1485"/>
      <c r="E553" s="1485"/>
      <c r="F553" s="1485"/>
      <c r="G553" s="1485"/>
      <c r="H553" s="1485"/>
      <c r="I553" s="1485"/>
    </row>
    <row r="554" spans="1:9" x14ac:dyDescent="0.3">
      <c r="A554" s="1410"/>
      <c r="B554" s="1410"/>
      <c r="C554" s="1410"/>
      <c r="D554" s="1485"/>
      <c r="E554" s="1485"/>
      <c r="F554" s="1485"/>
      <c r="G554" s="1485"/>
      <c r="H554" s="1485"/>
      <c r="I554" s="1485"/>
    </row>
    <row r="555" spans="1:9" x14ac:dyDescent="0.3">
      <c r="A555" s="1410"/>
      <c r="B555" s="1410"/>
      <c r="C555" s="1410"/>
      <c r="D555" s="1485"/>
      <c r="E555" s="1485"/>
      <c r="F555" s="1485"/>
      <c r="G555" s="1485"/>
      <c r="H555" s="1485"/>
      <c r="I555" s="1485"/>
    </row>
    <row r="556" spans="1:9" x14ac:dyDescent="0.3">
      <c r="A556" s="1410"/>
      <c r="B556" s="1410"/>
      <c r="C556" s="1410"/>
      <c r="D556" s="1485"/>
      <c r="E556" s="1485"/>
      <c r="F556" s="1485"/>
      <c r="G556" s="1485"/>
      <c r="H556" s="1485"/>
      <c r="I556" s="1485"/>
    </row>
    <row r="557" spans="1:9" x14ac:dyDescent="0.3">
      <c r="A557" s="1410"/>
      <c r="B557" s="1410"/>
      <c r="C557" s="1410"/>
      <c r="D557" s="1485"/>
      <c r="E557" s="1485"/>
      <c r="F557" s="1485"/>
      <c r="G557" s="1485"/>
      <c r="H557" s="1485"/>
      <c r="I557" s="1485"/>
    </row>
    <row r="558" spans="1:9" x14ac:dyDescent="0.3">
      <c r="A558" s="1410"/>
      <c r="B558" s="1410"/>
      <c r="C558" s="1410"/>
      <c r="D558" s="1485"/>
      <c r="E558" s="1485"/>
      <c r="F558" s="1485"/>
      <c r="G558" s="1485"/>
      <c r="H558" s="1485"/>
      <c r="I558" s="1485"/>
    </row>
    <row r="559" spans="1:9" x14ac:dyDescent="0.3">
      <c r="A559" s="1410"/>
      <c r="B559" s="1410"/>
      <c r="C559" s="1410"/>
      <c r="D559" s="1485"/>
      <c r="E559" s="1485"/>
      <c r="F559" s="1485"/>
      <c r="G559" s="1485"/>
      <c r="H559" s="1485"/>
      <c r="I559" s="1485"/>
    </row>
    <row r="560" spans="1:9" x14ac:dyDescent="0.3">
      <c r="A560" s="1410"/>
      <c r="B560" s="1410"/>
      <c r="C560" s="1410"/>
      <c r="D560" s="1485"/>
      <c r="E560" s="1485"/>
      <c r="F560" s="1485"/>
      <c r="G560" s="1485"/>
      <c r="H560" s="1485"/>
      <c r="I560" s="1485"/>
    </row>
    <row r="561" spans="1:9" x14ac:dyDescent="0.3">
      <c r="A561" s="1410"/>
      <c r="B561" s="1410"/>
      <c r="C561" s="1410"/>
      <c r="D561" s="1485"/>
      <c r="E561" s="1485"/>
      <c r="F561" s="1485"/>
      <c r="G561" s="1485"/>
      <c r="H561" s="1485"/>
      <c r="I561" s="1485"/>
    </row>
    <row r="562" spans="1:9" x14ac:dyDescent="0.3">
      <c r="A562" s="1410"/>
      <c r="B562" s="1410"/>
      <c r="C562" s="1410"/>
      <c r="D562" s="1485"/>
      <c r="E562" s="1485"/>
      <c r="F562" s="1485"/>
      <c r="G562" s="1485"/>
      <c r="H562" s="1485"/>
      <c r="I562" s="1485"/>
    </row>
    <row r="563" spans="1:9" x14ac:dyDescent="0.3">
      <c r="A563" s="1410"/>
      <c r="B563" s="1410"/>
      <c r="C563" s="1410"/>
      <c r="D563" s="1485"/>
      <c r="E563" s="1485"/>
      <c r="F563" s="1485"/>
      <c r="G563" s="1485"/>
      <c r="H563" s="1485"/>
      <c r="I563" s="1485"/>
    </row>
    <row r="564" spans="1:9" x14ac:dyDescent="0.3">
      <c r="A564" s="1410"/>
      <c r="B564" s="1410"/>
      <c r="C564" s="1410"/>
      <c r="D564" s="1485"/>
      <c r="E564" s="1485"/>
      <c r="F564" s="1485"/>
      <c r="G564" s="1485"/>
      <c r="H564" s="1485"/>
      <c r="I564" s="1485"/>
    </row>
    <row r="565" spans="1:9" x14ac:dyDescent="0.3">
      <c r="A565" s="1410"/>
      <c r="B565" s="1410"/>
      <c r="C565" s="1410"/>
      <c r="D565" s="1485"/>
      <c r="E565" s="1485"/>
      <c r="F565" s="1485"/>
      <c r="G565" s="1485"/>
      <c r="H565" s="1485"/>
      <c r="I565" s="1485"/>
    </row>
    <row r="566" spans="1:9" x14ac:dyDescent="0.3">
      <c r="A566" s="1410"/>
      <c r="B566" s="1410"/>
      <c r="C566" s="1410"/>
      <c r="D566" s="1485"/>
      <c r="E566" s="1485"/>
      <c r="F566" s="1485"/>
      <c r="G566" s="1485"/>
      <c r="H566" s="1485"/>
      <c r="I566" s="1485"/>
    </row>
    <row r="567" spans="1:9" x14ac:dyDescent="0.3">
      <c r="A567" s="1410"/>
      <c r="B567" s="1410"/>
      <c r="C567" s="1410"/>
      <c r="D567" s="1485"/>
      <c r="E567" s="1485"/>
      <c r="F567" s="1485"/>
      <c r="G567" s="1485"/>
      <c r="H567" s="1485"/>
      <c r="I567" s="1485"/>
    </row>
    <row r="568" spans="1:9" x14ac:dyDescent="0.3">
      <c r="A568" s="1410"/>
      <c r="B568" s="1410"/>
      <c r="C568" s="1410"/>
      <c r="D568" s="1485"/>
      <c r="E568" s="1485"/>
      <c r="F568" s="1485"/>
      <c r="G568" s="1485"/>
      <c r="H568" s="1485"/>
      <c r="I568" s="1485"/>
    </row>
    <row r="569" spans="1:9" x14ac:dyDescent="0.3">
      <c r="A569" s="1410"/>
      <c r="B569" s="1410"/>
      <c r="C569" s="1410"/>
      <c r="D569" s="1485"/>
      <c r="E569" s="1485"/>
      <c r="F569" s="1485"/>
      <c r="G569" s="1485"/>
      <c r="H569" s="1485"/>
      <c r="I569" s="1485"/>
    </row>
    <row r="570" spans="1:9" x14ac:dyDescent="0.3">
      <c r="A570" s="1410"/>
      <c r="B570" s="1410"/>
      <c r="C570" s="1410"/>
      <c r="D570" s="1485"/>
      <c r="E570" s="1485"/>
      <c r="F570" s="1485"/>
      <c r="G570" s="1485"/>
      <c r="H570" s="1485"/>
      <c r="I570" s="1485"/>
    </row>
    <row r="571" spans="1:9" x14ac:dyDescent="0.3">
      <c r="A571" s="1410"/>
      <c r="B571" s="1410"/>
      <c r="C571" s="1410"/>
      <c r="D571" s="1485"/>
      <c r="E571" s="1485"/>
      <c r="F571" s="1485"/>
      <c r="G571" s="1485"/>
      <c r="H571" s="1485"/>
      <c r="I571" s="1485"/>
    </row>
    <row r="572" spans="1:9" x14ac:dyDescent="0.3">
      <c r="A572" s="1410"/>
      <c r="B572" s="1410"/>
      <c r="C572" s="1410"/>
      <c r="D572" s="1485"/>
      <c r="E572" s="1485"/>
      <c r="F572" s="1485"/>
      <c r="G572" s="1485"/>
      <c r="H572" s="1485"/>
      <c r="I572" s="1485"/>
    </row>
    <row r="573" spans="1:9" x14ac:dyDescent="0.3">
      <c r="A573" s="1410"/>
      <c r="B573" s="1410"/>
      <c r="C573" s="1410"/>
      <c r="D573" s="1485"/>
      <c r="E573" s="1485"/>
      <c r="F573" s="1485"/>
      <c r="G573" s="1485"/>
      <c r="H573" s="1485"/>
      <c r="I573" s="1485"/>
    </row>
    <row r="574" spans="1:9" x14ac:dyDescent="0.3">
      <c r="A574" s="1410"/>
      <c r="B574" s="1410"/>
      <c r="C574" s="1410"/>
      <c r="D574" s="1485"/>
      <c r="E574" s="1485"/>
      <c r="F574" s="1485"/>
      <c r="G574" s="1485"/>
      <c r="H574" s="1485"/>
      <c r="I574" s="1485"/>
    </row>
    <row r="575" spans="1:9" x14ac:dyDescent="0.3">
      <c r="A575" s="1410"/>
      <c r="B575" s="1410"/>
      <c r="C575" s="1410"/>
      <c r="D575" s="1485"/>
      <c r="E575" s="1485"/>
      <c r="F575" s="1485"/>
      <c r="G575" s="1485"/>
      <c r="H575" s="1485"/>
      <c r="I575" s="1485"/>
    </row>
    <row r="576" spans="1:9" x14ac:dyDescent="0.3">
      <c r="A576" s="1410"/>
      <c r="B576" s="1410"/>
      <c r="C576" s="1410"/>
      <c r="D576" s="1485"/>
      <c r="E576" s="1485"/>
      <c r="F576" s="1485"/>
      <c r="G576" s="1485"/>
      <c r="H576" s="1485"/>
      <c r="I576" s="1485"/>
    </row>
    <row r="577" spans="1:9" x14ac:dyDescent="0.3">
      <c r="A577" s="1410"/>
      <c r="B577" s="1410"/>
      <c r="C577" s="1410"/>
      <c r="D577" s="1485"/>
      <c r="E577" s="1485"/>
      <c r="F577" s="1485"/>
      <c r="G577" s="1485"/>
      <c r="H577" s="1485"/>
      <c r="I577" s="1485"/>
    </row>
    <row r="578" spans="1:9" x14ac:dyDescent="0.3">
      <c r="A578" s="1410"/>
      <c r="B578" s="1410"/>
      <c r="C578" s="1410"/>
      <c r="D578" s="1485"/>
      <c r="E578" s="1485"/>
      <c r="F578" s="1485"/>
      <c r="G578" s="1485"/>
      <c r="H578" s="1485"/>
      <c r="I578" s="1485"/>
    </row>
    <row r="579" spans="1:9" x14ac:dyDescent="0.3">
      <c r="A579" s="1410"/>
      <c r="B579" s="1410"/>
      <c r="C579" s="1410"/>
      <c r="D579" s="1485"/>
      <c r="E579" s="1485"/>
      <c r="F579" s="1485"/>
      <c r="G579" s="1485"/>
      <c r="H579" s="1485"/>
      <c r="I579" s="1485"/>
    </row>
    <row r="580" spans="1:9" x14ac:dyDescent="0.3">
      <c r="A580" s="1410"/>
      <c r="B580" s="1410"/>
      <c r="C580" s="1410"/>
      <c r="D580" s="1485"/>
      <c r="E580" s="1485"/>
      <c r="F580" s="1485"/>
      <c r="G580" s="1485"/>
      <c r="H580" s="1485"/>
      <c r="I580" s="1485"/>
    </row>
    <row r="581" spans="1:9" x14ac:dyDescent="0.3">
      <c r="A581" s="1410"/>
      <c r="B581" s="1410"/>
      <c r="C581" s="1410"/>
      <c r="D581" s="1485"/>
      <c r="E581" s="1485"/>
      <c r="F581" s="1485"/>
      <c r="G581" s="1485"/>
      <c r="H581" s="1485"/>
      <c r="I581" s="1485"/>
    </row>
    <row r="582" spans="1:9" x14ac:dyDescent="0.3">
      <c r="A582" s="1410"/>
      <c r="B582" s="1410"/>
      <c r="C582" s="1410"/>
      <c r="D582" s="1485"/>
      <c r="E582" s="1485"/>
      <c r="F582" s="1485"/>
      <c r="G582" s="1485"/>
      <c r="H582" s="1485"/>
      <c r="I582" s="1485"/>
    </row>
    <row r="583" spans="1:9" x14ac:dyDescent="0.3">
      <c r="A583" s="1410"/>
      <c r="B583" s="1410"/>
      <c r="C583" s="1410"/>
      <c r="D583" s="1485"/>
      <c r="E583" s="1485"/>
      <c r="F583" s="1485"/>
      <c r="G583" s="1485"/>
      <c r="H583" s="1485"/>
      <c r="I583" s="1485"/>
    </row>
    <row r="584" spans="1:9" x14ac:dyDescent="0.3">
      <c r="A584" s="1410"/>
      <c r="B584" s="1410"/>
      <c r="C584" s="1410"/>
      <c r="D584" s="1485"/>
      <c r="E584" s="1485"/>
      <c r="F584" s="1485"/>
      <c r="G584" s="1485"/>
      <c r="H584" s="1485"/>
      <c r="I584" s="1485"/>
    </row>
    <row r="585" spans="1:9" x14ac:dyDescent="0.3">
      <c r="A585" s="1410"/>
      <c r="B585" s="1410"/>
      <c r="C585" s="1410"/>
      <c r="D585" s="1485"/>
      <c r="E585" s="1485"/>
      <c r="F585" s="1485"/>
      <c r="G585" s="1485"/>
      <c r="H585" s="1485"/>
      <c r="I585" s="1485"/>
    </row>
    <row r="586" spans="1:9" x14ac:dyDescent="0.3">
      <c r="A586" s="1410"/>
      <c r="B586" s="1410"/>
      <c r="C586" s="1410"/>
      <c r="D586" s="1485"/>
      <c r="E586" s="1485"/>
      <c r="F586" s="1485"/>
      <c r="G586" s="1485"/>
      <c r="H586" s="1485"/>
      <c r="I586" s="1485"/>
    </row>
    <row r="587" spans="1:9" x14ac:dyDescent="0.3">
      <c r="A587" s="1410"/>
      <c r="B587" s="1410"/>
      <c r="C587" s="1410"/>
      <c r="D587" s="1485"/>
      <c r="E587" s="1485"/>
      <c r="F587" s="1485"/>
      <c r="G587" s="1485"/>
      <c r="H587" s="1485"/>
      <c r="I587" s="1485"/>
    </row>
    <row r="588" spans="1:9" x14ac:dyDescent="0.3">
      <c r="A588" s="1410"/>
      <c r="B588" s="1410"/>
      <c r="C588" s="1410"/>
      <c r="D588" s="1485"/>
      <c r="E588" s="1485"/>
      <c r="F588" s="1485"/>
      <c r="G588" s="1485"/>
      <c r="H588" s="1485"/>
      <c r="I588" s="1485"/>
    </row>
    <row r="589" spans="1:9" x14ac:dyDescent="0.3">
      <c r="A589" s="1410"/>
      <c r="B589" s="1410"/>
      <c r="C589" s="1410"/>
      <c r="D589" s="1485"/>
      <c r="E589" s="1485"/>
      <c r="F589" s="1485"/>
      <c r="G589" s="1485"/>
      <c r="H589" s="1485"/>
      <c r="I589" s="1485"/>
    </row>
    <row r="590" spans="1:9" x14ac:dyDescent="0.3">
      <c r="A590" s="1410"/>
      <c r="B590" s="1410"/>
      <c r="C590" s="1410"/>
      <c r="D590" s="1485"/>
      <c r="E590" s="1485"/>
      <c r="F590" s="1485"/>
      <c r="G590" s="1485"/>
      <c r="H590" s="1485"/>
      <c r="I590" s="1485"/>
    </row>
    <row r="591" spans="1:9" x14ac:dyDescent="0.3">
      <c r="A591" s="1410"/>
      <c r="B591" s="1410"/>
      <c r="C591" s="1410"/>
      <c r="D591" s="1485"/>
      <c r="E591" s="1485"/>
      <c r="F591" s="1485"/>
      <c r="G591" s="1485"/>
      <c r="H591" s="1485"/>
      <c r="I591" s="1485"/>
    </row>
    <row r="592" spans="1:9" x14ac:dyDescent="0.3">
      <c r="A592" s="1410"/>
      <c r="B592" s="1410"/>
      <c r="C592" s="1410"/>
      <c r="D592" s="1485"/>
      <c r="E592" s="1485"/>
      <c r="F592" s="1485"/>
      <c r="G592" s="1485"/>
      <c r="H592" s="1485"/>
      <c r="I592" s="1485"/>
    </row>
    <row r="593" spans="1:9" x14ac:dyDescent="0.3">
      <c r="A593" s="1410"/>
      <c r="B593" s="1410"/>
      <c r="C593" s="1410"/>
      <c r="D593" s="1485"/>
      <c r="E593" s="1485"/>
      <c r="F593" s="1485"/>
      <c r="G593" s="1485"/>
      <c r="H593" s="1485"/>
      <c r="I593" s="1485"/>
    </row>
    <row r="594" spans="1:9" x14ac:dyDescent="0.3">
      <c r="A594" s="1410"/>
      <c r="B594" s="1410"/>
      <c r="C594" s="1410"/>
      <c r="D594" s="1485"/>
      <c r="E594" s="1485"/>
      <c r="F594" s="1485"/>
      <c r="G594" s="1485"/>
      <c r="H594" s="1485"/>
      <c r="I594" s="1485"/>
    </row>
    <row r="595" spans="1:9" x14ac:dyDescent="0.3">
      <c r="A595" s="1410"/>
      <c r="B595" s="1410"/>
      <c r="C595" s="1410"/>
      <c r="D595" s="1485"/>
      <c r="E595" s="1485"/>
      <c r="F595" s="1485"/>
      <c r="G595" s="1485"/>
      <c r="H595" s="1485"/>
      <c r="I595" s="1485"/>
    </row>
    <row r="596" spans="1:9" x14ac:dyDescent="0.3">
      <c r="A596" s="1410"/>
      <c r="B596" s="1410"/>
      <c r="C596" s="1410"/>
      <c r="D596" s="1485"/>
      <c r="E596" s="1485"/>
      <c r="F596" s="1485"/>
      <c r="G596" s="1485"/>
      <c r="H596" s="1485"/>
      <c r="I596" s="1485"/>
    </row>
    <row r="597" spans="1:9" x14ac:dyDescent="0.3">
      <c r="A597" s="1410"/>
      <c r="B597" s="1410"/>
      <c r="C597" s="1410"/>
      <c r="D597" s="1485"/>
      <c r="E597" s="1485"/>
      <c r="F597" s="1485"/>
      <c r="G597" s="1485"/>
      <c r="H597" s="1485"/>
      <c r="I597" s="1485"/>
    </row>
    <row r="598" spans="1:9" x14ac:dyDescent="0.3">
      <c r="A598" s="1410"/>
      <c r="B598" s="1410"/>
      <c r="C598" s="1410"/>
      <c r="D598" s="1485"/>
      <c r="E598" s="1485"/>
      <c r="F598" s="1485"/>
      <c r="G598" s="1485"/>
      <c r="H598" s="1485"/>
      <c r="I598" s="1485"/>
    </row>
    <row r="599" spans="1:9" x14ac:dyDescent="0.3">
      <c r="A599" s="1410"/>
      <c r="B599" s="1410"/>
      <c r="C599" s="1410"/>
      <c r="D599" s="1485"/>
      <c r="E599" s="1485"/>
      <c r="F599" s="1485"/>
      <c r="G599" s="1485"/>
      <c r="H599" s="1485"/>
      <c r="I599" s="1485"/>
    </row>
    <row r="600" spans="1:9" x14ac:dyDescent="0.3">
      <c r="A600" s="1410"/>
      <c r="B600" s="1410"/>
      <c r="C600" s="1410"/>
      <c r="D600" s="1485"/>
      <c r="E600" s="1485"/>
      <c r="F600" s="1485"/>
      <c r="G600" s="1485"/>
      <c r="H600" s="1485"/>
      <c r="I600" s="1485"/>
    </row>
    <row r="601" spans="1:9" x14ac:dyDescent="0.3">
      <c r="A601" s="1410"/>
      <c r="B601" s="1410"/>
      <c r="C601" s="1410"/>
      <c r="D601" s="1485"/>
      <c r="E601" s="1485"/>
      <c r="F601" s="1485"/>
      <c r="G601" s="1485"/>
      <c r="H601" s="1485"/>
      <c r="I601" s="1485"/>
    </row>
    <row r="602" spans="1:9" x14ac:dyDescent="0.3">
      <c r="A602" s="1410"/>
      <c r="B602" s="1410"/>
      <c r="C602" s="1410"/>
      <c r="D602" s="1485"/>
      <c r="E602" s="1485"/>
      <c r="F602" s="1485"/>
      <c r="G602" s="1485"/>
      <c r="H602" s="1485"/>
      <c r="I602" s="1485"/>
    </row>
    <row r="603" spans="1:9" x14ac:dyDescent="0.3">
      <c r="A603" s="1410"/>
      <c r="B603" s="1410"/>
      <c r="C603" s="1410"/>
      <c r="D603" s="1485"/>
      <c r="E603" s="1485"/>
      <c r="F603" s="1485"/>
      <c r="G603" s="1485"/>
      <c r="H603" s="1485"/>
      <c r="I603" s="1485"/>
    </row>
    <row r="604" spans="1:9" x14ac:dyDescent="0.3">
      <c r="A604" s="1410"/>
      <c r="B604" s="1410"/>
      <c r="C604" s="1410"/>
      <c r="D604" s="1485"/>
      <c r="E604" s="1485"/>
      <c r="F604" s="1485"/>
      <c r="G604" s="1485"/>
      <c r="H604" s="1485"/>
      <c r="I604" s="1485"/>
    </row>
    <row r="605" spans="1:9" x14ac:dyDescent="0.3">
      <c r="A605" s="1410"/>
      <c r="B605" s="1410"/>
      <c r="C605" s="1410"/>
      <c r="D605" s="1485"/>
      <c r="E605" s="1485"/>
      <c r="F605" s="1485"/>
      <c r="G605" s="1485"/>
      <c r="H605" s="1485"/>
      <c r="I605" s="1485"/>
    </row>
    <row r="606" spans="1:9" x14ac:dyDescent="0.3">
      <c r="A606" s="1410"/>
      <c r="B606" s="1410"/>
      <c r="C606" s="1410"/>
      <c r="D606" s="1485"/>
      <c r="E606" s="1485"/>
      <c r="F606" s="1485"/>
      <c r="G606" s="1485"/>
      <c r="H606" s="1485"/>
      <c r="I606" s="1485"/>
    </row>
    <row r="607" spans="1:9" x14ac:dyDescent="0.3">
      <c r="A607" s="1410"/>
      <c r="B607" s="1410"/>
      <c r="C607" s="1410"/>
      <c r="D607" s="1485"/>
      <c r="E607" s="1485"/>
      <c r="F607" s="1485"/>
      <c r="G607" s="1485"/>
      <c r="H607" s="1485"/>
      <c r="I607" s="1485"/>
    </row>
    <row r="608" spans="1:9" x14ac:dyDescent="0.3">
      <c r="A608" s="1410"/>
      <c r="B608" s="1410"/>
      <c r="C608" s="1410"/>
      <c r="D608" s="1485"/>
      <c r="E608" s="1485"/>
      <c r="F608" s="1485"/>
      <c r="G608" s="1485"/>
      <c r="H608" s="1485"/>
      <c r="I608" s="1485"/>
    </row>
    <row r="609" spans="1:9" x14ac:dyDescent="0.3">
      <c r="A609" s="1410"/>
      <c r="B609" s="1410"/>
      <c r="C609" s="1410"/>
      <c r="D609" s="1485"/>
      <c r="E609" s="1485"/>
      <c r="F609" s="1485"/>
      <c r="G609" s="1485"/>
      <c r="H609" s="1485"/>
      <c r="I609" s="1485"/>
    </row>
    <row r="610" spans="1:9" x14ac:dyDescent="0.3">
      <c r="A610" s="1410"/>
      <c r="B610" s="1410"/>
      <c r="C610" s="1410"/>
      <c r="D610" s="1485"/>
      <c r="E610" s="1485"/>
      <c r="F610" s="1485"/>
      <c r="G610" s="1485"/>
      <c r="H610" s="1485"/>
      <c r="I610" s="1485"/>
    </row>
    <row r="611" spans="1:9" x14ac:dyDescent="0.3">
      <c r="A611" s="1410"/>
      <c r="B611" s="1410"/>
      <c r="C611" s="1410"/>
      <c r="D611" s="1485"/>
      <c r="E611" s="1485"/>
      <c r="F611" s="1485"/>
      <c r="G611" s="1485"/>
      <c r="H611" s="1485"/>
      <c r="I611" s="1485"/>
    </row>
    <row r="612" spans="1:9" x14ac:dyDescent="0.3">
      <c r="A612" s="1410"/>
      <c r="B612" s="1410"/>
      <c r="C612" s="1410"/>
      <c r="D612" s="1485"/>
      <c r="E612" s="1485"/>
      <c r="F612" s="1485"/>
      <c r="G612" s="1485"/>
      <c r="H612" s="1485"/>
      <c r="I612" s="1485"/>
    </row>
    <row r="613" spans="1:9" x14ac:dyDescent="0.3">
      <c r="A613" s="1410"/>
      <c r="B613" s="1410"/>
      <c r="C613" s="1410"/>
      <c r="D613" s="1485"/>
      <c r="E613" s="1485"/>
      <c r="F613" s="1485"/>
      <c r="G613" s="1485"/>
      <c r="H613" s="1485"/>
      <c r="I613" s="1485"/>
    </row>
    <row r="614" spans="1:9" x14ac:dyDescent="0.3">
      <c r="A614" s="1410"/>
      <c r="B614" s="1410"/>
      <c r="C614" s="1410"/>
      <c r="D614" s="1485"/>
      <c r="E614" s="1485"/>
      <c r="F614" s="1485"/>
      <c r="G614" s="1485"/>
      <c r="H614" s="1485"/>
      <c r="I614" s="1485"/>
    </row>
    <row r="615" spans="1:9" x14ac:dyDescent="0.3">
      <c r="A615" s="1410"/>
      <c r="B615" s="1410"/>
      <c r="C615" s="1410"/>
      <c r="D615" s="1485"/>
      <c r="E615" s="1485"/>
      <c r="F615" s="1485"/>
      <c r="G615" s="1485"/>
      <c r="H615" s="1485"/>
      <c r="I615" s="1485"/>
    </row>
    <row r="616" spans="1:9" x14ac:dyDescent="0.3">
      <c r="A616" s="1410"/>
      <c r="B616" s="1410"/>
      <c r="C616" s="1410"/>
      <c r="D616" s="1485"/>
      <c r="E616" s="1485"/>
      <c r="F616" s="1485"/>
      <c r="G616" s="1485"/>
      <c r="H616" s="1485"/>
      <c r="I616" s="1485"/>
    </row>
    <row r="617" spans="1:9" x14ac:dyDescent="0.3">
      <c r="A617" s="1410"/>
      <c r="B617" s="1410"/>
      <c r="C617" s="1410"/>
      <c r="D617" s="1485"/>
      <c r="E617" s="1485"/>
      <c r="F617" s="1485"/>
      <c r="G617" s="1485"/>
      <c r="H617" s="1485"/>
      <c r="I617" s="1485"/>
    </row>
    <row r="618" spans="1:9" x14ac:dyDescent="0.3">
      <c r="A618" s="1410"/>
      <c r="B618" s="1410"/>
      <c r="C618" s="1410"/>
      <c r="D618" s="1485"/>
      <c r="E618" s="1485"/>
      <c r="F618" s="1485"/>
      <c r="G618" s="1485"/>
      <c r="H618" s="1485"/>
      <c r="I618" s="1485"/>
    </row>
    <row r="619" spans="1:9" x14ac:dyDescent="0.3">
      <c r="A619" s="1410"/>
      <c r="B619" s="1410"/>
      <c r="C619" s="1410"/>
      <c r="D619" s="1485"/>
      <c r="E619" s="1485"/>
      <c r="F619" s="1485"/>
      <c r="G619" s="1485"/>
      <c r="H619" s="1485"/>
      <c r="I619" s="1485"/>
    </row>
    <row r="620" spans="1:9" x14ac:dyDescent="0.3">
      <c r="A620" s="1410"/>
      <c r="B620" s="1410"/>
      <c r="C620" s="1410"/>
      <c r="D620" s="1485"/>
      <c r="E620" s="1485"/>
      <c r="F620" s="1485"/>
      <c r="G620" s="1485"/>
      <c r="H620" s="1485"/>
      <c r="I620" s="1485"/>
    </row>
    <row r="621" spans="1:9" x14ac:dyDescent="0.3">
      <c r="A621" s="1410"/>
      <c r="B621" s="1410"/>
      <c r="C621" s="1410"/>
      <c r="D621" s="1485"/>
      <c r="E621" s="1485"/>
      <c r="F621" s="1485"/>
      <c r="G621" s="1485"/>
      <c r="H621" s="1485"/>
      <c r="I621" s="1485"/>
    </row>
    <row r="622" spans="1:9" x14ac:dyDescent="0.3">
      <c r="A622" s="1410"/>
      <c r="B622" s="1410"/>
      <c r="C622" s="1410"/>
      <c r="D622" s="1485"/>
      <c r="E622" s="1485"/>
      <c r="F622" s="1485"/>
      <c r="G622" s="1485"/>
      <c r="H622" s="1485"/>
      <c r="I622" s="1485"/>
    </row>
    <row r="623" spans="1:9" x14ac:dyDescent="0.3">
      <c r="A623" s="1410"/>
      <c r="B623" s="1410"/>
      <c r="C623" s="1410"/>
      <c r="D623" s="1485"/>
      <c r="E623" s="1485"/>
      <c r="F623" s="1485"/>
      <c r="G623" s="1485"/>
      <c r="H623" s="1485"/>
      <c r="I623" s="1485"/>
    </row>
    <row r="624" spans="1:9" x14ac:dyDescent="0.3">
      <c r="A624" s="1410"/>
      <c r="B624" s="1410"/>
      <c r="C624" s="1410"/>
      <c r="D624" s="1485"/>
      <c r="E624" s="1485"/>
      <c r="F624" s="1485"/>
      <c r="G624" s="1485"/>
      <c r="H624" s="1485"/>
      <c r="I624" s="1485"/>
    </row>
    <row r="625" spans="1:9" x14ac:dyDescent="0.3">
      <c r="A625" s="1410"/>
      <c r="B625" s="1410"/>
      <c r="C625" s="1410"/>
      <c r="D625" s="1485"/>
      <c r="E625" s="1485"/>
      <c r="F625" s="1485"/>
      <c r="G625" s="1485"/>
      <c r="H625" s="1485"/>
      <c r="I625" s="1485"/>
    </row>
    <row r="626" spans="1:9" x14ac:dyDescent="0.3">
      <c r="A626" s="1410"/>
      <c r="B626" s="1410"/>
      <c r="C626" s="1410"/>
      <c r="D626" s="1485"/>
      <c r="E626" s="1485"/>
      <c r="F626" s="1485"/>
      <c r="G626" s="1485"/>
      <c r="H626" s="1485"/>
      <c r="I626" s="1485"/>
    </row>
    <row r="627" spans="1:9" x14ac:dyDescent="0.3">
      <c r="A627" s="1410"/>
      <c r="B627" s="1410"/>
      <c r="C627" s="1410"/>
      <c r="D627" s="1485"/>
      <c r="E627" s="1485"/>
      <c r="F627" s="1485"/>
      <c r="G627" s="1485"/>
      <c r="H627" s="1485"/>
      <c r="I627" s="1485"/>
    </row>
    <row r="628" spans="1:9" x14ac:dyDescent="0.3">
      <c r="A628" s="1410"/>
      <c r="B628" s="1410"/>
      <c r="C628" s="1410"/>
      <c r="D628" s="1485"/>
      <c r="E628" s="1485"/>
      <c r="F628" s="1485"/>
      <c r="G628" s="1485"/>
      <c r="H628" s="1485"/>
      <c r="I628" s="1485"/>
    </row>
    <row r="629" spans="1:9" x14ac:dyDescent="0.3">
      <c r="A629" s="1410"/>
      <c r="B629" s="1410"/>
      <c r="C629" s="1410"/>
      <c r="D629" s="1485"/>
      <c r="E629" s="1485"/>
      <c r="F629" s="1485"/>
      <c r="G629" s="1485"/>
      <c r="H629" s="1485"/>
      <c r="I629" s="1485"/>
    </row>
    <row r="630" spans="1:9" x14ac:dyDescent="0.3">
      <c r="A630" s="1410"/>
      <c r="B630" s="1410"/>
      <c r="C630" s="1410"/>
      <c r="D630" s="1485"/>
      <c r="E630" s="1485"/>
      <c r="F630" s="1485"/>
      <c r="G630" s="1485"/>
      <c r="H630" s="1485"/>
      <c r="I630" s="1485"/>
    </row>
    <row r="631" spans="1:9" x14ac:dyDescent="0.3">
      <c r="A631" s="1410"/>
      <c r="B631" s="1410"/>
      <c r="C631" s="1410"/>
      <c r="D631" s="1485"/>
      <c r="E631" s="1485"/>
      <c r="F631" s="1485"/>
      <c r="G631" s="1485"/>
      <c r="H631" s="1485"/>
      <c r="I631" s="1485"/>
    </row>
    <row r="632" spans="1:9" x14ac:dyDescent="0.3">
      <c r="A632" s="1410"/>
      <c r="B632" s="1410"/>
      <c r="C632" s="1410"/>
      <c r="D632" s="1485"/>
      <c r="E632" s="1485"/>
      <c r="F632" s="1485"/>
      <c r="G632" s="1485"/>
      <c r="H632" s="1485"/>
      <c r="I632" s="1485"/>
    </row>
    <row r="633" spans="1:9" x14ac:dyDescent="0.3">
      <c r="A633" s="1410"/>
      <c r="B633" s="1410"/>
      <c r="C633" s="1410"/>
      <c r="D633" s="1485"/>
      <c r="E633" s="1485"/>
      <c r="F633" s="1485"/>
      <c r="G633" s="1485"/>
      <c r="H633" s="1485"/>
      <c r="I633" s="1485"/>
    </row>
    <row r="634" spans="1:9" x14ac:dyDescent="0.3">
      <c r="A634" s="1410"/>
      <c r="B634" s="1410"/>
      <c r="C634" s="1410"/>
      <c r="D634" s="1485"/>
      <c r="E634" s="1485"/>
      <c r="F634" s="1485"/>
      <c r="G634" s="1485"/>
      <c r="H634" s="1485"/>
      <c r="I634" s="1485"/>
    </row>
    <row r="635" spans="1:9" x14ac:dyDescent="0.3">
      <c r="A635" s="1410"/>
      <c r="B635" s="1410"/>
      <c r="C635" s="1410"/>
      <c r="D635" s="1485"/>
      <c r="E635" s="1485"/>
      <c r="F635" s="1485"/>
      <c r="G635" s="1485"/>
      <c r="H635" s="1485"/>
      <c r="I635" s="1485"/>
    </row>
    <row r="636" spans="1:9" x14ac:dyDescent="0.3">
      <c r="A636" s="1410"/>
      <c r="B636" s="1410"/>
      <c r="C636" s="1410"/>
      <c r="D636" s="1485"/>
      <c r="E636" s="1485"/>
      <c r="F636" s="1485"/>
      <c r="G636" s="1485"/>
      <c r="H636" s="1485"/>
      <c r="I636" s="1485"/>
    </row>
    <row r="637" spans="1:9" x14ac:dyDescent="0.3">
      <c r="A637" s="1410"/>
      <c r="B637" s="1410"/>
      <c r="C637" s="1410"/>
      <c r="D637" s="1485"/>
      <c r="E637" s="1485"/>
      <c r="F637" s="1485"/>
      <c r="G637" s="1485"/>
      <c r="H637" s="1485"/>
      <c r="I637" s="1485"/>
    </row>
    <row r="638" spans="1:9" x14ac:dyDescent="0.3">
      <c r="A638" s="1410"/>
      <c r="B638" s="1410"/>
      <c r="C638" s="1410"/>
      <c r="D638" s="1485"/>
      <c r="E638" s="1485"/>
      <c r="F638" s="1485"/>
      <c r="G638" s="1485"/>
      <c r="H638" s="1485"/>
      <c r="I638" s="1485"/>
    </row>
    <row r="639" spans="1:9" x14ac:dyDescent="0.3">
      <c r="A639" s="1410"/>
      <c r="B639" s="1410"/>
      <c r="C639" s="1410"/>
      <c r="D639" s="1485"/>
      <c r="E639" s="1485"/>
      <c r="F639" s="1485"/>
      <c r="G639" s="1485"/>
      <c r="H639" s="1485"/>
      <c r="I639" s="1485"/>
    </row>
    <row r="640" spans="1:9" x14ac:dyDescent="0.3">
      <c r="A640" s="1410"/>
      <c r="B640" s="1410"/>
      <c r="C640" s="1410"/>
      <c r="D640" s="1485"/>
      <c r="E640" s="1485"/>
      <c r="F640" s="1485"/>
      <c r="G640" s="1485"/>
      <c r="H640" s="1485"/>
      <c r="I640" s="1485"/>
    </row>
    <row r="641" spans="1:9" x14ac:dyDescent="0.3">
      <c r="A641" s="1410"/>
      <c r="B641" s="1410"/>
      <c r="C641" s="1410"/>
      <c r="D641" s="1485"/>
      <c r="E641" s="1485"/>
      <c r="F641" s="1485"/>
      <c r="G641" s="1485"/>
      <c r="H641" s="1485"/>
      <c r="I641" s="1485"/>
    </row>
    <row r="642" spans="1:9" x14ac:dyDescent="0.3">
      <c r="A642" s="1410"/>
      <c r="B642" s="1410"/>
      <c r="C642" s="1410"/>
      <c r="D642" s="1485"/>
      <c r="E642" s="1485"/>
      <c r="F642" s="1485"/>
      <c r="G642" s="1485"/>
      <c r="H642" s="1485"/>
      <c r="I642" s="1485"/>
    </row>
    <row r="643" spans="1:9" x14ac:dyDescent="0.3">
      <c r="A643" s="1410"/>
      <c r="B643" s="1410"/>
      <c r="C643" s="1410"/>
      <c r="D643" s="1485"/>
      <c r="E643" s="1485"/>
      <c r="F643" s="1485"/>
      <c r="G643" s="1485"/>
      <c r="H643" s="1485"/>
      <c r="I643" s="1485"/>
    </row>
    <row r="644" spans="1:9" x14ac:dyDescent="0.3">
      <c r="A644" s="1410"/>
      <c r="B644" s="1410"/>
      <c r="C644" s="1410"/>
      <c r="D644" s="1485"/>
      <c r="E644" s="1485"/>
      <c r="F644" s="1485"/>
      <c r="G644" s="1485"/>
      <c r="H644" s="1485"/>
      <c r="I644" s="1485"/>
    </row>
    <row r="645" spans="1:9" x14ac:dyDescent="0.3">
      <c r="A645" s="1410"/>
      <c r="B645" s="1410"/>
      <c r="C645" s="1410"/>
      <c r="D645" s="1485"/>
      <c r="E645" s="1485"/>
      <c r="F645" s="1485"/>
      <c r="G645" s="1485"/>
      <c r="H645" s="1485"/>
      <c r="I645" s="1485"/>
    </row>
    <row r="646" spans="1:9" x14ac:dyDescent="0.3">
      <c r="A646" s="1410"/>
      <c r="B646" s="1410"/>
      <c r="C646" s="1410"/>
      <c r="D646" s="1485"/>
      <c r="E646" s="1485"/>
      <c r="F646" s="1485"/>
      <c r="G646" s="1485"/>
      <c r="H646" s="1485"/>
      <c r="I646" s="1485"/>
    </row>
    <row r="647" spans="1:9" x14ac:dyDescent="0.3">
      <c r="A647" s="1410"/>
      <c r="B647" s="1410"/>
      <c r="C647" s="1410"/>
      <c r="D647" s="1485"/>
      <c r="E647" s="1485"/>
      <c r="F647" s="1485"/>
      <c r="G647" s="1485"/>
      <c r="H647" s="1485"/>
      <c r="I647" s="1485"/>
    </row>
    <row r="648" spans="1:9" x14ac:dyDescent="0.3">
      <c r="A648" s="1410"/>
      <c r="B648" s="1410"/>
      <c r="C648" s="1410"/>
      <c r="D648" s="1485"/>
      <c r="E648" s="1485"/>
      <c r="F648" s="1485"/>
      <c r="G648" s="1485"/>
      <c r="H648" s="1485"/>
      <c r="I648" s="1485"/>
    </row>
    <row r="649" spans="1:9" x14ac:dyDescent="0.3">
      <c r="A649" s="1410"/>
      <c r="B649" s="1410"/>
      <c r="C649" s="1410"/>
      <c r="D649" s="1485"/>
      <c r="E649" s="1485"/>
      <c r="F649" s="1485"/>
      <c r="G649" s="1485"/>
      <c r="H649" s="1485"/>
      <c r="I649" s="1485"/>
    </row>
    <row r="650" spans="1:9" x14ac:dyDescent="0.3">
      <c r="A650" s="1410"/>
      <c r="B650" s="1410"/>
      <c r="C650" s="1410"/>
      <c r="D650" s="1485"/>
      <c r="E650" s="1485"/>
      <c r="F650" s="1485"/>
      <c r="G650" s="1485"/>
      <c r="H650" s="1485"/>
      <c r="I650" s="1485"/>
    </row>
    <row r="651" spans="1:9" x14ac:dyDescent="0.3">
      <c r="A651" s="1410"/>
      <c r="B651" s="1410"/>
      <c r="C651" s="1410"/>
      <c r="D651" s="1485"/>
      <c r="E651" s="1485"/>
      <c r="F651" s="1485"/>
      <c r="G651" s="1485"/>
      <c r="H651" s="1485"/>
      <c r="I651" s="1485"/>
    </row>
    <row r="652" spans="1:9" x14ac:dyDescent="0.3">
      <c r="A652" s="1410"/>
      <c r="B652" s="1410"/>
      <c r="C652" s="1410"/>
      <c r="D652" s="1485"/>
      <c r="E652" s="1485"/>
      <c r="F652" s="1485"/>
      <c r="G652" s="1485"/>
      <c r="H652" s="1485"/>
      <c r="I652" s="1485"/>
    </row>
    <row r="653" spans="1:9" x14ac:dyDescent="0.3">
      <c r="A653" s="1410"/>
      <c r="B653" s="1410"/>
      <c r="C653" s="1410"/>
      <c r="D653" s="1485"/>
      <c r="E653" s="1485"/>
      <c r="F653" s="1485"/>
      <c r="G653" s="1485"/>
      <c r="H653" s="1485"/>
      <c r="I653" s="1485"/>
    </row>
    <row r="654" spans="1:9" x14ac:dyDescent="0.3">
      <c r="A654" s="1410"/>
      <c r="B654" s="1410"/>
      <c r="C654" s="1410"/>
      <c r="D654" s="1485"/>
      <c r="E654" s="1485"/>
      <c r="F654" s="1485"/>
      <c r="G654" s="1485"/>
      <c r="H654" s="1485"/>
      <c r="I654" s="1485"/>
    </row>
    <row r="655" spans="1:9" x14ac:dyDescent="0.3">
      <c r="A655" s="1410"/>
      <c r="B655" s="1410"/>
      <c r="C655" s="1410"/>
      <c r="D655" s="1485"/>
      <c r="E655" s="1485"/>
      <c r="F655" s="1485"/>
      <c r="G655" s="1485"/>
      <c r="H655" s="1485"/>
      <c r="I655" s="1485"/>
    </row>
    <row r="656" spans="1:9" x14ac:dyDescent="0.3">
      <c r="A656" s="1410"/>
      <c r="B656" s="1410"/>
      <c r="C656" s="1410"/>
      <c r="D656" s="1485"/>
      <c r="E656" s="1485"/>
      <c r="F656" s="1485"/>
      <c r="G656" s="1485"/>
      <c r="H656" s="1485"/>
      <c r="I656" s="1485"/>
    </row>
    <row r="657" spans="1:9" x14ac:dyDescent="0.3">
      <c r="A657" s="1410"/>
      <c r="B657" s="1410"/>
      <c r="C657" s="1410"/>
      <c r="D657" s="1485"/>
      <c r="E657" s="1485"/>
      <c r="F657" s="1485"/>
      <c r="G657" s="1485"/>
      <c r="H657" s="1485"/>
      <c r="I657" s="1485"/>
    </row>
    <row r="658" spans="1:9" x14ac:dyDescent="0.3">
      <c r="A658" s="1410"/>
      <c r="B658" s="1410"/>
      <c r="C658" s="1410"/>
      <c r="D658" s="1485"/>
      <c r="E658" s="1485"/>
      <c r="F658" s="1485"/>
      <c r="G658" s="1485"/>
      <c r="H658" s="1485"/>
      <c r="I658" s="1485"/>
    </row>
    <row r="659" spans="1:9" x14ac:dyDescent="0.3">
      <c r="A659" s="1410"/>
      <c r="B659" s="1410"/>
      <c r="C659" s="1410"/>
      <c r="D659" s="1485"/>
      <c r="E659" s="1485"/>
      <c r="F659" s="1485"/>
      <c r="G659" s="1485"/>
      <c r="H659" s="1485"/>
      <c r="I659" s="1485"/>
    </row>
    <row r="660" spans="1:9" x14ac:dyDescent="0.3">
      <c r="A660" s="1410"/>
      <c r="B660" s="1410"/>
      <c r="C660" s="1410"/>
      <c r="D660" s="1485"/>
      <c r="E660" s="1485"/>
      <c r="F660" s="1485"/>
      <c r="G660" s="1485"/>
      <c r="H660" s="1485"/>
      <c r="I660" s="1485"/>
    </row>
    <row r="661" spans="1:9" x14ac:dyDescent="0.3">
      <c r="A661" s="1410"/>
      <c r="B661" s="1410"/>
      <c r="C661" s="1410"/>
      <c r="D661" s="1485"/>
      <c r="E661" s="1485"/>
      <c r="F661" s="1485"/>
      <c r="G661" s="1485"/>
      <c r="H661" s="1485"/>
      <c r="I661" s="1485"/>
    </row>
    <row r="662" spans="1:9" x14ac:dyDescent="0.3">
      <c r="A662" s="1410"/>
      <c r="B662" s="1410"/>
      <c r="C662" s="1410"/>
      <c r="D662" s="1485"/>
      <c r="E662" s="1485"/>
      <c r="F662" s="1485"/>
      <c r="G662" s="1485"/>
      <c r="H662" s="1485"/>
      <c r="I662" s="1485"/>
    </row>
    <row r="663" spans="1:9" x14ac:dyDescent="0.3">
      <c r="A663" s="1410"/>
      <c r="B663" s="1410"/>
      <c r="C663" s="1410"/>
      <c r="D663" s="1485"/>
      <c r="E663" s="1485"/>
      <c r="F663" s="1485"/>
      <c r="G663" s="1485"/>
      <c r="H663" s="1485"/>
      <c r="I663" s="1485"/>
    </row>
    <row r="664" spans="1:9" x14ac:dyDescent="0.3">
      <c r="A664" s="1410"/>
      <c r="B664" s="1410"/>
      <c r="C664" s="1410"/>
      <c r="D664" s="1485"/>
      <c r="E664" s="1485"/>
      <c r="F664" s="1485"/>
      <c r="G664" s="1485"/>
      <c r="H664" s="1485"/>
      <c r="I664" s="1485"/>
    </row>
    <row r="665" spans="1:9" x14ac:dyDescent="0.3">
      <c r="A665" s="1410"/>
      <c r="B665" s="1410"/>
      <c r="C665" s="1410"/>
      <c r="D665" s="1485"/>
      <c r="E665" s="1485"/>
      <c r="F665" s="1485"/>
      <c r="G665" s="1485"/>
      <c r="H665" s="1485"/>
      <c r="I665" s="1485"/>
    </row>
    <row r="666" spans="1:9" x14ac:dyDescent="0.3">
      <c r="A666" s="1410"/>
      <c r="B666" s="1410"/>
      <c r="C666" s="1410"/>
      <c r="D666" s="1485"/>
      <c r="E666" s="1485"/>
      <c r="F666" s="1485"/>
      <c r="G666" s="1485"/>
      <c r="H666" s="1485"/>
      <c r="I666" s="1485"/>
    </row>
    <row r="667" spans="1:9" x14ac:dyDescent="0.3">
      <c r="A667" s="1410"/>
      <c r="B667" s="1410"/>
      <c r="C667" s="1410"/>
      <c r="D667" s="1485"/>
      <c r="E667" s="1485"/>
      <c r="F667" s="1485"/>
      <c r="G667" s="1485"/>
      <c r="H667" s="1485"/>
      <c r="I667" s="1485"/>
    </row>
    <row r="668" spans="1:9" x14ac:dyDescent="0.3">
      <c r="A668" s="1410"/>
      <c r="B668" s="1410"/>
      <c r="C668" s="1410"/>
      <c r="D668" s="1485"/>
      <c r="E668" s="1485"/>
      <c r="F668" s="1485"/>
      <c r="G668" s="1485"/>
      <c r="H668" s="1485"/>
      <c r="I668" s="1485"/>
    </row>
    <row r="669" spans="1:9" x14ac:dyDescent="0.3">
      <c r="A669" s="1410"/>
      <c r="B669" s="1410"/>
      <c r="C669" s="1410"/>
      <c r="D669" s="1485"/>
      <c r="E669" s="1485"/>
      <c r="F669" s="1485"/>
      <c r="G669" s="1485"/>
      <c r="H669" s="1485"/>
      <c r="I669" s="1485"/>
    </row>
    <row r="670" spans="1:9" x14ac:dyDescent="0.3">
      <c r="A670" s="1410"/>
      <c r="B670" s="1410"/>
      <c r="C670" s="1410"/>
      <c r="D670" s="1485"/>
      <c r="E670" s="1485"/>
      <c r="F670" s="1485"/>
      <c r="G670" s="1485"/>
      <c r="H670" s="1485"/>
      <c r="I670" s="1485"/>
    </row>
    <row r="671" spans="1:9" x14ac:dyDescent="0.3">
      <c r="A671" s="1410"/>
      <c r="B671" s="1410"/>
      <c r="C671" s="1410"/>
      <c r="D671" s="1485"/>
      <c r="E671" s="1485"/>
      <c r="F671" s="1485"/>
      <c r="G671" s="1485"/>
      <c r="H671" s="1485"/>
      <c r="I671" s="1485"/>
    </row>
    <row r="672" spans="1:9" x14ac:dyDescent="0.3">
      <c r="A672" s="1410"/>
      <c r="B672" s="1410"/>
      <c r="C672" s="1410"/>
      <c r="D672" s="1485"/>
      <c r="E672" s="1485"/>
      <c r="F672" s="1485"/>
      <c r="G672" s="1485"/>
      <c r="H672" s="1485"/>
      <c r="I672" s="1485"/>
    </row>
    <row r="673" spans="1:9" x14ac:dyDescent="0.3">
      <c r="A673" s="1410"/>
      <c r="B673" s="1410"/>
      <c r="C673" s="1410"/>
      <c r="D673" s="1485"/>
      <c r="E673" s="1485"/>
      <c r="F673" s="1485"/>
      <c r="G673" s="1485"/>
      <c r="H673" s="1485"/>
      <c r="I673" s="1485"/>
    </row>
    <row r="674" spans="1:9" x14ac:dyDescent="0.3">
      <c r="A674" s="1410"/>
      <c r="B674" s="1410"/>
      <c r="C674" s="1410"/>
      <c r="D674" s="1485"/>
      <c r="E674" s="1485"/>
      <c r="F674" s="1485"/>
      <c r="G674" s="1485"/>
      <c r="H674" s="1485"/>
      <c r="I674" s="1485"/>
    </row>
    <row r="675" spans="1:9" x14ac:dyDescent="0.3">
      <c r="A675" s="1410"/>
      <c r="B675" s="1410"/>
      <c r="C675" s="1410"/>
      <c r="D675" s="1485"/>
      <c r="E675" s="1485"/>
      <c r="F675" s="1485"/>
      <c r="G675" s="1485"/>
      <c r="H675" s="1485"/>
      <c r="I675" s="1485"/>
    </row>
    <row r="676" spans="1:9" x14ac:dyDescent="0.3">
      <c r="A676" s="1410"/>
      <c r="B676" s="1410"/>
      <c r="C676" s="1410"/>
      <c r="D676" s="1485"/>
      <c r="E676" s="1485"/>
      <c r="F676" s="1485"/>
      <c r="G676" s="1485"/>
      <c r="H676" s="1485"/>
      <c r="I676" s="1485"/>
    </row>
    <row r="677" spans="1:9" x14ac:dyDescent="0.3">
      <c r="A677" s="1410"/>
      <c r="B677" s="1410"/>
      <c r="C677" s="1410"/>
      <c r="D677" s="1485"/>
      <c r="E677" s="1485"/>
      <c r="F677" s="1485"/>
      <c r="G677" s="1485"/>
      <c r="H677" s="1485"/>
      <c r="I677" s="1485"/>
    </row>
    <row r="678" spans="1:9" x14ac:dyDescent="0.3">
      <c r="A678" s="1410"/>
      <c r="B678" s="1410"/>
      <c r="C678" s="1410"/>
      <c r="D678" s="1485"/>
      <c r="E678" s="1485"/>
      <c r="F678" s="1485"/>
      <c r="G678" s="1485"/>
      <c r="H678" s="1485"/>
      <c r="I678" s="1485"/>
    </row>
    <row r="679" spans="1:9" x14ac:dyDescent="0.3">
      <c r="A679" s="1410"/>
      <c r="B679" s="1410"/>
      <c r="C679" s="1410"/>
      <c r="D679" s="1485"/>
      <c r="E679" s="1485"/>
      <c r="F679" s="1485"/>
      <c r="G679" s="1485"/>
      <c r="H679" s="1485"/>
      <c r="I679" s="1485"/>
    </row>
    <row r="680" spans="1:9" x14ac:dyDescent="0.3">
      <c r="A680" s="1410"/>
      <c r="B680" s="1410"/>
      <c r="C680" s="1410"/>
      <c r="D680" s="1485"/>
      <c r="E680" s="1485"/>
      <c r="F680" s="1485"/>
      <c r="G680" s="1485"/>
      <c r="H680" s="1485"/>
      <c r="I680" s="1485"/>
    </row>
    <row r="681" spans="1:9" x14ac:dyDescent="0.3">
      <c r="A681" s="1410"/>
      <c r="B681" s="1410"/>
      <c r="C681" s="1410"/>
      <c r="D681" s="1485"/>
      <c r="E681" s="1485"/>
      <c r="F681" s="1485"/>
      <c r="G681" s="1485"/>
      <c r="H681" s="1485"/>
      <c r="I681" s="1485"/>
    </row>
    <row r="682" spans="1:9" x14ac:dyDescent="0.3">
      <c r="A682" s="1410"/>
      <c r="B682" s="1410"/>
      <c r="C682" s="1410"/>
      <c r="D682" s="1485"/>
      <c r="E682" s="1485"/>
      <c r="F682" s="1485"/>
      <c r="G682" s="1485"/>
      <c r="H682" s="1485"/>
      <c r="I682" s="1485"/>
    </row>
    <row r="683" spans="1:9" x14ac:dyDescent="0.3">
      <c r="A683" s="1410"/>
      <c r="B683" s="1410"/>
      <c r="C683" s="1410"/>
      <c r="D683" s="1485"/>
      <c r="E683" s="1485"/>
      <c r="F683" s="1485"/>
      <c r="G683" s="1485"/>
      <c r="H683" s="1485"/>
      <c r="I683" s="1485"/>
    </row>
    <row r="684" spans="1:9" x14ac:dyDescent="0.3">
      <c r="A684" s="1410"/>
      <c r="B684" s="1410"/>
      <c r="C684" s="1410"/>
      <c r="D684" s="1485"/>
      <c r="E684" s="1485"/>
      <c r="F684" s="1485"/>
      <c r="G684" s="1485"/>
      <c r="H684" s="1485"/>
      <c r="I684" s="1485"/>
    </row>
    <row r="685" spans="1:9" x14ac:dyDescent="0.3">
      <c r="A685" s="1410"/>
      <c r="B685" s="1410"/>
      <c r="C685" s="1410"/>
      <c r="D685" s="1485"/>
      <c r="E685" s="1485"/>
      <c r="F685" s="1485"/>
      <c r="G685" s="1485"/>
      <c r="H685" s="1485"/>
      <c r="I685" s="1485"/>
    </row>
    <row r="686" spans="1:9" x14ac:dyDescent="0.3">
      <c r="A686" s="1410"/>
      <c r="B686" s="1410"/>
      <c r="C686" s="1410"/>
      <c r="D686" s="1485"/>
      <c r="E686" s="1485"/>
      <c r="F686" s="1485"/>
      <c r="G686" s="1485"/>
      <c r="H686" s="1485"/>
      <c r="I686" s="1485"/>
    </row>
    <row r="687" spans="1:9" x14ac:dyDescent="0.3">
      <c r="A687" s="1410"/>
      <c r="B687" s="1410"/>
      <c r="C687" s="1410"/>
      <c r="D687" s="1485"/>
      <c r="E687" s="1485"/>
      <c r="F687" s="1485"/>
      <c r="G687" s="1485"/>
      <c r="H687" s="1485"/>
      <c r="I687" s="1485"/>
    </row>
    <row r="688" spans="1:9" x14ac:dyDescent="0.3">
      <c r="A688" s="1410"/>
      <c r="B688" s="1410"/>
      <c r="C688" s="1410"/>
      <c r="D688" s="1485"/>
      <c r="E688" s="1485"/>
      <c r="F688" s="1485"/>
      <c r="G688" s="1485"/>
      <c r="H688" s="1485"/>
      <c r="I688" s="1485"/>
    </row>
    <row r="689" spans="1:9" x14ac:dyDescent="0.3">
      <c r="A689" s="1410"/>
      <c r="B689" s="1410"/>
      <c r="C689" s="1410"/>
      <c r="D689" s="1485"/>
      <c r="E689" s="1485"/>
      <c r="F689" s="1485"/>
      <c r="G689" s="1485"/>
      <c r="H689" s="1485"/>
      <c r="I689" s="1485"/>
    </row>
    <row r="690" spans="1:9" x14ac:dyDescent="0.3">
      <c r="A690" s="1410"/>
      <c r="B690" s="1410"/>
      <c r="C690" s="1410"/>
      <c r="D690" s="1485"/>
      <c r="E690" s="1485"/>
      <c r="F690" s="1485"/>
      <c r="G690" s="1485"/>
      <c r="H690" s="1485"/>
      <c r="I690" s="1485"/>
    </row>
    <row r="691" spans="1:9" x14ac:dyDescent="0.3">
      <c r="A691" s="1410"/>
      <c r="B691" s="1410"/>
      <c r="C691" s="1410"/>
      <c r="D691" s="1485"/>
      <c r="E691" s="1485"/>
      <c r="F691" s="1485"/>
      <c r="G691" s="1485"/>
      <c r="H691" s="1485"/>
      <c r="I691" s="1485"/>
    </row>
    <row r="692" spans="1:9" x14ac:dyDescent="0.3">
      <c r="A692" s="1410"/>
      <c r="B692" s="1410"/>
      <c r="C692" s="1410"/>
      <c r="D692" s="1485"/>
      <c r="E692" s="1485"/>
      <c r="F692" s="1485"/>
      <c r="G692" s="1485"/>
      <c r="H692" s="1485"/>
      <c r="I692" s="1485"/>
    </row>
    <row r="693" spans="1:9" x14ac:dyDescent="0.3">
      <c r="A693" s="1410"/>
      <c r="B693" s="1410"/>
      <c r="C693" s="1410"/>
      <c r="D693" s="1485"/>
      <c r="E693" s="1485"/>
      <c r="F693" s="1485"/>
      <c r="G693" s="1485"/>
      <c r="H693" s="1485"/>
      <c r="I693" s="1485"/>
    </row>
    <row r="694" spans="1:9" x14ac:dyDescent="0.3">
      <c r="A694" s="1410"/>
      <c r="B694" s="1410"/>
      <c r="C694" s="1410"/>
      <c r="D694" s="1485"/>
      <c r="E694" s="1485"/>
      <c r="F694" s="1485"/>
      <c r="G694" s="1485"/>
      <c r="H694" s="1485"/>
      <c r="I694" s="1485"/>
    </row>
    <row r="695" spans="1:9" x14ac:dyDescent="0.3">
      <c r="A695" s="1410"/>
      <c r="B695" s="1410"/>
      <c r="C695" s="1410"/>
      <c r="D695" s="1485"/>
      <c r="E695" s="1485"/>
      <c r="F695" s="1485"/>
      <c r="G695" s="1485"/>
      <c r="H695" s="1485"/>
      <c r="I695" s="1485"/>
    </row>
    <row r="696" spans="1:9" x14ac:dyDescent="0.3">
      <c r="A696" s="1410"/>
      <c r="B696" s="1410"/>
      <c r="C696" s="1410"/>
      <c r="D696" s="1485"/>
      <c r="E696" s="1485"/>
      <c r="F696" s="1485"/>
      <c r="G696" s="1485"/>
      <c r="H696" s="1485"/>
      <c r="I696" s="1485"/>
    </row>
    <row r="697" spans="1:9" x14ac:dyDescent="0.3">
      <c r="A697" s="1410"/>
      <c r="B697" s="1410"/>
      <c r="C697" s="1410"/>
      <c r="D697" s="1485"/>
      <c r="E697" s="1485"/>
      <c r="F697" s="1485"/>
      <c r="G697" s="1485"/>
      <c r="H697" s="1485"/>
      <c r="I697" s="1485"/>
    </row>
    <row r="698" spans="1:9" x14ac:dyDescent="0.3">
      <c r="A698" s="1410"/>
      <c r="B698" s="1410"/>
      <c r="C698" s="1410"/>
      <c r="D698" s="1485"/>
      <c r="E698" s="1485"/>
      <c r="F698" s="1485"/>
      <c r="G698" s="1485"/>
      <c r="H698" s="1485"/>
      <c r="I698" s="1485"/>
    </row>
    <row r="699" spans="1:9" x14ac:dyDescent="0.3">
      <c r="A699" s="1410"/>
      <c r="B699" s="1410"/>
      <c r="C699" s="1410"/>
      <c r="D699" s="1485"/>
      <c r="E699" s="1485"/>
      <c r="F699" s="1485"/>
      <c r="G699" s="1485"/>
      <c r="H699" s="1485"/>
      <c r="I699" s="1485"/>
    </row>
    <row r="700" spans="1:9" x14ac:dyDescent="0.3">
      <c r="A700" s="1410"/>
      <c r="B700" s="1410"/>
      <c r="C700" s="1410"/>
      <c r="D700" s="1485"/>
      <c r="E700" s="1485"/>
      <c r="F700" s="1485"/>
      <c r="G700" s="1485"/>
      <c r="H700" s="1485"/>
      <c r="I700" s="1485"/>
    </row>
    <row r="701" spans="1:9" x14ac:dyDescent="0.3">
      <c r="A701" s="1410"/>
      <c r="B701" s="1410"/>
      <c r="C701" s="1410"/>
      <c r="D701" s="1485"/>
      <c r="E701" s="1485"/>
      <c r="F701" s="1485"/>
      <c r="G701" s="1485"/>
      <c r="H701" s="1485"/>
      <c r="I701" s="1485"/>
    </row>
    <row r="702" spans="1:9" x14ac:dyDescent="0.3">
      <c r="A702" s="1410"/>
      <c r="B702" s="1410"/>
      <c r="C702" s="1410"/>
      <c r="D702" s="1485"/>
      <c r="E702" s="1485"/>
      <c r="F702" s="1485"/>
      <c r="G702" s="1485"/>
      <c r="H702" s="1485"/>
      <c r="I702" s="1485"/>
    </row>
    <row r="703" spans="1:9" x14ac:dyDescent="0.3">
      <c r="A703" s="1410"/>
      <c r="B703" s="1410"/>
      <c r="C703" s="1410"/>
      <c r="D703" s="1485"/>
      <c r="E703" s="1485"/>
      <c r="F703" s="1485"/>
      <c r="G703" s="1485"/>
      <c r="H703" s="1485"/>
      <c r="I703" s="1485"/>
    </row>
    <row r="704" spans="1:9" x14ac:dyDescent="0.3">
      <c r="A704" s="1410"/>
      <c r="B704" s="1410"/>
      <c r="C704" s="1410"/>
      <c r="D704" s="1485"/>
      <c r="E704" s="1485"/>
      <c r="F704" s="1485"/>
      <c r="G704" s="1485"/>
      <c r="H704" s="1485"/>
      <c r="I704" s="1485"/>
    </row>
    <row r="705" spans="1:9" x14ac:dyDescent="0.3">
      <c r="A705" s="1410"/>
      <c r="B705" s="1410"/>
      <c r="C705" s="1410"/>
      <c r="D705" s="1485"/>
      <c r="E705" s="1485"/>
      <c r="F705" s="1485"/>
      <c r="G705" s="1485"/>
      <c r="H705" s="1485"/>
      <c r="I705" s="1485"/>
    </row>
    <row r="706" spans="1:9" x14ac:dyDescent="0.3">
      <c r="A706" s="1410"/>
      <c r="B706" s="1410"/>
      <c r="C706" s="1410"/>
      <c r="D706" s="1485"/>
      <c r="E706" s="1485"/>
      <c r="F706" s="1485"/>
      <c r="G706" s="1485"/>
      <c r="H706" s="1485"/>
      <c r="I706" s="1485"/>
    </row>
    <row r="707" spans="1:9" x14ac:dyDescent="0.3">
      <c r="A707" s="1410"/>
      <c r="B707" s="1410"/>
      <c r="C707" s="1410"/>
      <c r="D707" s="1485"/>
      <c r="E707" s="1485"/>
      <c r="F707" s="1485"/>
      <c r="G707" s="1485"/>
      <c r="H707" s="1485"/>
      <c r="I707" s="1485"/>
    </row>
    <row r="708" spans="1:9" x14ac:dyDescent="0.3">
      <c r="A708" s="1410"/>
      <c r="B708" s="1410"/>
      <c r="C708" s="1410"/>
      <c r="D708" s="1485"/>
      <c r="E708" s="1485"/>
      <c r="F708" s="1485"/>
      <c r="G708" s="1485"/>
      <c r="H708" s="1485"/>
      <c r="I708" s="1485"/>
    </row>
    <row r="709" spans="1:9" x14ac:dyDescent="0.3">
      <c r="A709" s="1410"/>
      <c r="B709" s="1410"/>
      <c r="C709" s="1410"/>
      <c r="D709" s="1485"/>
      <c r="E709" s="1485"/>
      <c r="F709" s="1485"/>
      <c r="G709" s="1485"/>
      <c r="H709" s="1485"/>
      <c r="I709" s="1485"/>
    </row>
    <row r="710" spans="1:9" x14ac:dyDescent="0.3">
      <c r="A710" s="1410"/>
      <c r="B710" s="1410"/>
      <c r="C710" s="1410"/>
      <c r="D710" s="1485"/>
      <c r="E710" s="1485"/>
      <c r="F710" s="1485"/>
      <c r="G710" s="1485"/>
      <c r="H710" s="1485"/>
      <c r="I710" s="1485"/>
    </row>
    <row r="711" spans="1:9" x14ac:dyDescent="0.3">
      <c r="A711" s="1410"/>
      <c r="B711" s="1410"/>
      <c r="C711" s="1410"/>
      <c r="D711" s="1485"/>
      <c r="E711" s="1485"/>
      <c r="F711" s="1485"/>
      <c r="G711" s="1485"/>
      <c r="H711" s="1485"/>
      <c r="I711" s="1485"/>
    </row>
    <row r="712" spans="1:9" x14ac:dyDescent="0.3">
      <c r="A712" s="1410"/>
      <c r="B712" s="1410"/>
      <c r="C712" s="1410"/>
      <c r="D712" s="1485"/>
      <c r="E712" s="1485"/>
      <c r="F712" s="1485"/>
      <c r="G712" s="1485"/>
      <c r="H712" s="1485"/>
      <c r="I712" s="1485"/>
    </row>
    <row r="713" spans="1:9" x14ac:dyDescent="0.3">
      <c r="A713" s="1410"/>
      <c r="B713" s="1410"/>
      <c r="C713" s="1410"/>
      <c r="D713" s="1485"/>
      <c r="E713" s="1485"/>
      <c r="F713" s="1485"/>
      <c r="G713" s="1485"/>
      <c r="H713" s="1485"/>
      <c r="I713" s="1485"/>
    </row>
    <row r="714" spans="1:9" x14ac:dyDescent="0.3">
      <c r="A714" s="1410"/>
      <c r="B714" s="1410"/>
      <c r="C714" s="1410"/>
      <c r="D714" s="1485"/>
      <c r="E714" s="1485"/>
      <c r="F714" s="1485"/>
      <c r="G714" s="1485"/>
      <c r="H714" s="1485"/>
      <c r="I714" s="1485"/>
    </row>
    <row r="715" spans="1:9" x14ac:dyDescent="0.3">
      <c r="A715" s="1410"/>
      <c r="B715" s="1410"/>
      <c r="C715" s="1410"/>
      <c r="D715" s="1485"/>
      <c r="E715" s="1485"/>
      <c r="F715" s="1485"/>
      <c r="G715" s="1485"/>
      <c r="H715" s="1485"/>
      <c r="I715" s="1485"/>
    </row>
    <row r="716" spans="1:9" x14ac:dyDescent="0.3">
      <c r="A716" s="1410"/>
      <c r="B716" s="1410"/>
      <c r="C716" s="1410"/>
      <c r="D716" s="1485"/>
      <c r="E716" s="1485"/>
      <c r="F716" s="1485"/>
      <c r="G716" s="1485"/>
      <c r="H716" s="1485"/>
      <c r="I716" s="1485"/>
    </row>
    <row r="717" spans="1:9" x14ac:dyDescent="0.3">
      <c r="A717" s="1410"/>
      <c r="B717" s="1410"/>
      <c r="C717" s="1410"/>
      <c r="D717" s="1485"/>
      <c r="E717" s="1485"/>
      <c r="F717" s="1485"/>
      <c r="G717" s="1485"/>
      <c r="H717" s="1485"/>
      <c r="I717" s="1485"/>
    </row>
    <row r="718" spans="1:9" x14ac:dyDescent="0.3">
      <c r="A718" s="1410"/>
      <c r="B718" s="1410"/>
      <c r="C718" s="1410"/>
      <c r="D718" s="1485"/>
      <c r="E718" s="1485"/>
      <c r="F718" s="1485"/>
      <c r="G718" s="1485"/>
      <c r="H718" s="1485"/>
      <c r="I718" s="1485"/>
    </row>
    <row r="719" spans="1:9" x14ac:dyDescent="0.3">
      <c r="A719" s="1410"/>
      <c r="B719" s="1410"/>
      <c r="C719" s="1410"/>
      <c r="D719" s="1485"/>
      <c r="E719" s="1485"/>
      <c r="F719" s="1485"/>
      <c r="G719" s="1485"/>
      <c r="H719" s="1485"/>
      <c r="I719" s="1485"/>
    </row>
    <row r="720" spans="1:9" x14ac:dyDescent="0.3">
      <c r="A720" s="1410"/>
      <c r="B720" s="1410"/>
      <c r="C720" s="1410"/>
      <c r="D720" s="1485"/>
      <c r="E720" s="1485"/>
      <c r="F720" s="1485"/>
      <c r="G720" s="1485"/>
      <c r="H720" s="1485"/>
      <c r="I720" s="1485"/>
    </row>
    <row r="721" spans="1:9" x14ac:dyDescent="0.3">
      <c r="A721" s="1410"/>
      <c r="B721" s="1410"/>
      <c r="C721" s="1410"/>
      <c r="D721" s="1485"/>
      <c r="E721" s="1485"/>
      <c r="F721" s="1485"/>
      <c r="G721" s="1485"/>
      <c r="H721" s="1485"/>
      <c r="I721" s="1485"/>
    </row>
    <row r="722" spans="1:9" x14ac:dyDescent="0.3">
      <c r="A722" s="1410"/>
      <c r="B722" s="1410"/>
      <c r="C722" s="1410"/>
      <c r="D722" s="1485"/>
      <c r="E722" s="1485"/>
      <c r="F722" s="1485"/>
      <c r="G722" s="1485"/>
      <c r="H722" s="1485"/>
      <c r="I722" s="1485"/>
    </row>
    <row r="723" spans="1:9" x14ac:dyDescent="0.3">
      <c r="A723" s="1410"/>
      <c r="B723" s="1410"/>
      <c r="C723" s="1410"/>
      <c r="D723" s="1485"/>
      <c r="E723" s="1485"/>
      <c r="F723" s="1485"/>
      <c r="G723" s="1485"/>
      <c r="H723" s="1485"/>
      <c r="I723" s="1485"/>
    </row>
    <row r="724" spans="1:9" x14ac:dyDescent="0.3">
      <c r="A724" s="1410"/>
      <c r="B724" s="1410"/>
      <c r="C724" s="1410"/>
      <c r="D724" s="1485"/>
      <c r="E724" s="1485"/>
      <c r="F724" s="1485"/>
      <c r="G724" s="1485"/>
      <c r="H724" s="1485"/>
      <c r="I724" s="1485"/>
    </row>
    <row r="725" spans="1:9" x14ac:dyDescent="0.3">
      <c r="A725" s="1410"/>
      <c r="B725" s="1410"/>
      <c r="C725" s="1410"/>
      <c r="D725" s="1485"/>
      <c r="E725" s="1485"/>
      <c r="F725" s="1485"/>
      <c r="G725" s="1485"/>
      <c r="H725" s="1485"/>
      <c r="I725" s="1485"/>
    </row>
    <row r="726" spans="1:9" x14ac:dyDescent="0.3">
      <c r="A726" s="1410"/>
      <c r="B726" s="1410"/>
      <c r="C726" s="1410"/>
      <c r="D726" s="1485"/>
      <c r="E726" s="1485"/>
      <c r="F726" s="1485"/>
      <c r="G726" s="1485"/>
      <c r="H726" s="1485"/>
      <c r="I726" s="1485"/>
    </row>
    <row r="727" spans="1:9" x14ac:dyDescent="0.3">
      <c r="A727" s="1410"/>
      <c r="B727" s="1410"/>
      <c r="C727" s="1410"/>
      <c r="D727" s="1485"/>
      <c r="E727" s="1485"/>
      <c r="F727" s="1485"/>
      <c r="G727" s="1485"/>
      <c r="H727" s="1485"/>
      <c r="I727" s="1485"/>
    </row>
    <row r="728" spans="1:9" x14ac:dyDescent="0.3">
      <c r="A728" s="1410"/>
      <c r="B728" s="1410"/>
      <c r="C728" s="1410"/>
      <c r="D728" s="1485"/>
      <c r="E728" s="1485"/>
      <c r="F728" s="1485"/>
      <c r="G728" s="1485"/>
      <c r="H728" s="1485"/>
      <c r="I728" s="1485"/>
    </row>
    <row r="729" spans="1:9" x14ac:dyDescent="0.3">
      <c r="A729" s="1410"/>
      <c r="B729" s="1410"/>
      <c r="C729" s="1410"/>
      <c r="D729" s="1485"/>
      <c r="E729" s="1485"/>
      <c r="F729" s="1485"/>
      <c r="G729" s="1485"/>
      <c r="H729" s="1485"/>
      <c r="I729" s="1485"/>
    </row>
    <row r="730" spans="1:9" x14ac:dyDescent="0.3">
      <c r="A730" s="1410"/>
      <c r="B730" s="1410"/>
      <c r="C730" s="1410"/>
      <c r="D730" s="1485"/>
      <c r="E730" s="1485"/>
      <c r="F730" s="1485"/>
      <c r="G730" s="1485"/>
      <c r="H730" s="1485"/>
      <c r="I730" s="1485"/>
    </row>
    <row r="731" spans="1:9" x14ac:dyDescent="0.3">
      <c r="A731" s="1410"/>
      <c r="B731" s="1410"/>
      <c r="C731" s="1410"/>
      <c r="D731" s="1485"/>
      <c r="E731" s="1485"/>
      <c r="F731" s="1485"/>
      <c r="G731" s="1485"/>
      <c r="H731" s="1485"/>
      <c r="I731" s="1485"/>
    </row>
    <row r="732" spans="1:9" x14ac:dyDescent="0.3">
      <c r="A732" s="1410"/>
      <c r="B732" s="1410"/>
      <c r="C732" s="1410"/>
      <c r="D732" s="1485"/>
      <c r="E732" s="1485"/>
      <c r="F732" s="1485"/>
      <c r="G732" s="1485"/>
      <c r="H732" s="1485"/>
      <c r="I732" s="1485"/>
    </row>
    <row r="733" spans="1:9" x14ac:dyDescent="0.3">
      <c r="A733" s="1410"/>
      <c r="B733" s="1410"/>
      <c r="C733" s="1410"/>
      <c r="D733" s="1485"/>
      <c r="E733" s="1485"/>
      <c r="F733" s="1485"/>
      <c r="G733" s="1485"/>
      <c r="H733" s="1485"/>
      <c r="I733" s="1485"/>
    </row>
    <row r="734" spans="1:9" x14ac:dyDescent="0.3">
      <c r="A734" s="1410"/>
      <c r="B734" s="1410"/>
      <c r="C734" s="1410"/>
      <c r="D734" s="1485"/>
      <c r="E734" s="1485"/>
      <c r="F734" s="1485"/>
      <c r="G734" s="1485"/>
      <c r="H734" s="1485"/>
      <c r="I734" s="1485"/>
    </row>
    <row r="735" spans="1:9" x14ac:dyDescent="0.3">
      <c r="A735" s="1410"/>
      <c r="B735" s="1410"/>
      <c r="C735" s="1410"/>
      <c r="D735" s="1485"/>
      <c r="E735" s="1485"/>
      <c r="F735" s="1485"/>
      <c r="G735" s="1485"/>
      <c r="H735" s="1485"/>
      <c r="I735" s="1485"/>
    </row>
    <row r="736" spans="1:9" x14ac:dyDescent="0.3">
      <c r="A736" s="1410"/>
      <c r="B736" s="1410"/>
      <c r="C736" s="1410"/>
      <c r="D736" s="1485"/>
      <c r="E736" s="1485"/>
      <c r="F736" s="1485"/>
      <c r="G736" s="1485"/>
      <c r="H736" s="1485"/>
      <c r="I736" s="1485"/>
    </row>
    <row r="737" spans="1:9" x14ac:dyDescent="0.3">
      <c r="A737" s="1410"/>
      <c r="B737" s="1410"/>
      <c r="C737" s="1410"/>
      <c r="D737" s="1485"/>
      <c r="E737" s="1485"/>
      <c r="F737" s="1485"/>
      <c r="G737" s="1485"/>
      <c r="H737" s="1485"/>
      <c r="I737" s="1485"/>
    </row>
    <row r="738" spans="1:9" x14ac:dyDescent="0.3">
      <c r="A738" s="1410"/>
      <c r="B738" s="1410"/>
      <c r="C738" s="1410"/>
      <c r="D738" s="1485"/>
      <c r="E738" s="1485"/>
      <c r="F738" s="1485"/>
      <c r="G738" s="1485"/>
      <c r="H738" s="1485"/>
      <c r="I738" s="1485"/>
    </row>
    <row r="739" spans="1:9" x14ac:dyDescent="0.3">
      <c r="A739" s="1410"/>
      <c r="B739" s="1410"/>
      <c r="C739" s="1410"/>
      <c r="D739" s="1485"/>
      <c r="E739" s="1485"/>
      <c r="F739" s="1485"/>
      <c r="G739" s="1485"/>
      <c r="H739" s="1485"/>
      <c r="I739" s="1485"/>
    </row>
    <row r="740" spans="1:9" x14ac:dyDescent="0.3">
      <c r="A740" s="1410"/>
      <c r="B740" s="1410"/>
      <c r="C740" s="1410"/>
      <c r="D740" s="1485"/>
      <c r="E740" s="1485"/>
      <c r="F740" s="1485"/>
      <c r="G740" s="1485"/>
      <c r="H740" s="1485"/>
      <c r="I740" s="1485"/>
    </row>
    <row r="741" spans="1:9" x14ac:dyDescent="0.3">
      <c r="A741" s="1410"/>
      <c r="B741" s="1410"/>
      <c r="C741" s="1410"/>
      <c r="D741" s="1485"/>
      <c r="E741" s="1485"/>
      <c r="F741" s="1485"/>
      <c r="G741" s="1485"/>
      <c r="H741" s="1485"/>
      <c r="I741" s="1485"/>
    </row>
    <row r="742" spans="1:9" x14ac:dyDescent="0.3">
      <c r="A742" s="1410"/>
      <c r="B742" s="1410"/>
      <c r="C742" s="1410"/>
      <c r="D742" s="1485"/>
      <c r="E742" s="1485"/>
      <c r="F742" s="1485"/>
      <c r="G742" s="1485"/>
      <c r="H742" s="1485"/>
      <c r="I742" s="1485"/>
    </row>
    <row r="743" spans="1:9" x14ac:dyDescent="0.3">
      <c r="A743" s="1410"/>
      <c r="B743" s="1410"/>
      <c r="C743" s="1410"/>
      <c r="D743" s="1485"/>
      <c r="E743" s="1485"/>
      <c r="F743" s="1485"/>
      <c r="G743" s="1485"/>
      <c r="H743" s="1485"/>
      <c r="I743" s="1485"/>
    </row>
    <row r="744" spans="1:9" x14ac:dyDescent="0.3">
      <c r="A744" s="1410"/>
      <c r="B744" s="1410"/>
      <c r="C744" s="1410"/>
      <c r="D744" s="1485"/>
      <c r="E744" s="1485"/>
      <c r="F744" s="1485"/>
      <c r="G744" s="1485"/>
      <c r="H744" s="1485"/>
      <c r="I744" s="1485"/>
    </row>
    <row r="745" spans="1:9" x14ac:dyDescent="0.3">
      <c r="A745" s="1410"/>
      <c r="B745" s="1410"/>
      <c r="C745" s="1410"/>
      <c r="D745" s="1485"/>
      <c r="E745" s="1485"/>
      <c r="F745" s="1485"/>
      <c r="G745" s="1485"/>
      <c r="H745" s="1485"/>
      <c r="I745" s="1485"/>
    </row>
    <row r="746" spans="1:9" x14ac:dyDescent="0.3">
      <c r="A746" s="1410"/>
      <c r="B746" s="1410"/>
      <c r="C746" s="1410"/>
      <c r="D746" s="1485"/>
      <c r="E746" s="1485"/>
      <c r="F746" s="1485"/>
      <c r="G746" s="1485"/>
      <c r="H746" s="1485"/>
      <c r="I746" s="1485"/>
    </row>
    <row r="747" spans="1:9" x14ac:dyDescent="0.3">
      <c r="A747" s="1410"/>
      <c r="B747" s="1410"/>
      <c r="C747" s="1410"/>
      <c r="D747" s="1485"/>
      <c r="E747" s="1485"/>
      <c r="F747" s="1485"/>
      <c r="G747" s="1485"/>
      <c r="H747" s="1485"/>
      <c r="I747" s="1485"/>
    </row>
    <row r="748" spans="1:9" x14ac:dyDescent="0.3">
      <c r="A748" s="1410"/>
      <c r="B748" s="1410"/>
      <c r="C748" s="1410"/>
      <c r="D748" s="1485"/>
      <c r="E748" s="1485"/>
      <c r="F748" s="1485"/>
      <c r="G748" s="1485"/>
      <c r="H748" s="1485"/>
      <c r="I748" s="1485"/>
    </row>
    <row r="749" spans="1:9" x14ac:dyDescent="0.3">
      <c r="A749" s="1410"/>
      <c r="B749" s="1410"/>
      <c r="C749" s="1410"/>
      <c r="D749" s="1485"/>
      <c r="E749" s="1485"/>
      <c r="F749" s="1485"/>
      <c r="G749" s="1485"/>
      <c r="H749" s="1485"/>
      <c r="I749" s="1485"/>
    </row>
    <row r="750" spans="1:9" x14ac:dyDescent="0.3">
      <c r="A750" s="1410"/>
      <c r="B750" s="1410"/>
      <c r="C750" s="1410"/>
      <c r="D750" s="1485"/>
      <c r="E750" s="1485"/>
      <c r="F750" s="1485"/>
      <c r="G750" s="1485"/>
      <c r="H750" s="1485"/>
      <c r="I750" s="1485"/>
    </row>
    <row r="751" spans="1:9" x14ac:dyDescent="0.3">
      <c r="A751" s="1410"/>
      <c r="B751" s="1410"/>
      <c r="C751" s="1410"/>
      <c r="D751" s="1485"/>
      <c r="E751" s="1485"/>
      <c r="F751" s="1485"/>
      <c r="G751" s="1485"/>
      <c r="H751" s="1485"/>
      <c r="I751" s="1485"/>
    </row>
    <row r="752" spans="1:9" x14ac:dyDescent="0.3">
      <c r="A752" s="1410"/>
      <c r="B752" s="1410"/>
      <c r="C752" s="1410"/>
      <c r="D752" s="1485"/>
      <c r="E752" s="1485"/>
      <c r="F752" s="1485"/>
      <c r="G752" s="1485"/>
      <c r="H752" s="1485"/>
      <c r="I752" s="1485"/>
    </row>
    <row r="753" spans="1:9" x14ac:dyDescent="0.3">
      <c r="A753" s="1410"/>
      <c r="B753" s="1410"/>
      <c r="C753" s="1410"/>
      <c r="D753" s="1485"/>
      <c r="E753" s="1485"/>
      <c r="F753" s="1485"/>
      <c r="G753" s="1485"/>
      <c r="H753" s="1485"/>
      <c r="I753" s="1485"/>
    </row>
    <row r="754" spans="1:9" x14ac:dyDescent="0.3">
      <c r="A754" s="1410"/>
      <c r="B754" s="1410"/>
      <c r="C754" s="1410"/>
      <c r="D754" s="1485"/>
      <c r="E754" s="1485"/>
      <c r="F754" s="1485"/>
      <c r="G754" s="1485"/>
      <c r="H754" s="1485"/>
      <c r="I754" s="1485"/>
    </row>
    <row r="755" spans="1:9" x14ac:dyDescent="0.3">
      <c r="A755" s="1410"/>
      <c r="B755" s="1410"/>
      <c r="C755" s="1410"/>
      <c r="D755" s="1485"/>
      <c r="E755" s="1485"/>
      <c r="F755" s="1485"/>
      <c r="G755" s="1485"/>
      <c r="H755" s="1485"/>
      <c r="I755" s="1485"/>
    </row>
    <row r="756" spans="1:9" x14ac:dyDescent="0.3">
      <c r="A756" s="1410"/>
      <c r="B756" s="1410"/>
      <c r="C756" s="1410"/>
      <c r="D756" s="1485"/>
      <c r="E756" s="1485"/>
      <c r="F756" s="1485"/>
      <c r="G756" s="1485"/>
      <c r="H756" s="1485"/>
      <c r="I756" s="1485"/>
    </row>
    <row r="757" spans="1:9" x14ac:dyDescent="0.3">
      <c r="A757" s="1410"/>
      <c r="B757" s="1410"/>
      <c r="C757" s="1410"/>
      <c r="D757" s="1485"/>
      <c r="E757" s="1485"/>
      <c r="F757" s="1485"/>
      <c r="G757" s="1485"/>
      <c r="H757" s="1485"/>
      <c r="I757" s="1485"/>
    </row>
    <row r="758" spans="1:9" x14ac:dyDescent="0.3">
      <c r="A758" s="1410"/>
      <c r="B758" s="1410"/>
      <c r="C758" s="1410"/>
      <c r="D758" s="1485"/>
      <c r="E758" s="1485"/>
      <c r="F758" s="1485"/>
      <c r="G758" s="1485"/>
      <c r="H758" s="1485"/>
      <c r="I758" s="1485"/>
    </row>
    <row r="759" spans="1:9" x14ac:dyDescent="0.3">
      <c r="A759" s="1410"/>
      <c r="B759" s="1410"/>
      <c r="C759" s="1410"/>
      <c r="D759" s="1485"/>
      <c r="E759" s="1485"/>
      <c r="F759" s="1485"/>
      <c r="G759" s="1485"/>
      <c r="H759" s="1485"/>
      <c r="I759" s="1485"/>
    </row>
    <row r="760" spans="1:9" x14ac:dyDescent="0.3">
      <c r="A760" s="1410"/>
      <c r="B760" s="1410"/>
      <c r="C760" s="1410"/>
      <c r="D760" s="1485"/>
      <c r="E760" s="1485"/>
      <c r="F760" s="1485"/>
      <c r="G760" s="1485"/>
      <c r="H760" s="1485"/>
      <c r="I760" s="1485"/>
    </row>
    <row r="761" spans="1:9" x14ac:dyDescent="0.3">
      <c r="A761" s="1410"/>
      <c r="B761" s="1410"/>
      <c r="C761" s="1410"/>
      <c r="D761" s="1485"/>
      <c r="E761" s="1485"/>
      <c r="F761" s="1485"/>
      <c r="G761" s="1485"/>
      <c r="H761" s="1485"/>
      <c r="I761" s="1485"/>
    </row>
    <row r="762" spans="1:9" x14ac:dyDescent="0.3">
      <c r="A762" s="1410"/>
      <c r="B762" s="1410"/>
      <c r="C762" s="1410"/>
      <c r="D762" s="1485"/>
      <c r="E762" s="1485"/>
      <c r="F762" s="1485"/>
      <c r="G762" s="1485"/>
      <c r="H762" s="1485"/>
      <c r="I762" s="1485"/>
    </row>
    <row r="763" spans="1:9" x14ac:dyDescent="0.3">
      <c r="A763" s="1410"/>
      <c r="B763" s="1410"/>
      <c r="C763" s="1410"/>
      <c r="D763" s="1485"/>
      <c r="E763" s="1485"/>
      <c r="F763" s="1485"/>
      <c r="G763" s="1485"/>
      <c r="H763" s="1485"/>
      <c r="I763" s="1485"/>
    </row>
    <row r="764" spans="1:9" x14ac:dyDescent="0.3">
      <c r="A764" s="1410"/>
      <c r="B764" s="1410"/>
      <c r="C764" s="1410"/>
      <c r="D764" s="1485"/>
      <c r="E764" s="1485"/>
      <c r="F764" s="1485"/>
      <c r="G764" s="1485"/>
      <c r="H764" s="1485"/>
      <c r="I764" s="1485"/>
    </row>
    <row r="765" spans="1:9" x14ac:dyDescent="0.3">
      <c r="A765" s="1410"/>
      <c r="B765" s="1410"/>
      <c r="C765" s="1410"/>
      <c r="D765" s="1485"/>
      <c r="E765" s="1485"/>
      <c r="F765" s="1485"/>
      <c r="G765" s="1485"/>
      <c r="H765" s="1485"/>
      <c r="I765" s="1485"/>
    </row>
    <row r="766" spans="1:9" x14ac:dyDescent="0.3">
      <c r="A766" s="1410"/>
      <c r="B766" s="1410"/>
      <c r="C766" s="1410"/>
      <c r="D766" s="1485"/>
      <c r="E766" s="1485"/>
      <c r="F766" s="1485"/>
      <c r="G766" s="1485"/>
      <c r="H766" s="1485"/>
      <c r="I766" s="1485"/>
    </row>
    <row r="767" spans="1:9" x14ac:dyDescent="0.3">
      <c r="A767" s="1410"/>
      <c r="B767" s="1410"/>
      <c r="C767" s="1410"/>
      <c r="D767" s="1485"/>
      <c r="E767" s="1485"/>
      <c r="F767" s="1485"/>
      <c r="G767" s="1485"/>
      <c r="H767" s="1485"/>
      <c r="I767" s="1485"/>
    </row>
    <row r="768" spans="1:9" x14ac:dyDescent="0.3">
      <c r="A768" s="1410"/>
      <c r="B768" s="1410"/>
      <c r="C768" s="1410"/>
      <c r="D768" s="1485"/>
      <c r="E768" s="1485"/>
      <c r="F768" s="1485"/>
      <c r="G768" s="1485"/>
      <c r="H768" s="1485"/>
      <c r="I768" s="1485"/>
    </row>
    <row r="769" spans="1:9" x14ac:dyDescent="0.3">
      <c r="A769" s="1410"/>
      <c r="B769" s="1410"/>
      <c r="C769" s="1410"/>
      <c r="D769" s="1485"/>
      <c r="E769" s="1485"/>
      <c r="F769" s="1485"/>
      <c r="G769" s="1485"/>
      <c r="H769" s="1485"/>
      <c r="I769" s="1485"/>
    </row>
    <row r="770" spans="1:9" x14ac:dyDescent="0.3">
      <c r="A770" s="1410"/>
      <c r="B770" s="1410"/>
      <c r="C770" s="1410"/>
      <c r="D770" s="1485"/>
      <c r="E770" s="1485"/>
      <c r="F770" s="1485"/>
      <c r="G770" s="1485"/>
      <c r="H770" s="1485"/>
      <c r="I770" s="1485"/>
    </row>
    <row r="771" spans="1:9" x14ac:dyDescent="0.3">
      <c r="A771" s="1410"/>
      <c r="B771" s="1410"/>
      <c r="C771" s="1410"/>
      <c r="D771" s="1485"/>
      <c r="E771" s="1485"/>
      <c r="F771" s="1485"/>
      <c r="G771" s="1485"/>
      <c r="H771" s="1485"/>
      <c r="I771" s="1485"/>
    </row>
    <row r="772" spans="1:9" x14ac:dyDescent="0.3">
      <c r="A772" s="1410"/>
      <c r="B772" s="1410"/>
      <c r="C772" s="1410"/>
      <c r="D772" s="1485"/>
      <c r="E772" s="1485"/>
      <c r="F772" s="1485"/>
      <c r="G772" s="1485"/>
      <c r="H772" s="1485"/>
      <c r="I772" s="1485"/>
    </row>
    <row r="773" spans="1:9" x14ac:dyDescent="0.3">
      <c r="A773" s="1410"/>
      <c r="B773" s="1410"/>
      <c r="C773" s="1410"/>
      <c r="D773" s="1485"/>
      <c r="E773" s="1485"/>
      <c r="F773" s="1485"/>
      <c r="G773" s="1485"/>
      <c r="H773" s="1485"/>
      <c r="I773" s="1485"/>
    </row>
    <row r="774" spans="1:9" x14ac:dyDescent="0.3">
      <c r="A774" s="1410"/>
      <c r="B774" s="1410"/>
      <c r="C774" s="1410"/>
      <c r="D774" s="1485"/>
      <c r="E774" s="1485"/>
      <c r="F774" s="1485"/>
      <c r="G774" s="1485"/>
      <c r="H774" s="1485"/>
      <c r="I774" s="1485"/>
    </row>
    <row r="775" spans="1:9" x14ac:dyDescent="0.3">
      <c r="A775" s="1410"/>
      <c r="B775" s="1410"/>
      <c r="C775" s="1410"/>
      <c r="D775" s="1485"/>
      <c r="E775" s="1485"/>
      <c r="F775" s="1485"/>
      <c r="G775" s="1485"/>
      <c r="H775" s="1485"/>
      <c r="I775" s="1485"/>
    </row>
    <row r="776" spans="1:9" x14ac:dyDescent="0.3">
      <c r="A776" s="1410"/>
      <c r="B776" s="1410"/>
      <c r="C776" s="1410"/>
      <c r="D776" s="1485"/>
      <c r="E776" s="1485"/>
      <c r="F776" s="1485"/>
      <c r="G776" s="1485"/>
      <c r="H776" s="1485"/>
      <c r="I776" s="1485"/>
    </row>
    <row r="777" spans="1:9" x14ac:dyDescent="0.3">
      <c r="A777" s="1410"/>
      <c r="B777" s="1410"/>
      <c r="C777" s="1410"/>
      <c r="D777" s="1485"/>
      <c r="E777" s="1485"/>
      <c r="F777" s="1485"/>
      <c r="G777" s="1485"/>
      <c r="H777" s="1485"/>
      <c r="I777" s="1485"/>
    </row>
    <row r="778" spans="1:9" x14ac:dyDescent="0.3">
      <c r="A778" s="1410"/>
      <c r="B778" s="1410"/>
      <c r="C778" s="1410"/>
      <c r="D778" s="1485"/>
      <c r="E778" s="1485"/>
      <c r="F778" s="1485"/>
      <c r="G778" s="1485"/>
      <c r="H778" s="1485"/>
      <c r="I778" s="1485"/>
    </row>
    <row r="779" spans="1:9" x14ac:dyDescent="0.3">
      <c r="A779" s="1410"/>
      <c r="B779" s="1410"/>
      <c r="C779" s="1410"/>
      <c r="D779" s="1485"/>
      <c r="E779" s="1485"/>
      <c r="F779" s="1485"/>
      <c r="G779" s="1485"/>
      <c r="H779" s="1485"/>
      <c r="I779" s="1485"/>
    </row>
    <row r="780" spans="1:9" x14ac:dyDescent="0.3">
      <c r="A780" s="1410"/>
      <c r="B780" s="1410"/>
      <c r="C780" s="1410"/>
      <c r="D780" s="1485"/>
      <c r="E780" s="1485"/>
      <c r="F780" s="1485"/>
      <c r="G780" s="1485"/>
      <c r="H780" s="1485"/>
      <c r="I780" s="1485"/>
    </row>
    <row r="781" spans="1:9" x14ac:dyDescent="0.3">
      <c r="A781" s="1410"/>
      <c r="B781" s="1410"/>
      <c r="C781" s="1410"/>
      <c r="D781" s="1485"/>
      <c r="E781" s="1485"/>
      <c r="F781" s="1485"/>
      <c r="G781" s="1485"/>
      <c r="H781" s="1485"/>
      <c r="I781" s="1485"/>
    </row>
    <row r="782" spans="1:9" x14ac:dyDescent="0.3">
      <c r="A782" s="1410"/>
      <c r="B782" s="1410"/>
      <c r="C782" s="1410"/>
      <c r="D782" s="1485"/>
      <c r="E782" s="1485"/>
      <c r="F782" s="1485"/>
      <c r="G782" s="1485"/>
      <c r="H782" s="1485"/>
      <c r="I782" s="1485"/>
    </row>
    <row r="783" spans="1:9" x14ac:dyDescent="0.3">
      <c r="A783" s="1410"/>
      <c r="B783" s="1410"/>
      <c r="C783" s="1410"/>
      <c r="D783" s="1485"/>
      <c r="E783" s="1485"/>
      <c r="F783" s="1485"/>
      <c r="G783" s="1485"/>
      <c r="H783" s="1485"/>
      <c r="I783" s="1485"/>
    </row>
    <row r="784" spans="1:9" x14ac:dyDescent="0.3">
      <c r="A784" s="1410"/>
      <c r="B784" s="1410"/>
      <c r="C784" s="1410"/>
      <c r="D784" s="1485"/>
      <c r="E784" s="1485"/>
      <c r="F784" s="1485"/>
      <c r="G784" s="1485"/>
      <c r="H784" s="1485"/>
      <c r="I784" s="1485"/>
    </row>
    <row r="785" spans="1:9" x14ac:dyDescent="0.3">
      <c r="A785" s="1410"/>
      <c r="B785" s="1410"/>
      <c r="C785" s="1410"/>
      <c r="D785" s="1485"/>
      <c r="E785" s="1485"/>
      <c r="F785" s="1485"/>
      <c r="G785" s="1485"/>
      <c r="H785" s="1485"/>
      <c r="I785" s="1485"/>
    </row>
    <row r="786" spans="1:9" x14ac:dyDescent="0.3">
      <c r="A786" s="1410"/>
      <c r="B786" s="1410"/>
      <c r="C786" s="1410"/>
      <c r="D786" s="1485"/>
      <c r="E786" s="1485"/>
      <c r="F786" s="1485"/>
      <c r="G786" s="1485"/>
      <c r="H786" s="1485"/>
      <c r="I786" s="1485"/>
    </row>
    <row r="787" spans="1:9" x14ac:dyDescent="0.3">
      <c r="A787" s="1410"/>
      <c r="B787" s="1410"/>
      <c r="C787" s="1410"/>
      <c r="D787" s="1485"/>
      <c r="E787" s="1485"/>
      <c r="F787" s="1485"/>
      <c r="G787" s="1485"/>
      <c r="H787" s="1485"/>
      <c r="I787" s="1485"/>
    </row>
    <row r="788" spans="1:9" x14ac:dyDescent="0.3">
      <c r="A788" s="1410"/>
      <c r="B788" s="1410"/>
      <c r="C788" s="1410"/>
      <c r="D788" s="1485"/>
      <c r="E788" s="1485"/>
      <c r="F788" s="1485"/>
      <c r="G788" s="1485"/>
      <c r="H788" s="1485"/>
      <c r="I788" s="1485"/>
    </row>
    <row r="789" spans="1:9" x14ac:dyDescent="0.3">
      <c r="A789" s="1410"/>
      <c r="B789" s="1410"/>
      <c r="C789" s="1410"/>
      <c r="D789" s="1485"/>
      <c r="E789" s="1485"/>
      <c r="F789" s="1485"/>
      <c r="G789" s="1485"/>
      <c r="H789" s="1485"/>
      <c r="I789" s="1485"/>
    </row>
    <row r="790" spans="1:9" x14ac:dyDescent="0.3">
      <c r="A790" s="1410"/>
      <c r="B790" s="1410"/>
      <c r="C790" s="1410"/>
      <c r="D790" s="1485"/>
      <c r="E790" s="1485"/>
      <c r="F790" s="1485"/>
      <c r="G790" s="1485"/>
      <c r="H790" s="1485"/>
      <c r="I790" s="1485"/>
    </row>
    <row r="791" spans="1:9" x14ac:dyDescent="0.3">
      <c r="A791" s="1410"/>
      <c r="B791" s="1410"/>
      <c r="C791" s="1410"/>
      <c r="D791" s="1485"/>
      <c r="E791" s="1485"/>
      <c r="F791" s="1485"/>
      <c r="G791" s="1485"/>
      <c r="H791" s="1485"/>
      <c r="I791" s="1485"/>
    </row>
    <row r="792" spans="1:9" x14ac:dyDescent="0.3">
      <c r="A792" s="1410"/>
      <c r="B792" s="1410"/>
      <c r="C792" s="1410"/>
      <c r="D792" s="1485"/>
      <c r="E792" s="1485"/>
      <c r="F792" s="1485"/>
      <c r="G792" s="1485"/>
      <c r="H792" s="1485"/>
      <c r="I792" s="1485"/>
    </row>
    <row r="793" spans="1:9" x14ac:dyDescent="0.3">
      <c r="A793" s="1410"/>
      <c r="B793" s="1410"/>
      <c r="C793" s="1410"/>
      <c r="D793" s="1485"/>
      <c r="E793" s="1485"/>
      <c r="F793" s="1485"/>
      <c r="G793" s="1485"/>
      <c r="H793" s="1485"/>
      <c r="I793" s="1485"/>
    </row>
    <row r="794" spans="1:9" x14ac:dyDescent="0.3">
      <c r="A794" s="1410"/>
      <c r="B794" s="1410"/>
      <c r="C794" s="1410"/>
      <c r="D794" s="1485"/>
      <c r="E794" s="1485"/>
      <c r="F794" s="1485"/>
      <c r="G794" s="1485"/>
      <c r="H794" s="1485"/>
      <c r="I794" s="1485"/>
    </row>
    <row r="795" spans="1:9" x14ac:dyDescent="0.3">
      <c r="A795" s="1410"/>
      <c r="B795" s="1410"/>
      <c r="C795" s="1410"/>
      <c r="D795" s="1485"/>
      <c r="E795" s="1485"/>
      <c r="F795" s="1485"/>
      <c r="G795" s="1485"/>
      <c r="H795" s="1485"/>
      <c r="I795" s="1485"/>
    </row>
    <row r="796" spans="1:9" x14ac:dyDescent="0.3">
      <c r="A796" s="1410"/>
      <c r="B796" s="1410"/>
      <c r="C796" s="1410"/>
      <c r="D796" s="1485"/>
      <c r="E796" s="1485"/>
      <c r="F796" s="1485"/>
      <c r="G796" s="1485"/>
      <c r="H796" s="1485"/>
      <c r="I796" s="1485"/>
    </row>
    <row r="797" spans="1:9" x14ac:dyDescent="0.3">
      <c r="A797" s="1410"/>
      <c r="B797" s="1410"/>
      <c r="C797" s="1410"/>
      <c r="D797" s="1485"/>
      <c r="E797" s="1485"/>
      <c r="F797" s="1485"/>
      <c r="G797" s="1485"/>
      <c r="H797" s="1485"/>
      <c r="I797" s="1485"/>
    </row>
    <row r="798" spans="1:9" x14ac:dyDescent="0.3">
      <c r="A798" s="1410"/>
      <c r="B798" s="1410"/>
      <c r="C798" s="1410"/>
      <c r="D798" s="1485"/>
      <c r="E798" s="1485"/>
      <c r="F798" s="1485"/>
      <c r="G798" s="1485"/>
      <c r="H798" s="1485"/>
      <c r="I798" s="1485"/>
    </row>
    <row r="799" spans="1:9" x14ac:dyDescent="0.3">
      <c r="A799" s="1410"/>
      <c r="B799" s="1410"/>
      <c r="C799" s="1410"/>
      <c r="D799" s="1485"/>
      <c r="E799" s="1485"/>
      <c r="F799" s="1485"/>
      <c r="G799" s="1485"/>
      <c r="H799" s="1485"/>
      <c r="I799" s="1485"/>
    </row>
    <row r="800" spans="1:9" x14ac:dyDescent="0.3">
      <c r="A800" s="1410"/>
      <c r="B800" s="1410"/>
      <c r="C800" s="1410"/>
      <c r="D800" s="1485"/>
      <c r="E800" s="1485"/>
      <c r="F800" s="1485"/>
      <c r="G800" s="1485"/>
      <c r="H800" s="1485"/>
      <c r="I800" s="1485"/>
    </row>
    <row r="801" spans="1:9" x14ac:dyDescent="0.3">
      <c r="A801" s="1410"/>
      <c r="B801" s="1410"/>
      <c r="C801" s="1410"/>
      <c r="D801" s="1485"/>
      <c r="E801" s="1485"/>
      <c r="F801" s="1485"/>
      <c r="G801" s="1485"/>
      <c r="H801" s="1485"/>
      <c r="I801" s="1485"/>
    </row>
    <row r="802" spans="1:9" x14ac:dyDescent="0.3">
      <c r="A802" s="1410"/>
      <c r="B802" s="1410"/>
      <c r="C802" s="1410"/>
      <c r="D802" s="1485"/>
      <c r="E802" s="1485"/>
      <c r="F802" s="1485"/>
      <c r="G802" s="1485"/>
      <c r="H802" s="1485"/>
      <c r="I802" s="1485"/>
    </row>
    <row r="803" spans="1:9" x14ac:dyDescent="0.3">
      <c r="A803" s="1410"/>
      <c r="B803" s="1410"/>
      <c r="C803" s="1410"/>
      <c r="D803" s="1485"/>
      <c r="E803" s="1485"/>
      <c r="F803" s="1485"/>
      <c r="G803" s="1485"/>
      <c r="H803" s="1485"/>
      <c r="I803" s="1485"/>
    </row>
    <row r="804" spans="1:9" x14ac:dyDescent="0.3">
      <c r="A804" s="1410"/>
      <c r="B804" s="1410"/>
      <c r="C804" s="1410"/>
      <c r="D804" s="1485"/>
      <c r="E804" s="1485"/>
      <c r="F804" s="1485"/>
      <c r="G804" s="1485"/>
      <c r="H804" s="1485"/>
      <c r="I804" s="1485"/>
    </row>
    <row r="805" spans="1:9" x14ac:dyDescent="0.3">
      <c r="A805" s="1410"/>
      <c r="B805" s="1410"/>
      <c r="C805" s="1410"/>
      <c r="D805" s="1485"/>
      <c r="E805" s="1485"/>
      <c r="F805" s="1485"/>
      <c r="G805" s="1485"/>
      <c r="H805" s="1485"/>
      <c r="I805" s="1485"/>
    </row>
    <row r="806" spans="1:9" x14ac:dyDescent="0.3">
      <c r="A806" s="1410"/>
      <c r="B806" s="1410"/>
      <c r="C806" s="1410"/>
      <c r="D806" s="1485"/>
      <c r="E806" s="1485"/>
      <c r="F806" s="1485"/>
      <c r="G806" s="1485"/>
      <c r="H806" s="1485"/>
      <c r="I806" s="1485"/>
    </row>
    <row r="807" spans="1:9" x14ac:dyDescent="0.3">
      <c r="A807" s="1410"/>
      <c r="B807" s="1410"/>
      <c r="C807" s="1410"/>
      <c r="D807" s="1485"/>
      <c r="E807" s="1485"/>
      <c r="F807" s="1485"/>
      <c r="G807" s="1485"/>
      <c r="H807" s="1485"/>
      <c r="I807" s="1485"/>
    </row>
    <row r="808" spans="1:9" x14ac:dyDescent="0.3">
      <c r="A808" s="1410"/>
      <c r="B808" s="1410"/>
      <c r="C808" s="1410"/>
      <c r="D808" s="1485"/>
      <c r="E808" s="1485"/>
      <c r="F808" s="1485"/>
      <c r="G808" s="1485"/>
      <c r="H808" s="1485"/>
      <c r="I808" s="1485"/>
    </row>
    <row r="809" spans="1:9" x14ac:dyDescent="0.3">
      <c r="A809" s="1410"/>
      <c r="B809" s="1410"/>
      <c r="C809" s="1410"/>
      <c r="D809" s="1485"/>
      <c r="E809" s="1485"/>
      <c r="F809" s="1485"/>
      <c r="G809" s="1485"/>
      <c r="H809" s="1485"/>
      <c r="I809" s="1485"/>
    </row>
    <row r="810" spans="1:9" x14ac:dyDescent="0.3">
      <c r="A810" s="1410"/>
      <c r="B810" s="1410"/>
      <c r="C810" s="1410"/>
      <c r="D810" s="1485"/>
      <c r="E810" s="1485"/>
      <c r="F810" s="1485"/>
      <c r="G810" s="1485"/>
      <c r="H810" s="1485"/>
      <c r="I810" s="1485"/>
    </row>
    <row r="811" spans="1:9" x14ac:dyDescent="0.3">
      <c r="A811" s="1410"/>
      <c r="B811" s="1410"/>
      <c r="C811" s="1410"/>
      <c r="D811" s="1485"/>
      <c r="E811" s="1485"/>
      <c r="F811" s="1485"/>
      <c r="G811" s="1485"/>
      <c r="H811" s="1485"/>
      <c r="I811" s="1485"/>
    </row>
    <row r="812" spans="1:9" x14ac:dyDescent="0.3">
      <c r="A812" s="1410"/>
      <c r="B812" s="1410"/>
      <c r="C812" s="1410"/>
      <c r="D812" s="1485"/>
      <c r="E812" s="1485"/>
      <c r="F812" s="1485"/>
      <c r="G812" s="1485"/>
      <c r="H812" s="1485"/>
      <c r="I812" s="1485"/>
    </row>
    <row r="813" spans="1:9" x14ac:dyDescent="0.3">
      <c r="A813" s="1410"/>
      <c r="B813" s="1410"/>
      <c r="C813" s="1410"/>
      <c r="D813" s="1485"/>
      <c r="E813" s="1485"/>
      <c r="F813" s="1485"/>
      <c r="G813" s="1485"/>
      <c r="H813" s="1485"/>
      <c r="I813" s="1485"/>
    </row>
    <row r="814" spans="1:9" x14ac:dyDescent="0.3">
      <c r="A814" s="1410"/>
      <c r="B814" s="1410"/>
      <c r="C814" s="1410"/>
      <c r="D814" s="1485"/>
      <c r="E814" s="1485"/>
      <c r="F814" s="1485"/>
      <c r="G814" s="1485"/>
      <c r="H814" s="1485"/>
      <c r="I814" s="1485"/>
    </row>
    <row r="815" spans="1:9" x14ac:dyDescent="0.3">
      <c r="A815" s="1410"/>
      <c r="B815" s="1410"/>
      <c r="C815" s="1410"/>
      <c r="D815" s="1485"/>
      <c r="E815" s="1485"/>
      <c r="F815" s="1485"/>
      <c r="G815" s="1485"/>
      <c r="H815" s="1485"/>
      <c r="I815" s="1485"/>
    </row>
    <row r="816" spans="1:9" x14ac:dyDescent="0.3">
      <c r="A816" s="1410"/>
      <c r="B816" s="1410"/>
      <c r="C816" s="1410"/>
      <c r="D816" s="1485"/>
      <c r="E816" s="1485"/>
      <c r="F816" s="1485"/>
      <c r="G816" s="1485"/>
      <c r="H816" s="1485"/>
      <c r="I816" s="1485"/>
    </row>
    <row r="817" spans="1:9" x14ac:dyDescent="0.3">
      <c r="A817" s="1410"/>
      <c r="B817" s="1410"/>
      <c r="C817" s="1410"/>
      <c r="D817" s="1485"/>
      <c r="E817" s="1485"/>
      <c r="F817" s="1485"/>
      <c r="G817" s="1485"/>
      <c r="H817" s="1485"/>
      <c r="I817" s="1485"/>
    </row>
    <row r="818" spans="1:9" x14ac:dyDescent="0.3">
      <c r="A818" s="1410"/>
      <c r="B818" s="1410"/>
      <c r="C818" s="1410"/>
      <c r="D818" s="1485"/>
      <c r="E818" s="1485"/>
      <c r="F818" s="1485"/>
      <c r="G818" s="1485"/>
      <c r="H818" s="1485"/>
      <c r="I818" s="1485"/>
    </row>
    <row r="819" spans="1:9" x14ac:dyDescent="0.3">
      <c r="A819" s="1410"/>
      <c r="B819" s="1410"/>
      <c r="C819" s="1410"/>
      <c r="D819" s="1485"/>
      <c r="E819" s="1485"/>
      <c r="F819" s="1485"/>
      <c r="G819" s="1485"/>
      <c r="H819" s="1485"/>
      <c r="I819" s="1485"/>
    </row>
    <row r="820" spans="1:9" x14ac:dyDescent="0.3">
      <c r="A820" s="1410"/>
      <c r="B820" s="1410"/>
      <c r="C820" s="1410"/>
      <c r="D820" s="1485"/>
      <c r="E820" s="1485"/>
      <c r="F820" s="1485"/>
      <c r="G820" s="1485"/>
      <c r="H820" s="1485"/>
      <c r="I820" s="1485"/>
    </row>
    <row r="821" spans="1:9" x14ac:dyDescent="0.3">
      <c r="A821" s="1410"/>
      <c r="B821" s="1410"/>
      <c r="C821" s="1410"/>
      <c r="D821" s="1485"/>
      <c r="E821" s="1485"/>
      <c r="F821" s="1485"/>
      <c r="G821" s="1485"/>
      <c r="H821" s="1485"/>
      <c r="I821" s="1485"/>
    </row>
    <row r="822" spans="1:9" x14ac:dyDescent="0.3">
      <c r="A822" s="1410"/>
      <c r="B822" s="1410"/>
      <c r="C822" s="1410"/>
      <c r="D822" s="1485"/>
      <c r="E822" s="1485"/>
      <c r="F822" s="1485"/>
      <c r="G822" s="1485"/>
      <c r="H822" s="1485"/>
      <c r="I822" s="1485"/>
    </row>
    <row r="823" spans="1:9" x14ac:dyDescent="0.3">
      <c r="A823" s="1410"/>
      <c r="B823" s="1410"/>
      <c r="C823" s="1410"/>
      <c r="D823" s="1485"/>
      <c r="E823" s="1485"/>
      <c r="F823" s="1485"/>
      <c r="G823" s="1485"/>
      <c r="H823" s="1485"/>
      <c r="I823" s="1485"/>
    </row>
    <row r="824" spans="1:9" x14ac:dyDescent="0.3">
      <c r="A824" s="1410"/>
      <c r="B824" s="1410"/>
      <c r="C824" s="1410"/>
      <c r="D824" s="1485"/>
      <c r="E824" s="1485"/>
      <c r="F824" s="1485"/>
      <c r="G824" s="1485"/>
      <c r="H824" s="1485"/>
      <c r="I824" s="1485"/>
    </row>
    <row r="825" spans="1:9" x14ac:dyDescent="0.3">
      <c r="A825" s="1410"/>
      <c r="B825" s="1410"/>
      <c r="C825" s="1410"/>
      <c r="D825" s="1485"/>
      <c r="E825" s="1485"/>
      <c r="F825" s="1485"/>
      <c r="G825" s="1485"/>
      <c r="H825" s="1485"/>
      <c r="I825" s="1485"/>
    </row>
    <row r="826" spans="1:9" x14ac:dyDescent="0.3">
      <c r="A826" s="1410"/>
      <c r="B826" s="1410"/>
      <c r="C826" s="1410"/>
      <c r="D826" s="1485"/>
      <c r="E826" s="1485"/>
      <c r="F826" s="1485"/>
      <c r="G826" s="1485"/>
      <c r="H826" s="1485"/>
      <c r="I826" s="1485"/>
    </row>
    <row r="827" spans="1:9" x14ac:dyDescent="0.3">
      <c r="A827" s="1410"/>
      <c r="B827" s="1410"/>
      <c r="C827" s="1410"/>
      <c r="D827" s="1485"/>
      <c r="E827" s="1485"/>
      <c r="F827" s="1485"/>
      <c r="G827" s="1485"/>
      <c r="H827" s="1485"/>
      <c r="I827" s="1485"/>
    </row>
    <row r="828" spans="1:9" x14ac:dyDescent="0.3">
      <c r="A828" s="1410"/>
      <c r="B828" s="1410"/>
      <c r="C828" s="1410"/>
      <c r="D828" s="1485"/>
      <c r="E828" s="1485"/>
      <c r="F828" s="1485"/>
      <c r="G828" s="1485"/>
      <c r="H828" s="1485"/>
      <c r="I828" s="1485"/>
    </row>
    <row r="829" spans="1:9" x14ac:dyDescent="0.3">
      <c r="A829" s="1410"/>
      <c r="B829" s="1410"/>
      <c r="C829" s="1410"/>
      <c r="D829" s="1485"/>
      <c r="E829" s="1485"/>
      <c r="F829" s="1485"/>
      <c r="G829" s="1485"/>
      <c r="H829" s="1485"/>
      <c r="I829" s="1485"/>
    </row>
    <row r="830" spans="1:9" x14ac:dyDescent="0.3">
      <c r="A830" s="1410"/>
      <c r="B830" s="1410"/>
      <c r="C830" s="1410"/>
      <c r="D830" s="1485"/>
      <c r="E830" s="1485"/>
      <c r="F830" s="1485"/>
      <c r="G830" s="1485"/>
      <c r="H830" s="1485"/>
      <c r="I830" s="1485"/>
    </row>
    <row r="831" spans="1:9" x14ac:dyDescent="0.3">
      <c r="A831" s="1410"/>
      <c r="B831" s="1410"/>
      <c r="C831" s="1410"/>
      <c r="D831" s="1485"/>
      <c r="E831" s="1485"/>
      <c r="F831" s="1485"/>
      <c r="G831" s="1485"/>
      <c r="H831" s="1485"/>
      <c r="I831" s="1485"/>
    </row>
    <row r="832" spans="1:9" x14ac:dyDescent="0.3">
      <c r="A832" s="1410"/>
      <c r="B832" s="1410"/>
      <c r="C832" s="1410"/>
      <c r="D832" s="1485"/>
      <c r="E832" s="1485"/>
      <c r="F832" s="1485"/>
      <c r="G832" s="1485"/>
      <c r="H832" s="1485"/>
      <c r="I832" s="1485"/>
    </row>
    <row r="833" spans="1:9" x14ac:dyDescent="0.3">
      <c r="A833" s="1410"/>
      <c r="B833" s="1410"/>
      <c r="C833" s="1410"/>
      <c r="D833" s="1485"/>
      <c r="E833" s="1485"/>
      <c r="F833" s="1485"/>
      <c r="G833" s="1485"/>
      <c r="H833" s="1485"/>
      <c r="I833" s="1485"/>
    </row>
    <row r="834" spans="1:9" x14ac:dyDescent="0.3">
      <c r="A834" s="1410"/>
      <c r="B834" s="1410"/>
      <c r="C834" s="1410"/>
      <c r="D834" s="1485"/>
      <c r="E834" s="1485"/>
      <c r="F834" s="1485"/>
      <c r="G834" s="1485"/>
      <c r="H834" s="1485"/>
      <c r="I834" s="1485"/>
    </row>
    <row r="835" spans="1:9" x14ac:dyDescent="0.3">
      <c r="A835" s="1410"/>
      <c r="B835" s="1410"/>
      <c r="C835" s="1410"/>
      <c r="D835" s="1485"/>
      <c r="E835" s="1485"/>
      <c r="F835" s="1485"/>
      <c r="G835" s="1485"/>
      <c r="H835" s="1485"/>
      <c r="I835" s="1485"/>
    </row>
    <row r="836" spans="1:9" x14ac:dyDescent="0.3">
      <c r="A836" s="1410"/>
      <c r="B836" s="1410"/>
      <c r="C836" s="1410"/>
      <c r="D836" s="1485"/>
      <c r="E836" s="1485"/>
      <c r="F836" s="1485"/>
      <c r="G836" s="1485"/>
      <c r="H836" s="1485"/>
      <c r="I836" s="1485"/>
    </row>
    <row r="837" spans="1:9" x14ac:dyDescent="0.3">
      <c r="A837" s="1410"/>
      <c r="B837" s="1410"/>
      <c r="C837" s="1410"/>
      <c r="D837" s="1485"/>
      <c r="E837" s="1485"/>
      <c r="F837" s="1485"/>
      <c r="G837" s="1485"/>
      <c r="H837" s="1485"/>
      <c r="I837" s="1485"/>
    </row>
    <row r="838" spans="1:9" x14ac:dyDescent="0.3">
      <c r="A838" s="1410"/>
      <c r="B838" s="1410"/>
      <c r="C838" s="1410"/>
      <c r="D838" s="1485"/>
      <c r="E838" s="1485"/>
      <c r="F838" s="1485"/>
      <c r="G838" s="1485"/>
      <c r="H838" s="1485"/>
      <c r="I838" s="1485"/>
    </row>
    <row r="839" spans="1:9" x14ac:dyDescent="0.3">
      <c r="A839" s="1410"/>
      <c r="B839" s="1410"/>
      <c r="C839" s="1410"/>
      <c r="D839" s="1485"/>
      <c r="E839" s="1485"/>
      <c r="F839" s="1485"/>
      <c r="G839" s="1485"/>
      <c r="H839" s="1485"/>
      <c r="I839" s="1485"/>
    </row>
    <row r="840" spans="1:9" x14ac:dyDescent="0.3">
      <c r="A840" s="1410"/>
      <c r="B840" s="1410"/>
      <c r="C840" s="1410"/>
      <c r="D840" s="1485"/>
      <c r="E840" s="1485"/>
      <c r="F840" s="1485"/>
      <c r="G840" s="1485"/>
      <c r="H840" s="1485"/>
      <c r="I840" s="1485"/>
    </row>
    <row r="841" spans="1:9" x14ac:dyDescent="0.3">
      <c r="A841" s="1410"/>
      <c r="B841" s="1410"/>
      <c r="C841" s="1410"/>
      <c r="D841" s="1485"/>
      <c r="E841" s="1485"/>
      <c r="F841" s="1485"/>
      <c r="G841" s="1485"/>
      <c r="H841" s="1485"/>
      <c r="I841" s="1485"/>
    </row>
    <row r="842" spans="1:9" x14ac:dyDescent="0.3">
      <c r="A842" s="1410"/>
      <c r="B842" s="1410"/>
      <c r="C842" s="1410"/>
      <c r="D842" s="1485"/>
      <c r="E842" s="1485"/>
      <c r="F842" s="1485"/>
      <c r="G842" s="1485"/>
      <c r="H842" s="1485"/>
      <c r="I842" s="1485"/>
    </row>
    <row r="843" spans="1:9" x14ac:dyDescent="0.3">
      <c r="A843" s="1410"/>
      <c r="B843" s="1410"/>
      <c r="C843" s="1410"/>
      <c r="D843" s="1485"/>
      <c r="E843" s="1485"/>
      <c r="F843" s="1485"/>
      <c r="G843" s="1485"/>
      <c r="H843" s="1485"/>
      <c r="I843" s="1485"/>
    </row>
    <row r="844" spans="1:9" x14ac:dyDescent="0.3">
      <c r="A844" s="1410"/>
      <c r="B844" s="1410"/>
      <c r="C844" s="1410"/>
      <c r="D844" s="1485"/>
      <c r="E844" s="1485"/>
      <c r="F844" s="1485"/>
      <c r="G844" s="1485"/>
      <c r="H844" s="1485"/>
      <c r="I844" s="1485"/>
    </row>
    <row r="845" spans="1:9" x14ac:dyDescent="0.3">
      <c r="A845" s="1410"/>
      <c r="B845" s="1410"/>
      <c r="C845" s="1410"/>
      <c r="D845" s="1485"/>
      <c r="E845" s="1485"/>
      <c r="F845" s="1485"/>
      <c r="G845" s="1485"/>
      <c r="H845" s="1485"/>
      <c r="I845" s="1485"/>
    </row>
    <row r="846" spans="1:9" x14ac:dyDescent="0.3">
      <c r="A846" s="1410"/>
      <c r="B846" s="1410"/>
      <c r="C846" s="1410"/>
      <c r="D846" s="1485"/>
      <c r="E846" s="1485"/>
      <c r="F846" s="1485"/>
      <c r="G846" s="1485"/>
      <c r="H846" s="1485"/>
      <c r="I846" s="1485"/>
    </row>
    <row r="847" spans="1:9" x14ac:dyDescent="0.3">
      <c r="A847" s="1410"/>
      <c r="B847" s="1410"/>
      <c r="C847" s="1410"/>
      <c r="D847" s="1485"/>
      <c r="E847" s="1485"/>
      <c r="F847" s="1485"/>
      <c r="G847" s="1485"/>
      <c r="H847" s="1485"/>
      <c r="I847" s="1485"/>
    </row>
    <row r="848" spans="1:9" x14ac:dyDescent="0.3">
      <c r="A848" s="1410"/>
      <c r="B848" s="1410"/>
      <c r="C848" s="1410"/>
      <c r="D848" s="1485"/>
      <c r="E848" s="1485"/>
      <c r="F848" s="1485"/>
      <c r="G848" s="1485"/>
      <c r="H848" s="1485"/>
      <c r="I848" s="1485"/>
    </row>
    <row r="849" spans="1:9" x14ac:dyDescent="0.3">
      <c r="A849" s="1410"/>
      <c r="B849" s="1410"/>
      <c r="C849" s="1410"/>
      <c r="D849" s="1485"/>
      <c r="E849" s="1485"/>
      <c r="F849" s="1485"/>
      <c r="G849" s="1485"/>
      <c r="H849" s="1485"/>
      <c r="I849" s="1485"/>
    </row>
    <row r="850" spans="1:9" x14ac:dyDescent="0.3">
      <c r="A850" s="1410"/>
      <c r="B850" s="1410"/>
      <c r="C850" s="1410"/>
      <c r="D850" s="1485"/>
      <c r="E850" s="1485"/>
      <c r="F850" s="1485"/>
      <c r="G850" s="1485"/>
      <c r="H850" s="1485"/>
      <c r="I850" s="1485"/>
    </row>
    <row r="851" spans="1:9" x14ac:dyDescent="0.3">
      <c r="A851" s="1410"/>
      <c r="B851" s="1410"/>
      <c r="C851" s="1410"/>
      <c r="D851" s="1485"/>
      <c r="E851" s="1485"/>
      <c r="F851" s="1485"/>
      <c r="G851" s="1485"/>
      <c r="H851" s="1485"/>
      <c r="I851" s="1485"/>
    </row>
    <row r="852" spans="1:9" x14ac:dyDescent="0.3">
      <c r="A852" s="1410"/>
      <c r="B852" s="1410"/>
      <c r="C852" s="1410"/>
      <c r="D852" s="1485"/>
      <c r="E852" s="1485"/>
      <c r="F852" s="1485"/>
      <c r="G852" s="1485"/>
      <c r="H852" s="1485"/>
      <c r="I852" s="1485"/>
    </row>
    <row r="853" spans="1:9" x14ac:dyDescent="0.3">
      <c r="A853" s="1410"/>
      <c r="B853" s="1410"/>
      <c r="C853" s="1410"/>
      <c r="D853" s="1485"/>
      <c r="E853" s="1485"/>
      <c r="F853" s="1485"/>
      <c r="G853" s="1485"/>
      <c r="H853" s="1485"/>
      <c r="I853" s="1485"/>
    </row>
    <row r="854" spans="1:9" x14ac:dyDescent="0.3">
      <c r="A854" s="1410"/>
      <c r="B854" s="1410"/>
      <c r="C854" s="1410"/>
      <c r="D854" s="1485"/>
      <c r="E854" s="1485"/>
      <c r="F854" s="1485"/>
      <c r="G854" s="1485"/>
      <c r="H854" s="1485"/>
      <c r="I854" s="1485"/>
    </row>
    <row r="855" spans="1:9" x14ac:dyDescent="0.3">
      <c r="A855" s="1410"/>
      <c r="B855" s="1410"/>
      <c r="C855" s="1410"/>
      <c r="D855" s="1485"/>
      <c r="E855" s="1485"/>
      <c r="F855" s="1485"/>
      <c r="G855" s="1485"/>
      <c r="H855" s="1485"/>
      <c r="I855" s="1485"/>
    </row>
    <row r="856" spans="1:9" x14ac:dyDescent="0.3">
      <c r="A856" s="1410"/>
      <c r="B856" s="1410"/>
      <c r="C856" s="1410"/>
      <c r="D856" s="1485"/>
      <c r="E856" s="1485"/>
      <c r="F856" s="1485"/>
      <c r="G856" s="1485"/>
      <c r="H856" s="1485"/>
      <c r="I856" s="1485"/>
    </row>
    <row r="857" spans="1:9" x14ac:dyDescent="0.3">
      <c r="A857" s="1410"/>
      <c r="B857" s="1410"/>
      <c r="C857" s="1410"/>
      <c r="D857" s="1485"/>
      <c r="E857" s="1485"/>
      <c r="F857" s="1485"/>
      <c r="G857" s="1485"/>
      <c r="H857" s="1485"/>
      <c r="I857" s="1485"/>
    </row>
    <row r="858" spans="1:9" x14ac:dyDescent="0.3">
      <c r="A858" s="1410"/>
      <c r="B858" s="1410"/>
      <c r="C858" s="1410"/>
      <c r="D858" s="1485"/>
      <c r="E858" s="1485"/>
      <c r="F858" s="1485"/>
      <c r="G858" s="1485"/>
      <c r="H858" s="1485"/>
      <c r="I858" s="1485"/>
    </row>
    <row r="859" spans="1:9" x14ac:dyDescent="0.3">
      <c r="A859" s="1410"/>
      <c r="B859" s="1410"/>
      <c r="C859" s="1410"/>
      <c r="D859" s="1485"/>
      <c r="E859" s="1485"/>
      <c r="F859" s="1485"/>
      <c r="G859" s="1485"/>
      <c r="H859" s="1485"/>
      <c r="I859" s="1485"/>
    </row>
    <row r="860" spans="1:9" x14ac:dyDescent="0.3">
      <c r="A860" s="1410"/>
      <c r="B860" s="1410"/>
      <c r="C860" s="1410"/>
      <c r="D860" s="1485"/>
      <c r="E860" s="1485"/>
      <c r="F860" s="1485"/>
      <c r="G860" s="1485"/>
      <c r="H860" s="1485"/>
      <c r="I860" s="1485"/>
    </row>
    <row r="861" spans="1:9" x14ac:dyDescent="0.3">
      <c r="A861" s="1410"/>
      <c r="B861" s="1410"/>
      <c r="C861" s="1410"/>
      <c r="D861" s="1485"/>
      <c r="E861" s="1485"/>
      <c r="F861" s="1485"/>
      <c r="G861" s="1485"/>
      <c r="H861" s="1485"/>
      <c r="I861" s="1485"/>
    </row>
    <row r="862" spans="1:9" x14ac:dyDescent="0.3">
      <c r="A862" s="1410"/>
      <c r="B862" s="1410"/>
      <c r="C862" s="1410"/>
      <c r="D862" s="1485"/>
      <c r="E862" s="1485"/>
      <c r="F862" s="1485"/>
      <c r="G862" s="1485"/>
      <c r="H862" s="1485"/>
      <c r="I862" s="1485"/>
    </row>
    <row r="863" spans="1:9" x14ac:dyDescent="0.3">
      <c r="A863" s="1410"/>
      <c r="B863" s="1410"/>
      <c r="C863" s="1410"/>
      <c r="D863" s="1485"/>
      <c r="E863" s="1485"/>
      <c r="F863" s="1485"/>
      <c r="G863" s="1485"/>
      <c r="H863" s="1485"/>
      <c r="I863" s="1485"/>
    </row>
    <row r="864" spans="1:9" x14ac:dyDescent="0.3">
      <c r="A864" s="1410"/>
      <c r="B864" s="1410"/>
      <c r="C864" s="1410"/>
      <c r="D864" s="1485"/>
      <c r="E864" s="1485"/>
      <c r="F864" s="1485"/>
      <c r="G864" s="1485"/>
      <c r="H864" s="1485"/>
      <c r="I864" s="1485"/>
    </row>
    <row r="865" spans="1:9" x14ac:dyDescent="0.3">
      <c r="A865" s="1410"/>
      <c r="B865" s="1410"/>
      <c r="C865" s="1410"/>
      <c r="D865" s="1485"/>
      <c r="E865" s="1485"/>
      <c r="F865" s="1485"/>
      <c r="G865" s="1485"/>
      <c r="H865" s="1485"/>
      <c r="I865" s="1485"/>
    </row>
    <row r="866" spans="1:9" x14ac:dyDescent="0.3">
      <c r="A866" s="1410"/>
      <c r="B866" s="1410"/>
      <c r="C866" s="1410"/>
      <c r="D866" s="1485"/>
      <c r="E866" s="1485"/>
      <c r="F866" s="1485"/>
      <c r="G866" s="1485"/>
      <c r="H866" s="1485"/>
      <c r="I866" s="1485"/>
    </row>
    <row r="867" spans="1:9" x14ac:dyDescent="0.3">
      <c r="A867" s="1410"/>
      <c r="B867" s="1410"/>
      <c r="C867" s="1410"/>
      <c r="D867" s="1485"/>
      <c r="E867" s="1485"/>
      <c r="F867" s="1485"/>
      <c r="G867" s="1485"/>
      <c r="H867" s="1485"/>
      <c r="I867" s="1485"/>
    </row>
    <row r="868" spans="1:9" x14ac:dyDescent="0.3">
      <c r="A868" s="1410"/>
      <c r="B868" s="1410"/>
      <c r="C868" s="1410"/>
      <c r="D868" s="1485"/>
      <c r="E868" s="1485"/>
      <c r="F868" s="1485"/>
      <c r="G868" s="1485"/>
      <c r="H868" s="1485"/>
      <c r="I868" s="1485"/>
    </row>
    <row r="869" spans="1:9" x14ac:dyDescent="0.3">
      <c r="A869" s="1410"/>
      <c r="B869" s="1410"/>
      <c r="C869" s="1410"/>
      <c r="D869" s="1485"/>
      <c r="E869" s="1485"/>
      <c r="F869" s="1485"/>
      <c r="G869" s="1485"/>
      <c r="H869" s="1485"/>
      <c r="I869" s="1485"/>
    </row>
    <row r="870" spans="1:9" x14ac:dyDescent="0.3">
      <c r="A870" s="1410"/>
      <c r="B870" s="1410"/>
      <c r="C870" s="1410"/>
      <c r="D870" s="1485"/>
      <c r="E870" s="1485"/>
      <c r="F870" s="1485"/>
      <c r="G870" s="1485"/>
      <c r="H870" s="1485"/>
      <c r="I870" s="1485"/>
    </row>
    <row r="871" spans="1:9" x14ac:dyDescent="0.3">
      <c r="A871" s="1410"/>
      <c r="B871" s="1410"/>
      <c r="C871" s="1410"/>
      <c r="D871" s="1485"/>
      <c r="E871" s="1485"/>
      <c r="F871" s="1485"/>
      <c r="G871" s="1485"/>
      <c r="H871" s="1485"/>
      <c r="I871" s="1485"/>
    </row>
    <row r="872" spans="1:9" x14ac:dyDescent="0.3">
      <c r="A872" s="1410"/>
      <c r="B872" s="1410"/>
      <c r="C872" s="1410"/>
      <c r="D872" s="1485"/>
      <c r="E872" s="1485"/>
      <c r="F872" s="1485"/>
      <c r="G872" s="1485"/>
      <c r="H872" s="1485"/>
      <c r="I872" s="1485"/>
    </row>
    <row r="873" spans="1:9" x14ac:dyDescent="0.3">
      <c r="A873" s="1410"/>
      <c r="B873" s="1410"/>
      <c r="C873" s="1410"/>
      <c r="D873" s="1485"/>
      <c r="E873" s="1485"/>
      <c r="F873" s="1485"/>
      <c r="G873" s="1485"/>
      <c r="H873" s="1485"/>
      <c r="I873" s="1485"/>
    </row>
    <row r="874" spans="1:9" x14ac:dyDescent="0.3">
      <c r="A874" s="1410"/>
      <c r="B874" s="1410"/>
      <c r="C874" s="1410"/>
      <c r="D874" s="1485"/>
      <c r="E874" s="1485"/>
      <c r="F874" s="1485"/>
      <c r="G874" s="1485"/>
      <c r="H874" s="1485"/>
      <c r="I874" s="1485"/>
    </row>
    <row r="875" spans="1:9" x14ac:dyDescent="0.3">
      <c r="A875" s="1410"/>
      <c r="B875" s="1410"/>
      <c r="C875" s="1410"/>
      <c r="D875" s="1485"/>
      <c r="E875" s="1485"/>
      <c r="F875" s="1485"/>
      <c r="G875" s="1485"/>
      <c r="H875" s="1485"/>
      <c r="I875" s="1485"/>
    </row>
    <row r="876" spans="1:9" x14ac:dyDescent="0.3">
      <c r="A876" s="1410"/>
      <c r="B876" s="1410"/>
      <c r="C876" s="1410"/>
      <c r="D876" s="1485"/>
      <c r="E876" s="1485"/>
      <c r="F876" s="1485"/>
      <c r="G876" s="1485"/>
      <c r="H876" s="1485"/>
      <c r="I876" s="1485"/>
    </row>
    <row r="877" spans="1:9" x14ac:dyDescent="0.3">
      <c r="A877" s="1410"/>
      <c r="B877" s="1410"/>
      <c r="C877" s="1410"/>
      <c r="D877" s="1485"/>
      <c r="E877" s="1485"/>
      <c r="F877" s="1485"/>
      <c r="G877" s="1485"/>
      <c r="H877" s="1485"/>
      <c r="I877" s="1485"/>
    </row>
    <row r="878" spans="1:9" x14ac:dyDescent="0.3">
      <c r="A878" s="1410"/>
      <c r="B878" s="1410"/>
      <c r="C878" s="1410"/>
      <c r="D878" s="1485"/>
      <c r="E878" s="1485"/>
      <c r="F878" s="1485"/>
      <c r="G878" s="1485"/>
      <c r="H878" s="1485"/>
      <c r="I878" s="1485"/>
    </row>
    <row r="879" spans="1:9" x14ac:dyDescent="0.3">
      <c r="A879" s="1410"/>
      <c r="B879" s="1410"/>
      <c r="C879" s="1410"/>
      <c r="D879" s="1485"/>
      <c r="E879" s="1485"/>
      <c r="F879" s="1485"/>
      <c r="G879" s="1485"/>
      <c r="H879" s="1485"/>
      <c r="I879" s="1485"/>
    </row>
    <row r="880" spans="1:9" x14ac:dyDescent="0.3">
      <c r="A880" s="1410"/>
      <c r="B880" s="1410"/>
      <c r="C880" s="1410"/>
      <c r="D880" s="1485"/>
      <c r="E880" s="1485"/>
      <c r="F880" s="1485"/>
      <c r="G880" s="1485"/>
      <c r="H880" s="1485"/>
      <c r="I880" s="1485"/>
    </row>
    <row r="881" spans="1:9" x14ac:dyDescent="0.3">
      <c r="A881" s="1410"/>
      <c r="B881" s="1410"/>
      <c r="C881" s="1410"/>
      <c r="D881" s="1485"/>
      <c r="E881" s="1485"/>
      <c r="F881" s="1485"/>
      <c r="G881" s="1485"/>
      <c r="H881" s="1485"/>
      <c r="I881" s="1485"/>
    </row>
    <row r="882" spans="1:9" x14ac:dyDescent="0.3">
      <c r="A882" s="1410"/>
      <c r="B882" s="1410"/>
      <c r="C882" s="1410"/>
      <c r="D882" s="1485"/>
      <c r="E882" s="1485"/>
      <c r="F882" s="1485"/>
      <c r="G882" s="1485"/>
      <c r="H882" s="1485"/>
      <c r="I882" s="1485"/>
    </row>
    <row r="883" spans="1:9" x14ac:dyDescent="0.3">
      <c r="A883" s="1410"/>
      <c r="B883" s="1410"/>
      <c r="C883" s="1410"/>
      <c r="D883" s="1485"/>
      <c r="E883" s="1485"/>
      <c r="F883" s="1485"/>
      <c r="G883" s="1485"/>
      <c r="H883" s="1485"/>
      <c r="I883" s="1485"/>
    </row>
    <row r="884" spans="1:9" x14ac:dyDescent="0.3">
      <c r="A884" s="1410"/>
      <c r="B884" s="1410"/>
      <c r="C884" s="1410"/>
      <c r="D884" s="1485"/>
      <c r="E884" s="1485"/>
      <c r="F884" s="1485"/>
      <c r="G884" s="1485"/>
      <c r="H884" s="1485"/>
      <c r="I884" s="1485"/>
    </row>
    <row r="885" spans="1:9" x14ac:dyDescent="0.3">
      <c r="A885" s="1410"/>
      <c r="B885" s="1410"/>
      <c r="C885" s="1410"/>
      <c r="D885" s="1485"/>
      <c r="E885" s="1485"/>
      <c r="F885" s="1485"/>
      <c r="G885" s="1485"/>
      <c r="H885" s="1485"/>
      <c r="I885" s="1485"/>
    </row>
    <row r="886" spans="1:9" x14ac:dyDescent="0.3">
      <c r="A886" s="1410"/>
      <c r="B886" s="1410"/>
      <c r="C886" s="1410"/>
      <c r="D886" s="1485"/>
      <c r="E886" s="1485"/>
      <c r="F886" s="1485"/>
      <c r="G886" s="1485"/>
      <c r="H886" s="1485"/>
      <c r="I886" s="1485"/>
    </row>
    <row r="887" spans="1:9" x14ac:dyDescent="0.3">
      <c r="A887" s="1410"/>
      <c r="B887" s="1410"/>
      <c r="C887" s="1410"/>
      <c r="D887" s="1485"/>
      <c r="E887" s="1485"/>
      <c r="F887" s="1485"/>
      <c r="G887" s="1485"/>
      <c r="H887" s="1485"/>
      <c r="I887" s="1485"/>
    </row>
    <row r="888" spans="1:9" x14ac:dyDescent="0.3">
      <c r="A888" s="1410"/>
      <c r="B888" s="1410"/>
      <c r="C888" s="1410"/>
      <c r="D888" s="1485"/>
      <c r="E888" s="1485"/>
      <c r="F888" s="1485"/>
      <c r="G888" s="1485"/>
      <c r="H888" s="1485"/>
      <c r="I888" s="1485"/>
    </row>
    <row r="889" spans="1:9" x14ac:dyDescent="0.3">
      <c r="A889" s="1410"/>
      <c r="B889" s="1410"/>
      <c r="C889" s="1410"/>
      <c r="D889" s="1485"/>
      <c r="E889" s="1485"/>
      <c r="F889" s="1485"/>
      <c r="G889" s="1485"/>
      <c r="H889" s="1485"/>
      <c r="I889" s="1485"/>
    </row>
    <row r="890" spans="1:9" x14ac:dyDescent="0.3">
      <c r="A890" s="1410"/>
      <c r="B890" s="1410"/>
      <c r="C890" s="1410"/>
      <c r="D890" s="1485"/>
      <c r="E890" s="1485"/>
      <c r="F890" s="1485"/>
      <c r="G890" s="1485"/>
      <c r="H890" s="1485"/>
      <c r="I890" s="1485"/>
    </row>
    <row r="891" spans="1:9" x14ac:dyDescent="0.3">
      <c r="A891" s="1410"/>
      <c r="B891" s="1410"/>
      <c r="C891" s="1410"/>
      <c r="D891" s="1485"/>
      <c r="E891" s="1485"/>
      <c r="F891" s="1485"/>
      <c r="G891" s="1485"/>
      <c r="H891" s="1485"/>
      <c r="I891" s="1485"/>
    </row>
    <row r="892" spans="1:9" x14ac:dyDescent="0.3">
      <c r="A892" s="1410"/>
      <c r="B892" s="1410"/>
      <c r="C892" s="1410"/>
      <c r="D892" s="1485"/>
      <c r="E892" s="1485"/>
      <c r="F892" s="1485"/>
      <c r="G892" s="1485"/>
      <c r="H892" s="1485"/>
      <c r="I892" s="1485"/>
    </row>
    <row r="893" spans="1:9" x14ac:dyDescent="0.3">
      <c r="A893" s="1410"/>
      <c r="B893" s="1410"/>
      <c r="C893" s="1410"/>
      <c r="D893" s="1485"/>
      <c r="E893" s="1485"/>
      <c r="F893" s="1485"/>
      <c r="G893" s="1485"/>
      <c r="H893" s="1485"/>
      <c r="I893" s="1485"/>
    </row>
    <row r="894" spans="1:9" x14ac:dyDescent="0.3">
      <c r="A894" s="1410"/>
      <c r="B894" s="1410"/>
      <c r="C894" s="1410"/>
      <c r="D894" s="1485"/>
      <c r="E894" s="1485"/>
      <c r="F894" s="1485"/>
      <c r="G894" s="1485"/>
      <c r="H894" s="1485"/>
      <c r="I894" s="1485"/>
    </row>
    <row r="895" spans="1:9" x14ac:dyDescent="0.3">
      <c r="A895" s="1410"/>
      <c r="B895" s="1410"/>
      <c r="C895" s="1410"/>
      <c r="D895" s="1485"/>
      <c r="E895" s="1485"/>
      <c r="F895" s="1485"/>
      <c r="G895" s="1485"/>
      <c r="H895" s="1485"/>
      <c r="I895" s="1485"/>
    </row>
    <row r="896" spans="1:9" x14ac:dyDescent="0.3">
      <c r="A896" s="1410"/>
      <c r="B896" s="1410"/>
      <c r="C896" s="1410"/>
      <c r="D896" s="1485"/>
      <c r="E896" s="1485"/>
      <c r="F896" s="1485"/>
      <c r="G896" s="1485"/>
      <c r="H896" s="1485"/>
      <c r="I896" s="1485"/>
    </row>
    <row r="897" spans="1:9" x14ac:dyDescent="0.3">
      <c r="A897" s="1410"/>
      <c r="B897" s="1410"/>
      <c r="C897" s="1410"/>
      <c r="D897" s="1485"/>
      <c r="E897" s="1485"/>
      <c r="F897" s="1485"/>
      <c r="G897" s="1485"/>
      <c r="H897" s="1485"/>
      <c r="I897" s="1485"/>
    </row>
    <row r="898" spans="1:9" x14ac:dyDescent="0.3">
      <c r="A898" s="1410"/>
      <c r="B898" s="1410"/>
      <c r="C898" s="1410"/>
      <c r="D898" s="1485"/>
      <c r="E898" s="1485"/>
      <c r="F898" s="1485"/>
      <c r="G898" s="1485"/>
      <c r="H898" s="1485"/>
      <c r="I898" s="1485"/>
    </row>
    <row r="899" spans="1:9" x14ac:dyDescent="0.3">
      <c r="A899" s="1410"/>
      <c r="B899" s="1410"/>
      <c r="C899" s="1410"/>
      <c r="D899" s="1485"/>
      <c r="E899" s="1485"/>
      <c r="F899" s="1485"/>
      <c r="G899" s="1485"/>
      <c r="H899" s="1485"/>
      <c r="I899" s="1485"/>
    </row>
    <row r="900" spans="1:9" x14ac:dyDescent="0.3">
      <c r="A900" s="1410"/>
      <c r="B900" s="1410"/>
      <c r="C900" s="1410"/>
      <c r="D900" s="1485"/>
      <c r="E900" s="1485"/>
      <c r="F900" s="1485"/>
      <c r="G900" s="1485"/>
      <c r="H900" s="1485"/>
      <c r="I900" s="1485"/>
    </row>
    <row r="901" spans="1:9" x14ac:dyDescent="0.3">
      <c r="A901" s="1410"/>
      <c r="B901" s="1410"/>
      <c r="C901" s="1410"/>
      <c r="D901" s="1485"/>
      <c r="E901" s="1485"/>
      <c r="F901" s="1485"/>
      <c r="G901" s="1485"/>
      <c r="H901" s="1485"/>
      <c r="I901" s="1485"/>
    </row>
    <row r="902" spans="1:9" x14ac:dyDescent="0.3">
      <c r="A902" s="1410"/>
      <c r="B902" s="1410"/>
      <c r="C902" s="1410"/>
      <c r="D902" s="1485"/>
      <c r="E902" s="1485"/>
      <c r="F902" s="1485"/>
      <c r="G902" s="1485"/>
      <c r="H902" s="1485"/>
      <c r="I902" s="1485"/>
    </row>
    <row r="903" spans="1:9" x14ac:dyDescent="0.3">
      <c r="A903" s="1410"/>
      <c r="B903" s="1410"/>
      <c r="C903" s="1410"/>
      <c r="D903" s="1485"/>
      <c r="E903" s="1485"/>
      <c r="F903" s="1485"/>
      <c r="G903" s="1485"/>
      <c r="H903" s="1485"/>
      <c r="I903" s="1485"/>
    </row>
    <row r="904" spans="1:9" x14ac:dyDescent="0.3">
      <c r="A904" s="1410"/>
      <c r="B904" s="1410"/>
      <c r="C904" s="1410"/>
      <c r="D904" s="1485"/>
      <c r="E904" s="1485"/>
      <c r="F904" s="1485"/>
      <c r="G904" s="1485"/>
      <c r="H904" s="1485"/>
      <c r="I904" s="1485"/>
    </row>
    <row r="905" spans="1:9" x14ac:dyDescent="0.3">
      <c r="A905" s="1410"/>
      <c r="B905" s="1410"/>
      <c r="C905" s="1410"/>
      <c r="D905" s="1485"/>
      <c r="E905" s="1485"/>
      <c r="F905" s="1485"/>
      <c r="G905" s="1485"/>
      <c r="H905" s="1485"/>
      <c r="I905" s="1485"/>
    </row>
    <row r="906" spans="1:9" x14ac:dyDescent="0.3">
      <c r="A906" s="1410"/>
      <c r="B906" s="1410"/>
      <c r="C906" s="1410"/>
      <c r="D906" s="1485"/>
      <c r="E906" s="1485"/>
      <c r="F906" s="1485"/>
      <c r="G906" s="1485"/>
      <c r="H906" s="1485"/>
      <c r="I906" s="1485"/>
    </row>
    <row r="907" spans="1:9" x14ac:dyDescent="0.3">
      <c r="A907" s="1410"/>
      <c r="B907" s="1410"/>
      <c r="C907" s="1410"/>
      <c r="D907" s="1485"/>
      <c r="E907" s="1485"/>
      <c r="F907" s="1485"/>
      <c r="G907" s="1485"/>
      <c r="H907" s="1485"/>
      <c r="I907" s="1485"/>
    </row>
    <row r="908" spans="1:9" x14ac:dyDescent="0.3">
      <c r="A908" s="1410"/>
      <c r="B908" s="1410"/>
      <c r="C908" s="1410"/>
      <c r="D908" s="1485"/>
      <c r="E908" s="1485"/>
      <c r="F908" s="1485"/>
      <c r="G908" s="1485"/>
      <c r="H908" s="1485"/>
      <c r="I908" s="1485"/>
    </row>
    <row r="909" spans="1:9" x14ac:dyDescent="0.3">
      <c r="A909" s="1410"/>
      <c r="B909" s="1410"/>
      <c r="C909" s="1410"/>
      <c r="D909" s="1485"/>
      <c r="E909" s="1485"/>
      <c r="F909" s="1485"/>
      <c r="G909" s="1485"/>
      <c r="H909" s="1485"/>
      <c r="I909" s="1485"/>
    </row>
    <row r="910" spans="1:9" x14ac:dyDescent="0.3">
      <c r="A910" s="1410"/>
      <c r="B910" s="1410"/>
      <c r="C910" s="1410"/>
      <c r="D910" s="1485"/>
      <c r="E910" s="1485"/>
      <c r="F910" s="1485"/>
      <c r="G910" s="1485"/>
      <c r="H910" s="1485"/>
      <c r="I910" s="1485"/>
    </row>
    <row r="911" spans="1:9" x14ac:dyDescent="0.3">
      <c r="A911" s="1410"/>
      <c r="B911" s="1410"/>
      <c r="C911" s="1410"/>
      <c r="D911" s="1485"/>
      <c r="E911" s="1485"/>
      <c r="F911" s="1485"/>
      <c r="G911" s="1485"/>
      <c r="H911" s="1485"/>
      <c r="I911" s="1485"/>
    </row>
    <row r="912" spans="1:9" x14ac:dyDescent="0.3">
      <c r="A912" s="1410"/>
      <c r="B912" s="1410"/>
      <c r="C912" s="1410"/>
      <c r="D912" s="1485"/>
      <c r="E912" s="1485"/>
      <c r="F912" s="1485"/>
      <c r="G912" s="1485"/>
      <c r="H912" s="1485"/>
      <c r="I912" s="1485"/>
    </row>
    <row r="913" spans="1:9" x14ac:dyDescent="0.3">
      <c r="A913" s="1410"/>
      <c r="B913" s="1410"/>
      <c r="C913" s="1410"/>
      <c r="D913" s="1485"/>
      <c r="E913" s="1485"/>
      <c r="F913" s="1485"/>
      <c r="G913" s="1485"/>
      <c r="H913" s="1485"/>
      <c r="I913" s="1485"/>
    </row>
    <row r="914" spans="1:9" x14ac:dyDescent="0.3">
      <c r="A914" s="1410"/>
      <c r="B914" s="1410"/>
      <c r="C914" s="1410"/>
      <c r="D914" s="1485"/>
      <c r="E914" s="1485"/>
      <c r="F914" s="1485"/>
      <c r="G914" s="1485"/>
      <c r="H914" s="1485"/>
      <c r="I914" s="1485"/>
    </row>
    <row r="915" spans="1:9" x14ac:dyDescent="0.3">
      <c r="A915" s="1410"/>
      <c r="B915" s="1410"/>
      <c r="C915" s="1410"/>
      <c r="D915" s="1485"/>
      <c r="E915" s="1485"/>
      <c r="F915" s="1485"/>
      <c r="G915" s="1485"/>
      <c r="H915" s="1485"/>
      <c r="I915" s="1485"/>
    </row>
    <row r="916" spans="1:9" x14ac:dyDescent="0.3">
      <c r="A916" s="1410"/>
      <c r="B916" s="1410"/>
      <c r="C916" s="1410"/>
      <c r="D916" s="1485"/>
      <c r="E916" s="1485"/>
      <c r="F916" s="1485"/>
      <c r="G916" s="1485"/>
      <c r="H916" s="1485"/>
      <c r="I916" s="1485"/>
    </row>
    <row r="917" spans="1:9" x14ac:dyDescent="0.3">
      <c r="A917" s="1410"/>
      <c r="B917" s="1410"/>
      <c r="C917" s="1410"/>
      <c r="D917" s="1485"/>
      <c r="E917" s="1485"/>
      <c r="F917" s="1485"/>
      <c r="G917" s="1485"/>
      <c r="H917" s="1485"/>
      <c r="I917" s="1485"/>
    </row>
    <row r="918" spans="1:9" x14ac:dyDescent="0.3">
      <c r="A918" s="1410"/>
      <c r="B918" s="1410"/>
      <c r="C918" s="1410"/>
      <c r="D918" s="1485"/>
      <c r="E918" s="1485"/>
      <c r="F918" s="1485"/>
      <c r="G918" s="1485"/>
      <c r="H918" s="1485"/>
      <c r="I918" s="1485"/>
    </row>
    <row r="919" spans="1:9" x14ac:dyDescent="0.3">
      <c r="A919" s="1410"/>
      <c r="B919" s="1410"/>
      <c r="C919" s="1410"/>
      <c r="D919" s="1485"/>
      <c r="E919" s="1485"/>
      <c r="F919" s="1485"/>
      <c r="G919" s="1485"/>
      <c r="H919" s="1485"/>
      <c r="I919" s="1485"/>
    </row>
    <row r="920" spans="1:9" x14ac:dyDescent="0.3">
      <c r="A920" s="1410"/>
      <c r="B920" s="1410"/>
      <c r="C920" s="1410"/>
      <c r="D920" s="1485"/>
      <c r="E920" s="1485"/>
      <c r="F920" s="1485"/>
      <c r="G920" s="1485"/>
      <c r="H920" s="1485"/>
      <c r="I920" s="1485"/>
    </row>
    <row r="921" spans="1:9" x14ac:dyDescent="0.3">
      <c r="A921" s="1410"/>
      <c r="B921" s="1410"/>
      <c r="C921" s="1410"/>
      <c r="D921" s="1485"/>
      <c r="E921" s="1485"/>
      <c r="F921" s="1485"/>
      <c r="G921" s="1485"/>
      <c r="H921" s="1485"/>
      <c r="I921" s="1485"/>
    </row>
    <row r="922" spans="1:9" x14ac:dyDescent="0.3">
      <c r="A922" s="1410"/>
      <c r="B922" s="1410"/>
      <c r="C922" s="1410"/>
      <c r="D922" s="1485"/>
      <c r="E922" s="1485"/>
      <c r="F922" s="1485"/>
      <c r="G922" s="1485"/>
      <c r="H922" s="1485"/>
      <c r="I922" s="1485"/>
    </row>
    <row r="923" spans="1:9" x14ac:dyDescent="0.3">
      <c r="A923" s="1410"/>
      <c r="B923" s="1410"/>
      <c r="C923" s="1410"/>
      <c r="D923" s="1485"/>
      <c r="E923" s="1485"/>
      <c r="F923" s="1485"/>
      <c r="G923" s="1485"/>
      <c r="H923" s="1485"/>
      <c r="I923" s="1485"/>
    </row>
    <row r="924" spans="1:9" x14ac:dyDescent="0.3">
      <c r="A924" s="1410"/>
      <c r="B924" s="1410"/>
      <c r="C924" s="1410"/>
      <c r="D924" s="1485"/>
      <c r="E924" s="1485"/>
      <c r="F924" s="1485"/>
      <c r="G924" s="1485"/>
      <c r="H924" s="1485"/>
      <c r="I924" s="1485"/>
    </row>
    <row r="925" spans="1:9" x14ac:dyDescent="0.3">
      <c r="A925" s="1410"/>
      <c r="B925" s="1410"/>
      <c r="C925" s="1410"/>
      <c r="D925" s="1485"/>
      <c r="E925" s="1485"/>
      <c r="F925" s="1485"/>
      <c r="G925" s="1485"/>
      <c r="H925" s="1485"/>
      <c r="I925" s="1485"/>
    </row>
    <row r="926" spans="1:9" x14ac:dyDescent="0.3">
      <c r="A926" s="1410"/>
      <c r="B926" s="1410"/>
      <c r="C926" s="1410"/>
      <c r="D926" s="1485"/>
      <c r="E926" s="1485"/>
      <c r="F926" s="1485"/>
      <c r="G926" s="1485"/>
      <c r="H926" s="1485"/>
      <c r="I926" s="1485"/>
    </row>
    <row r="927" spans="1:9" x14ac:dyDescent="0.3">
      <c r="A927" s="1410"/>
      <c r="B927" s="1410"/>
      <c r="C927" s="1410"/>
      <c r="D927" s="1485"/>
      <c r="E927" s="1485"/>
      <c r="F927" s="1485"/>
      <c r="G927" s="1485"/>
      <c r="H927" s="1485"/>
      <c r="I927" s="1485"/>
    </row>
    <row r="928" spans="1:9" x14ac:dyDescent="0.3">
      <c r="A928" s="1410"/>
      <c r="B928" s="1410"/>
      <c r="C928" s="1410"/>
      <c r="D928" s="1485"/>
      <c r="E928" s="1485"/>
      <c r="F928" s="1485"/>
      <c r="G928" s="1485"/>
      <c r="H928" s="1485"/>
      <c r="I928" s="1485"/>
    </row>
    <row r="929" spans="1:9" x14ac:dyDescent="0.3">
      <c r="A929" s="1410"/>
      <c r="B929" s="1410"/>
      <c r="C929" s="1410"/>
      <c r="D929" s="1485"/>
      <c r="E929" s="1485"/>
      <c r="F929" s="1485"/>
      <c r="G929" s="1485"/>
      <c r="H929" s="1485"/>
      <c r="I929" s="1485"/>
    </row>
    <row r="930" spans="1:9" x14ac:dyDescent="0.3">
      <c r="A930" s="1410"/>
      <c r="B930" s="1410"/>
      <c r="C930" s="1410"/>
      <c r="D930" s="1485"/>
      <c r="E930" s="1485"/>
      <c r="F930" s="1485"/>
      <c r="G930" s="1485"/>
      <c r="H930" s="1485"/>
      <c r="I930" s="1485"/>
    </row>
    <row r="931" spans="1:9" x14ac:dyDescent="0.3">
      <c r="A931" s="1410"/>
      <c r="B931" s="1410"/>
      <c r="C931" s="1410"/>
      <c r="D931" s="1485"/>
      <c r="E931" s="1485"/>
      <c r="F931" s="1485"/>
      <c r="G931" s="1485"/>
      <c r="H931" s="1485"/>
      <c r="I931" s="1485"/>
    </row>
    <row r="932" spans="1:9" x14ac:dyDescent="0.3">
      <c r="A932" s="1410"/>
      <c r="B932" s="1410"/>
      <c r="C932" s="1410"/>
      <c r="D932" s="1485"/>
      <c r="E932" s="1485"/>
      <c r="F932" s="1485"/>
      <c r="G932" s="1485"/>
      <c r="H932" s="1485"/>
      <c r="I932" s="1485"/>
    </row>
    <row r="933" spans="1:9" x14ac:dyDescent="0.3">
      <c r="A933" s="1410"/>
      <c r="B933" s="1410"/>
      <c r="C933" s="1410"/>
      <c r="D933" s="1485"/>
      <c r="E933" s="1485"/>
      <c r="F933" s="1485"/>
      <c r="G933" s="1485"/>
      <c r="H933" s="1485"/>
      <c r="I933" s="1485"/>
    </row>
    <row r="934" spans="1:9" x14ac:dyDescent="0.3">
      <c r="A934" s="1410"/>
      <c r="B934" s="1410"/>
      <c r="C934" s="1410"/>
      <c r="D934" s="1485"/>
      <c r="E934" s="1485"/>
      <c r="F934" s="1485"/>
      <c r="G934" s="1485"/>
      <c r="H934" s="1485"/>
      <c r="I934" s="1485"/>
    </row>
    <row r="935" spans="1:9" x14ac:dyDescent="0.3">
      <c r="A935" s="1410"/>
      <c r="B935" s="1410"/>
      <c r="C935" s="1410"/>
      <c r="D935" s="1485"/>
      <c r="E935" s="1485"/>
      <c r="F935" s="1485"/>
      <c r="G935" s="1485"/>
      <c r="H935" s="1485"/>
      <c r="I935" s="1485"/>
    </row>
    <row r="936" spans="1:9" x14ac:dyDescent="0.3">
      <c r="A936" s="1410"/>
      <c r="B936" s="1410"/>
      <c r="C936" s="1410"/>
      <c r="D936" s="1485"/>
      <c r="E936" s="1485"/>
      <c r="F936" s="1485"/>
      <c r="G936" s="1485"/>
      <c r="H936" s="1485"/>
      <c r="I936" s="1485"/>
    </row>
    <row r="937" spans="1:9" x14ac:dyDescent="0.3">
      <c r="A937" s="1410"/>
      <c r="B937" s="1410"/>
      <c r="C937" s="1410"/>
      <c r="D937" s="1485"/>
      <c r="E937" s="1485"/>
      <c r="F937" s="1485"/>
      <c r="G937" s="1485"/>
      <c r="H937" s="1485"/>
      <c r="I937" s="1485"/>
    </row>
    <row r="938" spans="1:9" x14ac:dyDescent="0.3">
      <c r="A938" s="1410"/>
      <c r="B938" s="1410"/>
      <c r="C938" s="1410"/>
      <c r="D938" s="1485"/>
      <c r="E938" s="1485"/>
      <c r="F938" s="1485"/>
      <c r="G938" s="1485"/>
      <c r="H938" s="1485"/>
      <c r="I938" s="1485"/>
    </row>
    <row r="939" spans="1:9" x14ac:dyDescent="0.3">
      <c r="A939" s="1410"/>
      <c r="B939" s="1410"/>
      <c r="C939" s="1410"/>
      <c r="D939" s="1485"/>
      <c r="E939" s="1485"/>
      <c r="F939" s="1485"/>
      <c r="G939" s="1485"/>
      <c r="H939" s="1485"/>
      <c r="I939" s="1485"/>
    </row>
    <row r="940" spans="1:9" x14ac:dyDescent="0.3">
      <c r="A940" s="1410"/>
      <c r="B940" s="1410"/>
      <c r="C940" s="1410"/>
      <c r="D940" s="1485"/>
      <c r="E940" s="1485"/>
      <c r="F940" s="1485"/>
      <c r="G940" s="1485"/>
      <c r="H940" s="1485"/>
      <c r="I940" s="1485"/>
    </row>
    <row r="941" spans="1:9" x14ac:dyDescent="0.3">
      <c r="A941" s="1410"/>
      <c r="B941" s="1410"/>
      <c r="C941" s="1410"/>
      <c r="D941" s="1485"/>
      <c r="E941" s="1485"/>
      <c r="F941" s="1485"/>
      <c r="G941" s="1485"/>
      <c r="H941" s="1485"/>
      <c r="I941" s="1485"/>
    </row>
    <row r="942" spans="1:9" x14ac:dyDescent="0.3">
      <c r="A942" s="1410"/>
      <c r="B942" s="1410"/>
      <c r="C942" s="1410"/>
      <c r="D942" s="1485"/>
      <c r="E942" s="1485"/>
      <c r="F942" s="1485"/>
      <c r="G942" s="1485"/>
      <c r="H942" s="1485"/>
      <c r="I942" s="1485"/>
    </row>
    <row r="943" spans="1:9" x14ac:dyDescent="0.3">
      <c r="A943" s="1410"/>
      <c r="B943" s="1410"/>
      <c r="C943" s="1410"/>
      <c r="D943" s="1485"/>
      <c r="E943" s="1485"/>
      <c r="F943" s="1485"/>
      <c r="G943" s="1485"/>
      <c r="H943" s="1485"/>
      <c r="I943" s="1485"/>
    </row>
    <row r="944" spans="1:9" x14ac:dyDescent="0.3">
      <c r="A944" s="1410"/>
      <c r="B944" s="1410"/>
      <c r="C944" s="1410"/>
      <c r="D944" s="1485"/>
      <c r="E944" s="1485"/>
      <c r="F944" s="1485"/>
      <c r="G944" s="1485"/>
      <c r="H944" s="1485"/>
      <c r="I944" s="1485"/>
    </row>
    <row r="945" spans="1:9" x14ac:dyDescent="0.3">
      <c r="A945" s="1410"/>
      <c r="B945" s="1410"/>
      <c r="C945" s="1410"/>
      <c r="D945" s="1485"/>
      <c r="E945" s="1485"/>
      <c r="F945" s="1485"/>
      <c r="G945" s="1485"/>
      <c r="H945" s="1485"/>
      <c r="I945" s="1485"/>
    </row>
    <row r="946" spans="1:9" x14ac:dyDescent="0.3">
      <c r="A946" s="1410"/>
      <c r="B946" s="1410"/>
      <c r="C946" s="1410"/>
      <c r="D946" s="1485"/>
      <c r="E946" s="1485"/>
      <c r="F946" s="1485"/>
      <c r="G946" s="1485"/>
      <c r="H946" s="1485"/>
      <c r="I946" s="1485"/>
    </row>
    <row r="947" spans="1:9" x14ac:dyDescent="0.3">
      <c r="A947" s="1410"/>
      <c r="B947" s="1410"/>
      <c r="C947" s="1410"/>
      <c r="D947" s="1485"/>
      <c r="E947" s="1485"/>
      <c r="F947" s="1485"/>
      <c r="G947" s="1485"/>
      <c r="H947" s="1485"/>
      <c r="I947" s="1485"/>
    </row>
    <row r="948" spans="1:9" x14ac:dyDescent="0.3">
      <c r="A948" s="1410"/>
      <c r="B948" s="1410"/>
      <c r="C948" s="1410"/>
      <c r="D948" s="1485"/>
      <c r="E948" s="1485"/>
      <c r="F948" s="1485"/>
      <c r="G948" s="1485"/>
      <c r="H948" s="1485"/>
      <c r="I948" s="1485"/>
    </row>
    <row r="949" spans="1:9" x14ac:dyDescent="0.3">
      <c r="A949" s="1410"/>
      <c r="B949" s="1410"/>
      <c r="C949" s="1410"/>
      <c r="D949" s="1485"/>
      <c r="E949" s="1485"/>
      <c r="F949" s="1485"/>
      <c r="G949" s="1485"/>
      <c r="H949" s="1485"/>
      <c r="I949" s="1485"/>
    </row>
    <row r="950" spans="1:9" x14ac:dyDescent="0.3">
      <c r="A950" s="1410"/>
      <c r="B950" s="1410"/>
      <c r="C950" s="1410"/>
      <c r="D950" s="1485"/>
      <c r="E950" s="1485"/>
      <c r="F950" s="1485"/>
      <c r="G950" s="1485"/>
      <c r="H950" s="1485"/>
      <c r="I950" s="1485"/>
    </row>
    <row r="951" spans="1:9" x14ac:dyDescent="0.3">
      <c r="A951" s="1410"/>
      <c r="B951" s="1410"/>
      <c r="C951" s="1410"/>
      <c r="D951" s="1485"/>
      <c r="E951" s="1485"/>
      <c r="F951" s="1485"/>
      <c r="G951" s="1485"/>
      <c r="H951" s="1485"/>
      <c r="I951" s="1485"/>
    </row>
    <row r="952" spans="1:9" x14ac:dyDescent="0.3">
      <c r="A952" s="1410"/>
      <c r="B952" s="1410"/>
      <c r="C952" s="1410"/>
      <c r="D952" s="1485"/>
      <c r="E952" s="1485"/>
      <c r="F952" s="1485"/>
      <c r="G952" s="1485"/>
      <c r="H952" s="1485"/>
      <c r="I952" s="1485"/>
    </row>
    <row r="953" spans="1:9" x14ac:dyDescent="0.3">
      <c r="A953" s="1410"/>
      <c r="B953" s="1410"/>
      <c r="C953" s="1410"/>
      <c r="D953" s="1485"/>
      <c r="E953" s="1485"/>
      <c r="F953" s="1485"/>
      <c r="G953" s="1485"/>
      <c r="H953" s="1485"/>
      <c r="I953" s="1485"/>
    </row>
    <row r="954" spans="1:9" x14ac:dyDescent="0.3">
      <c r="A954" s="1410"/>
      <c r="B954" s="1410"/>
      <c r="C954" s="1410"/>
      <c r="D954" s="1485"/>
      <c r="E954" s="1485"/>
      <c r="F954" s="1485"/>
      <c r="G954" s="1485"/>
      <c r="H954" s="1485"/>
      <c r="I954" s="1485"/>
    </row>
    <row r="955" spans="1:9" x14ac:dyDescent="0.3">
      <c r="A955" s="1410"/>
      <c r="B955" s="1410"/>
      <c r="C955" s="1410"/>
      <c r="D955" s="1485"/>
      <c r="E955" s="1485"/>
      <c r="F955" s="1485"/>
      <c r="G955" s="1485"/>
      <c r="H955" s="1485"/>
      <c r="I955" s="1485"/>
    </row>
    <row r="956" spans="1:9" x14ac:dyDescent="0.3">
      <c r="A956" s="1410"/>
      <c r="B956" s="1410"/>
      <c r="C956" s="1410"/>
      <c r="D956" s="1485"/>
      <c r="E956" s="1485"/>
      <c r="F956" s="1485"/>
      <c r="G956" s="1485"/>
      <c r="H956" s="1485"/>
      <c r="I956" s="1485"/>
    </row>
    <row r="957" spans="1:9" x14ac:dyDescent="0.3">
      <c r="A957" s="1410"/>
      <c r="B957" s="1410"/>
      <c r="C957" s="1410"/>
      <c r="D957" s="1485"/>
      <c r="E957" s="1485"/>
      <c r="F957" s="1485"/>
      <c r="G957" s="1485"/>
      <c r="H957" s="1485"/>
      <c r="I957" s="1485"/>
    </row>
    <row r="958" spans="1:9" x14ac:dyDescent="0.3">
      <c r="A958" s="1410"/>
      <c r="B958" s="1410"/>
      <c r="C958" s="1410"/>
      <c r="D958" s="1485"/>
      <c r="E958" s="1485"/>
      <c r="F958" s="1485"/>
      <c r="G958" s="1485"/>
      <c r="H958" s="1485"/>
      <c r="I958" s="1485"/>
    </row>
    <row r="959" spans="1:9" x14ac:dyDescent="0.3">
      <c r="A959" s="1410"/>
      <c r="B959" s="1410"/>
      <c r="C959" s="1410"/>
      <c r="D959" s="1485"/>
      <c r="E959" s="1485"/>
      <c r="F959" s="1485"/>
      <c r="G959" s="1485"/>
      <c r="H959" s="1485"/>
      <c r="I959" s="1485"/>
    </row>
    <row r="960" spans="1:9" x14ac:dyDescent="0.3">
      <c r="A960" s="1410"/>
      <c r="B960" s="1410"/>
      <c r="C960" s="1410"/>
      <c r="D960" s="1485"/>
      <c r="E960" s="1485"/>
      <c r="F960" s="1485"/>
      <c r="G960" s="1485"/>
      <c r="H960" s="1485"/>
      <c r="I960" s="1485"/>
    </row>
    <row r="961" spans="1:9" x14ac:dyDescent="0.3">
      <c r="A961" s="1410"/>
      <c r="B961" s="1410"/>
      <c r="C961" s="1410"/>
      <c r="D961" s="1485"/>
      <c r="E961" s="1485"/>
      <c r="F961" s="1485"/>
      <c r="G961" s="1485"/>
      <c r="H961" s="1485"/>
      <c r="I961" s="1485"/>
    </row>
    <row r="962" spans="1:9" x14ac:dyDescent="0.3">
      <c r="A962" s="1410"/>
      <c r="B962" s="1410"/>
      <c r="C962" s="1410"/>
      <c r="D962" s="1485"/>
      <c r="E962" s="1485"/>
      <c r="F962" s="1485"/>
      <c r="G962" s="1485"/>
      <c r="H962" s="1485"/>
      <c r="I962" s="1485"/>
    </row>
    <row r="963" spans="1:9" x14ac:dyDescent="0.3">
      <c r="A963" s="1410"/>
      <c r="B963" s="1410"/>
      <c r="C963" s="1410"/>
      <c r="D963" s="1485"/>
      <c r="E963" s="1485"/>
      <c r="F963" s="1485"/>
      <c r="G963" s="1485"/>
      <c r="H963" s="1485"/>
      <c r="I963" s="1485"/>
    </row>
    <row r="964" spans="1:9" x14ac:dyDescent="0.3">
      <c r="A964" s="1410"/>
      <c r="B964" s="1410"/>
      <c r="C964" s="1410"/>
      <c r="D964" s="1485"/>
      <c r="E964" s="1485"/>
      <c r="F964" s="1485"/>
      <c r="G964" s="1485"/>
      <c r="H964" s="1485"/>
      <c r="I964" s="1485"/>
    </row>
    <row r="965" spans="1:9" x14ac:dyDescent="0.3">
      <c r="A965" s="1410"/>
      <c r="B965" s="1410"/>
      <c r="C965" s="1410"/>
      <c r="D965" s="1485"/>
      <c r="E965" s="1485"/>
      <c r="F965" s="1485"/>
      <c r="G965" s="1485"/>
      <c r="H965" s="1485"/>
      <c r="I965" s="1485"/>
    </row>
    <row r="966" spans="1:9" x14ac:dyDescent="0.3">
      <c r="A966" s="1410"/>
      <c r="B966" s="1410"/>
      <c r="C966" s="1410"/>
      <c r="D966" s="1485"/>
      <c r="E966" s="1485"/>
      <c r="F966" s="1485"/>
      <c r="G966" s="1485"/>
      <c r="H966" s="1485"/>
      <c r="I966" s="1485"/>
    </row>
    <row r="967" spans="1:9" x14ac:dyDescent="0.3">
      <c r="A967" s="1410"/>
      <c r="B967" s="1410"/>
      <c r="C967" s="1410"/>
      <c r="D967" s="1485"/>
      <c r="E967" s="1485"/>
      <c r="F967" s="1485"/>
      <c r="G967" s="1485"/>
      <c r="H967" s="1485"/>
      <c r="I967" s="1485"/>
    </row>
    <row r="968" spans="1:9" x14ac:dyDescent="0.3">
      <c r="A968" s="1410"/>
      <c r="B968" s="1410"/>
      <c r="C968" s="1410"/>
      <c r="D968" s="1485"/>
      <c r="E968" s="1485"/>
      <c r="F968" s="1485"/>
      <c r="G968" s="1485"/>
      <c r="H968" s="1485"/>
      <c r="I968" s="1485"/>
    </row>
    <row r="969" spans="1:9" x14ac:dyDescent="0.3">
      <c r="A969" s="1410"/>
      <c r="B969" s="1410"/>
      <c r="C969" s="1410"/>
      <c r="D969" s="1485"/>
      <c r="E969" s="1485"/>
      <c r="F969" s="1485"/>
      <c r="G969" s="1485"/>
      <c r="H969" s="1485"/>
      <c r="I969" s="1485"/>
    </row>
    <row r="970" spans="1:9" x14ac:dyDescent="0.3">
      <c r="A970" s="1410"/>
      <c r="B970" s="1410"/>
      <c r="C970" s="1410"/>
      <c r="D970" s="1485"/>
      <c r="E970" s="1485"/>
      <c r="F970" s="1485"/>
      <c r="G970" s="1485"/>
      <c r="H970" s="1485"/>
      <c r="I970" s="1485"/>
    </row>
    <row r="971" spans="1:9" x14ac:dyDescent="0.3">
      <c r="A971" s="1410"/>
      <c r="B971" s="1410"/>
      <c r="C971" s="1410"/>
      <c r="D971" s="1485"/>
      <c r="E971" s="1485"/>
      <c r="F971" s="1485"/>
      <c r="G971" s="1485"/>
      <c r="H971" s="1485"/>
      <c r="I971" s="1485"/>
    </row>
    <row r="972" spans="1:9" x14ac:dyDescent="0.3">
      <c r="A972" s="1410"/>
      <c r="B972" s="1410"/>
      <c r="C972" s="1410"/>
      <c r="D972" s="1485"/>
      <c r="E972" s="1485"/>
      <c r="F972" s="1485"/>
      <c r="G972" s="1485"/>
      <c r="H972" s="1485"/>
      <c r="I972" s="1485"/>
    </row>
    <row r="973" spans="1:9" x14ac:dyDescent="0.3">
      <c r="A973" s="1410"/>
      <c r="B973" s="1410"/>
      <c r="C973" s="1410"/>
      <c r="D973" s="1485"/>
      <c r="E973" s="1485"/>
      <c r="F973" s="1485"/>
      <c r="G973" s="1485"/>
      <c r="H973" s="1485"/>
      <c r="I973" s="1485"/>
    </row>
    <row r="974" spans="1:9" x14ac:dyDescent="0.3">
      <c r="A974" s="1410"/>
      <c r="B974" s="1410"/>
      <c r="C974" s="1410"/>
      <c r="D974" s="1485"/>
      <c r="E974" s="1485"/>
      <c r="F974" s="1485"/>
      <c r="G974" s="1485"/>
      <c r="H974" s="1485"/>
      <c r="I974" s="1485"/>
    </row>
    <row r="975" spans="1:9" x14ac:dyDescent="0.3">
      <c r="A975" s="1410"/>
      <c r="B975" s="1410"/>
      <c r="C975" s="1410"/>
      <c r="D975" s="1485"/>
      <c r="E975" s="1485"/>
      <c r="F975" s="1485"/>
      <c r="G975" s="1485"/>
      <c r="H975" s="1485"/>
      <c r="I975" s="1485"/>
    </row>
    <row r="976" spans="1:9" x14ac:dyDescent="0.3">
      <c r="A976" s="1410"/>
      <c r="B976" s="1410"/>
      <c r="C976" s="1410"/>
      <c r="D976" s="1485"/>
      <c r="E976" s="1485"/>
      <c r="F976" s="1485"/>
      <c r="G976" s="1485"/>
      <c r="H976" s="1485"/>
      <c r="I976" s="1485"/>
    </row>
    <row r="977" spans="1:9" x14ac:dyDescent="0.3">
      <c r="A977" s="1410"/>
      <c r="B977" s="1410"/>
      <c r="C977" s="1410"/>
      <c r="D977" s="1485"/>
      <c r="E977" s="1485"/>
      <c r="F977" s="1485"/>
      <c r="G977" s="1485"/>
      <c r="H977" s="1485"/>
      <c r="I977" s="1485"/>
    </row>
    <row r="978" spans="1:9" x14ac:dyDescent="0.3">
      <c r="A978" s="1410"/>
      <c r="B978" s="1410"/>
      <c r="C978" s="1410"/>
      <c r="D978" s="1485"/>
      <c r="E978" s="1485"/>
      <c r="F978" s="1485"/>
      <c r="G978" s="1485"/>
      <c r="H978" s="1485"/>
      <c r="I978" s="1485"/>
    </row>
    <row r="979" spans="1:9" x14ac:dyDescent="0.3">
      <c r="A979" s="1410"/>
      <c r="B979" s="1410"/>
      <c r="C979" s="1410"/>
      <c r="D979" s="1485"/>
      <c r="E979" s="1485"/>
      <c r="F979" s="1485"/>
      <c r="G979" s="1485"/>
      <c r="H979" s="1485"/>
      <c r="I979" s="1485"/>
    </row>
    <row r="980" spans="1:9" x14ac:dyDescent="0.3">
      <c r="A980" s="1410"/>
      <c r="B980" s="1410"/>
      <c r="C980" s="1410"/>
      <c r="D980" s="1485"/>
      <c r="E980" s="1485"/>
      <c r="F980" s="1485"/>
      <c r="G980" s="1485"/>
      <c r="H980" s="1485"/>
      <c r="I980" s="1485"/>
    </row>
    <row r="981" spans="1:9" x14ac:dyDescent="0.3">
      <c r="A981" s="1410"/>
      <c r="B981" s="1410"/>
      <c r="C981" s="1410"/>
      <c r="D981" s="1485"/>
      <c r="E981" s="1485"/>
      <c r="F981" s="1485"/>
      <c r="G981" s="1485"/>
      <c r="H981" s="1485"/>
      <c r="I981" s="1485"/>
    </row>
    <row r="982" spans="1:9" x14ac:dyDescent="0.3">
      <c r="A982" s="1410"/>
      <c r="B982" s="1410"/>
      <c r="C982" s="1410"/>
      <c r="D982" s="1485"/>
      <c r="E982" s="1485"/>
      <c r="F982" s="1485"/>
      <c r="G982" s="1485"/>
      <c r="H982" s="1485"/>
      <c r="I982" s="1485"/>
    </row>
    <row r="983" spans="1:9" x14ac:dyDescent="0.3">
      <c r="A983" s="1410"/>
      <c r="B983" s="1410"/>
      <c r="C983" s="1410"/>
      <c r="D983" s="1485"/>
      <c r="E983" s="1485"/>
      <c r="F983" s="1485"/>
      <c r="G983" s="1485"/>
      <c r="H983" s="1485"/>
      <c r="I983" s="1485"/>
    </row>
    <row r="984" spans="1:9" x14ac:dyDescent="0.3">
      <c r="A984" s="1410"/>
      <c r="B984" s="1410"/>
      <c r="C984" s="1410"/>
      <c r="D984" s="1485"/>
      <c r="E984" s="1485"/>
      <c r="F984" s="1485"/>
      <c r="G984" s="1485"/>
      <c r="H984" s="1485"/>
      <c r="I984" s="1485"/>
    </row>
    <row r="985" spans="1:9" x14ac:dyDescent="0.3">
      <c r="A985" s="1410"/>
      <c r="B985" s="1410"/>
      <c r="C985" s="1410"/>
      <c r="D985" s="1485"/>
      <c r="E985" s="1485"/>
      <c r="F985" s="1485"/>
      <c r="G985" s="1485"/>
      <c r="H985" s="1485"/>
      <c r="I985" s="1485"/>
    </row>
    <row r="986" spans="1:9" x14ac:dyDescent="0.3">
      <c r="A986" s="1410"/>
      <c r="B986" s="1410"/>
      <c r="C986" s="1410"/>
      <c r="D986" s="1485"/>
      <c r="E986" s="1485"/>
      <c r="F986" s="1485"/>
      <c r="G986" s="1485"/>
      <c r="H986" s="1485"/>
      <c r="I986" s="1485"/>
    </row>
    <row r="987" spans="1:9" x14ac:dyDescent="0.3">
      <c r="A987" s="1410"/>
      <c r="B987" s="1410"/>
      <c r="C987" s="1410"/>
      <c r="D987" s="1485"/>
      <c r="E987" s="1485"/>
      <c r="F987" s="1485"/>
      <c r="G987" s="1485"/>
      <c r="H987" s="1485"/>
      <c r="I987" s="1485"/>
    </row>
    <row r="988" spans="1:9" x14ac:dyDescent="0.3">
      <c r="A988" s="1410"/>
      <c r="B988" s="1410"/>
      <c r="C988" s="1410"/>
      <c r="D988" s="1485"/>
      <c r="E988" s="1485"/>
      <c r="F988" s="1485"/>
      <c r="G988" s="1485"/>
      <c r="H988" s="1485"/>
      <c r="I988" s="1485"/>
    </row>
    <row r="989" spans="1:9" x14ac:dyDescent="0.3">
      <c r="A989" s="1410"/>
      <c r="B989" s="1410"/>
      <c r="C989" s="1410"/>
      <c r="D989" s="1485"/>
      <c r="E989" s="1485"/>
      <c r="F989" s="1485"/>
      <c r="G989" s="1485"/>
      <c r="H989" s="1485"/>
      <c r="I989" s="1485"/>
    </row>
    <row r="990" spans="1:9" x14ac:dyDescent="0.3">
      <c r="A990" s="1410"/>
      <c r="B990" s="1410"/>
      <c r="C990" s="1410"/>
      <c r="D990" s="1485"/>
      <c r="E990" s="1485"/>
      <c r="F990" s="1485"/>
      <c r="G990" s="1485"/>
      <c r="H990" s="1485"/>
      <c r="I990" s="1485"/>
    </row>
    <row r="991" spans="1:9" x14ac:dyDescent="0.3">
      <c r="A991" s="1410"/>
      <c r="B991" s="1410"/>
      <c r="C991" s="1410"/>
      <c r="D991" s="1485"/>
      <c r="E991" s="1485"/>
      <c r="F991" s="1485"/>
      <c r="G991" s="1485"/>
      <c r="H991" s="1485"/>
      <c r="I991" s="1485"/>
    </row>
    <row r="992" spans="1:9" x14ac:dyDescent="0.3">
      <c r="A992" s="1410"/>
      <c r="B992" s="1410"/>
      <c r="C992" s="1410"/>
      <c r="D992" s="1485"/>
      <c r="E992" s="1485"/>
      <c r="F992" s="1485"/>
      <c r="G992" s="1485"/>
      <c r="H992" s="1485"/>
      <c r="I992" s="1485"/>
    </row>
    <row r="993" spans="1:9" x14ac:dyDescent="0.3">
      <c r="A993" s="1410"/>
      <c r="B993" s="1410"/>
      <c r="C993" s="1410"/>
      <c r="D993" s="1485"/>
      <c r="E993" s="1485"/>
      <c r="F993" s="1485"/>
      <c r="G993" s="1485"/>
      <c r="H993" s="1485"/>
      <c r="I993" s="1485"/>
    </row>
    <row r="994" spans="1:9" x14ac:dyDescent="0.3">
      <c r="A994" s="1410"/>
      <c r="B994" s="1410"/>
      <c r="C994" s="1410"/>
      <c r="D994" s="1485"/>
      <c r="E994" s="1485"/>
      <c r="F994" s="1485"/>
      <c r="G994" s="1485"/>
      <c r="H994" s="1485"/>
      <c r="I994" s="1485"/>
    </row>
    <row r="995" spans="1:9" x14ac:dyDescent="0.3">
      <c r="A995" s="1410"/>
      <c r="B995" s="1410"/>
      <c r="C995" s="1410"/>
      <c r="D995" s="1485"/>
      <c r="E995" s="1485"/>
      <c r="F995" s="1485"/>
      <c r="G995" s="1485"/>
      <c r="H995" s="1485"/>
      <c r="I995" s="1485"/>
    </row>
    <row r="996" spans="1:9" x14ac:dyDescent="0.3">
      <c r="A996" s="1410"/>
      <c r="B996" s="1410"/>
      <c r="C996" s="1410"/>
      <c r="D996" s="1485"/>
      <c r="E996" s="1485"/>
      <c r="F996" s="1485"/>
      <c r="G996" s="1485"/>
      <c r="H996" s="1485"/>
      <c r="I996" s="1485"/>
    </row>
    <row r="997" spans="1:9" x14ac:dyDescent="0.3">
      <c r="A997" s="1410"/>
      <c r="B997" s="1410"/>
      <c r="C997" s="1410"/>
      <c r="D997" s="1485"/>
      <c r="E997" s="1485"/>
      <c r="F997" s="1485"/>
      <c r="G997" s="1485"/>
      <c r="H997" s="1485"/>
      <c r="I997" s="1485"/>
    </row>
    <row r="998" spans="1:9" x14ac:dyDescent="0.3">
      <c r="A998" s="1410"/>
      <c r="B998" s="1410"/>
      <c r="C998" s="1410"/>
      <c r="D998" s="1485"/>
      <c r="E998" s="1485"/>
      <c r="F998" s="1485"/>
      <c r="G998" s="1485"/>
      <c r="H998" s="1485"/>
      <c r="I998" s="1485"/>
    </row>
    <row r="999" spans="1:9" x14ac:dyDescent="0.3">
      <c r="A999" s="1410"/>
      <c r="B999" s="1410"/>
      <c r="C999" s="1410"/>
      <c r="D999" s="1485"/>
      <c r="E999" s="1485"/>
      <c r="F999" s="1485"/>
      <c r="G999" s="1485"/>
      <c r="H999" s="1485"/>
      <c r="I999" s="1485"/>
    </row>
    <row r="1000" spans="1:9" x14ac:dyDescent="0.3">
      <c r="A1000" s="1410"/>
      <c r="B1000" s="1410"/>
      <c r="C1000" s="1410"/>
      <c r="D1000" s="1485"/>
      <c r="E1000" s="1485"/>
      <c r="F1000" s="1485"/>
      <c r="G1000" s="1485"/>
      <c r="H1000" s="1485"/>
      <c r="I1000" s="1485"/>
    </row>
    <row r="1001" spans="1:9" x14ac:dyDescent="0.3">
      <c r="A1001" s="1410"/>
      <c r="B1001" s="1410"/>
      <c r="C1001" s="1410"/>
      <c r="D1001" s="1485"/>
      <c r="E1001" s="1485"/>
      <c r="F1001" s="1485"/>
      <c r="G1001" s="1485"/>
      <c r="H1001" s="1485"/>
      <c r="I1001" s="1485"/>
    </row>
    <row r="1002" spans="1:9" x14ac:dyDescent="0.3">
      <c r="A1002" s="1410"/>
      <c r="B1002" s="1410"/>
      <c r="C1002" s="1410"/>
      <c r="D1002" s="1485"/>
      <c r="E1002" s="1485"/>
      <c r="F1002" s="1485"/>
      <c r="G1002" s="1485"/>
      <c r="H1002" s="1485"/>
      <c r="I1002" s="1485"/>
    </row>
    <row r="1003" spans="1:9" x14ac:dyDescent="0.3">
      <c r="A1003" s="1410"/>
      <c r="B1003" s="1410"/>
      <c r="C1003" s="1410"/>
      <c r="D1003" s="1485"/>
      <c r="E1003" s="1485"/>
      <c r="F1003" s="1485"/>
      <c r="G1003" s="1485"/>
      <c r="H1003" s="1485"/>
      <c r="I1003" s="1485"/>
    </row>
    <row r="1004" spans="1:9" x14ac:dyDescent="0.3">
      <c r="A1004" s="1410"/>
      <c r="B1004" s="1410"/>
      <c r="C1004" s="1410"/>
      <c r="D1004" s="1485"/>
      <c r="E1004" s="1485"/>
      <c r="F1004" s="1485"/>
      <c r="G1004" s="1485"/>
      <c r="H1004" s="1485"/>
      <c r="I1004" s="1485"/>
    </row>
    <row r="1005" spans="1:9" x14ac:dyDescent="0.3">
      <c r="A1005" s="1410"/>
      <c r="B1005" s="1410"/>
      <c r="C1005" s="1410"/>
      <c r="D1005" s="1485"/>
      <c r="E1005" s="1485"/>
      <c r="F1005" s="1485"/>
      <c r="G1005" s="1485"/>
      <c r="H1005" s="1485"/>
      <c r="I1005" s="1485"/>
    </row>
    <row r="1006" spans="1:9" x14ac:dyDescent="0.3">
      <c r="A1006" s="1410"/>
      <c r="B1006" s="1410"/>
      <c r="C1006" s="1410"/>
      <c r="D1006" s="1485"/>
      <c r="E1006" s="1485"/>
      <c r="F1006" s="1485"/>
      <c r="G1006" s="1485"/>
      <c r="H1006" s="1485"/>
      <c r="I1006" s="1485"/>
    </row>
    <row r="1007" spans="1:9" x14ac:dyDescent="0.3">
      <c r="A1007" s="1410"/>
      <c r="B1007" s="1410"/>
      <c r="C1007" s="1410"/>
      <c r="D1007" s="1485"/>
      <c r="E1007" s="1485"/>
      <c r="F1007" s="1485"/>
      <c r="G1007" s="1485"/>
      <c r="H1007" s="1485"/>
      <c r="I1007" s="1485"/>
    </row>
    <row r="1008" spans="1:9" x14ac:dyDescent="0.3">
      <c r="A1008" s="1410"/>
      <c r="B1008" s="1410"/>
      <c r="C1008" s="1410"/>
      <c r="D1008" s="1485"/>
      <c r="E1008" s="1485"/>
      <c r="F1008" s="1485"/>
      <c r="G1008" s="1485"/>
      <c r="H1008" s="1485"/>
      <c r="I1008" s="1485"/>
    </row>
    <row r="1009" spans="1:9" x14ac:dyDescent="0.3">
      <c r="A1009" s="1410"/>
      <c r="B1009" s="1410"/>
      <c r="C1009" s="1410"/>
      <c r="D1009" s="1485"/>
      <c r="E1009" s="1485"/>
      <c r="F1009" s="1485"/>
      <c r="G1009" s="1485"/>
      <c r="H1009" s="1485"/>
      <c r="I1009" s="1485"/>
    </row>
    <row r="1010" spans="1:9" x14ac:dyDescent="0.3">
      <c r="A1010" s="1410"/>
      <c r="B1010" s="1410"/>
      <c r="C1010" s="1410"/>
      <c r="D1010" s="1485"/>
      <c r="E1010" s="1485"/>
      <c r="F1010" s="1485"/>
      <c r="G1010" s="1485"/>
      <c r="H1010" s="1485"/>
      <c r="I1010" s="1485"/>
    </row>
    <row r="1011" spans="1:9" x14ac:dyDescent="0.3">
      <c r="A1011" s="1410"/>
      <c r="B1011" s="1410"/>
      <c r="C1011" s="1410"/>
      <c r="D1011" s="1485"/>
      <c r="E1011" s="1485"/>
      <c r="F1011" s="1485"/>
      <c r="G1011" s="1485"/>
      <c r="H1011" s="1485"/>
      <c r="I1011" s="1485"/>
    </row>
  </sheetData>
  <autoFilter ref="C4:I103" xr:uid="{B851D1CD-78A6-42D1-84D5-1ACBCEE128FB}"/>
  <mergeCells count="6">
    <mergeCell ref="D2:E2"/>
    <mergeCell ref="F2:G2"/>
    <mergeCell ref="H2:I2"/>
    <mergeCell ref="D3:E3"/>
    <mergeCell ref="F3:G3"/>
    <mergeCell ref="H3:I3"/>
  </mergeCells>
  <pageMargins left="0.7" right="0.7" top="0.75" bottom="0.75" header="0.3" footer="0.3"/>
  <customProperties>
    <customPr name="SaaSBIProperties" r:id="rId1"/>
    <customPr name="SSCustomColumnsMapping" r:id="rId2"/>
  </customPropertie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B5F1-CDA3-41E2-8BD8-4C077EEFBB34}">
  <sheetPr>
    <tabColor rgb="FF24A205"/>
  </sheetPr>
  <dimension ref="A1:G441"/>
  <sheetViews>
    <sheetView workbookViewId="0"/>
  </sheetViews>
  <sheetFormatPr defaultRowHeight="14.4" x14ac:dyDescent="0.3"/>
  <cols>
    <col min="1" max="1" width="4.6640625" customWidth="1"/>
    <col min="2" max="2" width="13.88671875" customWidth="1"/>
    <col min="3" max="3" width="25.33203125" bestFit="1" customWidth="1"/>
    <col min="4" max="4" width="7.109375" bestFit="1" customWidth="1"/>
    <col min="5" max="7" width="19.5546875" style="792" bestFit="1" customWidth="1"/>
  </cols>
  <sheetData>
    <row r="1" spans="1:7" ht="31.35" customHeight="1" x14ac:dyDescent="0.3">
      <c r="A1" s="1522" t="s">
        <v>2039</v>
      </c>
      <c r="B1" s="1523"/>
      <c r="C1" s="1523"/>
      <c r="D1" s="1523"/>
      <c r="E1" s="1523"/>
      <c r="F1" s="1523"/>
      <c r="G1" s="1523"/>
    </row>
    <row r="2" spans="1:7" s="1410" customFormat="1" ht="15" thickBot="1" x14ac:dyDescent="0.35">
      <c r="A2" s="1524" t="s">
        <v>643</v>
      </c>
      <c r="B2" s="1524" t="s">
        <v>643</v>
      </c>
      <c r="C2" s="1524" t="s">
        <v>643</v>
      </c>
      <c r="D2" s="1527" t="s">
        <v>2003</v>
      </c>
      <c r="E2" s="1527" t="s">
        <v>496</v>
      </c>
      <c r="F2" s="1527" t="s">
        <v>642</v>
      </c>
      <c r="G2" s="1530" t="s">
        <v>71</v>
      </c>
    </row>
    <row r="3" spans="1:7" s="1410" customFormat="1" ht="15" thickTop="1" x14ac:dyDescent="0.3">
      <c r="A3" s="1524"/>
      <c r="B3" s="1524"/>
      <c r="C3" s="1524"/>
      <c r="D3" s="1524"/>
      <c r="E3" s="1525" t="s">
        <v>2040</v>
      </c>
      <c r="F3" s="1525" t="s">
        <v>2040</v>
      </c>
      <c r="G3" s="1531" t="s">
        <v>2040</v>
      </c>
    </row>
    <row r="4" spans="1:7" x14ac:dyDescent="0.3">
      <c r="A4" s="1525" t="s">
        <v>378</v>
      </c>
      <c r="B4" s="1524"/>
      <c r="C4" s="1524"/>
      <c r="D4" s="1524" t="s">
        <v>2006</v>
      </c>
      <c r="E4" s="1526">
        <v>0</v>
      </c>
      <c r="F4" s="1526">
        <v>0</v>
      </c>
      <c r="G4" s="1532">
        <v>0</v>
      </c>
    </row>
    <row r="5" spans="1:7" x14ac:dyDescent="0.3">
      <c r="A5" s="1524"/>
      <c r="B5" s="1525" t="s">
        <v>472</v>
      </c>
      <c r="C5" s="1524"/>
      <c r="D5" s="1524" t="s">
        <v>2006</v>
      </c>
      <c r="E5" s="1526">
        <v>1602.05</v>
      </c>
      <c r="F5" s="1526">
        <v>678.5</v>
      </c>
      <c r="G5" s="1532">
        <v>2280.5500000000002</v>
      </c>
    </row>
    <row r="6" spans="1:7" x14ac:dyDescent="0.3">
      <c r="A6" s="1524"/>
      <c r="B6" s="1525" t="s">
        <v>474</v>
      </c>
      <c r="C6" s="1524"/>
      <c r="D6" s="1524" t="s">
        <v>2006</v>
      </c>
      <c r="E6" s="1526">
        <v>37565</v>
      </c>
      <c r="F6" s="1526">
        <v>7666.57</v>
      </c>
      <c r="G6" s="1532">
        <v>45231.57</v>
      </c>
    </row>
    <row r="7" spans="1:7" x14ac:dyDescent="0.3">
      <c r="A7" s="1524"/>
      <c r="B7" s="1525" t="s">
        <v>594</v>
      </c>
      <c r="C7" s="1524"/>
      <c r="D7" s="1524" t="s">
        <v>2006</v>
      </c>
      <c r="E7" s="1526">
        <v>0</v>
      </c>
      <c r="F7" s="1526">
        <v>449.4</v>
      </c>
      <c r="G7" s="1532">
        <v>449.4</v>
      </c>
    </row>
    <row r="8" spans="1:7" x14ac:dyDescent="0.3">
      <c r="A8" s="1524"/>
      <c r="B8" s="1525" t="s">
        <v>595</v>
      </c>
      <c r="C8" s="1524"/>
      <c r="D8" s="1524" t="s">
        <v>2006</v>
      </c>
      <c r="E8" s="1526">
        <v>0</v>
      </c>
      <c r="F8" s="1526">
        <v>225291.05</v>
      </c>
      <c r="G8" s="1532">
        <v>225291.05</v>
      </c>
    </row>
    <row r="9" spans="1:7" x14ac:dyDescent="0.3">
      <c r="A9" s="1524"/>
      <c r="B9" s="1525" t="s">
        <v>476</v>
      </c>
      <c r="C9" s="1524"/>
      <c r="D9" s="1524" t="s">
        <v>2006</v>
      </c>
      <c r="E9" s="1526">
        <v>133276.85</v>
      </c>
      <c r="F9" s="1526">
        <v>0</v>
      </c>
      <c r="G9" s="1532">
        <v>133276.85</v>
      </c>
    </row>
    <row r="10" spans="1:7" x14ac:dyDescent="0.3">
      <c r="A10" s="1524"/>
      <c r="B10" s="1525" t="s">
        <v>477</v>
      </c>
      <c r="C10" s="1524"/>
      <c r="D10" s="1524" t="s">
        <v>2006</v>
      </c>
      <c r="E10" s="1526">
        <v>93000</v>
      </c>
      <c r="F10" s="1526">
        <v>0</v>
      </c>
      <c r="G10" s="1532">
        <v>93000</v>
      </c>
    </row>
    <row r="11" spans="1:7" x14ac:dyDescent="0.3">
      <c r="A11" s="1524"/>
      <c r="B11" s="1525" t="s">
        <v>1850</v>
      </c>
      <c r="C11" s="1524"/>
      <c r="D11" s="1524" t="s">
        <v>2006</v>
      </c>
      <c r="E11" s="1526">
        <v>0</v>
      </c>
      <c r="F11" s="1526">
        <v>-29.16</v>
      </c>
      <c r="G11" s="1532">
        <v>-29.16</v>
      </c>
    </row>
    <row r="12" spans="1:7" x14ac:dyDescent="0.3">
      <c r="A12" s="1524"/>
      <c r="B12" s="1525" t="s">
        <v>478</v>
      </c>
      <c r="C12" s="1524"/>
      <c r="D12" s="1524" t="s">
        <v>2006</v>
      </c>
      <c r="E12" s="1526">
        <v>0</v>
      </c>
      <c r="F12" s="1526">
        <v>65281.8</v>
      </c>
      <c r="G12" s="1532">
        <v>65281.8</v>
      </c>
    </row>
    <row r="13" spans="1:7" x14ac:dyDescent="0.3">
      <c r="A13" s="1524"/>
      <c r="B13" s="1525" t="s">
        <v>596</v>
      </c>
      <c r="C13" s="1524"/>
      <c r="D13" s="1524" t="s">
        <v>2006</v>
      </c>
      <c r="E13" s="1526">
        <v>0</v>
      </c>
      <c r="F13" s="1526">
        <v>5675.68</v>
      </c>
      <c r="G13" s="1532">
        <v>5675.68</v>
      </c>
    </row>
    <row r="14" spans="1:7" x14ac:dyDescent="0.3">
      <c r="A14" s="1524"/>
      <c r="B14" s="1525" t="s">
        <v>479</v>
      </c>
      <c r="C14" s="1524"/>
      <c r="D14" s="1524" t="s">
        <v>2006</v>
      </c>
      <c r="E14" s="1526">
        <v>1771.23</v>
      </c>
      <c r="F14" s="1526">
        <v>0</v>
      </c>
      <c r="G14" s="1532">
        <v>1771.23</v>
      </c>
    </row>
    <row r="15" spans="1:7" x14ac:dyDescent="0.3">
      <c r="A15" s="1524"/>
      <c r="B15" s="1525" t="s">
        <v>598</v>
      </c>
      <c r="C15" s="1524"/>
      <c r="D15" s="1524" t="s">
        <v>2006</v>
      </c>
      <c r="E15" s="1526">
        <v>0</v>
      </c>
      <c r="F15" s="1526">
        <v>1350.8</v>
      </c>
      <c r="G15" s="1532">
        <v>1350.8</v>
      </c>
    </row>
    <row r="16" spans="1:7" x14ac:dyDescent="0.3">
      <c r="A16" s="1524"/>
      <c r="B16" s="1525" t="s">
        <v>600</v>
      </c>
      <c r="C16" s="1524"/>
      <c r="D16" s="1524" t="s">
        <v>2006</v>
      </c>
      <c r="E16" s="1526">
        <v>0</v>
      </c>
      <c r="F16" s="1526">
        <v>2566.8200000000002</v>
      </c>
      <c r="G16" s="1532">
        <v>2566.8200000000002</v>
      </c>
    </row>
    <row r="17" spans="1:7" x14ac:dyDescent="0.3">
      <c r="A17" s="1524"/>
      <c r="B17" s="1525" t="s">
        <v>601</v>
      </c>
      <c r="C17" s="1524"/>
      <c r="D17" s="1524" t="s">
        <v>2006</v>
      </c>
      <c r="E17" s="1526">
        <v>0</v>
      </c>
      <c r="F17" s="1526">
        <v>934.17</v>
      </c>
      <c r="G17" s="1532">
        <v>934.17</v>
      </c>
    </row>
    <row r="18" spans="1:7" x14ac:dyDescent="0.3">
      <c r="A18" s="1524"/>
      <c r="B18" s="1525" t="s">
        <v>602</v>
      </c>
      <c r="C18" s="1524"/>
      <c r="D18" s="1524" t="s">
        <v>2006</v>
      </c>
      <c r="E18" s="1526">
        <v>0</v>
      </c>
      <c r="F18" s="1526">
        <v>198.61</v>
      </c>
      <c r="G18" s="1532">
        <v>198.61</v>
      </c>
    </row>
    <row r="19" spans="1:7" x14ac:dyDescent="0.3">
      <c r="A19" s="1524"/>
      <c r="B19" s="1525" t="s">
        <v>481</v>
      </c>
      <c r="C19" s="1524"/>
      <c r="D19" s="1524" t="s">
        <v>2006</v>
      </c>
      <c r="E19" s="1526">
        <v>0</v>
      </c>
      <c r="F19" s="1526">
        <v>4325.18</v>
      </c>
      <c r="G19" s="1532">
        <v>4325.18</v>
      </c>
    </row>
    <row r="20" spans="1:7" x14ac:dyDescent="0.3">
      <c r="A20" s="1524"/>
      <c r="B20" s="1525" t="s">
        <v>482</v>
      </c>
      <c r="C20" s="1524"/>
      <c r="D20" s="1524" t="s">
        <v>2006</v>
      </c>
      <c r="E20" s="1526">
        <v>26182.36</v>
      </c>
      <c r="F20" s="1526">
        <v>0</v>
      </c>
      <c r="G20" s="1532">
        <v>26182.36</v>
      </c>
    </row>
    <row r="21" spans="1:7" x14ac:dyDescent="0.3">
      <c r="A21" s="1524"/>
      <c r="B21" s="1525" t="s">
        <v>483</v>
      </c>
      <c r="C21" s="1524"/>
      <c r="D21" s="1524" t="s">
        <v>2006</v>
      </c>
      <c r="E21" s="1526">
        <v>64.319999999999993</v>
      </c>
      <c r="F21" s="1526">
        <v>0</v>
      </c>
      <c r="G21" s="1532">
        <v>64.319999999999993</v>
      </c>
    </row>
    <row r="22" spans="1:7" x14ac:dyDescent="0.3">
      <c r="A22" s="1524"/>
      <c r="B22" s="1525" t="s">
        <v>486</v>
      </c>
      <c r="C22" s="1524"/>
      <c r="D22" s="1524" t="s">
        <v>2006</v>
      </c>
      <c r="E22" s="1526">
        <v>0</v>
      </c>
      <c r="F22" s="1526">
        <v>116.46</v>
      </c>
      <c r="G22" s="1532">
        <v>116.46</v>
      </c>
    </row>
    <row r="23" spans="1:7" x14ac:dyDescent="0.3">
      <c r="A23" s="1524"/>
      <c r="B23" s="1525" t="s">
        <v>608</v>
      </c>
      <c r="C23" s="1524"/>
      <c r="D23" s="1524" t="s">
        <v>2006</v>
      </c>
      <c r="E23" s="1526">
        <v>0</v>
      </c>
      <c r="F23" s="1526">
        <v>241.4</v>
      </c>
      <c r="G23" s="1532">
        <v>241.4</v>
      </c>
    </row>
    <row r="24" spans="1:7" x14ac:dyDescent="0.3">
      <c r="A24" s="1524"/>
      <c r="B24" s="1525" t="s">
        <v>2167</v>
      </c>
      <c r="C24" s="1524"/>
      <c r="D24" s="1524" t="s">
        <v>2006</v>
      </c>
      <c r="E24" s="1526">
        <v>31956.79</v>
      </c>
      <c r="F24" s="1526">
        <v>0</v>
      </c>
      <c r="G24" s="1532">
        <v>31956.79</v>
      </c>
    </row>
    <row r="25" spans="1:7" x14ac:dyDescent="0.3">
      <c r="A25" s="1524"/>
      <c r="B25" s="1525" t="s">
        <v>1989</v>
      </c>
      <c r="C25" s="1524"/>
      <c r="D25" s="1524" t="s">
        <v>2006</v>
      </c>
      <c r="E25" s="1526">
        <v>0</v>
      </c>
      <c r="F25" s="1526">
        <v>5306.24</v>
      </c>
      <c r="G25" s="1532">
        <v>5306.24</v>
      </c>
    </row>
    <row r="26" spans="1:7" ht="15" thickBot="1" x14ac:dyDescent="0.35">
      <c r="A26" s="1524"/>
      <c r="B26" s="1525" t="s">
        <v>1990</v>
      </c>
      <c r="C26" s="1524"/>
      <c r="D26" s="1524" t="s">
        <v>2006</v>
      </c>
      <c r="E26" s="1526">
        <v>0</v>
      </c>
      <c r="F26" s="1526">
        <v>1713.44</v>
      </c>
      <c r="G26" s="1532">
        <v>1713.44</v>
      </c>
    </row>
    <row r="27" spans="1:7" x14ac:dyDescent="0.3">
      <c r="A27" s="1525" t="s">
        <v>382</v>
      </c>
      <c r="B27" s="1524"/>
      <c r="C27" s="1524"/>
      <c r="D27" s="1524" t="s">
        <v>2006</v>
      </c>
      <c r="E27" s="1535">
        <v>325418.59999999998</v>
      </c>
      <c r="F27" s="1535">
        <v>321766.96000000002</v>
      </c>
      <c r="G27" s="1538">
        <v>647185.56000000006</v>
      </c>
    </row>
    <row r="28" spans="1:7" x14ac:dyDescent="0.3">
      <c r="A28" s="1525" t="s">
        <v>720</v>
      </c>
      <c r="B28" s="1524"/>
      <c r="C28" s="1524"/>
      <c r="D28" s="1524" t="s">
        <v>2006</v>
      </c>
      <c r="E28" s="1534"/>
      <c r="F28" s="1526">
        <v>0</v>
      </c>
      <c r="G28" s="1532">
        <v>0</v>
      </c>
    </row>
    <row r="29" spans="1:7" ht="15" thickBot="1" x14ac:dyDescent="0.35">
      <c r="A29" s="1524"/>
      <c r="B29" s="1525" t="s">
        <v>490</v>
      </c>
      <c r="C29" s="1524"/>
      <c r="D29" s="1524" t="s">
        <v>2006</v>
      </c>
      <c r="E29" s="1526">
        <v>0</v>
      </c>
      <c r="F29" s="1526">
        <v>13.5</v>
      </c>
      <c r="G29" s="1532">
        <v>13.5</v>
      </c>
    </row>
    <row r="30" spans="1:7" x14ac:dyDescent="0.3">
      <c r="A30" s="1525" t="s">
        <v>721</v>
      </c>
      <c r="B30" s="1524"/>
      <c r="C30" s="1524"/>
      <c r="D30" s="1524" t="s">
        <v>2006</v>
      </c>
      <c r="E30" s="1536"/>
      <c r="F30" s="1535">
        <v>13.5</v>
      </c>
      <c r="G30" s="1538">
        <v>13.5</v>
      </c>
    </row>
    <row r="31" spans="1:7" x14ac:dyDescent="0.3">
      <c r="A31" s="1525" t="s">
        <v>383</v>
      </c>
      <c r="B31" s="1524"/>
      <c r="C31" s="1524"/>
      <c r="D31" s="1524" t="s">
        <v>2006</v>
      </c>
      <c r="E31" s="1534"/>
      <c r="F31" s="1526">
        <v>0</v>
      </c>
      <c r="G31" s="1532">
        <v>0</v>
      </c>
    </row>
    <row r="32" spans="1:7" ht="15" thickBot="1" x14ac:dyDescent="0.35">
      <c r="A32" s="1524"/>
      <c r="B32" s="1525" t="s">
        <v>612</v>
      </c>
      <c r="C32" s="1524"/>
      <c r="D32" s="1524" t="s">
        <v>2006</v>
      </c>
      <c r="E32" s="1526">
        <v>0</v>
      </c>
      <c r="F32" s="1526">
        <v>42.78</v>
      </c>
      <c r="G32" s="1532">
        <v>42.78</v>
      </c>
    </row>
    <row r="33" spans="1:7" ht="15" thickBot="1" x14ac:dyDescent="0.35">
      <c r="A33" s="1525" t="s">
        <v>384</v>
      </c>
      <c r="B33" s="1524"/>
      <c r="C33" s="1524"/>
      <c r="D33" s="1524" t="s">
        <v>2006</v>
      </c>
      <c r="E33" s="1536"/>
      <c r="F33" s="1535">
        <v>42.78</v>
      </c>
      <c r="G33" s="1538">
        <v>42.78</v>
      </c>
    </row>
    <row r="34" spans="1:7" x14ac:dyDescent="0.3">
      <c r="A34" s="1525" t="s">
        <v>385</v>
      </c>
      <c r="B34" s="1524"/>
      <c r="C34" s="1524"/>
      <c r="D34" s="1524" t="s">
        <v>2006</v>
      </c>
      <c r="E34" s="1535">
        <v>-325418.59999999998</v>
      </c>
      <c r="F34" s="1535">
        <v>-289954.57</v>
      </c>
      <c r="G34" s="1538">
        <v>-615373.17000000004</v>
      </c>
    </row>
    <row r="35" spans="1:7" x14ac:dyDescent="0.3">
      <c r="A35" s="1525" t="s">
        <v>2153</v>
      </c>
      <c r="B35" s="1524"/>
      <c r="C35" s="1524"/>
      <c r="D35" s="1524" t="s">
        <v>2006</v>
      </c>
      <c r="E35" s="1534"/>
      <c r="F35" s="1526">
        <v>0</v>
      </c>
      <c r="G35" s="1532">
        <v>0</v>
      </c>
    </row>
    <row r="36" spans="1:7" ht="15" thickBot="1" x14ac:dyDescent="0.35">
      <c r="A36" s="1524"/>
      <c r="B36" s="1525" t="s">
        <v>566</v>
      </c>
      <c r="C36" s="1524"/>
      <c r="D36" s="1524" t="s">
        <v>2006</v>
      </c>
      <c r="E36" s="1526">
        <v>0</v>
      </c>
      <c r="F36" s="1526">
        <v>360000</v>
      </c>
      <c r="G36" s="1532">
        <v>360000</v>
      </c>
    </row>
    <row r="37" spans="1:7" x14ac:dyDescent="0.3">
      <c r="A37" s="1525" t="s">
        <v>2154</v>
      </c>
      <c r="B37" s="1524"/>
      <c r="C37" s="1524"/>
      <c r="D37" s="1524" t="s">
        <v>2006</v>
      </c>
      <c r="E37" s="1536"/>
      <c r="F37" s="1535">
        <v>360000</v>
      </c>
      <c r="G37" s="1538">
        <v>360000</v>
      </c>
    </row>
    <row r="38" spans="1:7" x14ac:dyDescent="0.3">
      <c r="A38" s="1525" t="s">
        <v>2155</v>
      </c>
      <c r="B38" s="1524"/>
      <c r="C38" s="1524"/>
      <c r="D38" s="1524" t="s">
        <v>2006</v>
      </c>
      <c r="E38" s="1534"/>
      <c r="F38" s="1526">
        <v>0</v>
      </c>
      <c r="G38" s="1532">
        <v>0</v>
      </c>
    </row>
    <row r="39" spans="1:7" x14ac:dyDescent="0.3">
      <c r="A39" s="1524"/>
      <c r="B39" s="1525" t="s">
        <v>575</v>
      </c>
      <c r="C39" s="1524"/>
      <c r="D39" s="1524" t="s">
        <v>2006</v>
      </c>
      <c r="E39" s="1534"/>
      <c r="F39" s="1526">
        <v>322512.24</v>
      </c>
      <c r="G39" s="1532">
        <v>322512.24</v>
      </c>
    </row>
    <row r="40" spans="1:7" x14ac:dyDescent="0.3">
      <c r="A40" s="1524"/>
      <c r="B40" s="1524"/>
      <c r="C40" s="1525" t="s">
        <v>2156</v>
      </c>
      <c r="D40" s="1524" t="s">
        <v>2006</v>
      </c>
      <c r="E40" s="1526">
        <v>0</v>
      </c>
      <c r="F40" s="1526">
        <v>4655.68</v>
      </c>
      <c r="G40" s="1532">
        <v>4655.68</v>
      </c>
    </row>
    <row r="41" spans="1:7" ht="15" thickBot="1" x14ac:dyDescent="0.35">
      <c r="A41" s="1524"/>
      <c r="B41" s="1524"/>
      <c r="C41" s="1525" t="s">
        <v>2157</v>
      </c>
      <c r="D41" s="1524" t="s">
        <v>2006</v>
      </c>
      <c r="E41" s="1526">
        <v>0</v>
      </c>
      <c r="F41" s="1526">
        <v>887.29</v>
      </c>
      <c r="G41" s="1532">
        <v>887.29</v>
      </c>
    </row>
    <row r="42" spans="1:7" x14ac:dyDescent="0.3">
      <c r="A42" s="1524"/>
      <c r="B42" s="1525" t="s">
        <v>726</v>
      </c>
      <c r="C42" s="1524"/>
      <c r="D42" s="1524" t="s">
        <v>2006</v>
      </c>
      <c r="E42" s="1536"/>
      <c r="F42" s="1535">
        <v>328055.21000000002</v>
      </c>
      <c r="G42" s="1538">
        <v>328055.21000000002</v>
      </c>
    </row>
    <row r="43" spans="1:7" ht="15" thickBot="1" x14ac:dyDescent="0.35">
      <c r="A43" s="1524"/>
      <c r="B43" s="1525" t="s">
        <v>584</v>
      </c>
      <c r="C43" s="1524"/>
      <c r="D43" s="1524" t="s">
        <v>2006</v>
      </c>
      <c r="E43" s="1526">
        <v>0</v>
      </c>
      <c r="F43" s="1526">
        <v>103.12</v>
      </c>
      <c r="G43" s="1532">
        <v>103.12</v>
      </c>
    </row>
    <row r="44" spans="1:7" ht="15" thickBot="1" x14ac:dyDescent="0.35">
      <c r="A44" s="1525" t="s">
        <v>2158</v>
      </c>
      <c r="B44" s="1524"/>
      <c r="C44" s="1524"/>
      <c r="D44" s="1524" t="s">
        <v>2006</v>
      </c>
      <c r="E44" s="1537"/>
      <c r="F44" s="1529">
        <v>328158.33</v>
      </c>
      <c r="G44" s="1533">
        <v>328158.33</v>
      </c>
    </row>
    <row r="45" spans="1:7" ht="15" thickTop="1" x14ac:dyDescent="0.3">
      <c r="A45" s="1410"/>
      <c r="B45" s="1410"/>
      <c r="C45" s="1410"/>
      <c r="D45" s="1410"/>
      <c r="E45" s="1485"/>
      <c r="F45" s="1485"/>
      <c r="G45" s="1485"/>
    </row>
    <row r="46" spans="1:7" x14ac:dyDescent="0.3">
      <c r="A46" s="1410"/>
      <c r="B46" s="1410"/>
      <c r="C46" s="1410"/>
      <c r="D46" s="1410"/>
      <c r="E46" s="1485"/>
      <c r="F46" s="1485"/>
      <c r="G46" s="1485"/>
    </row>
    <row r="47" spans="1:7" x14ac:dyDescent="0.3">
      <c r="A47" s="1410"/>
      <c r="B47" s="1410"/>
      <c r="C47" s="1410"/>
      <c r="D47" s="1410"/>
      <c r="E47" s="1485"/>
      <c r="F47" s="1485"/>
      <c r="G47" s="1485"/>
    </row>
    <row r="48" spans="1:7" x14ac:dyDescent="0.3">
      <c r="A48" s="1410"/>
      <c r="B48" s="1410"/>
      <c r="C48" s="1410"/>
      <c r="D48" s="1410"/>
      <c r="E48" s="1485"/>
      <c r="F48" s="1485"/>
      <c r="G48" s="1485"/>
    </row>
    <row r="49" spans="1:7" x14ac:dyDescent="0.3">
      <c r="A49" s="1410"/>
      <c r="B49" s="1410"/>
      <c r="C49" s="1410"/>
      <c r="D49" s="1410"/>
      <c r="E49" s="1485"/>
      <c r="F49" s="1485"/>
      <c r="G49" s="1485"/>
    </row>
    <row r="50" spans="1:7" x14ac:dyDescent="0.3">
      <c r="A50" s="1410"/>
      <c r="B50" s="1410"/>
      <c r="C50" s="1410"/>
      <c r="D50" s="1410"/>
      <c r="E50" s="1485"/>
      <c r="F50" s="1485"/>
      <c r="G50" s="1485"/>
    </row>
    <row r="51" spans="1:7" x14ac:dyDescent="0.3">
      <c r="A51" s="1410"/>
      <c r="B51" s="1410"/>
      <c r="C51" s="1410"/>
      <c r="D51" s="1410"/>
      <c r="E51" s="1485"/>
      <c r="F51" s="1485"/>
      <c r="G51" s="1485"/>
    </row>
    <row r="52" spans="1:7" x14ac:dyDescent="0.3">
      <c r="A52" s="1410"/>
      <c r="B52" s="1410"/>
      <c r="C52" s="1410"/>
      <c r="D52" s="1410"/>
      <c r="E52" s="1485"/>
      <c r="F52" s="1485"/>
      <c r="G52" s="1485"/>
    </row>
    <row r="53" spans="1:7" x14ac:dyDescent="0.3">
      <c r="A53" s="1410"/>
      <c r="B53" s="1410"/>
      <c r="C53" s="1410"/>
      <c r="D53" s="1410"/>
      <c r="E53" s="1485"/>
      <c r="F53" s="1485"/>
      <c r="G53" s="1485"/>
    </row>
    <row r="54" spans="1:7" x14ac:dyDescent="0.3">
      <c r="A54" s="1410"/>
      <c r="B54" s="1410"/>
      <c r="C54" s="1410"/>
      <c r="D54" s="1410"/>
      <c r="E54" s="1485"/>
      <c r="F54" s="1485"/>
      <c r="G54" s="1485"/>
    </row>
    <row r="55" spans="1:7" x14ac:dyDescent="0.3">
      <c r="A55" s="1410"/>
      <c r="B55" s="1410"/>
      <c r="C55" s="1410"/>
      <c r="D55" s="1410"/>
      <c r="E55" s="1485"/>
      <c r="F55" s="1485"/>
      <c r="G55" s="1485"/>
    </row>
    <row r="56" spans="1:7" x14ac:dyDescent="0.3">
      <c r="A56" s="1410"/>
      <c r="B56" s="1410"/>
      <c r="C56" s="1410"/>
      <c r="D56" s="1410"/>
      <c r="E56" s="1485"/>
      <c r="F56" s="1485"/>
      <c r="G56" s="1485"/>
    </row>
    <row r="57" spans="1:7" x14ac:dyDescent="0.3">
      <c r="A57" s="1410"/>
      <c r="B57" s="1410"/>
      <c r="C57" s="1410"/>
      <c r="D57" s="1410"/>
      <c r="E57" s="1485"/>
      <c r="F57" s="1485"/>
      <c r="G57" s="1485"/>
    </row>
    <row r="58" spans="1:7" x14ac:dyDescent="0.3">
      <c r="A58" s="1410"/>
      <c r="B58" s="1410"/>
      <c r="C58" s="1410"/>
      <c r="D58" s="1410"/>
      <c r="E58" s="1485"/>
      <c r="F58" s="1485"/>
      <c r="G58" s="1485"/>
    </row>
    <row r="59" spans="1:7" x14ac:dyDescent="0.3">
      <c r="A59" s="1410"/>
      <c r="B59" s="1410"/>
      <c r="C59" s="1410"/>
      <c r="D59" s="1410"/>
      <c r="E59" s="1485"/>
      <c r="F59" s="1485"/>
      <c r="G59" s="1485"/>
    </row>
    <row r="60" spans="1:7" x14ac:dyDescent="0.3">
      <c r="A60" s="1410"/>
      <c r="B60" s="1410"/>
      <c r="C60" s="1410"/>
      <c r="D60" s="1410"/>
      <c r="E60" s="1485"/>
      <c r="F60" s="1485"/>
      <c r="G60" s="1485"/>
    </row>
    <row r="61" spans="1:7" x14ac:dyDescent="0.3">
      <c r="A61" s="1410"/>
      <c r="B61" s="1410"/>
      <c r="C61" s="1410"/>
      <c r="D61" s="1410"/>
      <c r="E61" s="1485"/>
      <c r="F61" s="1485"/>
      <c r="G61" s="1485"/>
    </row>
    <row r="62" spans="1:7" x14ac:dyDescent="0.3">
      <c r="A62" s="1410"/>
      <c r="B62" s="1410"/>
      <c r="C62" s="1410"/>
      <c r="D62" s="1410"/>
      <c r="E62" s="1485"/>
      <c r="F62" s="1485"/>
      <c r="G62" s="1485"/>
    </row>
    <row r="63" spans="1:7" x14ac:dyDescent="0.3">
      <c r="A63" s="1410"/>
      <c r="B63" s="1410"/>
      <c r="C63" s="1410"/>
      <c r="D63" s="1410"/>
      <c r="E63" s="1485"/>
      <c r="F63" s="1485"/>
      <c r="G63" s="1485"/>
    </row>
    <row r="64" spans="1:7" x14ac:dyDescent="0.3">
      <c r="A64" s="1410"/>
      <c r="B64" s="1410"/>
      <c r="C64" s="1410"/>
      <c r="D64" s="1410"/>
      <c r="E64" s="1485"/>
      <c r="F64" s="1485"/>
      <c r="G64" s="1485"/>
    </row>
    <row r="65" spans="1:7" x14ac:dyDescent="0.3">
      <c r="A65" s="1410"/>
      <c r="B65" s="1410"/>
      <c r="C65" s="1410"/>
      <c r="D65" s="1410"/>
      <c r="E65" s="1485"/>
      <c r="F65" s="1485"/>
      <c r="G65" s="1485"/>
    </row>
    <row r="66" spans="1:7" x14ac:dyDescent="0.3">
      <c r="A66" s="1410"/>
      <c r="B66" s="1410"/>
      <c r="C66" s="1410"/>
      <c r="D66" s="1410"/>
      <c r="E66" s="1485"/>
      <c r="F66" s="1485"/>
      <c r="G66" s="1485"/>
    </row>
    <row r="67" spans="1:7" x14ac:dyDescent="0.3">
      <c r="A67" s="1410"/>
      <c r="B67" s="1410"/>
      <c r="C67" s="1410"/>
      <c r="D67" s="1410"/>
      <c r="E67" s="1485"/>
      <c r="F67" s="1485"/>
      <c r="G67" s="1485"/>
    </row>
    <row r="68" spans="1:7" x14ac:dyDescent="0.3">
      <c r="A68" s="1410"/>
      <c r="B68" s="1410"/>
      <c r="C68" s="1410"/>
      <c r="D68" s="1410"/>
      <c r="E68" s="1485"/>
      <c r="F68" s="1485"/>
      <c r="G68" s="1485"/>
    </row>
    <row r="69" spans="1:7" x14ac:dyDescent="0.3">
      <c r="A69" s="1410"/>
      <c r="B69" s="1410"/>
      <c r="C69" s="1410"/>
      <c r="D69" s="1410"/>
      <c r="E69" s="1485"/>
      <c r="F69" s="1485"/>
      <c r="G69" s="1485"/>
    </row>
    <row r="70" spans="1:7" x14ac:dyDescent="0.3">
      <c r="A70" s="1410"/>
      <c r="B70" s="1410"/>
      <c r="C70" s="1410"/>
      <c r="D70" s="1410"/>
      <c r="E70" s="1485"/>
      <c r="F70" s="1485"/>
      <c r="G70" s="1485"/>
    </row>
    <row r="71" spans="1:7" x14ac:dyDescent="0.3">
      <c r="A71" s="1410"/>
      <c r="B71" s="1410"/>
      <c r="C71" s="1410"/>
      <c r="D71" s="1410"/>
      <c r="E71" s="1485"/>
      <c r="F71" s="1485"/>
      <c r="G71" s="1485"/>
    </row>
    <row r="72" spans="1:7" x14ac:dyDescent="0.3">
      <c r="A72" s="1410"/>
      <c r="B72" s="1410"/>
      <c r="C72" s="1410"/>
      <c r="D72" s="1410"/>
      <c r="E72" s="1485"/>
      <c r="F72" s="1485"/>
      <c r="G72" s="1485"/>
    </row>
    <row r="73" spans="1:7" x14ac:dyDescent="0.3">
      <c r="A73" s="1410"/>
      <c r="B73" s="1410"/>
      <c r="C73" s="1410"/>
      <c r="D73" s="1410"/>
      <c r="E73" s="1485"/>
      <c r="F73" s="1485"/>
      <c r="G73" s="1485"/>
    </row>
    <row r="74" spans="1:7" x14ac:dyDescent="0.3">
      <c r="A74" s="1410"/>
      <c r="B74" s="1410"/>
      <c r="C74" s="1410"/>
      <c r="D74" s="1410"/>
      <c r="E74" s="1485"/>
      <c r="F74" s="1485"/>
      <c r="G74" s="1485"/>
    </row>
    <row r="75" spans="1:7" x14ac:dyDescent="0.3">
      <c r="A75" s="1410"/>
      <c r="B75" s="1410"/>
      <c r="C75" s="1410"/>
      <c r="D75" s="1410"/>
      <c r="E75" s="1485"/>
      <c r="F75" s="1485"/>
      <c r="G75" s="1485"/>
    </row>
    <row r="76" spans="1:7" x14ac:dyDescent="0.3">
      <c r="A76" s="1410"/>
      <c r="B76" s="1410"/>
      <c r="C76" s="1410"/>
      <c r="D76" s="1410"/>
      <c r="E76" s="1485"/>
      <c r="F76" s="1485"/>
      <c r="G76" s="1485"/>
    </row>
    <row r="77" spans="1:7" x14ac:dyDescent="0.3">
      <c r="A77" s="1410"/>
      <c r="B77" s="1410"/>
      <c r="C77" s="1410"/>
      <c r="D77" s="1410"/>
      <c r="E77" s="1485"/>
      <c r="F77" s="1485"/>
      <c r="G77" s="1485"/>
    </row>
    <row r="78" spans="1:7" x14ac:dyDescent="0.3">
      <c r="A78" s="1410"/>
      <c r="B78" s="1410"/>
      <c r="C78" s="1410"/>
      <c r="D78" s="1410"/>
      <c r="E78" s="1485"/>
      <c r="F78" s="1485"/>
      <c r="G78" s="1485"/>
    </row>
    <row r="79" spans="1:7" x14ac:dyDescent="0.3">
      <c r="A79" s="1410"/>
      <c r="B79" s="1410"/>
      <c r="C79" s="1410"/>
      <c r="D79" s="1410"/>
      <c r="E79" s="1485"/>
      <c r="F79" s="1485"/>
      <c r="G79" s="1485"/>
    </row>
    <row r="80" spans="1:7" x14ac:dyDescent="0.3">
      <c r="A80" s="1410"/>
      <c r="B80" s="1410"/>
      <c r="C80" s="1410"/>
      <c r="D80" s="1410"/>
      <c r="E80" s="1485"/>
      <c r="F80" s="1485"/>
      <c r="G80" s="1485"/>
    </row>
    <row r="81" spans="1:7" x14ac:dyDescent="0.3">
      <c r="A81" s="1410"/>
      <c r="B81" s="1410"/>
      <c r="C81" s="1410"/>
      <c r="D81" s="1410"/>
      <c r="E81" s="1485"/>
      <c r="F81" s="1485"/>
      <c r="G81" s="1485"/>
    </row>
    <row r="82" spans="1:7" x14ac:dyDescent="0.3">
      <c r="A82" s="1410"/>
      <c r="B82" s="1410"/>
      <c r="C82" s="1410"/>
      <c r="D82" s="1410"/>
      <c r="E82" s="1485"/>
      <c r="F82" s="1485"/>
      <c r="G82" s="1485"/>
    </row>
    <row r="83" spans="1:7" x14ac:dyDescent="0.3">
      <c r="A83" s="1410"/>
      <c r="B83" s="1410"/>
      <c r="C83" s="1410"/>
      <c r="D83" s="1410"/>
      <c r="E83" s="1485"/>
      <c r="F83" s="1485"/>
      <c r="G83" s="1485"/>
    </row>
    <row r="84" spans="1:7" x14ac:dyDescent="0.3">
      <c r="A84" s="1410"/>
      <c r="B84" s="1410"/>
      <c r="C84" s="1410"/>
      <c r="D84" s="1410"/>
      <c r="E84" s="1485"/>
      <c r="F84" s="1485"/>
      <c r="G84" s="1485"/>
    </row>
    <row r="85" spans="1:7" x14ac:dyDescent="0.3">
      <c r="A85" s="1410"/>
      <c r="B85" s="1410"/>
      <c r="C85" s="1410"/>
      <c r="D85" s="1410"/>
      <c r="E85" s="1485"/>
      <c r="F85" s="1485"/>
      <c r="G85" s="1485"/>
    </row>
    <row r="86" spans="1:7" x14ac:dyDescent="0.3">
      <c r="A86" s="1410"/>
      <c r="B86" s="1410"/>
      <c r="C86" s="1410"/>
      <c r="D86" s="1410"/>
      <c r="E86" s="1485"/>
      <c r="F86" s="1485"/>
      <c r="G86" s="1485"/>
    </row>
    <row r="87" spans="1:7" x14ac:dyDescent="0.3">
      <c r="A87" s="1410"/>
      <c r="B87" s="1410"/>
      <c r="C87" s="1410"/>
      <c r="D87" s="1410"/>
      <c r="E87" s="1485"/>
      <c r="F87" s="1485"/>
      <c r="G87" s="1485"/>
    </row>
    <row r="88" spans="1:7" x14ac:dyDescent="0.3">
      <c r="A88" s="1410"/>
      <c r="B88" s="1410"/>
      <c r="C88" s="1410"/>
      <c r="D88" s="1410"/>
      <c r="E88" s="1485"/>
      <c r="F88" s="1485"/>
      <c r="G88" s="1485"/>
    </row>
    <row r="89" spans="1:7" x14ac:dyDescent="0.3">
      <c r="A89" s="1410"/>
      <c r="B89" s="1410"/>
      <c r="C89" s="1410"/>
      <c r="D89" s="1410"/>
      <c r="E89" s="1485"/>
      <c r="F89" s="1485"/>
      <c r="G89" s="1485"/>
    </row>
    <row r="90" spans="1:7" x14ac:dyDescent="0.3">
      <c r="A90" s="1410"/>
      <c r="B90" s="1410"/>
      <c r="C90" s="1410"/>
      <c r="D90" s="1410"/>
      <c r="E90" s="1485"/>
      <c r="F90" s="1485"/>
      <c r="G90" s="1485"/>
    </row>
    <row r="91" spans="1:7" x14ac:dyDescent="0.3">
      <c r="A91" s="1410"/>
      <c r="B91" s="1410"/>
      <c r="C91" s="1410"/>
      <c r="D91" s="1410"/>
      <c r="E91" s="1485"/>
      <c r="F91" s="1485"/>
      <c r="G91" s="1485"/>
    </row>
    <row r="92" spans="1:7" x14ac:dyDescent="0.3">
      <c r="A92" s="1410"/>
      <c r="B92" s="1410"/>
      <c r="C92" s="1410"/>
      <c r="D92" s="1410"/>
      <c r="E92" s="1485"/>
      <c r="F92" s="1485"/>
      <c r="G92" s="1485"/>
    </row>
    <row r="93" spans="1:7" x14ac:dyDescent="0.3">
      <c r="A93" s="1410"/>
      <c r="B93" s="1410"/>
      <c r="C93" s="1410"/>
      <c r="D93" s="1410"/>
      <c r="E93" s="1485"/>
      <c r="F93" s="1485"/>
      <c r="G93" s="1485"/>
    </row>
    <row r="94" spans="1:7" x14ac:dyDescent="0.3">
      <c r="A94" s="1410"/>
      <c r="B94" s="1410"/>
      <c r="C94" s="1410"/>
      <c r="D94" s="1410"/>
      <c r="E94" s="1485"/>
      <c r="F94" s="1485"/>
      <c r="G94" s="1485"/>
    </row>
    <row r="95" spans="1:7" x14ac:dyDescent="0.3">
      <c r="A95" s="1410"/>
      <c r="B95" s="1410"/>
      <c r="C95" s="1410"/>
      <c r="D95" s="1410"/>
      <c r="E95" s="1485"/>
      <c r="F95" s="1485"/>
      <c r="G95" s="1485"/>
    </row>
    <row r="96" spans="1:7" x14ac:dyDescent="0.3">
      <c r="A96" s="1410"/>
      <c r="B96" s="1410"/>
      <c r="C96" s="1410"/>
      <c r="D96" s="1410"/>
      <c r="E96" s="1485"/>
      <c r="F96" s="1485"/>
      <c r="G96" s="1485"/>
    </row>
    <row r="97" spans="1:7" x14ac:dyDescent="0.3">
      <c r="A97" s="1410"/>
      <c r="B97" s="1410"/>
      <c r="C97" s="1410"/>
      <c r="D97" s="1410"/>
      <c r="E97" s="1485"/>
      <c r="F97" s="1485"/>
      <c r="G97" s="1485"/>
    </row>
    <row r="98" spans="1:7" x14ac:dyDescent="0.3">
      <c r="A98" s="1410"/>
      <c r="B98" s="1410"/>
      <c r="C98" s="1410"/>
      <c r="D98" s="1410"/>
      <c r="E98" s="1485"/>
      <c r="F98" s="1485"/>
      <c r="G98" s="1485"/>
    </row>
    <row r="99" spans="1:7" x14ac:dyDescent="0.3">
      <c r="A99" s="1410"/>
      <c r="B99" s="1410"/>
      <c r="C99" s="1410"/>
      <c r="D99" s="1410"/>
      <c r="E99" s="1485"/>
      <c r="F99" s="1485"/>
      <c r="G99" s="1485"/>
    </row>
    <row r="100" spans="1:7" x14ac:dyDescent="0.3">
      <c r="A100" s="1410"/>
      <c r="B100" s="1410"/>
      <c r="C100" s="1410"/>
      <c r="D100" s="1410"/>
      <c r="E100" s="1485"/>
      <c r="F100" s="1485"/>
      <c r="G100" s="1485"/>
    </row>
    <row r="101" spans="1:7" x14ac:dyDescent="0.3">
      <c r="A101" s="1410"/>
      <c r="B101" s="1410"/>
      <c r="C101" s="1410"/>
      <c r="D101" s="1410"/>
      <c r="E101" s="1485"/>
      <c r="F101" s="1485"/>
      <c r="G101" s="1485"/>
    </row>
    <row r="102" spans="1:7" x14ac:dyDescent="0.3">
      <c r="A102" s="1410"/>
      <c r="B102" s="1410"/>
      <c r="C102" s="1410"/>
      <c r="D102" s="1410"/>
      <c r="E102" s="1485"/>
      <c r="F102" s="1485"/>
      <c r="G102" s="1485"/>
    </row>
    <row r="103" spans="1:7" x14ac:dyDescent="0.3">
      <c r="A103" s="1410"/>
      <c r="B103" s="1410"/>
      <c r="C103" s="1410"/>
      <c r="D103" s="1410"/>
      <c r="E103" s="1485"/>
      <c r="F103" s="1485"/>
      <c r="G103" s="1485"/>
    </row>
    <row r="104" spans="1:7" x14ac:dyDescent="0.3">
      <c r="A104" s="1410"/>
      <c r="B104" s="1410"/>
      <c r="C104" s="1410"/>
      <c r="D104" s="1410"/>
      <c r="E104" s="1485"/>
      <c r="F104" s="1485"/>
      <c r="G104" s="1485"/>
    </row>
    <row r="105" spans="1:7" x14ac:dyDescent="0.3">
      <c r="A105" s="1410"/>
      <c r="B105" s="1410"/>
      <c r="C105" s="1410"/>
      <c r="D105" s="1410"/>
      <c r="E105" s="1485"/>
      <c r="F105" s="1485"/>
      <c r="G105" s="1485"/>
    </row>
    <row r="106" spans="1:7" x14ac:dyDescent="0.3">
      <c r="A106" s="1410"/>
      <c r="B106" s="1410"/>
      <c r="C106" s="1410"/>
      <c r="D106" s="1410"/>
      <c r="E106" s="1485"/>
      <c r="F106" s="1485"/>
      <c r="G106" s="1485"/>
    </row>
    <row r="107" spans="1:7" x14ac:dyDescent="0.3">
      <c r="A107" s="1410"/>
      <c r="B107" s="1410"/>
      <c r="C107" s="1410"/>
      <c r="D107" s="1410"/>
      <c r="E107" s="1485"/>
      <c r="F107" s="1485"/>
      <c r="G107" s="1485"/>
    </row>
    <row r="108" spans="1:7" x14ac:dyDescent="0.3">
      <c r="A108" s="1410"/>
      <c r="B108" s="1410"/>
      <c r="C108" s="1410"/>
      <c r="D108" s="1410"/>
      <c r="E108" s="1485"/>
      <c r="F108" s="1485"/>
      <c r="G108" s="1485"/>
    </row>
    <row r="109" spans="1:7" x14ac:dyDescent="0.3">
      <c r="A109" s="1410"/>
      <c r="B109" s="1410"/>
      <c r="C109" s="1410"/>
      <c r="D109" s="1410"/>
      <c r="E109" s="1485"/>
      <c r="F109" s="1485"/>
      <c r="G109" s="1485"/>
    </row>
    <row r="110" spans="1:7" x14ac:dyDescent="0.3">
      <c r="A110" s="1410"/>
      <c r="B110" s="1410"/>
      <c r="C110" s="1410"/>
      <c r="D110" s="1410"/>
      <c r="E110" s="1485"/>
      <c r="F110" s="1485"/>
      <c r="G110" s="1485"/>
    </row>
    <row r="111" spans="1:7" x14ac:dyDescent="0.3">
      <c r="A111" s="1410"/>
      <c r="B111" s="1410"/>
      <c r="C111" s="1410"/>
      <c r="D111" s="1410"/>
      <c r="E111" s="1485"/>
      <c r="F111" s="1485"/>
      <c r="G111" s="1485"/>
    </row>
    <row r="112" spans="1:7" x14ac:dyDescent="0.3">
      <c r="A112" s="1410"/>
      <c r="B112" s="1410"/>
      <c r="C112" s="1410"/>
      <c r="D112" s="1410"/>
      <c r="E112" s="1485"/>
      <c r="F112" s="1485"/>
      <c r="G112" s="1485"/>
    </row>
    <row r="113" spans="1:7" x14ac:dyDescent="0.3">
      <c r="A113" s="1410"/>
      <c r="B113" s="1410"/>
      <c r="C113" s="1410"/>
      <c r="D113" s="1410"/>
      <c r="E113" s="1485"/>
      <c r="F113" s="1485"/>
      <c r="G113" s="1485"/>
    </row>
    <row r="114" spans="1:7" x14ac:dyDescent="0.3">
      <c r="A114" s="1410"/>
      <c r="B114" s="1410"/>
      <c r="C114" s="1410"/>
      <c r="D114" s="1410"/>
      <c r="E114" s="1485"/>
      <c r="F114" s="1485"/>
      <c r="G114" s="1485"/>
    </row>
    <row r="115" spans="1:7" x14ac:dyDescent="0.3">
      <c r="A115" s="1410"/>
      <c r="B115" s="1410"/>
      <c r="C115" s="1410"/>
      <c r="D115" s="1410"/>
      <c r="E115" s="1485"/>
      <c r="F115" s="1485"/>
      <c r="G115" s="1485"/>
    </row>
    <row r="116" spans="1:7" x14ac:dyDescent="0.3">
      <c r="A116" s="1410"/>
      <c r="B116" s="1410"/>
      <c r="C116" s="1410"/>
      <c r="D116" s="1410"/>
      <c r="E116" s="1485"/>
      <c r="F116" s="1485"/>
      <c r="G116" s="1485"/>
    </row>
    <row r="117" spans="1:7" x14ac:dyDescent="0.3">
      <c r="A117" s="1410"/>
      <c r="B117" s="1410"/>
      <c r="C117" s="1410"/>
      <c r="D117" s="1410"/>
      <c r="E117" s="1485"/>
      <c r="F117" s="1485"/>
      <c r="G117" s="1485"/>
    </row>
    <row r="118" spans="1:7" x14ac:dyDescent="0.3">
      <c r="A118" s="1410"/>
      <c r="B118" s="1410"/>
      <c r="C118" s="1410"/>
      <c r="D118" s="1410"/>
      <c r="E118" s="1485"/>
      <c r="F118" s="1485"/>
      <c r="G118" s="1485"/>
    </row>
    <row r="119" spans="1:7" x14ac:dyDescent="0.3">
      <c r="A119" s="1410"/>
      <c r="B119" s="1410"/>
      <c r="C119" s="1410"/>
      <c r="D119" s="1410"/>
      <c r="E119" s="1485"/>
      <c r="F119" s="1485"/>
      <c r="G119" s="1485"/>
    </row>
    <row r="120" spans="1:7" x14ac:dyDescent="0.3">
      <c r="A120" s="1410"/>
      <c r="B120" s="1410"/>
      <c r="C120" s="1410"/>
      <c r="D120" s="1410"/>
      <c r="E120" s="1485"/>
      <c r="F120" s="1485"/>
      <c r="G120" s="1485"/>
    </row>
    <row r="121" spans="1:7" x14ac:dyDescent="0.3">
      <c r="A121" s="1410"/>
      <c r="B121" s="1410"/>
      <c r="C121" s="1410"/>
      <c r="D121" s="1410"/>
      <c r="E121" s="1485"/>
      <c r="F121" s="1485"/>
      <c r="G121" s="1485"/>
    </row>
    <row r="122" spans="1:7" x14ac:dyDescent="0.3">
      <c r="A122" s="1410"/>
      <c r="B122" s="1410"/>
      <c r="C122" s="1410"/>
      <c r="D122" s="1410"/>
      <c r="E122" s="1485"/>
      <c r="F122" s="1485"/>
      <c r="G122" s="1485"/>
    </row>
    <row r="123" spans="1:7" x14ac:dyDescent="0.3">
      <c r="A123" s="1410"/>
      <c r="B123" s="1410"/>
      <c r="C123" s="1410"/>
      <c r="D123" s="1410"/>
      <c r="E123" s="1485"/>
      <c r="F123" s="1485"/>
      <c r="G123" s="1485"/>
    </row>
    <row r="124" spans="1:7" x14ac:dyDescent="0.3">
      <c r="A124" s="1410"/>
      <c r="B124" s="1410"/>
      <c r="C124" s="1410"/>
      <c r="D124" s="1410"/>
      <c r="E124" s="1485"/>
      <c r="F124" s="1485"/>
      <c r="G124" s="1485"/>
    </row>
    <row r="125" spans="1:7" x14ac:dyDescent="0.3">
      <c r="A125" s="1410"/>
      <c r="B125" s="1410"/>
      <c r="C125" s="1410"/>
      <c r="D125" s="1410"/>
      <c r="E125" s="1485"/>
      <c r="F125" s="1485"/>
      <c r="G125" s="1485"/>
    </row>
    <row r="126" spans="1:7" x14ac:dyDescent="0.3">
      <c r="A126" s="1410"/>
      <c r="B126" s="1410"/>
      <c r="C126" s="1410"/>
      <c r="D126" s="1410"/>
      <c r="E126" s="1485"/>
      <c r="F126" s="1485"/>
      <c r="G126" s="1485"/>
    </row>
    <row r="127" spans="1:7" x14ac:dyDescent="0.3">
      <c r="A127" s="1410"/>
      <c r="B127" s="1410"/>
      <c r="C127" s="1410"/>
      <c r="D127" s="1410"/>
      <c r="E127" s="1485"/>
      <c r="F127" s="1485"/>
      <c r="G127" s="1485"/>
    </row>
    <row r="128" spans="1:7" x14ac:dyDescent="0.3">
      <c r="A128" s="1410"/>
      <c r="B128" s="1410"/>
      <c r="C128" s="1410"/>
      <c r="D128" s="1410"/>
      <c r="E128" s="1485"/>
      <c r="F128" s="1485"/>
      <c r="G128" s="1485"/>
    </row>
    <row r="129" spans="1:7" x14ac:dyDescent="0.3">
      <c r="A129" s="1410"/>
      <c r="B129" s="1410"/>
      <c r="C129" s="1410"/>
      <c r="D129" s="1410"/>
      <c r="E129" s="1485"/>
      <c r="F129" s="1485"/>
      <c r="G129" s="1485"/>
    </row>
    <row r="130" spans="1:7" x14ac:dyDescent="0.3">
      <c r="A130" s="1410"/>
      <c r="B130" s="1410"/>
      <c r="C130" s="1410"/>
      <c r="D130" s="1410"/>
      <c r="E130" s="1485"/>
      <c r="F130" s="1485"/>
      <c r="G130" s="1485"/>
    </row>
    <row r="131" spans="1:7" x14ac:dyDescent="0.3">
      <c r="A131" s="1410"/>
      <c r="B131" s="1410"/>
      <c r="C131" s="1410"/>
      <c r="D131" s="1410"/>
      <c r="E131" s="1485"/>
      <c r="F131" s="1485"/>
      <c r="G131" s="1485"/>
    </row>
    <row r="132" spans="1:7" x14ac:dyDescent="0.3">
      <c r="A132" s="1410"/>
      <c r="B132" s="1410"/>
      <c r="C132" s="1410"/>
      <c r="D132" s="1410"/>
      <c r="E132" s="1485"/>
      <c r="F132" s="1485"/>
      <c r="G132" s="1485"/>
    </row>
    <row r="133" spans="1:7" x14ac:dyDescent="0.3">
      <c r="A133" s="1410"/>
      <c r="B133" s="1410"/>
      <c r="C133" s="1410"/>
      <c r="D133" s="1410"/>
      <c r="E133" s="1485"/>
      <c r="F133" s="1485"/>
      <c r="G133" s="1485"/>
    </row>
    <row r="134" spans="1:7" x14ac:dyDescent="0.3">
      <c r="A134" s="1410"/>
      <c r="B134" s="1410"/>
      <c r="C134" s="1410"/>
      <c r="D134" s="1410"/>
      <c r="E134" s="1485"/>
      <c r="F134" s="1485"/>
      <c r="G134" s="1485"/>
    </row>
    <row r="135" spans="1:7" x14ac:dyDescent="0.3">
      <c r="A135" s="1410"/>
      <c r="B135" s="1410"/>
      <c r="C135" s="1410"/>
      <c r="D135" s="1410"/>
      <c r="E135" s="1485"/>
      <c r="F135" s="1485"/>
      <c r="G135" s="1485"/>
    </row>
    <row r="136" spans="1:7" x14ac:dyDescent="0.3">
      <c r="A136" s="1410"/>
      <c r="B136" s="1410"/>
      <c r="C136" s="1410"/>
      <c r="D136" s="1410"/>
      <c r="E136" s="1485"/>
      <c r="F136" s="1485"/>
      <c r="G136" s="1485"/>
    </row>
    <row r="137" spans="1:7" x14ac:dyDescent="0.3">
      <c r="A137" s="1410"/>
      <c r="B137" s="1410"/>
      <c r="C137" s="1410"/>
      <c r="D137" s="1410"/>
      <c r="E137" s="1485"/>
      <c r="F137" s="1485"/>
      <c r="G137" s="1485"/>
    </row>
    <row r="138" spans="1:7" x14ac:dyDescent="0.3">
      <c r="A138" s="1410"/>
      <c r="B138" s="1410"/>
      <c r="C138" s="1410"/>
      <c r="D138" s="1410"/>
      <c r="E138" s="1485"/>
      <c r="F138" s="1485"/>
      <c r="G138" s="1485"/>
    </row>
    <row r="139" spans="1:7" x14ac:dyDescent="0.3">
      <c r="A139" s="1410"/>
      <c r="B139" s="1410"/>
      <c r="C139" s="1410"/>
      <c r="D139" s="1410"/>
      <c r="E139" s="1485"/>
      <c r="F139" s="1485"/>
      <c r="G139" s="1485"/>
    </row>
    <row r="140" spans="1:7" x14ac:dyDescent="0.3">
      <c r="A140" s="1410"/>
      <c r="B140" s="1410"/>
      <c r="C140" s="1410"/>
      <c r="D140" s="1410"/>
      <c r="E140" s="1485"/>
      <c r="F140" s="1485"/>
      <c r="G140" s="1485"/>
    </row>
    <row r="141" spans="1:7" x14ac:dyDescent="0.3">
      <c r="A141" s="1410"/>
      <c r="B141" s="1410"/>
      <c r="C141" s="1410"/>
      <c r="D141" s="1410"/>
      <c r="E141" s="1485"/>
      <c r="F141" s="1485"/>
      <c r="G141" s="1485"/>
    </row>
    <row r="142" spans="1:7" x14ac:dyDescent="0.3">
      <c r="A142" s="1410"/>
      <c r="B142" s="1410"/>
      <c r="C142" s="1410"/>
      <c r="D142" s="1410"/>
      <c r="E142" s="1485"/>
      <c r="F142" s="1485"/>
      <c r="G142" s="1485"/>
    </row>
    <row r="143" spans="1:7" x14ac:dyDescent="0.3">
      <c r="A143" s="1410"/>
      <c r="B143" s="1410"/>
      <c r="C143" s="1410"/>
      <c r="D143" s="1410"/>
      <c r="E143" s="1485"/>
      <c r="F143" s="1485"/>
      <c r="G143" s="1485"/>
    </row>
    <row r="144" spans="1:7" x14ac:dyDescent="0.3">
      <c r="A144" s="1410"/>
      <c r="B144" s="1410"/>
      <c r="C144" s="1410"/>
      <c r="D144" s="1410"/>
      <c r="E144" s="1485"/>
      <c r="F144" s="1485"/>
      <c r="G144" s="1485"/>
    </row>
    <row r="145" spans="1:7" x14ac:dyDescent="0.3">
      <c r="A145" s="1410"/>
      <c r="B145" s="1410"/>
      <c r="C145" s="1410"/>
      <c r="D145" s="1410"/>
      <c r="E145" s="1485"/>
      <c r="F145" s="1485"/>
      <c r="G145" s="1485"/>
    </row>
    <row r="146" spans="1:7" x14ac:dyDescent="0.3">
      <c r="A146" s="1410"/>
      <c r="B146" s="1410"/>
      <c r="C146" s="1410"/>
      <c r="D146" s="1410"/>
      <c r="E146" s="1485"/>
      <c r="F146" s="1485"/>
      <c r="G146" s="1485"/>
    </row>
    <row r="147" spans="1:7" x14ac:dyDescent="0.3">
      <c r="A147" s="1410"/>
      <c r="B147" s="1410"/>
      <c r="C147" s="1410"/>
      <c r="D147" s="1410"/>
      <c r="E147" s="1485"/>
      <c r="F147" s="1485"/>
      <c r="G147" s="1485"/>
    </row>
    <row r="148" spans="1:7" x14ac:dyDescent="0.3">
      <c r="A148" s="1410"/>
      <c r="B148" s="1410"/>
      <c r="C148" s="1410"/>
      <c r="D148" s="1410"/>
      <c r="E148" s="1485"/>
      <c r="F148" s="1485"/>
      <c r="G148" s="1485"/>
    </row>
    <row r="149" spans="1:7" x14ac:dyDescent="0.3">
      <c r="A149" s="1410"/>
      <c r="B149" s="1410"/>
      <c r="C149" s="1410"/>
      <c r="D149" s="1410"/>
      <c r="E149" s="1485"/>
      <c r="F149" s="1485"/>
      <c r="G149" s="1485"/>
    </row>
    <row r="150" spans="1:7" x14ac:dyDescent="0.3">
      <c r="A150" s="1410"/>
      <c r="B150" s="1410"/>
      <c r="C150" s="1410"/>
      <c r="D150" s="1410"/>
      <c r="E150" s="1485"/>
      <c r="F150" s="1485"/>
      <c r="G150" s="1485"/>
    </row>
    <row r="151" spans="1:7" x14ac:dyDescent="0.3">
      <c r="A151" s="1410"/>
      <c r="B151" s="1410"/>
      <c r="C151" s="1410"/>
      <c r="D151" s="1410"/>
      <c r="E151" s="1485"/>
      <c r="F151" s="1485"/>
      <c r="G151" s="1485"/>
    </row>
    <row r="152" spans="1:7" x14ac:dyDescent="0.3">
      <c r="A152" s="1410"/>
      <c r="B152" s="1410"/>
      <c r="C152" s="1410"/>
      <c r="D152" s="1410"/>
      <c r="E152" s="1485"/>
      <c r="F152" s="1485"/>
      <c r="G152" s="1485"/>
    </row>
    <row r="153" spans="1:7" x14ac:dyDescent="0.3">
      <c r="A153" s="1410"/>
      <c r="B153" s="1410"/>
      <c r="C153" s="1410"/>
      <c r="D153" s="1410"/>
      <c r="E153" s="1485"/>
      <c r="F153" s="1485"/>
      <c r="G153" s="1485"/>
    </row>
    <row r="154" spans="1:7" x14ac:dyDescent="0.3">
      <c r="A154" s="1410"/>
      <c r="B154" s="1410"/>
      <c r="C154" s="1410"/>
      <c r="D154" s="1410"/>
      <c r="E154" s="1485"/>
      <c r="F154" s="1485"/>
      <c r="G154" s="1485"/>
    </row>
    <row r="155" spans="1:7" x14ac:dyDescent="0.3">
      <c r="A155" s="1410"/>
      <c r="B155" s="1410"/>
      <c r="C155" s="1410"/>
      <c r="D155" s="1410"/>
      <c r="E155" s="1485"/>
      <c r="F155" s="1485"/>
      <c r="G155" s="1485"/>
    </row>
    <row r="156" spans="1:7" x14ac:dyDescent="0.3">
      <c r="A156" s="1410"/>
      <c r="B156" s="1410"/>
      <c r="C156" s="1410"/>
      <c r="D156" s="1410"/>
      <c r="E156" s="1485"/>
      <c r="F156" s="1485"/>
      <c r="G156" s="1485"/>
    </row>
    <row r="157" spans="1:7" x14ac:dyDescent="0.3">
      <c r="A157" s="1410"/>
      <c r="B157" s="1410"/>
      <c r="C157" s="1410"/>
      <c r="D157" s="1410"/>
      <c r="E157" s="1485"/>
      <c r="F157" s="1485"/>
      <c r="G157" s="1485"/>
    </row>
    <row r="158" spans="1:7" x14ac:dyDescent="0.3">
      <c r="A158" s="1410"/>
      <c r="B158" s="1410"/>
      <c r="C158" s="1410"/>
      <c r="D158" s="1410"/>
      <c r="E158" s="1485"/>
      <c r="F158" s="1485"/>
      <c r="G158" s="1485"/>
    </row>
    <row r="159" spans="1:7" x14ac:dyDescent="0.3">
      <c r="A159" s="1410"/>
      <c r="B159" s="1410"/>
      <c r="C159" s="1410"/>
      <c r="D159" s="1410"/>
      <c r="E159" s="1485"/>
      <c r="F159" s="1485"/>
      <c r="G159" s="1485"/>
    </row>
    <row r="160" spans="1:7" x14ac:dyDescent="0.3">
      <c r="A160" s="1410"/>
      <c r="B160" s="1410"/>
      <c r="C160" s="1410"/>
      <c r="D160" s="1410"/>
      <c r="E160" s="1485"/>
      <c r="F160" s="1485"/>
      <c r="G160" s="1485"/>
    </row>
    <row r="161" spans="1:7" x14ac:dyDescent="0.3">
      <c r="A161" s="1410"/>
      <c r="B161" s="1410"/>
      <c r="C161" s="1410"/>
      <c r="D161" s="1410"/>
      <c r="E161" s="1485"/>
      <c r="F161" s="1485"/>
      <c r="G161" s="1485"/>
    </row>
    <row r="162" spans="1:7" x14ac:dyDescent="0.3">
      <c r="A162" s="1410"/>
      <c r="B162" s="1410"/>
      <c r="C162" s="1410"/>
      <c r="D162" s="1410"/>
      <c r="E162" s="1485"/>
      <c r="F162" s="1485"/>
      <c r="G162" s="1485"/>
    </row>
    <row r="163" spans="1:7" x14ac:dyDescent="0.3">
      <c r="A163" s="1410"/>
      <c r="B163" s="1410"/>
      <c r="C163" s="1410"/>
      <c r="D163" s="1410"/>
      <c r="E163" s="1485"/>
      <c r="F163" s="1485"/>
      <c r="G163" s="1485"/>
    </row>
    <row r="164" spans="1:7" x14ac:dyDescent="0.3">
      <c r="A164" s="1410"/>
      <c r="B164" s="1410"/>
      <c r="C164" s="1410"/>
      <c r="D164" s="1410"/>
      <c r="E164" s="1485"/>
      <c r="F164" s="1485"/>
      <c r="G164" s="1485"/>
    </row>
    <row r="165" spans="1:7" x14ac:dyDescent="0.3">
      <c r="A165" s="1410"/>
      <c r="B165" s="1410"/>
      <c r="C165" s="1410"/>
      <c r="D165" s="1410"/>
      <c r="E165" s="1485"/>
      <c r="F165" s="1485"/>
      <c r="G165" s="1485"/>
    </row>
    <row r="166" spans="1:7" x14ac:dyDescent="0.3">
      <c r="A166" s="1410"/>
      <c r="B166" s="1410"/>
      <c r="C166" s="1410"/>
      <c r="D166" s="1410"/>
      <c r="E166" s="1485"/>
      <c r="F166" s="1485"/>
      <c r="G166" s="1485"/>
    </row>
    <row r="167" spans="1:7" x14ac:dyDescent="0.3">
      <c r="A167" s="1410"/>
      <c r="B167" s="1410"/>
      <c r="C167" s="1410"/>
      <c r="D167" s="1410"/>
      <c r="E167" s="1485"/>
      <c r="F167" s="1485"/>
      <c r="G167" s="1485"/>
    </row>
    <row r="168" spans="1:7" x14ac:dyDescent="0.3">
      <c r="A168" s="1410"/>
      <c r="B168" s="1410"/>
      <c r="C168" s="1410"/>
      <c r="D168" s="1410"/>
      <c r="E168" s="1485"/>
      <c r="F168" s="1485"/>
      <c r="G168" s="1485"/>
    </row>
    <row r="169" spans="1:7" x14ac:dyDescent="0.3">
      <c r="A169" s="1410"/>
      <c r="B169" s="1410"/>
      <c r="C169" s="1410"/>
      <c r="D169" s="1410"/>
      <c r="E169" s="1485"/>
      <c r="F169" s="1485"/>
      <c r="G169" s="1485"/>
    </row>
    <row r="170" spans="1:7" x14ac:dyDescent="0.3">
      <c r="A170" s="1410"/>
      <c r="B170" s="1410"/>
      <c r="C170" s="1410"/>
      <c r="D170" s="1410"/>
      <c r="E170" s="1485"/>
      <c r="F170" s="1485"/>
      <c r="G170" s="1485"/>
    </row>
    <row r="171" spans="1:7" x14ac:dyDescent="0.3">
      <c r="A171" s="1410"/>
      <c r="B171" s="1410"/>
      <c r="C171" s="1410"/>
      <c r="D171" s="1410"/>
      <c r="E171" s="1485"/>
      <c r="F171" s="1485"/>
      <c r="G171" s="1485"/>
    </row>
    <row r="172" spans="1:7" x14ac:dyDescent="0.3">
      <c r="A172" s="1410"/>
      <c r="B172" s="1410"/>
      <c r="C172" s="1410"/>
      <c r="D172" s="1410"/>
      <c r="E172" s="1485"/>
      <c r="F172" s="1485"/>
      <c r="G172" s="1485"/>
    </row>
    <row r="173" spans="1:7" x14ac:dyDescent="0.3">
      <c r="A173" s="1410"/>
      <c r="B173" s="1410"/>
      <c r="C173" s="1410"/>
      <c r="D173" s="1410"/>
      <c r="E173" s="1485"/>
      <c r="F173" s="1485"/>
      <c r="G173" s="1485"/>
    </row>
    <row r="174" spans="1:7" x14ac:dyDescent="0.3">
      <c r="A174" s="1410"/>
      <c r="B174" s="1410"/>
      <c r="C174" s="1410"/>
      <c r="D174" s="1410"/>
      <c r="E174" s="1485"/>
      <c r="F174" s="1485"/>
      <c r="G174" s="1485"/>
    </row>
    <row r="175" spans="1:7" x14ac:dyDescent="0.3">
      <c r="A175" s="1410"/>
      <c r="B175" s="1410"/>
      <c r="C175" s="1410"/>
      <c r="D175" s="1410"/>
      <c r="E175" s="1485"/>
      <c r="F175" s="1485"/>
      <c r="G175" s="1485"/>
    </row>
    <row r="176" spans="1:7" x14ac:dyDescent="0.3">
      <c r="A176" s="1410"/>
      <c r="B176" s="1410"/>
      <c r="C176" s="1410"/>
      <c r="D176" s="1410"/>
      <c r="E176" s="1485"/>
      <c r="F176" s="1485"/>
      <c r="G176" s="1485"/>
    </row>
    <row r="177" spans="1:7" x14ac:dyDescent="0.3">
      <c r="A177" s="1410"/>
      <c r="B177" s="1410"/>
      <c r="C177" s="1410"/>
      <c r="D177" s="1410"/>
      <c r="E177" s="1485"/>
      <c r="F177" s="1485"/>
      <c r="G177" s="1485"/>
    </row>
    <row r="178" spans="1:7" x14ac:dyDescent="0.3">
      <c r="A178" s="1410"/>
      <c r="B178" s="1410"/>
      <c r="C178" s="1410"/>
      <c r="D178" s="1410"/>
      <c r="E178" s="1485"/>
      <c r="F178" s="1485"/>
      <c r="G178" s="1485"/>
    </row>
    <row r="179" spans="1:7" x14ac:dyDescent="0.3">
      <c r="A179" s="1410"/>
      <c r="B179" s="1410"/>
      <c r="C179" s="1410"/>
      <c r="D179" s="1410"/>
      <c r="E179" s="1485"/>
      <c r="F179" s="1485"/>
      <c r="G179" s="1485"/>
    </row>
    <row r="180" spans="1:7" x14ac:dyDescent="0.3">
      <c r="A180" s="1410"/>
      <c r="B180" s="1410"/>
      <c r="C180" s="1410"/>
      <c r="D180" s="1410"/>
      <c r="E180" s="1485"/>
      <c r="F180" s="1485"/>
      <c r="G180" s="1485"/>
    </row>
    <row r="181" spans="1:7" x14ac:dyDescent="0.3">
      <c r="A181" s="1410"/>
      <c r="B181" s="1410"/>
      <c r="C181" s="1410"/>
      <c r="D181" s="1410"/>
      <c r="E181" s="1485"/>
      <c r="F181" s="1485"/>
      <c r="G181" s="1485"/>
    </row>
    <row r="182" spans="1:7" x14ac:dyDescent="0.3">
      <c r="A182" s="1410"/>
      <c r="B182" s="1410"/>
      <c r="C182" s="1410"/>
      <c r="D182" s="1410"/>
      <c r="E182" s="1485"/>
      <c r="F182" s="1485"/>
      <c r="G182" s="1485"/>
    </row>
    <row r="183" spans="1:7" x14ac:dyDescent="0.3">
      <c r="A183" s="1410"/>
      <c r="B183" s="1410"/>
      <c r="C183" s="1410"/>
      <c r="D183" s="1410"/>
      <c r="E183" s="1485"/>
      <c r="F183" s="1485"/>
      <c r="G183" s="1485"/>
    </row>
    <row r="184" spans="1:7" x14ac:dyDescent="0.3">
      <c r="A184" s="1410"/>
      <c r="B184" s="1410"/>
      <c r="C184" s="1410"/>
      <c r="D184" s="1410"/>
      <c r="E184" s="1485"/>
      <c r="F184" s="1485"/>
      <c r="G184" s="1485"/>
    </row>
    <row r="185" spans="1:7" x14ac:dyDescent="0.3">
      <c r="A185" s="1410"/>
      <c r="B185" s="1410"/>
      <c r="C185" s="1410"/>
      <c r="D185" s="1410"/>
      <c r="E185" s="1485"/>
      <c r="F185" s="1485"/>
      <c r="G185" s="1485"/>
    </row>
    <row r="186" spans="1:7" x14ac:dyDescent="0.3">
      <c r="A186" s="1410"/>
      <c r="B186" s="1410"/>
      <c r="C186" s="1410"/>
      <c r="D186" s="1410"/>
      <c r="E186" s="1485"/>
      <c r="F186" s="1485"/>
      <c r="G186" s="1485"/>
    </row>
    <row r="187" spans="1:7" x14ac:dyDescent="0.3">
      <c r="A187" s="1410"/>
      <c r="B187" s="1410"/>
      <c r="C187" s="1410"/>
      <c r="D187" s="1410"/>
      <c r="E187" s="1485"/>
      <c r="F187" s="1485"/>
      <c r="G187" s="1485"/>
    </row>
    <row r="188" spans="1:7" x14ac:dyDescent="0.3">
      <c r="A188" s="1410"/>
      <c r="B188" s="1410"/>
      <c r="C188" s="1410"/>
      <c r="D188" s="1410"/>
      <c r="E188" s="1485"/>
      <c r="F188" s="1485"/>
      <c r="G188" s="1485"/>
    </row>
    <row r="189" spans="1:7" x14ac:dyDescent="0.3">
      <c r="A189" s="1410"/>
      <c r="B189" s="1410"/>
      <c r="C189" s="1410"/>
      <c r="D189" s="1410"/>
      <c r="E189" s="1485"/>
      <c r="F189" s="1485"/>
      <c r="G189" s="1485"/>
    </row>
    <row r="190" spans="1:7" x14ac:dyDescent="0.3">
      <c r="A190" s="1410"/>
      <c r="B190" s="1410"/>
      <c r="C190" s="1410"/>
      <c r="D190" s="1410"/>
      <c r="E190" s="1485"/>
      <c r="F190" s="1485"/>
      <c r="G190" s="1485"/>
    </row>
    <row r="191" spans="1:7" x14ac:dyDescent="0.3">
      <c r="A191" s="1410"/>
      <c r="B191" s="1410"/>
      <c r="C191" s="1410"/>
      <c r="D191" s="1410"/>
      <c r="E191" s="1485"/>
      <c r="F191" s="1485"/>
      <c r="G191" s="1485"/>
    </row>
    <row r="192" spans="1:7" x14ac:dyDescent="0.3">
      <c r="A192" s="1410"/>
      <c r="B192" s="1410"/>
      <c r="C192" s="1410"/>
      <c r="D192" s="1410"/>
      <c r="E192" s="1485"/>
      <c r="F192" s="1485"/>
      <c r="G192" s="1485"/>
    </row>
    <row r="193" spans="1:7" x14ac:dyDescent="0.3">
      <c r="A193" s="1410"/>
      <c r="B193" s="1410"/>
      <c r="C193" s="1410"/>
      <c r="D193" s="1410"/>
      <c r="E193" s="1485"/>
      <c r="F193" s="1485"/>
      <c r="G193" s="1485"/>
    </row>
    <row r="194" spans="1:7" x14ac:dyDescent="0.3">
      <c r="A194" s="1410"/>
      <c r="B194" s="1410"/>
      <c r="C194" s="1410"/>
      <c r="D194" s="1410"/>
      <c r="E194" s="1485"/>
      <c r="F194" s="1485"/>
      <c r="G194" s="1485"/>
    </row>
    <row r="195" spans="1:7" x14ac:dyDescent="0.3">
      <c r="A195" s="1410"/>
      <c r="B195" s="1410"/>
      <c r="C195" s="1410"/>
      <c r="D195" s="1410"/>
      <c r="E195" s="1485"/>
      <c r="F195" s="1485"/>
      <c r="G195" s="1485"/>
    </row>
    <row r="196" spans="1:7" x14ac:dyDescent="0.3">
      <c r="A196" s="1410"/>
      <c r="B196" s="1410"/>
      <c r="C196" s="1410"/>
      <c r="D196" s="1410"/>
      <c r="E196" s="1485"/>
      <c r="F196" s="1485"/>
      <c r="G196" s="1485"/>
    </row>
    <row r="197" spans="1:7" x14ac:dyDescent="0.3">
      <c r="A197" s="1410"/>
      <c r="B197" s="1410"/>
      <c r="C197" s="1410"/>
      <c r="D197" s="1410"/>
      <c r="E197" s="1485"/>
      <c r="F197" s="1485"/>
      <c r="G197" s="1485"/>
    </row>
    <row r="198" spans="1:7" x14ac:dyDescent="0.3">
      <c r="A198" s="1410"/>
      <c r="B198" s="1410"/>
      <c r="C198" s="1410"/>
      <c r="D198" s="1410"/>
      <c r="E198" s="1485"/>
      <c r="F198" s="1485"/>
      <c r="G198" s="1485"/>
    </row>
    <row r="199" spans="1:7" x14ac:dyDescent="0.3">
      <c r="A199" s="1410"/>
      <c r="B199" s="1410"/>
      <c r="C199" s="1410"/>
      <c r="D199" s="1410"/>
      <c r="E199" s="1485"/>
      <c r="F199" s="1485"/>
      <c r="G199" s="1485"/>
    </row>
    <row r="200" spans="1:7" x14ac:dyDescent="0.3">
      <c r="A200" s="1410"/>
      <c r="B200" s="1410"/>
      <c r="C200" s="1410"/>
      <c r="D200" s="1410"/>
      <c r="E200" s="1485"/>
      <c r="F200" s="1485"/>
      <c r="G200" s="1485"/>
    </row>
    <row r="201" spans="1:7" x14ac:dyDescent="0.3">
      <c r="A201" s="1410"/>
      <c r="B201" s="1410"/>
      <c r="C201" s="1410"/>
      <c r="D201" s="1410"/>
      <c r="E201" s="1485"/>
      <c r="F201" s="1485"/>
      <c r="G201" s="1485"/>
    </row>
    <row r="202" spans="1:7" x14ac:dyDescent="0.3">
      <c r="A202" s="1410"/>
      <c r="B202" s="1410"/>
      <c r="C202" s="1410"/>
      <c r="D202" s="1410"/>
      <c r="E202" s="1485"/>
      <c r="F202" s="1485"/>
      <c r="G202" s="1485"/>
    </row>
    <row r="203" spans="1:7" x14ac:dyDescent="0.3">
      <c r="A203" s="1410"/>
      <c r="B203" s="1410"/>
      <c r="C203" s="1410"/>
      <c r="D203" s="1410"/>
      <c r="E203" s="1485"/>
      <c r="F203" s="1485"/>
      <c r="G203" s="1485"/>
    </row>
    <row r="204" spans="1:7" x14ac:dyDescent="0.3">
      <c r="A204" s="1410"/>
      <c r="B204" s="1410"/>
      <c r="C204" s="1410"/>
      <c r="D204" s="1410"/>
      <c r="E204" s="1485"/>
      <c r="F204" s="1485"/>
      <c r="G204" s="1485"/>
    </row>
    <row r="205" spans="1:7" x14ac:dyDescent="0.3">
      <c r="A205" s="1410"/>
      <c r="B205" s="1410"/>
      <c r="C205" s="1410"/>
      <c r="D205" s="1410"/>
      <c r="E205" s="1485"/>
      <c r="F205" s="1485"/>
      <c r="G205" s="1485"/>
    </row>
    <row r="206" spans="1:7" x14ac:dyDescent="0.3">
      <c r="A206" s="1410"/>
      <c r="B206" s="1410"/>
      <c r="C206" s="1410"/>
      <c r="D206" s="1410"/>
      <c r="E206" s="1485"/>
      <c r="F206" s="1485"/>
      <c r="G206" s="1485"/>
    </row>
    <row r="207" spans="1:7" x14ac:dyDescent="0.3">
      <c r="A207" s="1410"/>
      <c r="B207" s="1410"/>
      <c r="C207" s="1410"/>
      <c r="D207" s="1410"/>
      <c r="E207" s="1485"/>
      <c r="F207" s="1485"/>
      <c r="G207" s="1485"/>
    </row>
    <row r="208" spans="1:7" x14ac:dyDescent="0.3">
      <c r="A208" s="1410"/>
      <c r="B208" s="1410"/>
      <c r="C208" s="1410"/>
      <c r="D208" s="1410"/>
      <c r="E208" s="1485"/>
      <c r="F208" s="1485"/>
      <c r="G208" s="1485"/>
    </row>
    <row r="209" spans="1:7" x14ac:dyDescent="0.3">
      <c r="A209" s="1410"/>
      <c r="B209" s="1410"/>
      <c r="C209" s="1410"/>
      <c r="D209" s="1410"/>
      <c r="E209" s="1485"/>
      <c r="F209" s="1485"/>
      <c r="G209" s="1485"/>
    </row>
    <row r="210" spans="1:7" x14ac:dyDescent="0.3">
      <c r="A210" s="1410"/>
      <c r="B210" s="1410"/>
      <c r="C210" s="1410"/>
      <c r="D210" s="1410"/>
      <c r="E210" s="1485"/>
      <c r="F210" s="1485"/>
      <c r="G210" s="1485"/>
    </row>
    <row r="211" spans="1:7" x14ac:dyDescent="0.3">
      <c r="A211" s="1410"/>
      <c r="B211" s="1410"/>
      <c r="C211" s="1410"/>
      <c r="D211" s="1410"/>
      <c r="E211" s="1485"/>
      <c r="F211" s="1485"/>
      <c r="G211" s="1485"/>
    </row>
    <row r="212" spans="1:7" x14ac:dyDescent="0.3">
      <c r="A212" s="1410"/>
      <c r="B212" s="1410"/>
      <c r="C212" s="1410"/>
      <c r="D212" s="1410"/>
      <c r="E212" s="1485"/>
      <c r="F212" s="1485"/>
      <c r="G212" s="1485"/>
    </row>
    <row r="213" spans="1:7" x14ac:dyDescent="0.3">
      <c r="A213" s="1410"/>
      <c r="B213" s="1410"/>
      <c r="C213" s="1410"/>
      <c r="D213" s="1410"/>
      <c r="E213" s="1485"/>
      <c r="F213" s="1485"/>
      <c r="G213" s="1485"/>
    </row>
    <row r="214" spans="1:7" x14ac:dyDescent="0.3">
      <c r="A214" s="1410"/>
      <c r="B214" s="1410"/>
      <c r="C214" s="1410"/>
      <c r="D214" s="1410"/>
      <c r="E214" s="1485"/>
      <c r="F214" s="1485"/>
      <c r="G214" s="1485"/>
    </row>
    <row r="215" spans="1:7" x14ac:dyDescent="0.3">
      <c r="A215" s="1410"/>
      <c r="B215" s="1410"/>
      <c r="C215" s="1410"/>
      <c r="D215" s="1410"/>
      <c r="E215" s="1485"/>
      <c r="F215" s="1485"/>
      <c r="G215" s="1485"/>
    </row>
    <row r="216" spans="1:7" x14ac:dyDescent="0.3">
      <c r="A216" s="1410"/>
      <c r="B216" s="1410"/>
      <c r="C216" s="1410"/>
      <c r="D216" s="1410"/>
      <c r="E216" s="1485"/>
      <c r="F216" s="1485"/>
      <c r="G216" s="1485"/>
    </row>
    <row r="217" spans="1:7" x14ac:dyDescent="0.3">
      <c r="A217" s="1410"/>
      <c r="B217" s="1410"/>
      <c r="C217" s="1410"/>
      <c r="D217" s="1410"/>
      <c r="E217" s="1485"/>
      <c r="F217" s="1485"/>
      <c r="G217" s="1485"/>
    </row>
    <row r="218" spans="1:7" x14ac:dyDescent="0.3">
      <c r="A218" s="1410"/>
      <c r="B218" s="1410"/>
      <c r="C218" s="1410"/>
      <c r="D218" s="1410"/>
      <c r="E218" s="1485"/>
      <c r="F218" s="1485"/>
      <c r="G218" s="1485"/>
    </row>
    <row r="219" spans="1:7" x14ac:dyDescent="0.3">
      <c r="A219" s="1410"/>
      <c r="B219" s="1410"/>
      <c r="C219" s="1410"/>
      <c r="D219" s="1410"/>
      <c r="E219" s="1485"/>
      <c r="F219" s="1485"/>
      <c r="G219" s="1485"/>
    </row>
    <row r="220" spans="1:7" x14ac:dyDescent="0.3">
      <c r="A220" s="1410"/>
      <c r="B220" s="1410"/>
      <c r="C220" s="1410"/>
      <c r="D220" s="1410"/>
      <c r="E220" s="1485"/>
      <c r="F220" s="1485"/>
      <c r="G220" s="1485"/>
    </row>
    <row r="221" spans="1:7" x14ac:dyDescent="0.3">
      <c r="A221" s="1410"/>
      <c r="B221" s="1410"/>
      <c r="C221" s="1410"/>
      <c r="D221" s="1410"/>
      <c r="E221" s="1485"/>
      <c r="F221" s="1485"/>
      <c r="G221" s="1485"/>
    </row>
    <row r="222" spans="1:7" x14ac:dyDescent="0.3">
      <c r="A222" s="1410"/>
      <c r="B222" s="1410"/>
      <c r="C222" s="1410"/>
      <c r="D222" s="1410"/>
      <c r="E222" s="1485"/>
      <c r="F222" s="1485"/>
      <c r="G222" s="1485"/>
    </row>
    <row r="223" spans="1:7" x14ac:dyDescent="0.3">
      <c r="A223" s="1410"/>
      <c r="B223" s="1410"/>
      <c r="C223" s="1410"/>
      <c r="D223" s="1410"/>
      <c r="E223" s="1485"/>
      <c r="F223" s="1485"/>
      <c r="G223" s="1485"/>
    </row>
    <row r="224" spans="1:7" x14ac:dyDescent="0.3">
      <c r="A224" s="1410"/>
      <c r="B224" s="1410"/>
      <c r="C224" s="1410"/>
      <c r="D224" s="1410"/>
      <c r="E224" s="1485"/>
      <c r="F224" s="1485"/>
      <c r="G224" s="1485"/>
    </row>
    <row r="225" spans="1:7" x14ac:dyDescent="0.3">
      <c r="A225" s="1410"/>
      <c r="B225" s="1410"/>
      <c r="C225" s="1410"/>
      <c r="D225" s="1410"/>
      <c r="E225" s="1485"/>
      <c r="F225" s="1485"/>
      <c r="G225" s="1485"/>
    </row>
    <row r="226" spans="1:7" x14ac:dyDescent="0.3">
      <c r="A226" s="1410"/>
      <c r="B226" s="1410"/>
      <c r="C226" s="1410"/>
      <c r="D226" s="1410"/>
      <c r="E226" s="1485"/>
      <c r="F226" s="1485"/>
      <c r="G226" s="1485"/>
    </row>
    <row r="227" spans="1:7" x14ac:dyDescent="0.3">
      <c r="A227" s="1410"/>
      <c r="B227" s="1410"/>
      <c r="C227" s="1410"/>
      <c r="D227" s="1410"/>
      <c r="E227" s="1485"/>
      <c r="F227" s="1485"/>
      <c r="G227" s="1485"/>
    </row>
    <row r="228" spans="1:7" x14ac:dyDescent="0.3">
      <c r="A228" s="1410"/>
      <c r="B228" s="1410"/>
      <c r="C228" s="1410"/>
      <c r="D228" s="1410"/>
      <c r="E228" s="1485"/>
      <c r="F228" s="1485"/>
      <c r="G228" s="1485"/>
    </row>
    <row r="229" spans="1:7" x14ac:dyDescent="0.3">
      <c r="A229" s="1410"/>
      <c r="B229" s="1410"/>
      <c r="C229" s="1410"/>
      <c r="D229" s="1410"/>
      <c r="E229" s="1485"/>
      <c r="F229" s="1485"/>
      <c r="G229" s="1485"/>
    </row>
    <row r="230" spans="1:7" x14ac:dyDescent="0.3">
      <c r="A230" s="1410"/>
      <c r="B230" s="1410"/>
      <c r="C230" s="1410"/>
      <c r="D230" s="1410"/>
      <c r="E230" s="1485"/>
      <c r="F230" s="1485"/>
      <c r="G230" s="1485"/>
    </row>
    <row r="231" spans="1:7" x14ac:dyDescent="0.3">
      <c r="A231" s="1410"/>
      <c r="B231" s="1410"/>
      <c r="C231" s="1410"/>
      <c r="D231" s="1410"/>
      <c r="E231" s="1485"/>
      <c r="F231" s="1485"/>
      <c r="G231" s="1485"/>
    </row>
    <row r="232" spans="1:7" x14ac:dyDescent="0.3">
      <c r="A232" s="1410"/>
      <c r="B232" s="1410"/>
      <c r="C232" s="1410"/>
      <c r="D232" s="1410"/>
      <c r="E232" s="1485"/>
      <c r="F232" s="1485"/>
      <c r="G232" s="1485"/>
    </row>
    <row r="233" spans="1:7" x14ac:dyDescent="0.3">
      <c r="A233" s="1410"/>
      <c r="B233" s="1410"/>
      <c r="C233" s="1410"/>
      <c r="D233" s="1410"/>
      <c r="E233" s="1485"/>
      <c r="F233" s="1485"/>
      <c r="G233" s="1485"/>
    </row>
    <row r="234" spans="1:7" x14ac:dyDescent="0.3">
      <c r="A234" s="1410"/>
      <c r="B234" s="1410"/>
      <c r="C234" s="1410"/>
      <c r="D234" s="1410"/>
      <c r="E234" s="1485"/>
      <c r="F234" s="1485"/>
      <c r="G234" s="1485"/>
    </row>
    <row r="235" spans="1:7" x14ac:dyDescent="0.3">
      <c r="A235" s="1410"/>
      <c r="B235" s="1410"/>
      <c r="C235" s="1410"/>
      <c r="D235" s="1410"/>
      <c r="E235" s="1485"/>
      <c r="F235" s="1485"/>
      <c r="G235" s="1485"/>
    </row>
    <row r="236" spans="1:7" x14ac:dyDescent="0.3">
      <c r="A236" s="1410"/>
      <c r="B236" s="1410"/>
      <c r="C236" s="1410"/>
      <c r="D236" s="1410"/>
      <c r="E236" s="1485"/>
      <c r="F236" s="1485"/>
      <c r="G236" s="1485"/>
    </row>
    <row r="237" spans="1:7" x14ac:dyDescent="0.3">
      <c r="A237" s="1410"/>
      <c r="B237" s="1410"/>
      <c r="C237" s="1410"/>
      <c r="D237" s="1410"/>
      <c r="E237" s="1485"/>
      <c r="F237" s="1485"/>
      <c r="G237" s="1485"/>
    </row>
    <row r="238" spans="1:7" x14ac:dyDescent="0.3">
      <c r="A238" s="1410"/>
      <c r="B238" s="1410"/>
      <c r="C238" s="1410"/>
      <c r="D238" s="1410"/>
      <c r="E238" s="1485"/>
      <c r="F238" s="1485"/>
      <c r="G238" s="1485"/>
    </row>
    <row r="239" spans="1:7" x14ac:dyDescent="0.3">
      <c r="A239" s="1410"/>
      <c r="B239" s="1410"/>
      <c r="C239" s="1410"/>
      <c r="D239" s="1410"/>
      <c r="E239" s="1485"/>
      <c r="F239" s="1485"/>
      <c r="G239" s="1485"/>
    </row>
    <row r="240" spans="1:7" x14ac:dyDescent="0.3">
      <c r="A240" s="1410"/>
      <c r="B240" s="1410"/>
      <c r="C240" s="1410"/>
      <c r="D240" s="1410"/>
      <c r="E240" s="1485"/>
      <c r="F240" s="1485"/>
      <c r="G240" s="1485"/>
    </row>
    <row r="241" spans="1:7" x14ac:dyDescent="0.3">
      <c r="A241" s="1410"/>
      <c r="B241" s="1410"/>
      <c r="C241" s="1410"/>
      <c r="D241" s="1410"/>
      <c r="E241" s="1485"/>
      <c r="F241" s="1485"/>
      <c r="G241" s="1485"/>
    </row>
    <row r="242" spans="1:7" x14ac:dyDescent="0.3">
      <c r="A242" s="1410"/>
      <c r="B242" s="1410"/>
      <c r="C242" s="1410"/>
      <c r="D242" s="1410"/>
      <c r="E242" s="1485"/>
      <c r="F242" s="1485"/>
      <c r="G242" s="1485"/>
    </row>
    <row r="243" spans="1:7" x14ac:dyDescent="0.3">
      <c r="A243" s="1410"/>
      <c r="B243" s="1410"/>
      <c r="C243" s="1410"/>
      <c r="D243" s="1410"/>
      <c r="E243" s="1485"/>
      <c r="F243" s="1485"/>
      <c r="G243" s="1485"/>
    </row>
    <row r="244" spans="1:7" x14ac:dyDescent="0.3">
      <c r="A244" s="1410"/>
      <c r="B244" s="1410"/>
      <c r="C244" s="1410"/>
      <c r="D244" s="1410"/>
      <c r="E244" s="1485"/>
      <c r="F244" s="1485"/>
      <c r="G244" s="1485"/>
    </row>
    <row r="245" spans="1:7" x14ac:dyDescent="0.3">
      <c r="A245" s="1410"/>
      <c r="B245" s="1410"/>
      <c r="C245" s="1410"/>
      <c r="D245" s="1410"/>
      <c r="E245" s="1485"/>
      <c r="F245" s="1485"/>
      <c r="G245" s="1485"/>
    </row>
    <row r="246" spans="1:7" x14ac:dyDescent="0.3">
      <c r="A246" s="1410"/>
      <c r="B246" s="1410"/>
      <c r="C246" s="1410"/>
      <c r="D246" s="1410"/>
      <c r="E246" s="1485"/>
      <c r="F246" s="1485"/>
      <c r="G246" s="1485"/>
    </row>
    <row r="247" spans="1:7" x14ac:dyDescent="0.3">
      <c r="A247" s="1410"/>
      <c r="B247" s="1410"/>
      <c r="C247" s="1410"/>
      <c r="D247" s="1410"/>
      <c r="E247" s="1485"/>
      <c r="F247" s="1485"/>
      <c r="G247" s="1485"/>
    </row>
    <row r="248" spans="1:7" x14ac:dyDescent="0.3">
      <c r="A248" s="1410"/>
      <c r="B248" s="1410"/>
      <c r="C248" s="1410"/>
      <c r="D248" s="1410"/>
      <c r="E248" s="1485"/>
      <c r="F248" s="1485"/>
      <c r="G248" s="1485"/>
    </row>
    <row r="249" spans="1:7" x14ac:dyDescent="0.3">
      <c r="A249" s="1410"/>
      <c r="B249" s="1410"/>
      <c r="C249" s="1410"/>
      <c r="D249" s="1410"/>
      <c r="E249" s="1485"/>
      <c r="F249" s="1485"/>
      <c r="G249" s="1485"/>
    </row>
    <row r="250" spans="1:7" x14ac:dyDescent="0.3">
      <c r="A250" s="1410"/>
      <c r="B250" s="1410"/>
      <c r="C250" s="1410"/>
      <c r="D250" s="1410"/>
      <c r="E250" s="1485"/>
      <c r="F250" s="1485"/>
      <c r="G250" s="1485"/>
    </row>
    <row r="251" spans="1:7" x14ac:dyDescent="0.3">
      <c r="A251" s="1410"/>
      <c r="B251" s="1410"/>
      <c r="C251" s="1410"/>
      <c r="D251" s="1410"/>
      <c r="E251" s="1485"/>
      <c r="F251" s="1485"/>
      <c r="G251" s="1485"/>
    </row>
    <row r="252" spans="1:7" x14ac:dyDescent="0.3">
      <c r="A252" s="1410"/>
      <c r="B252" s="1410"/>
      <c r="C252" s="1410"/>
      <c r="D252" s="1410"/>
      <c r="E252" s="1485"/>
      <c r="F252" s="1485"/>
      <c r="G252" s="1485"/>
    </row>
    <row r="253" spans="1:7" x14ac:dyDescent="0.3">
      <c r="A253" s="1410"/>
      <c r="B253" s="1410"/>
      <c r="C253" s="1410"/>
      <c r="D253" s="1410"/>
      <c r="E253" s="1485"/>
      <c r="F253" s="1485"/>
      <c r="G253" s="1485"/>
    </row>
    <row r="254" spans="1:7" x14ac:dyDescent="0.3">
      <c r="A254" s="1410"/>
      <c r="B254" s="1410"/>
      <c r="C254" s="1410"/>
      <c r="D254" s="1410"/>
      <c r="E254" s="1485"/>
      <c r="F254" s="1485"/>
      <c r="G254" s="1485"/>
    </row>
    <row r="255" spans="1:7" x14ac:dyDescent="0.3">
      <c r="A255" s="1410"/>
      <c r="B255" s="1410"/>
      <c r="C255" s="1410"/>
      <c r="D255" s="1410"/>
      <c r="E255" s="1485"/>
      <c r="F255" s="1485"/>
      <c r="G255" s="1485"/>
    </row>
    <row r="256" spans="1:7" x14ac:dyDescent="0.3">
      <c r="A256" s="1410"/>
      <c r="B256" s="1410"/>
      <c r="C256" s="1410"/>
      <c r="D256" s="1410"/>
      <c r="E256" s="1485"/>
      <c r="F256" s="1485"/>
      <c r="G256" s="1485"/>
    </row>
    <row r="257" spans="1:7" x14ac:dyDescent="0.3">
      <c r="A257" s="1410"/>
      <c r="B257" s="1410"/>
      <c r="C257" s="1410"/>
      <c r="D257" s="1410"/>
      <c r="E257" s="1485"/>
      <c r="F257" s="1485"/>
      <c r="G257" s="1485"/>
    </row>
    <row r="258" spans="1:7" x14ac:dyDescent="0.3">
      <c r="A258" s="1410"/>
      <c r="B258" s="1410"/>
      <c r="C258" s="1410"/>
      <c r="D258" s="1410"/>
      <c r="E258" s="1485"/>
      <c r="F258" s="1485"/>
      <c r="G258" s="1485"/>
    </row>
    <row r="259" spans="1:7" x14ac:dyDescent="0.3">
      <c r="A259" s="1410"/>
      <c r="B259" s="1410"/>
      <c r="C259" s="1410"/>
      <c r="D259" s="1410"/>
      <c r="E259" s="1485"/>
      <c r="F259" s="1485"/>
      <c r="G259" s="1485"/>
    </row>
    <row r="260" spans="1:7" x14ac:dyDescent="0.3">
      <c r="A260" s="1410"/>
      <c r="B260" s="1410"/>
      <c r="C260" s="1410"/>
      <c r="D260" s="1410"/>
      <c r="E260" s="1485"/>
      <c r="F260" s="1485"/>
      <c r="G260" s="1485"/>
    </row>
    <row r="261" spans="1:7" x14ac:dyDescent="0.3">
      <c r="A261" s="1410"/>
      <c r="B261" s="1410"/>
      <c r="C261" s="1410"/>
      <c r="D261" s="1410"/>
      <c r="E261" s="1485"/>
      <c r="F261" s="1485"/>
      <c r="G261" s="1485"/>
    </row>
    <row r="262" spans="1:7" x14ac:dyDescent="0.3">
      <c r="A262" s="1410"/>
      <c r="B262" s="1410"/>
      <c r="C262" s="1410"/>
      <c r="D262" s="1410"/>
      <c r="E262" s="1485"/>
      <c r="F262" s="1485"/>
      <c r="G262" s="1485"/>
    </row>
    <row r="263" spans="1:7" x14ac:dyDescent="0.3">
      <c r="A263" s="1410"/>
      <c r="B263" s="1410"/>
      <c r="C263" s="1410"/>
      <c r="D263" s="1410"/>
      <c r="E263" s="1485"/>
      <c r="F263" s="1485"/>
      <c r="G263" s="1485"/>
    </row>
    <row r="264" spans="1:7" x14ac:dyDescent="0.3">
      <c r="A264" s="1410"/>
      <c r="B264" s="1410"/>
      <c r="C264" s="1410"/>
      <c r="D264" s="1410"/>
      <c r="E264" s="1485"/>
      <c r="F264" s="1485"/>
      <c r="G264" s="1485"/>
    </row>
    <row r="265" spans="1:7" x14ac:dyDescent="0.3">
      <c r="A265" s="1410"/>
      <c r="B265" s="1410"/>
      <c r="C265" s="1410"/>
      <c r="D265" s="1410"/>
      <c r="E265" s="1485"/>
      <c r="F265" s="1485"/>
      <c r="G265" s="1485"/>
    </row>
    <row r="266" spans="1:7" x14ac:dyDescent="0.3">
      <c r="A266" s="1410"/>
      <c r="B266" s="1410"/>
      <c r="C266" s="1410"/>
      <c r="D266" s="1410"/>
      <c r="E266" s="1485"/>
      <c r="F266" s="1485"/>
      <c r="G266" s="1485"/>
    </row>
    <row r="267" spans="1:7" x14ac:dyDescent="0.3">
      <c r="A267" s="1410"/>
      <c r="B267" s="1410"/>
      <c r="C267" s="1410"/>
      <c r="D267" s="1410"/>
      <c r="E267" s="1485"/>
      <c r="F267" s="1485"/>
      <c r="G267" s="1485"/>
    </row>
    <row r="268" spans="1:7" x14ac:dyDescent="0.3">
      <c r="A268" s="1410"/>
      <c r="B268" s="1410"/>
      <c r="C268" s="1410"/>
      <c r="D268" s="1410"/>
      <c r="E268" s="1485"/>
      <c r="F268" s="1485"/>
      <c r="G268" s="1485"/>
    </row>
    <row r="269" spans="1:7" x14ac:dyDescent="0.3">
      <c r="A269" s="1410"/>
      <c r="B269" s="1410"/>
      <c r="C269" s="1410"/>
      <c r="D269" s="1410"/>
      <c r="E269" s="1485"/>
      <c r="F269" s="1485"/>
      <c r="G269" s="1485"/>
    </row>
    <row r="270" spans="1:7" x14ac:dyDescent="0.3">
      <c r="A270" s="1410"/>
      <c r="B270" s="1410"/>
      <c r="C270" s="1410"/>
      <c r="D270" s="1410"/>
      <c r="E270" s="1485"/>
      <c r="F270" s="1485"/>
      <c r="G270" s="1485"/>
    </row>
    <row r="271" spans="1:7" x14ac:dyDescent="0.3">
      <c r="A271" s="1410"/>
      <c r="B271" s="1410"/>
      <c r="C271" s="1410"/>
      <c r="D271" s="1410"/>
      <c r="E271" s="1485"/>
      <c r="F271" s="1485"/>
      <c r="G271" s="1485"/>
    </row>
    <row r="272" spans="1:7" x14ac:dyDescent="0.3">
      <c r="A272" s="1410"/>
      <c r="B272" s="1410"/>
      <c r="C272" s="1410"/>
      <c r="D272" s="1410"/>
      <c r="E272" s="1485"/>
      <c r="F272" s="1485"/>
      <c r="G272" s="1485"/>
    </row>
    <row r="273" spans="1:7" x14ac:dyDescent="0.3">
      <c r="A273" s="1410"/>
      <c r="B273" s="1410"/>
      <c r="C273" s="1410"/>
      <c r="D273" s="1410"/>
      <c r="E273" s="1485"/>
      <c r="F273" s="1485"/>
      <c r="G273" s="1485"/>
    </row>
    <row r="274" spans="1:7" x14ac:dyDescent="0.3">
      <c r="A274" s="1410"/>
      <c r="B274" s="1410"/>
      <c r="C274" s="1410"/>
      <c r="D274" s="1410"/>
      <c r="E274" s="1485"/>
      <c r="F274" s="1485"/>
      <c r="G274" s="1485"/>
    </row>
    <row r="275" spans="1:7" x14ac:dyDescent="0.3">
      <c r="A275" s="1410"/>
      <c r="B275" s="1410"/>
      <c r="C275" s="1410"/>
      <c r="D275" s="1410"/>
      <c r="E275" s="1485"/>
      <c r="F275" s="1485"/>
      <c r="G275" s="1485"/>
    </row>
    <row r="276" spans="1:7" x14ac:dyDescent="0.3">
      <c r="A276" s="1410"/>
      <c r="B276" s="1410"/>
      <c r="C276" s="1410"/>
      <c r="D276" s="1410"/>
      <c r="E276" s="1485"/>
      <c r="F276" s="1485"/>
      <c r="G276" s="1485"/>
    </row>
    <row r="277" spans="1:7" x14ac:dyDescent="0.3">
      <c r="A277" s="1410"/>
      <c r="B277" s="1410"/>
      <c r="C277" s="1410"/>
      <c r="D277" s="1410"/>
      <c r="E277" s="1485"/>
      <c r="F277" s="1485"/>
      <c r="G277" s="1485"/>
    </row>
    <row r="278" spans="1:7" x14ac:dyDescent="0.3">
      <c r="A278" s="1410"/>
      <c r="B278" s="1410"/>
      <c r="C278" s="1410"/>
      <c r="D278" s="1410"/>
      <c r="E278" s="1485"/>
      <c r="F278" s="1485"/>
      <c r="G278" s="1485"/>
    </row>
    <row r="279" spans="1:7" x14ac:dyDescent="0.3">
      <c r="A279" s="1410"/>
      <c r="B279" s="1410"/>
      <c r="C279" s="1410"/>
      <c r="D279" s="1410"/>
      <c r="E279" s="1485"/>
      <c r="F279" s="1485"/>
      <c r="G279" s="1485"/>
    </row>
    <row r="280" spans="1:7" x14ac:dyDescent="0.3">
      <c r="A280" s="1410"/>
      <c r="B280" s="1410"/>
      <c r="C280" s="1410"/>
      <c r="D280" s="1410"/>
      <c r="E280" s="1485"/>
      <c r="F280" s="1485"/>
      <c r="G280" s="1485"/>
    </row>
    <row r="281" spans="1:7" x14ac:dyDescent="0.3">
      <c r="A281" s="1410"/>
      <c r="B281" s="1410"/>
      <c r="C281" s="1410"/>
      <c r="D281" s="1410"/>
      <c r="E281" s="1485"/>
      <c r="F281" s="1485"/>
      <c r="G281" s="1485"/>
    </row>
    <row r="282" spans="1:7" x14ac:dyDescent="0.3">
      <c r="A282" s="1410"/>
      <c r="B282" s="1410"/>
      <c r="C282" s="1410"/>
      <c r="D282" s="1410"/>
      <c r="E282" s="1485"/>
      <c r="F282" s="1485"/>
      <c r="G282" s="1485"/>
    </row>
    <row r="283" spans="1:7" x14ac:dyDescent="0.3">
      <c r="A283" s="1410"/>
      <c r="B283" s="1410"/>
      <c r="C283" s="1410"/>
      <c r="D283" s="1410"/>
      <c r="E283" s="1485"/>
      <c r="F283" s="1485"/>
      <c r="G283" s="1485"/>
    </row>
    <row r="284" spans="1:7" x14ac:dyDescent="0.3">
      <c r="A284" s="1410"/>
      <c r="B284" s="1410"/>
      <c r="C284" s="1410"/>
      <c r="D284" s="1410"/>
      <c r="E284" s="1485"/>
      <c r="F284" s="1485"/>
      <c r="G284" s="1485"/>
    </row>
    <row r="285" spans="1:7" x14ac:dyDescent="0.3">
      <c r="A285" s="1410"/>
      <c r="B285" s="1410"/>
      <c r="C285" s="1410"/>
      <c r="D285" s="1410"/>
      <c r="E285" s="1485"/>
      <c r="F285" s="1485"/>
      <c r="G285" s="1485"/>
    </row>
    <row r="286" spans="1:7" x14ac:dyDescent="0.3">
      <c r="A286" s="1410"/>
      <c r="B286" s="1410"/>
      <c r="C286" s="1410"/>
      <c r="D286" s="1410"/>
      <c r="E286" s="1485"/>
      <c r="F286" s="1485"/>
      <c r="G286" s="1485"/>
    </row>
    <row r="287" spans="1:7" x14ac:dyDescent="0.3">
      <c r="A287" s="1410"/>
      <c r="B287" s="1410"/>
      <c r="C287" s="1410"/>
      <c r="D287" s="1410"/>
      <c r="E287" s="1485"/>
      <c r="F287" s="1485"/>
      <c r="G287" s="1485"/>
    </row>
    <row r="288" spans="1:7" x14ac:dyDescent="0.3">
      <c r="A288" s="1410"/>
      <c r="B288" s="1410"/>
      <c r="C288" s="1410"/>
      <c r="D288" s="1410"/>
      <c r="E288" s="1485"/>
      <c r="F288" s="1485"/>
      <c r="G288" s="1485"/>
    </row>
    <row r="289" spans="1:7" x14ac:dyDescent="0.3">
      <c r="A289" s="1410"/>
      <c r="B289" s="1410"/>
      <c r="C289" s="1410"/>
      <c r="D289" s="1410"/>
      <c r="E289" s="1485"/>
      <c r="F289" s="1485"/>
      <c r="G289" s="1485"/>
    </row>
    <row r="290" spans="1:7" x14ac:dyDescent="0.3">
      <c r="A290" s="1410"/>
      <c r="B290" s="1410"/>
      <c r="C290" s="1410"/>
      <c r="D290" s="1410"/>
      <c r="E290" s="1485"/>
      <c r="F290" s="1485"/>
      <c r="G290" s="1485"/>
    </row>
    <row r="291" spans="1:7" x14ac:dyDescent="0.3">
      <c r="A291" s="1410"/>
      <c r="B291" s="1410"/>
      <c r="C291" s="1410"/>
      <c r="D291" s="1410"/>
      <c r="E291" s="1485"/>
      <c r="F291" s="1485"/>
      <c r="G291" s="1485"/>
    </row>
    <row r="292" spans="1:7" x14ac:dyDescent="0.3">
      <c r="A292" s="1410"/>
      <c r="B292" s="1410"/>
      <c r="C292" s="1410"/>
      <c r="D292" s="1410"/>
      <c r="E292" s="1485"/>
      <c r="F292" s="1485"/>
      <c r="G292" s="1485"/>
    </row>
    <row r="293" spans="1:7" x14ac:dyDescent="0.3">
      <c r="A293" s="1410"/>
      <c r="B293" s="1410"/>
      <c r="C293" s="1410"/>
      <c r="D293" s="1410"/>
      <c r="E293" s="1485"/>
      <c r="F293" s="1485"/>
      <c r="G293" s="1485"/>
    </row>
    <row r="294" spans="1:7" x14ac:dyDescent="0.3">
      <c r="A294" s="1410"/>
      <c r="B294" s="1410"/>
      <c r="C294" s="1410"/>
      <c r="D294" s="1410"/>
      <c r="E294" s="1485"/>
      <c r="F294" s="1485"/>
      <c r="G294" s="1485"/>
    </row>
    <row r="295" spans="1:7" x14ac:dyDescent="0.3">
      <c r="A295" s="1410"/>
      <c r="B295" s="1410"/>
      <c r="C295" s="1410"/>
      <c r="D295" s="1410"/>
      <c r="E295" s="1485"/>
      <c r="F295" s="1485"/>
      <c r="G295" s="1485"/>
    </row>
    <row r="296" spans="1:7" x14ac:dyDescent="0.3">
      <c r="A296" s="1410"/>
      <c r="B296" s="1410"/>
      <c r="C296" s="1410"/>
      <c r="D296" s="1410"/>
      <c r="E296" s="1485"/>
      <c r="F296" s="1485"/>
      <c r="G296" s="1485"/>
    </row>
    <row r="297" spans="1:7" x14ac:dyDescent="0.3">
      <c r="A297" s="1410"/>
      <c r="B297" s="1410"/>
      <c r="C297" s="1410"/>
      <c r="D297" s="1410"/>
      <c r="E297" s="1485"/>
      <c r="F297" s="1485"/>
      <c r="G297" s="1485"/>
    </row>
    <row r="298" spans="1:7" x14ac:dyDescent="0.3">
      <c r="A298" s="1410"/>
      <c r="B298" s="1410"/>
      <c r="C298" s="1410"/>
      <c r="D298" s="1410"/>
      <c r="E298" s="1485"/>
      <c r="F298" s="1485"/>
      <c r="G298" s="1485"/>
    </row>
    <row r="299" spans="1:7" x14ac:dyDescent="0.3">
      <c r="A299" s="1410"/>
      <c r="B299" s="1410"/>
      <c r="C299" s="1410"/>
      <c r="D299" s="1410"/>
      <c r="E299" s="1485"/>
      <c r="F299" s="1485"/>
      <c r="G299" s="1485"/>
    </row>
    <row r="300" spans="1:7" x14ac:dyDescent="0.3">
      <c r="A300" s="1410"/>
      <c r="B300" s="1410"/>
      <c r="C300" s="1410"/>
      <c r="D300" s="1410"/>
      <c r="E300" s="1485"/>
      <c r="F300" s="1485"/>
      <c r="G300" s="1485"/>
    </row>
    <row r="301" spans="1:7" x14ac:dyDescent="0.3">
      <c r="A301" s="1410"/>
      <c r="B301" s="1410"/>
      <c r="C301" s="1410"/>
      <c r="D301" s="1410"/>
      <c r="E301" s="1485"/>
      <c r="F301" s="1485"/>
      <c r="G301" s="1485"/>
    </row>
    <row r="302" spans="1:7" x14ac:dyDescent="0.3">
      <c r="A302" s="1410"/>
      <c r="B302" s="1410"/>
      <c r="C302" s="1410"/>
      <c r="D302" s="1410"/>
      <c r="E302" s="1485"/>
      <c r="F302" s="1485"/>
      <c r="G302" s="1485"/>
    </row>
    <row r="303" spans="1:7" x14ac:dyDescent="0.3">
      <c r="A303" s="1410"/>
      <c r="B303" s="1410"/>
      <c r="C303" s="1410"/>
      <c r="D303" s="1410"/>
      <c r="E303" s="1485"/>
      <c r="F303" s="1485"/>
      <c r="G303" s="1485"/>
    </row>
    <row r="304" spans="1:7" x14ac:dyDescent="0.3">
      <c r="A304" s="1410"/>
      <c r="B304" s="1410"/>
      <c r="C304" s="1410"/>
      <c r="D304" s="1410"/>
      <c r="E304" s="1485"/>
      <c r="F304" s="1485"/>
      <c r="G304" s="1485"/>
    </row>
    <row r="305" spans="1:7" x14ac:dyDescent="0.3">
      <c r="A305" s="1410"/>
      <c r="B305" s="1410"/>
      <c r="C305" s="1410"/>
      <c r="D305" s="1410"/>
      <c r="E305" s="1485"/>
      <c r="F305" s="1485"/>
      <c r="G305" s="1485"/>
    </row>
    <row r="306" spans="1:7" x14ac:dyDescent="0.3">
      <c r="A306" s="1410"/>
      <c r="B306" s="1410"/>
      <c r="C306" s="1410"/>
      <c r="D306" s="1410"/>
      <c r="E306" s="1485"/>
      <c r="F306" s="1485"/>
      <c r="G306" s="1485"/>
    </row>
    <row r="307" spans="1:7" x14ac:dyDescent="0.3">
      <c r="A307" s="1410"/>
      <c r="B307" s="1410"/>
      <c r="C307" s="1410"/>
      <c r="D307" s="1410"/>
      <c r="E307" s="1485"/>
      <c r="F307" s="1485"/>
      <c r="G307" s="1485"/>
    </row>
    <row r="308" spans="1:7" x14ac:dyDescent="0.3">
      <c r="A308" s="1410"/>
      <c r="B308" s="1410"/>
      <c r="C308" s="1410"/>
      <c r="D308" s="1410"/>
      <c r="E308" s="1485"/>
      <c r="F308" s="1485"/>
      <c r="G308" s="1485"/>
    </row>
    <row r="309" spans="1:7" x14ac:dyDescent="0.3">
      <c r="A309" s="1410"/>
      <c r="B309" s="1410"/>
      <c r="C309" s="1410"/>
      <c r="D309" s="1410"/>
      <c r="E309" s="1485"/>
      <c r="F309" s="1485"/>
      <c r="G309" s="1485"/>
    </row>
    <row r="310" spans="1:7" x14ac:dyDescent="0.3">
      <c r="A310" s="1410"/>
      <c r="B310" s="1410"/>
      <c r="C310" s="1410"/>
      <c r="D310" s="1410"/>
      <c r="E310" s="1485"/>
      <c r="F310" s="1485"/>
      <c r="G310" s="1485"/>
    </row>
    <row r="311" spans="1:7" x14ac:dyDescent="0.3">
      <c r="A311" s="1410"/>
      <c r="B311" s="1410"/>
      <c r="C311" s="1410"/>
      <c r="D311" s="1410"/>
      <c r="E311" s="1485"/>
      <c r="F311" s="1485"/>
      <c r="G311" s="1485"/>
    </row>
    <row r="312" spans="1:7" x14ac:dyDescent="0.3">
      <c r="A312" s="1410"/>
      <c r="B312" s="1410"/>
      <c r="C312" s="1410"/>
      <c r="D312" s="1410"/>
      <c r="E312" s="1485"/>
      <c r="F312" s="1485"/>
      <c r="G312" s="1485"/>
    </row>
    <row r="313" spans="1:7" x14ac:dyDescent="0.3">
      <c r="A313" s="1410"/>
      <c r="B313" s="1410"/>
      <c r="C313" s="1410"/>
      <c r="D313" s="1410"/>
      <c r="E313" s="1485"/>
      <c r="F313" s="1485"/>
      <c r="G313" s="1485"/>
    </row>
    <row r="314" spans="1:7" x14ac:dyDescent="0.3">
      <c r="A314" s="1410"/>
      <c r="B314" s="1410"/>
      <c r="C314" s="1410"/>
      <c r="D314" s="1410"/>
      <c r="E314" s="1485"/>
      <c r="F314" s="1485"/>
      <c r="G314" s="1485"/>
    </row>
    <row r="315" spans="1:7" x14ac:dyDescent="0.3">
      <c r="A315" s="1410"/>
      <c r="B315" s="1410"/>
      <c r="C315" s="1410"/>
      <c r="D315" s="1410"/>
      <c r="E315" s="1485"/>
      <c r="F315" s="1485"/>
      <c r="G315" s="1485"/>
    </row>
    <row r="316" spans="1:7" x14ac:dyDescent="0.3">
      <c r="A316" s="1410"/>
      <c r="B316" s="1410"/>
      <c r="C316" s="1410"/>
      <c r="D316" s="1410"/>
      <c r="E316" s="1485"/>
      <c r="F316" s="1485"/>
      <c r="G316" s="1485"/>
    </row>
    <row r="317" spans="1:7" x14ac:dyDescent="0.3">
      <c r="A317" s="1410"/>
      <c r="B317" s="1410"/>
      <c r="C317" s="1410"/>
      <c r="D317" s="1410"/>
      <c r="E317" s="1485"/>
      <c r="F317" s="1485"/>
      <c r="G317" s="1485"/>
    </row>
    <row r="318" spans="1:7" x14ac:dyDescent="0.3">
      <c r="A318" s="1410"/>
      <c r="B318" s="1410"/>
      <c r="C318" s="1410"/>
      <c r="D318" s="1410"/>
      <c r="E318" s="1485"/>
      <c r="F318" s="1485"/>
      <c r="G318" s="1485"/>
    </row>
    <row r="319" spans="1:7" x14ac:dyDescent="0.3">
      <c r="A319" s="1410"/>
      <c r="B319" s="1410"/>
      <c r="C319" s="1410"/>
      <c r="D319" s="1410"/>
      <c r="E319" s="1485"/>
      <c r="F319" s="1485"/>
      <c r="G319" s="1485"/>
    </row>
    <row r="320" spans="1:7" x14ac:dyDescent="0.3">
      <c r="A320" s="1410"/>
      <c r="B320" s="1410"/>
      <c r="C320" s="1410"/>
      <c r="D320" s="1410"/>
      <c r="E320" s="1485"/>
      <c r="F320" s="1485"/>
      <c r="G320" s="1485"/>
    </row>
    <row r="321" spans="1:7" x14ac:dyDescent="0.3">
      <c r="A321" s="1410"/>
      <c r="B321" s="1410"/>
      <c r="C321" s="1410"/>
      <c r="D321" s="1410"/>
      <c r="E321" s="1485"/>
      <c r="F321" s="1485"/>
      <c r="G321" s="1485"/>
    </row>
    <row r="322" spans="1:7" x14ac:dyDescent="0.3">
      <c r="A322" s="1410"/>
      <c r="B322" s="1410"/>
      <c r="C322" s="1410"/>
      <c r="D322" s="1410"/>
      <c r="E322" s="1485"/>
      <c r="F322" s="1485"/>
      <c r="G322" s="1485"/>
    </row>
    <row r="323" spans="1:7" x14ac:dyDescent="0.3">
      <c r="A323" s="1410"/>
      <c r="B323" s="1410"/>
      <c r="C323" s="1410"/>
      <c r="D323" s="1410"/>
      <c r="E323" s="1485"/>
      <c r="F323" s="1485"/>
      <c r="G323" s="1485"/>
    </row>
    <row r="324" spans="1:7" x14ac:dyDescent="0.3">
      <c r="A324" s="1410"/>
      <c r="B324" s="1410"/>
      <c r="C324" s="1410"/>
      <c r="D324" s="1410"/>
      <c r="E324" s="1485"/>
      <c r="F324" s="1485"/>
      <c r="G324" s="1485"/>
    </row>
    <row r="325" spans="1:7" x14ac:dyDescent="0.3">
      <c r="A325" s="1410"/>
      <c r="B325" s="1410"/>
      <c r="C325" s="1410"/>
      <c r="D325" s="1410"/>
      <c r="E325" s="1485"/>
      <c r="F325" s="1485"/>
      <c r="G325" s="1485"/>
    </row>
    <row r="326" spans="1:7" x14ac:dyDescent="0.3">
      <c r="A326" s="1410"/>
      <c r="B326" s="1410"/>
      <c r="C326" s="1410"/>
      <c r="D326" s="1410"/>
      <c r="E326" s="1485"/>
      <c r="F326" s="1485"/>
      <c r="G326" s="1485"/>
    </row>
    <row r="327" spans="1:7" x14ac:dyDescent="0.3">
      <c r="A327" s="1410"/>
      <c r="B327" s="1410"/>
      <c r="C327" s="1410"/>
      <c r="D327" s="1410"/>
      <c r="E327" s="1485"/>
      <c r="F327" s="1485"/>
      <c r="G327" s="1485"/>
    </row>
    <row r="328" spans="1:7" x14ac:dyDescent="0.3">
      <c r="A328" s="1410"/>
      <c r="B328" s="1410"/>
      <c r="C328" s="1410"/>
      <c r="D328" s="1410"/>
      <c r="E328" s="1485"/>
      <c r="F328" s="1485"/>
      <c r="G328" s="1485"/>
    </row>
    <row r="329" spans="1:7" x14ac:dyDescent="0.3">
      <c r="A329" s="1410"/>
      <c r="B329" s="1410"/>
      <c r="C329" s="1410"/>
      <c r="D329" s="1410"/>
      <c r="E329" s="1485"/>
      <c r="F329" s="1485"/>
      <c r="G329" s="1485"/>
    </row>
    <row r="330" spans="1:7" x14ac:dyDescent="0.3">
      <c r="A330" s="1410"/>
      <c r="B330" s="1410"/>
      <c r="C330" s="1410"/>
      <c r="D330" s="1410"/>
      <c r="E330" s="1485"/>
      <c r="F330" s="1485"/>
      <c r="G330" s="1485"/>
    </row>
    <row r="331" spans="1:7" x14ac:dyDescent="0.3">
      <c r="A331" s="1410"/>
      <c r="B331" s="1410"/>
      <c r="C331" s="1410"/>
      <c r="D331" s="1410"/>
      <c r="E331" s="1485"/>
      <c r="F331" s="1485"/>
      <c r="G331" s="1485"/>
    </row>
    <row r="332" spans="1:7" x14ac:dyDescent="0.3">
      <c r="A332" s="1410"/>
      <c r="B332" s="1410"/>
      <c r="C332" s="1410"/>
      <c r="D332" s="1410"/>
      <c r="E332" s="1485"/>
      <c r="F332" s="1485"/>
      <c r="G332" s="1485"/>
    </row>
    <row r="333" spans="1:7" x14ac:dyDescent="0.3">
      <c r="A333" s="1410"/>
      <c r="B333" s="1410"/>
      <c r="C333" s="1410"/>
      <c r="D333" s="1410"/>
      <c r="E333" s="1485"/>
      <c r="F333" s="1485"/>
      <c r="G333" s="1485"/>
    </row>
    <row r="334" spans="1:7" x14ac:dyDescent="0.3">
      <c r="A334" s="1410"/>
      <c r="B334" s="1410"/>
      <c r="C334" s="1410"/>
      <c r="D334" s="1410"/>
      <c r="E334" s="1485"/>
      <c r="F334" s="1485"/>
      <c r="G334" s="1485"/>
    </row>
    <row r="335" spans="1:7" x14ac:dyDescent="0.3">
      <c r="A335" s="1410"/>
      <c r="B335" s="1410"/>
      <c r="C335" s="1410"/>
      <c r="D335" s="1410"/>
      <c r="E335" s="1485"/>
      <c r="F335" s="1485"/>
      <c r="G335" s="1485"/>
    </row>
    <row r="336" spans="1:7" x14ac:dyDescent="0.3">
      <c r="A336" s="1410"/>
      <c r="B336" s="1410"/>
      <c r="C336" s="1410"/>
      <c r="D336" s="1410"/>
      <c r="E336" s="1485"/>
      <c r="F336" s="1485"/>
      <c r="G336" s="1485"/>
    </row>
    <row r="337" spans="1:7" x14ac:dyDescent="0.3">
      <c r="A337" s="1410"/>
      <c r="B337" s="1410"/>
      <c r="C337" s="1410"/>
      <c r="D337" s="1410"/>
      <c r="E337" s="1485"/>
      <c r="F337" s="1485"/>
      <c r="G337" s="1485"/>
    </row>
    <row r="338" spans="1:7" x14ac:dyDescent="0.3">
      <c r="A338" s="1410"/>
      <c r="B338" s="1410"/>
      <c r="C338" s="1410"/>
      <c r="D338" s="1410"/>
      <c r="E338" s="1485"/>
      <c r="F338" s="1485"/>
      <c r="G338" s="1485"/>
    </row>
    <row r="339" spans="1:7" x14ac:dyDescent="0.3">
      <c r="A339" s="1410"/>
      <c r="B339" s="1410"/>
      <c r="C339" s="1410"/>
      <c r="D339" s="1410"/>
      <c r="E339" s="1485"/>
      <c r="F339" s="1485"/>
      <c r="G339" s="1485"/>
    </row>
    <row r="340" spans="1:7" x14ac:dyDescent="0.3">
      <c r="A340" s="1410"/>
      <c r="B340" s="1410"/>
      <c r="C340" s="1410"/>
      <c r="D340" s="1410"/>
      <c r="E340" s="1485"/>
      <c r="F340" s="1485"/>
      <c r="G340" s="1485"/>
    </row>
    <row r="341" spans="1:7" x14ac:dyDescent="0.3">
      <c r="A341" s="1410"/>
      <c r="B341" s="1410"/>
      <c r="C341" s="1410"/>
      <c r="D341" s="1410"/>
      <c r="E341" s="1485"/>
      <c r="F341" s="1485"/>
      <c r="G341" s="1485"/>
    </row>
    <row r="342" spans="1:7" x14ac:dyDescent="0.3">
      <c r="A342" s="1410"/>
      <c r="B342" s="1410"/>
      <c r="C342" s="1410"/>
      <c r="D342" s="1410"/>
      <c r="E342" s="1485"/>
      <c r="F342" s="1485"/>
      <c r="G342" s="1485"/>
    </row>
    <row r="343" spans="1:7" x14ac:dyDescent="0.3">
      <c r="A343" s="1410"/>
      <c r="B343" s="1410"/>
      <c r="C343" s="1410"/>
      <c r="D343" s="1410"/>
      <c r="E343" s="1485"/>
      <c r="F343" s="1485"/>
      <c r="G343" s="1485"/>
    </row>
    <row r="344" spans="1:7" x14ac:dyDescent="0.3">
      <c r="A344" s="1410"/>
      <c r="B344" s="1410"/>
      <c r="C344" s="1410"/>
      <c r="D344" s="1410"/>
      <c r="E344" s="1485"/>
      <c r="F344" s="1485"/>
      <c r="G344" s="1485"/>
    </row>
    <row r="345" spans="1:7" x14ac:dyDescent="0.3">
      <c r="A345" s="1410"/>
      <c r="B345" s="1410"/>
      <c r="C345" s="1410"/>
      <c r="D345" s="1410"/>
      <c r="E345" s="1485"/>
      <c r="F345" s="1485"/>
      <c r="G345" s="1485"/>
    </row>
    <row r="346" spans="1:7" x14ac:dyDescent="0.3">
      <c r="A346" s="1410"/>
      <c r="B346" s="1410"/>
      <c r="C346" s="1410"/>
      <c r="D346" s="1410"/>
      <c r="E346" s="1485"/>
      <c r="F346" s="1485"/>
      <c r="G346" s="1485"/>
    </row>
    <row r="347" spans="1:7" x14ac:dyDescent="0.3">
      <c r="A347" s="1410"/>
      <c r="B347" s="1410"/>
      <c r="C347" s="1410"/>
      <c r="D347" s="1410"/>
      <c r="E347" s="1485"/>
      <c r="F347" s="1485"/>
      <c r="G347" s="1485"/>
    </row>
    <row r="348" spans="1:7" x14ac:dyDescent="0.3">
      <c r="A348" s="1410"/>
      <c r="B348" s="1410"/>
      <c r="C348" s="1410"/>
      <c r="D348" s="1410"/>
      <c r="E348" s="1485"/>
      <c r="F348" s="1485"/>
      <c r="G348" s="1485"/>
    </row>
    <row r="349" spans="1:7" x14ac:dyDescent="0.3">
      <c r="A349" s="1410"/>
      <c r="B349" s="1410"/>
      <c r="C349" s="1410"/>
      <c r="D349" s="1410"/>
      <c r="E349" s="1485"/>
      <c r="F349" s="1485"/>
      <c r="G349" s="1485"/>
    </row>
    <row r="350" spans="1:7" x14ac:dyDescent="0.3">
      <c r="A350" s="1410"/>
      <c r="B350" s="1410"/>
      <c r="C350" s="1410"/>
      <c r="D350" s="1410"/>
      <c r="E350" s="1485"/>
      <c r="F350" s="1485"/>
      <c r="G350" s="1485"/>
    </row>
    <row r="351" spans="1:7" x14ac:dyDescent="0.3">
      <c r="A351" s="1410"/>
      <c r="B351" s="1410"/>
      <c r="C351" s="1410"/>
      <c r="D351" s="1410"/>
      <c r="E351" s="1485"/>
      <c r="F351" s="1485"/>
      <c r="G351" s="1485"/>
    </row>
    <row r="352" spans="1:7" x14ac:dyDescent="0.3">
      <c r="A352" s="1410"/>
      <c r="B352" s="1410"/>
      <c r="C352" s="1410"/>
      <c r="D352" s="1410"/>
      <c r="E352" s="1485"/>
      <c r="F352" s="1485"/>
      <c r="G352" s="1485"/>
    </row>
    <row r="353" spans="1:7" x14ac:dyDescent="0.3">
      <c r="A353" s="1410"/>
      <c r="B353" s="1410"/>
      <c r="C353" s="1410"/>
      <c r="D353" s="1410"/>
      <c r="E353" s="1485"/>
      <c r="F353" s="1485"/>
      <c r="G353" s="1485"/>
    </row>
    <row r="354" spans="1:7" x14ac:dyDescent="0.3">
      <c r="A354" s="1410"/>
      <c r="B354" s="1410"/>
      <c r="C354" s="1410"/>
      <c r="D354" s="1410"/>
      <c r="E354" s="1485"/>
      <c r="F354" s="1485"/>
      <c r="G354" s="1485"/>
    </row>
    <row r="355" spans="1:7" x14ac:dyDescent="0.3">
      <c r="A355" s="1410"/>
      <c r="B355" s="1410"/>
      <c r="C355" s="1410"/>
      <c r="D355" s="1410"/>
      <c r="E355" s="1485"/>
      <c r="F355" s="1485"/>
      <c r="G355" s="1485"/>
    </row>
    <row r="356" spans="1:7" x14ac:dyDescent="0.3">
      <c r="A356" s="1410"/>
      <c r="B356" s="1410"/>
      <c r="C356" s="1410"/>
      <c r="D356" s="1410"/>
      <c r="E356" s="1485"/>
      <c r="F356" s="1485"/>
      <c r="G356" s="1485"/>
    </row>
    <row r="357" spans="1:7" x14ac:dyDescent="0.3">
      <c r="A357" s="1410"/>
      <c r="B357" s="1410"/>
      <c r="C357" s="1410"/>
      <c r="D357" s="1410"/>
      <c r="E357" s="1485"/>
      <c r="F357" s="1485"/>
      <c r="G357" s="1485"/>
    </row>
    <row r="358" spans="1:7" x14ac:dyDescent="0.3">
      <c r="A358" s="1410"/>
      <c r="B358" s="1410"/>
      <c r="C358" s="1410"/>
      <c r="D358" s="1410"/>
      <c r="E358" s="1485"/>
      <c r="F358" s="1485"/>
      <c r="G358" s="1485"/>
    </row>
    <row r="359" spans="1:7" x14ac:dyDescent="0.3">
      <c r="A359" s="1410"/>
      <c r="B359" s="1410"/>
      <c r="C359" s="1410"/>
      <c r="D359" s="1410"/>
      <c r="E359" s="1485"/>
      <c r="F359" s="1485"/>
      <c r="G359" s="1485"/>
    </row>
    <row r="360" spans="1:7" x14ac:dyDescent="0.3">
      <c r="A360" s="1410"/>
      <c r="B360" s="1410"/>
      <c r="C360" s="1410"/>
      <c r="D360" s="1410"/>
      <c r="E360" s="1485"/>
      <c r="F360" s="1485"/>
      <c r="G360" s="1485"/>
    </row>
    <row r="361" spans="1:7" x14ac:dyDescent="0.3">
      <c r="A361" s="1410"/>
      <c r="B361" s="1410"/>
      <c r="C361" s="1410"/>
      <c r="D361" s="1410"/>
      <c r="E361" s="1485"/>
      <c r="F361" s="1485"/>
      <c r="G361" s="1485"/>
    </row>
    <row r="362" spans="1:7" x14ac:dyDescent="0.3">
      <c r="A362" s="1410"/>
      <c r="B362" s="1410"/>
      <c r="C362" s="1410"/>
      <c r="D362" s="1410"/>
      <c r="E362" s="1485"/>
      <c r="F362" s="1485"/>
      <c r="G362" s="1485"/>
    </row>
    <row r="363" spans="1:7" x14ac:dyDescent="0.3">
      <c r="A363" s="1410"/>
      <c r="B363" s="1410"/>
      <c r="C363" s="1410"/>
      <c r="D363" s="1410"/>
      <c r="E363" s="1485"/>
      <c r="F363" s="1485"/>
      <c r="G363" s="1485"/>
    </row>
    <row r="364" spans="1:7" x14ac:dyDescent="0.3">
      <c r="A364" s="1410"/>
      <c r="B364" s="1410"/>
      <c r="C364" s="1410"/>
      <c r="D364" s="1410"/>
      <c r="E364" s="1485"/>
      <c r="F364" s="1485"/>
      <c r="G364" s="1485"/>
    </row>
    <row r="365" spans="1:7" x14ac:dyDescent="0.3">
      <c r="A365" s="1410"/>
      <c r="B365" s="1410"/>
      <c r="C365" s="1410"/>
      <c r="D365" s="1410"/>
      <c r="E365" s="1485"/>
      <c r="F365" s="1485"/>
      <c r="G365" s="1485"/>
    </row>
    <row r="366" spans="1:7" x14ac:dyDescent="0.3">
      <c r="A366" s="1410"/>
      <c r="B366" s="1410"/>
      <c r="C366" s="1410"/>
      <c r="D366" s="1410"/>
      <c r="E366" s="1485"/>
      <c r="F366" s="1485"/>
      <c r="G366" s="1485"/>
    </row>
    <row r="367" spans="1:7" x14ac:dyDescent="0.3">
      <c r="A367" s="1410"/>
      <c r="B367" s="1410"/>
      <c r="C367" s="1410"/>
      <c r="D367" s="1410"/>
      <c r="E367" s="1485"/>
      <c r="F367" s="1485"/>
      <c r="G367" s="1485"/>
    </row>
    <row r="368" spans="1:7" x14ac:dyDescent="0.3">
      <c r="A368" s="1410"/>
      <c r="B368" s="1410"/>
      <c r="C368" s="1410"/>
      <c r="D368" s="1410"/>
      <c r="E368" s="1485"/>
      <c r="F368" s="1485"/>
      <c r="G368" s="1485"/>
    </row>
    <row r="369" spans="1:7" x14ac:dyDescent="0.3">
      <c r="A369" s="1410"/>
      <c r="B369" s="1410"/>
      <c r="C369" s="1410"/>
      <c r="D369" s="1410"/>
      <c r="E369" s="1485"/>
      <c r="F369" s="1485"/>
      <c r="G369" s="1485"/>
    </row>
    <row r="370" spans="1:7" x14ac:dyDescent="0.3">
      <c r="A370" s="1410"/>
      <c r="B370" s="1410"/>
      <c r="C370" s="1410"/>
      <c r="D370" s="1410"/>
      <c r="E370" s="1485"/>
      <c r="F370" s="1485"/>
      <c r="G370" s="1485"/>
    </row>
    <row r="371" spans="1:7" x14ac:dyDescent="0.3">
      <c r="A371" s="1410"/>
      <c r="B371" s="1410"/>
      <c r="C371" s="1410"/>
      <c r="D371" s="1410"/>
      <c r="E371" s="1485"/>
      <c r="F371" s="1485"/>
      <c r="G371" s="1485"/>
    </row>
    <row r="372" spans="1:7" x14ac:dyDescent="0.3">
      <c r="A372" s="1410"/>
      <c r="B372" s="1410"/>
      <c r="C372" s="1410"/>
      <c r="D372" s="1410"/>
      <c r="E372" s="1485"/>
      <c r="F372" s="1485"/>
      <c r="G372" s="1485"/>
    </row>
    <row r="373" spans="1:7" x14ac:dyDescent="0.3">
      <c r="A373" s="1410"/>
      <c r="B373" s="1410"/>
      <c r="C373" s="1410"/>
      <c r="D373" s="1410"/>
      <c r="E373" s="1485"/>
      <c r="F373" s="1485"/>
      <c r="G373" s="1485"/>
    </row>
    <row r="374" spans="1:7" x14ac:dyDescent="0.3">
      <c r="A374" s="1410"/>
      <c r="B374" s="1410"/>
      <c r="C374" s="1410"/>
      <c r="D374" s="1410"/>
      <c r="E374" s="1485"/>
      <c r="F374" s="1485"/>
      <c r="G374" s="1485"/>
    </row>
    <row r="375" spans="1:7" x14ac:dyDescent="0.3">
      <c r="A375" s="1410"/>
      <c r="B375" s="1410"/>
      <c r="C375" s="1410"/>
      <c r="D375" s="1410"/>
      <c r="E375" s="1485"/>
      <c r="F375" s="1485"/>
      <c r="G375" s="1485"/>
    </row>
    <row r="376" spans="1:7" x14ac:dyDescent="0.3">
      <c r="A376" s="1410"/>
      <c r="B376" s="1410"/>
      <c r="C376" s="1410"/>
      <c r="D376" s="1410"/>
      <c r="E376" s="1485"/>
      <c r="F376" s="1485"/>
      <c r="G376" s="1485"/>
    </row>
    <row r="377" spans="1:7" x14ac:dyDescent="0.3">
      <c r="A377" s="1410"/>
      <c r="B377" s="1410"/>
      <c r="C377" s="1410"/>
      <c r="D377" s="1410"/>
      <c r="E377" s="1485"/>
      <c r="F377" s="1485"/>
      <c r="G377" s="1485"/>
    </row>
    <row r="378" spans="1:7" x14ac:dyDescent="0.3">
      <c r="A378" s="1410"/>
      <c r="B378" s="1410"/>
      <c r="C378" s="1410"/>
      <c r="D378" s="1410"/>
      <c r="E378" s="1485"/>
      <c r="F378" s="1485"/>
      <c r="G378" s="1485"/>
    </row>
    <row r="379" spans="1:7" x14ac:dyDescent="0.3">
      <c r="A379" s="1410"/>
      <c r="B379" s="1410"/>
      <c r="C379" s="1410"/>
      <c r="D379" s="1410"/>
      <c r="E379" s="1485"/>
      <c r="F379" s="1485"/>
      <c r="G379" s="1485"/>
    </row>
    <row r="380" spans="1:7" x14ac:dyDescent="0.3">
      <c r="A380" s="1410"/>
      <c r="B380" s="1410"/>
      <c r="C380" s="1410"/>
      <c r="D380" s="1410"/>
      <c r="E380" s="1485"/>
      <c r="F380" s="1485"/>
      <c r="G380" s="1485"/>
    </row>
    <row r="381" spans="1:7" x14ac:dyDescent="0.3">
      <c r="A381" s="1410"/>
      <c r="B381" s="1410"/>
      <c r="C381" s="1410"/>
      <c r="D381" s="1410"/>
      <c r="E381" s="1485"/>
      <c r="F381" s="1485"/>
      <c r="G381" s="1485"/>
    </row>
    <row r="382" spans="1:7" x14ac:dyDescent="0.3">
      <c r="A382" s="1410"/>
      <c r="B382" s="1410"/>
      <c r="C382" s="1410"/>
      <c r="D382" s="1410"/>
      <c r="E382" s="1485"/>
      <c r="F382" s="1485"/>
      <c r="G382" s="1485"/>
    </row>
    <row r="383" spans="1:7" x14ac:dyDescent="0.3">
      <c r="A383" s="1410"/>
      <c r="B383" s="1410"/>
      <c r="C383" s="1410"/>
      <c r="D383" s="1410"/>
      <c r="E383" s="1485"/>
      <c r="F383" s="1485"/>
      <c r="G383" s="1485"/>
    </row>
    <row r="384" spans="1:7" x14ac:dyDescent="0.3">
      <c r="A384" s="1410"/>
      <c r="B384" s="1410"/>
      <c r="C384" s="1410"/>
      <c r="D384" s="1410"/>
      <c r="E384" s="1485"/>
      <c r="F384" s="1485"/>
      <c r="G384" s="1485"/>
    </row>
    <row r="385" spans="1:7" x14ac:dyDescent="0.3">
      <c r="A385" s="1410"/>
      <c r="B385" s="1410"/>
      <c r="C385" s="1410"/>
      <c r="D385" s="1410"/>
      <c r="E385" s="1485"/>
      <c r="F385" s="1485"/>
      <c r="G385" s="1485"/>
    </row>
    <row r="386" spans="1:7" x14ac:dyDescent="0.3">
      <c r="A386" s="1410"/>
      <c r="B386" s="1410"/>
      <c r="C386" s="1410"/>
      <c r="D386" s="1410"/>
      <c r="E386" s="1485"/>
      <c r="F386" s="1485"/>
      <c r="G386" s="1485"/>
    </row>
    <row r="387" spans="1:7" x14ac:dyDescent="0.3">
      <c r="A387" s="1410"/>
      <c r="B387" s="1410"/>
      <c r="C387" s="1410"/>
      <c r="D387" s="1410"/>
      <c r="E387" s="1485"/>
      <c r="F387" s="1485"/>
      <c r="G387" s="1485"/>
    </row>
    <row r="388" spans="1:7" x14ac:dyDescent="0.3">
      <c r="A388" s="1410"/>
      <c r="B388" s="1410"/>
      <c r="C388" s="1410"/>
      <c r="D388" s="1410"/>
      <c r="E388" s="1485"/>
      <c r="F388" s="1485"/>
      <c r="G388" s="1485"/>
    </row>
    <row r="389" spans="1:7" x14ac:dyDescent="0.3">
      <c r="A389" s="1410"/>
      <c r="B389" s="1410"/>
      <c r="C389" s="1410"/>
      <c r="D389" s="1410"/>
      <c r="E389" s="1485"/>
      <c r="F389" s="1485"/>
      <c r="G389" s="1485"/>
    </row>
    <row r="390" spans="1:7" x14ac:dyDescent="0.3">
      <c r="A390" s="1410"/>
      <c r="B390" s="1410"/>
      <c r="C390" s="1410"/>
      <c r="D390" s="1410"/>
      <c r="E390" s="1485"/>
      <c r="F390" s="1485"/>
      <c r="G390" s="1485"/>
    </row>
    <row r="391" spans="1:7" x14ac:dyDescent="0.3">
      <c r="A391" s="1410"/>
      <c r="B391" s="1410"/>
      <c r="C391" s="1410"/>
      <c r="D391" s="1410"/>
      <c r="E391" s="1485"/>
      <c r="F391" s="1485"/>
      <c r="G391" s="1485"/>
    </row>
    <row r="392" spans="1:7" x14ac:dyDescent="0.3">
      <c r="A392" s="1410"/>
      <c r="B392" s="1410"/>
      <c r="C392" s="1410"/>
      <c r="D392" s="1410"/>
      <c r="E392" s="1485"/>
      <c r="F392" s="1485"/>
      <c r="G392" s="1485"/>
    </row>
    <row r="393" spans="1:7" x14ac:dyDescent="0.3">
      <c r="A393" s="1410"/>
      <c r="B393" s="1410"/>
      <c r="C393" s="1410"/>
      <c r="D393" s="1410"/>
      <c r="E393" s="1485"/>
      <c r="F393" s="1485"/>
      <c r="G393" s="1485"/>
    </row>
    <row r="394" spans="1:7" x14ac:dyDescent="0.3">
      <c r="A394" s="1410"/>
      <c r="B394" s="1410"/>
      <c r="C394" s="1410"/>
      <c r="D394" s="1410"/>
      <c r="E394" s="1485"/>
      <c r="F394" s="1485"/>
      <c r="G394" s="1485"/>
    </row>
    <row r="395" spans="1:7" x14ac:dyDescent="0.3">
      <c r="A395" s="1410"/>
      <c r="B395" s="1410"/>
      <c r="C395" s="1410"/>
      <c r="D395" s="1410"/>
      <c r="E395" s="1485"/>
      <c r="F395" s="1485"/>
      <c r="G395" s="1485"/>
    </row>
    <row r="396" spans="1:7" x14ac:dyDescent="0.3">
      <c r="A396" s="1410"/>
      <c r="B396" s="1410"/>
      <c r="C396" s="1410"/>
      <c r="D396" s="1410"/>
      <c r="E396" s="1485"/>
      <c r="F396" s="1485"/>
      <c r="G396" s="1485"/>
    </row>
    <row r="397" spans="1:7" x14ac:dyDescent="0.3">
      <c r="A397" s="1410"/>
      <c r="B397" s="1410"/>
      <c r="C397" s="1410"/>
      <c r="D397" s="1410"/>
      <c r="E397" s="1485"/>
      <c r="F397" s="1485"/>
      <c r="G397" s="1485"/>
    </row>
    <row r="398" spans="1:7" x14ac:dyDescent="0.3">
      <c r="A398" s="1410"/>
      <c r="B398" s="1410"/>
      <c r="C398" s="1410"/>
      <c r="D398" s="1410"/>
      <c r="E398" s="1485"/>
      <c r="F398" s="1485"/>
      <c r="G398" s="1485"/>
    </row>
    <row r="399" spans="1:7" x14ac:dyDescent="0.3">
      <c r="A399" s="1410"/>
      <c r="B399" s="1410"/>
      <c r="C399" s="1410"/>
      <c r="D399" s="1410"/>
      <c r="E399" s="1485"/>
      <c r="F399" s="1485"/>
      <c r="G399" s="1485"/>
    </row>
    <row r="400" spans="1:7" x14ac:dyDescent="0.3">
      <c r="A400" s="1410"/>
      <c r="B400" s="1410"/>
      <c r="C400" s="1410"/>
      <c r="D400" s="1410"/>
      <c r="E400" s="1485"/>
      <c r="F400" s="1485"/>
      <c r="G400" s="1485"/>
    </row>
    <row r="401" spans="1:7" x14ac:dyDescent="0.3">
      <c r="A401" s="1410"/>
      <c r="B401" s="1410"/>
      <c r="C401" s="1410"/>
      <c r="D401" s="1410"/>
      <c r="E401" s="1485"/>
      <c r="F401" s="1485"/>
      <c r="G401" s="1485"/>
    </row>
    <row r="402" spans="1:7" x14ac:dyDescent="0.3">
      <c r="A402" s="1410"/>
      <c r="B402" s="1410"/>
      <c r="C402" s="1410"/>
      <c r="D402" s="1410"/>
      <c r="E402" s="1485"/>
      <c r="F402" s="1485"/>
      <c r="G402" s="1485"/>
    </row>
    <row r="403" spans="1:7" x14ac:dyDescent="0.3">
      <c r="A403" s="1410"/>
      <c r="B403" s="1410"/>
      <c r="C403" s="1410"/>
      <c r="D403" s="1410"/>
      <c r="E403" s="1485"/>
      <c r="F403" s="1485"/>
      <c r="G403" s="1485"/>
    </row>
    <row r="404" spans="1:7" x14ac:dyDescent="0.3">
      <c r="A404" s="1410"/>
      <c r="B404" s="1410"/>
      <c r="C404" s="1410"/>
      <c r="D404" s="1410"/>
      <c r="E404" s="1485"/>
      <c r="F404" s="1485"/>
      <c r="G404" s="1485"/>
    </row>
    <row r="405" spans="1:7" x14ac:dyDescent="0.3">
      <c r="A405" s="1410"/>
      <c r="B405" s="1410"/>
      <c r="C405" s="1410"/>
      <c r="D405" s="1410"/>
      <c r="E405" s="1485"/>
      <c r="F405" s="1485"/>
      <c r="G405" s="1485"/>
    </row>
    <row r="406" spans="1:7" x14ac:dyDescent="0.3">
      <c r="A406" s="1410"/>
      <c r="B406" s="1410"/>
      <c r="C406" s="1410"/>
      <c r="D406" s="1410"/>
      <c r="E406" s="1485"/>
      <c r="F406" s="1485"/>
      <c r="G406" s="1485"/>
    </row>
    <row r="407" spans="1:7" x14ac:dyDescent="0.3">
      <c r="A407" s="1410"/>
      <c r="B407" s="1410"/>
      <c r="C407" s="1410"/>
      <c r="D407" s="1410"/>
      <c r="E407" s="1485"/>
      <c r="F407" s="1485"/>
      <c r="G407" s="1485"/>
    </row>
    <row r="408" spans="1:7" x14ac:dyDescent="0.3">
      <c r="A408" s="1410"/>
      <c r="B408" s="1410"/>
      <c r="C408" s="1410"/>
      <c r="D408" s="1410"/>
      <c r="E408" s="1485"/>
      <c r="F408" s="1485"/>
      <c r="G408" s="1485"/>
    </row>
    <row r="409" spans="1:7" x14ac:dyDescent="0.3">
      <c r="A409" s="1410"/>
      <c r="B409" s="1410"/>
      <c r="C409" s="1410"/>
      <c r="D409" s="1410"/>
      <c r="E409" s="1485"/>
      <c r="F409" s="1485"/>
      <c r="G409" s="1485"/>
    </row>
    <row r="410" spans="1:7" x14ac:dyDescent="0.3">
      <c r="A410" s="1410"/>
      <c r="B410" s="1410"/>
      <c r="C410" s="1410"/>
      <c r="D410" s="1410"/>
      <c r="E410" s="1485"/>
      <c r="F410" s="1485"/>
      <c r="G410" s="1485"/>
    </row>
    <row r="411" spans="1:7" x14ac:dyDescent="0.3">
      <c r="A411" s="1410"/>
      <c r="B411" s="1410"/>
      <c r="C411" s="1410"/>
      <c r="D411" s="1410"/>
      <c r="E411" s="1485"/>
      <c r="F411" s="1485"/>
      <c r="G411" s="1485"/>
    </row>
    <row r="412" spans="1:7" x14ac:dyDescent="0.3">
      <c r="A412" s="1410"/>
      <c r="B412" s="1410"/>
      <c r="C412" s="1410"/>
      <c r="D412" s="1410"/>
      <c r="E412" s="1485"/>
      <c r="F412" s="1485"/>
      <c r="G412" s="1485"/>
    </row>
    <row r="413" spans="1:7" x14ac:dyDescent="0.3">
      <c r="A413" s="1410"/>
      <c r="B413" s="1410"/>
      <c r="C413" s="1410"/>
      <c r="D413" s="1410"/>
      <c r="E413" s="1485"/>
      <c r="F413" s="1485"/>
      <c r="G413" s="1485"/>
    </row>
    <row r="414" spans="1:7" x14ac:dyDescent="0.3">
      <c r="A414" s="1410"/>
      <c r="B414" s="1410"/>
      <c r="C414" s="1410"/>
      <c r="D414" s="1410"/>
      <c r="E414" s="1485"/>
      <c r="F414" s="1485"/>
      <c r="G414" s="1485"/>
    </row>
    <row r="415" spans="1:7" x14ac:dyDescent="0.3">
      <c r="A415" s="1410"/>
      <c r="B415" s="1410"/>
      <c r="C415" s="1410"/>
      <c r="D415" s="1410"/>
      <c r="E415" s="1485"/>
      <c r="F415" s="1485"/>
      <c r="G415" s="1485"/>
    </row>
    <row r="416" spans="1:7" x14ac:dyDescent="0.3">
      <c r="A416" s="1410"/>
      <c r="B416" s="1410"/>
      <c r="C416" s="1410"/>
      <c r="D416" s="1410"/>
      <c r="E416" s="1485"/>
      <c r="F416" s="1485"/>
      <c r="G416" s="1485"/>
    </row>
    <row r="417" spans="1:7" x14ac:dyDescent="0.3">
      <c r="A417" s="1410"/>
      <c r="B417" s="1410"/>
      <c r="C417" s="1410"/>
      <c r="D417" s="1410"/>
      <c r="E417" s="1485"/>
      <c r="F417" s="1485"/>
      <c r="G417" s="1485"/>
    </row>
    <row r="418" spans="1:7" x14ac:dyDescent="0.3">
      <c r="A418" s="1410"/>
      <c r="B418" s="1410"/>
      <c r="C418" s="1410"/>
      <c r="D418" s="1410"/>
      <c r="E418" s="1485"/>
      <c r="F418" s="1485"/>
      <c r="G418" s="1485"/>
    </row>
    <row r="419" spans="1:7" x14ac:dyDescent="0.3">
      <c r="A419" s="1410"/>
      <c r="B419" s="1410"/>
      <c r="C419" s="1410"/>
      <c r="D419" s="1410"/>
      <c r="E419" s="1485"/>
      <c r="F419" s="1485"/>
      <c r="G419" s="1485"/>
    </row>
    <row r="420" spans="1:7" x14ac:dyDescent="0.3">
      <c r="A420" s="1410"/>
      <c r="B420" s="1410"/>
      <c r="C420" s="1410"/>
      <c r="D420" s="1410"/>
      <c r="E420" s="1485"/>
      <c r="F420" s="1485"/>
      <c r="G420" s="1485"/>
    </row>
    <row r="421" spans="1:7" x14ac:dyDescent="0.3">
      <c r="A421" s="1410"/>
      <c r="B421" s="1410"/>
      <c r="C421" s="1410"/>
      <c r="D421" s="1410"/>
      <c r="E421" s="1485"/>
      <c r="F421" s="1485"/>
      <c r="G421" s="1485"/>
    </row>
    <row r="422" spans="1:7" x14ac:dyDescent="0.3">
      <c r="A422" s="1410"/>
      <c r="B422" s="1410"/>
      <c r="C422" s="1410"/>
      <c r="D422" s="1410"/>
      <c r="E422" s="1485"/>
      <c r="F422" s="1485"/>
      <c r="G422" s="1485"/>
    </row>
    <row r="423" spans="1:7" x14ac:dyDescent="0.3">
      <c r="A423" s="1410"/>
      <c r="B423" s="1410"/>
      <c r="C423" s="1410"/>
      <c r="D423" s="1410"/>
      <c r="E423" s="1485"/>
      <c r="F423" s="1485"/>
      <c r="G423" s="1485"/>
    </row>
    <row r="424" spans="1:7" x14ac:dyDescent="0.3">
      <c r="A424" s="1410"/>
      <c r="B424" s="1410"/>
      <c r="C424" s="1410"/>
      <c r="D424" s="1410"/>
      <c r="E424" s="1485"/>
      <c r="F424" s="1485"/>
      <c r="G424" s="1485"/>
    </row>
    <row r="425" spans="1:7" x14ac:dyDescent="0.3">
      <c r="A425" s="1410"/>
      <c r="B425" s="1410"/>
      <c r="C425" s="1410"/>
      <c r="D425" s="1410"/>
      <c r="E425" s="1485"/>
      <c r="F425" s="1485"/>
      <c r="G425" s="1485"/>
    </row>
    <row r="426" spans="1:7" x14ac:dyDescent="0.3">
      <c r="A426" s="1410"/>
      <c r="B426" s="1410"/>
      <c r="C426" s="1410"/>
      <c r="D426" s="1410"/>
      <c r="E426" s="1485"/>
      <c r="F426" s="1485"/>
      <c r="G426" s="1485"/>
    </row>
    <row r="427" spans="1:7" x14ac:dyDescent="0.3">
      <c r="A427" s="1410"/>
      <c r="B427" s="1410"/>
      <c r="C427" s="1410"/>
      <c r="D427" s="1410"/>
      <c r="E427" s="1485"/>
      <c r="F427" s="1485"/>
      <c r="G427" s="1485"/>
    </row>
    <row r="428" spans="1:7" x14ac:dyDescent="0.3">
      <c r="A428" s="1410"/>
      <c r="B428" s="1410"/>
      <c r="C428" s="1410"/>
      <c r="D428" s="1410"/>
      <c r="E428" s="1485"/>
      <c r="F428" s="1485"/>
      <c r="G428" s="1485"/>
    </row>
    <row r="429" spans="1:7" x14ac:dyDescent="0.3">
      <c r="A429" s="1410"/>
      <c r="B429" s="1410"/>
      <c r="C429" s="1410"/>
      <c r="D429" s="1410"/>
      <c r="E429" s="1485"/>
      <c r="F429" s="1485"/>
      <c r="G429" s="1485"/>
    </row>
    <row r="430" spans="1:7" x14ac:dyDescent="0.3">
      <c r="A430" s="1410"/>
      <c r="B430" s="1410"/>
      <c r="C430" s="1410"/>
      <c r="D430" s="1410"/>
      <c r="E430" s="1485"/>
      <c r="F430" s="1485"/>
      <c r="G430" s="1485"/>
    </row>
    <row r="431" spans="1:7" x14ac:dyDescent="0.3">
      <c r="A431" s="1410"/>
      <c r="B431" s="1410"/>
      <c r="C431" s="1410"/>
      <c r="D431" s="1410"/>
      <c r="E431" s="1485"/>
      <c r="F431" s="1485"/>
      <c r="G431" s="1485"/>
    </row>
    <row r="432" spans="1:7" x14ac:dyDescent="0.3">
      <c r="A432" s="1410"/>
      <c r="B432" s="1410"/>
      <c r="C432" s="1410"/>
      <c r="D432" s="1410"/>
      <c r="E432" s="1485"/>
      <c r="F432" s="1485"/>
      <c r="G432" s="1485"/>
    </row>
    <row r="433" spans="1:7" x14ac:dyDescent="0.3">
      <c r="A433" s="1410"/>
      <c r="B433" s="1410"/>
      <c r="C433" s="1410"/>
      <c r="D433" s="1410"/>
      <c r="E433" s="1485"/>
      <c r="F433" s="1485"/>
      <c r="G433" s="1485"/>
    </row>
    <row r="434" spans="1:7" x14ac:dyDescent="0.3">
      <c r="A434" s="1410"/>
      <c r="B434" s="1410"/>
      <c r="C434" s="1410"/>
      <c r="D434" s="1410"/>
      <c r="E434" s="1485"/>
      <c r="F434" s="1485"/>
      <c r="G434" s="1485"/>
    </row>
    <row r="435" spans="1:7" x14ac:dyDescent="0.3">
      <c r="A435" s="1410"/>
      <c r="B435" s="1410"/>
      <c r="C435" s="1410"/>
      <c r="D435" s="1410"/>
      <c r="E435" s="1485"/>
      <c r="F435" s="1485"/>
      <c r="G435" s="1485"/>
    </row>
    <row r="436" spans="1:7" x14ac:dyDescent="0.3">
      <c r="A436" s="1410"/>
      <c r="B436" s="1410"/>
      <c r="C436" s="1410"/>
      <c r="D436" s="1410"/>
      <c r="E436" s="1485"/>
      <c r="F436" s="1485"/>
      <c r="G436" s="1485"/>
    </row>
    <row r="437" spans="1:7" x14ac:dyDescent="0.3">
      <c r="A437" s="1410"/>
      <c r="B437" s="1410"/>
      <c r="C437" s="1410"/>
      <c r="D437" s="1410"/>
      <c r="E437" s="1485"/>
      <c r="F437" s="1485"/>
      <c r="G437" s="1485"/>
    </row>
    <row r="438" spans="1:7" x14ac:dyDescent="0.3">
      <c r="A438" s="1410"/>
      <c r="B438" s="1410"/>
      <c r="C438" s="1410"/>
      <c r="D438" s="1410"/>
      <c r="E438" s="1485"/>
      <c r="F438" s="1485"/>
      <c r="G438" s="1485"/>
    </row>
    <row r="439" spans="1:7" x14ac:dyDescent="0.3">
      <c r="A439" s="1410"/>
      <c r="B439" s="1410"/>
      <c r="C439" s="1410"/>
      <c r="D439" s="1410"/>
      <c r="E439" s="1485"/>
      <c r="F439" s="1485"/>
      <c r="G439" s="1485"/>
    </row>
    <row r="440" spans="1:7" x14ac:dyDescent="0.3">
      <c r="A440" s="1410"/>
      <c r="B440" s="1410"/>
      <c r="C440" s="1410"/>
      <c r="D440" s="1410"/>
      <c r="E440" s="1485"/>
      <c r="F440" s="1485"/>
      <c r="G440" s="1485"/>
    </row>
    <row r="441" spans="1:7" x14ac:dyDescent="0.3">
      <c r="A441" s="1410"/>
      <c r="B441" s="1410"/>
      <c r="C441" s="1410"/>
      <c r="D441" s="1410"/>
      <c r="E441" s="1485"/>
      <c r="F441" s="1485"/>
      <c r="G441" s="1485"/>
    </row>
  </sheetData>
  <autoFilter ref="D3:G46" xr:uid="{F97CB5F1-CDA3-41E2-8BD8-4C077EEFBB34}"/>
  <pageMargins left="0.7" right="0.7" top="0.75" bottom="0.75" header="0.3" footer="0.3"/>
  <customProperties>
    <customPr name="SaaSBIProperties" r:id="rId1"/>
    <customPr name="SSCustomColumnsMapping" r:id="rId2"/>
  </customPropertie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56BD-60A2-4830-A822-8C8C8DA3712E}">
  <sheetPr>
    <tabColor rgb="FF24A205"/>
  </sheetPr>
  <dimension ref="A1:G531"/>
  <sheetViews>
    <sheetView workbookViewId="0"/>
  </sheetViews>
  <sheetFormatPr defaultRowHeight="14.4" x14ac:dyDescent="0.3"/>
  <cols>
    <col min="1" max="1" width="4.6640625" customWidth="1"/>
    <col min="2" max="2" width="13.88671875" customWidth="1"/>
    <col min="3" max="3" width="25.33203125" bestFit="1" customWidth="1"/>
    <col min="4" max="4" width="7.109375" bestFit="1" customWidth="1"/>
    <col min="5" max="7" width="17.33203125" style="792" bestFit="1" customWidth="1"/>
  </cols>
  <sheetData>
    <row r="1" spans="1:7" ht="31.35" customHeight="1" x14ac:dyDescent="0.3">
      <c r="A1" s="1413" t="s">
        <v>2039</v>
      </c>
      <c r="B1" s="1414"/>
      <c r="C1" s="1414"/>
      <c r="D1" s="1414"/>
      <c r="E1" s="1414"/>
      <c r="F1" s="1414"/>
      <c r="G1" s="1414"/>
    </row>
    <row r="2" spans="1:7" s="1410" customFormat="1" ht="15" thickBot="1" x14ac:dyDescent="0.35">
      <c r="A2" s="1415" t="s">
        <v>643</v>
      </c>
      <c r="B2" s="1415" t="s">
        <v>643</v>
      </c>
      <c r="C2" s="1415" t="s">
        <v>643</v>
      </c>
      <c r="D2" s="1416" t="s">
        <v>2003</v>
      </c>
      <c r="E2" s="1416" t="s">
        <v>496</v>
      </c>
      <c r="F2" s="1416" t="s">
        <v>642</v>
      </c>
      <c r="G2" s="1487" t="s">
        <v>71</v>
      </c>
    </row>
    <row r="3" spans="1:7" s="1410" customFormat="1" ht="15" thickTop="1" x14ac:dyDescent="0.3">
      <c r="A3" s="1415"/>
      <c r="B3" s="1415"/>
      <c r="C3" s="1415"/>
      <c r="D3" s="1415"/>
      <c r="E3" s="1417" t="s">
        <v>2166</v>
      </c>
      <c r="F3" s="1417" t="s">
        <v>2166</v>
      </c>
      <c r="G3" s="1418" t="s">
        <v>2166</v>
      </c>
    </row>
    <row r="4" spans="1:7" x14ac:dyDescent="0.3">
      <c r="A4" s="1417" t="s">
        <v>378</v>
      </c>
      <c r="B4" s="1415"/>
      <c r="C4" s="1415"/>
      <c r="D4" s="1415" t="s">
        <v>2006</v>
      </c>
      <c r="E4" s="1419">
        <v>0</v>
      </c>
      <c r="F4" s="1419">
        <v>0</v>
      </c>
      <c r="G4" s="1420">
        <v>0</v>
      </c>
    </row>
    <row r="5" spans="1:7" x14ac:dyDescent="0.3">
      <c r="A5" s="1415"/>
      <c r="B5" s="1417" t="s">
        <v>472</v>
      </c>
      <c r="C5" s="1415"/>
      <c r="D5" s="1415" t="s">
        <v>2006</v>
      </c>
      <c r="E5" s="1419">
        <v>1600</v>
      </c>
      <c r="F5" s="1419">
        <v>683.5</v>
      </c>
      <c r="G5" s="1420">
        <v>2283.5</v>
      </c>
    </row>
    <row r="6" spans="1:7" x14ac:dyDescent="0.3">
      <c r="A6" s="1415"/>
      <c r="B6" s="1417" t="s">
        <v>474</v>
      </c>
      <c r="C6" s="1415"/>
      <c r="D6" s="1415" t="s">
        <v>2006</v>
      </c>
      <c r="E6" s="1419">
        <v>30799.73</v>
      </c>
      <c r="F6" s="1419">
        <v>-2212.62</v>
      </c>
      <c r="G6" s="1420">
        <v>28587.11</v>
      </c>
    </row>
    <row r="7" spans="1:7" x14ac:dyDescent="0.3">
      <c r="A7" s="1415"/>
      <c r="B7" s="1417" t="s">
        <v>594</v>
      </c>
      <c r="C7" s="1415"/>
      <c r="D7" s="1415" t="s">
        <v>2006</v>
      </c>
      <c r="E7" s="1419">
        <v>0</v>
      </c>
      <c r="F7" s="1419">
        <v>91764.9</v>
      </c>
      <c r="G7" s="1420">
        <v>91764.9</v>
      </c>
    </row>
    <row r="8" spans="1:7" x14ac:dyDescent="0.3">
      <c r="A8" s="1415"/>
      <c r="B8" s="1417" t="s">
        <v>475</v>
      </c>
      <c r="C8" s="1415"/>
      <c r="D8" s="1415" t="s">
        <v>2006</v>
      </c>
      <c r="E8" s="1419">
        <v>27477.5</v>
      </c>
      <c r="F8" s="1419">
        <v>0</v>
      </c>
      <c r="G8" s="1420">
        <v>27477.5</v>
      </c>
    </row>
    <row r="9" spans="1:7" x14ac:dyDescent="0.3">
      <c r="A9" s="1415"/>
      <c r="B9" s="1417" t="s">
        <v>595</v>
      </c>
      <c r="C9" s="1415"/>
      <c r="D9" s="1415" t="s">
        <v>2006</v>
      </c>
      <c r="E9" s="1419">
        <v>0</v>
      </c>
      <c r="F9" s="1419">
        <v>-60000</v>
      </c>
      <c r="G9" s="1420">
        <v>-60000</v>
      </c>
    </row>
    <row r="10" spans="1:7" x14ac:dyDescent="0.3">
      <c r="A10" s="1415"/>
      <c r="B10" s="1417" t="s">
        <v>476</v>
      </c>
      <c r="C10" s="1415"/>
      <c r="D10" s="1415" t="s">
        <v>2006</v>
      </c>
      <c r="E10" s="1419">
        <v>54424.07</v>
      </c>
      <c r="F10" s="1419">
        <v>0</v>
      </c>
      <c r="G10" s="1420">
        <v>54424.07</v>
      </c>
    </row>
    <row r="11" spans="1:7" x14ac:dyDescent="0.3">
      <c r="A11" s="1415"/>
      <c r="B11" s="1417" t="s">
        <v>477</v>
      </c>
      <c r="C11" s="1415"/>
      <c r="D11" s="1415" t="s">
        <v>2006</v>
      </c>
      <c r="E11" s="1419">
        <v>114140</v>
      </c>
      <c r="F11" s="1419">
        <v>0</v>
      </c>
      <c r="G11" s="1420">
        <v>114140</v>
      </c>
    </row>
    <row r="12" spans="1:7" x14ac:dyDescent="0.3">
      <c r="A12" s="1415"/>
      <c r="B12" s="1417" t="s">
        <v>1850</v>
      </c>
      <c r="C12" s="1415"/>
      <c r="D12" s="1415" t="s">
        <v>2006</v>
      </c>
      <c r="E12" s="1419">
        <v>0</v>
      </c>
      <c r="F12" s="1419">
        <v>-5.56</v>
      </c>
      <c r="G12" s="1420">
        <v>-5.56</v>
      </c>
    </row>
    <row r="13" spans="1:7" x14ac:dyDescent="0.3">
      <c r="A13" s="1415"/>
      <c r="B13" s="1417" t="s">
        <v>478</v>
      </c>
      <c r="C13" s="1415"/>
      <c r="D13" s="1415" t="s">
        <v>2006</v>
      </c>
      <c r="E13" s="1419">
        <v>10306.75</v>
      </c>
      <c r="F13" s="1419">
        <v>9487.5499999999993</v>
      </c>
      <c r="G13" s="1420">
        <v>19794.3</v>
      </c>
    </row>
    <row r="14" spans="1:7" x14ac:dyDescent="0.3">
      <c r="A14" s="1415"/>
      <c r="B14" s="1417" t="s">
        <v>596</v>
      </c>
      <c r="C14" s="1415"/>
      <c r="D14" s="1415" t="s">
        <v>2006</v>
      </c>
      <c r="E14" s="1419">
        <v>0</v>
      </c>
      <c r="F14" s="1419">
        <v>1615.8</v>
      </c>
      <c r="G14" s="1420">
        <v>1615.8</v>
      </c>
    </row>
    <row r="15" spans="1:7" x14ac:dyDescent="0.3">
      <c r="A15" s="1415"/>
      <c r="B15" s="1417" t="s">
        <v>479</v>
      </c>
      <c r="C15" s="1415"/>
      <c r="D15" s="1415" t="s">
        <v>2006</v>
      </c>
      <c r="E15" s="1419">
        <v>1259.25</v>
      </c>
      <c r="F15" s="1419">
        <v>0</v>
      </c>
      <c r="G15" s="1420">
        <v>1259.25</v>
      </c>
    </row>
    <row r="16" spans="1:7" x14ac:dyDescent="0.3">
      <c r="A16" s="1415"/>
      <c r="B16" s="1417" t="s">
        <v>598</v>
      </c>
      <c r="C16" s="1415"/>
      <c r="D16" s="1415" t="s">
        <v>2006</v>
      </c>
      <c r="E16" s="1419">
        <v>0</v>
      </c>
      <c r="F16" s="1419">
        <v>2768.79</v>
      </c>
      <c r="G16" s="1420">
        <v>2768.79</v>
      </c>
    </row>
    <row r="17" spans="1:7" x14ac:dyDescent="0.3">
      <c r="A17" s="1415"/>
      <c r="B17" s="1417" t="s">
        <v>600</v>
      </c>
      <c r="C17" s="1415"/>
      <c r="D17" s="1415" t="s">
        <v>2006</v>
      </c>
      <c r="E17" s="1419">
        <v>0</v>
      </c>
      <c r="F17" s="1419">
        <v>2195.9899999999998</v>
      </c>
      <c r="G17" s="1420">
        <v>2195.9899999999998</v>
      </c>
    </row>
    <row r="18" spans="1:7" x14ac:dyDescent="0.3">
      <c r="A18" s="1415"/>
      <c r="B18" s="1417" t="s">
        <v>480</v>
      </c>
      <c r="C18" s="1415"/>
      <c r="D18" s="1415" t="s">
        <v>2006</v>
      </c>
      <c r="E18" s="1419">
        <v>89.21</v>
      </c>
      <c r="F18" s="1419">
        <v>2773.69</v>
      </c>
      <c r="G18" s="1420">
        <v>2862.9</v>
      </c>
    </row>
    <row r="19" spans="1:7" x14ac:dyDescent="0.3">
      <c r="A19" s="1415"/>
      <c r="B19" s="1417" t="s">
        <v>602</v>
      </c>
      <c r="C19" s="1415"/>
      <c r="D19" s="1415" t="s">
        <v>2006</v>
      </c>
      <c r="E19" s="1419">
        <v>0</v>
      </c>
      <c r="F19" s="1419">
        <v>1422.04</v>
      </c>
      <c r="G19" s="1420">
        <v>1422.04</v>
      </c>
    </row>
    <row r="20" spans="1:7" x14ac:dyDescent="0.3">
      <c r="A20" s="1415"/>
      <c r="B20" s="1417" t="s">
        <v>481</v>
      </c>
      <c r="C20" s="1415"/>
      <c r="D20" s="1415" t="s">
        <v>2006</v>
      </c>
      <c r="E20" s="1419">
        <v>464.52</v>
      </c>
      <c r="F20" s="1419">
        <v>6332.37</v>
      </c>
      <c r="G20" s="1420">
        <v>6796.89</v>
      </c>
    </row>
    <row r="21" spans="1:7" x14ac:dyDescent="0.3">
      <c r="A21" s="1415"/>
      <c r="B21" s="1417" t="s">
        <v>812</v>
      </c>
      <c r="C21" s="1415"/>
      <c r="D21" s="1415" t="s">
        <v>2006</v>
      </c>
      <c r="E21" s="1419">
        <v>10700</v>
      </c>
      <c r="F21" s="1419">
        <v>0</v>
      </c>
      <c r="G21" s="1420">
        <v>10700</v>
      </c>
    </row>
    <row r="22" spans="1:7" x14ac:dyDescent="0.3">
      <c r="A22" s="1415"/>
      <c r="B22" s="1417" t="s">
        <v>482</v>
      </c>
      <c r="C22" s="1415"/>
      <c r="D22" s="1415" t="s">
        <v>2006</v>
      </c>
      <c r="E22" s="1419">
        <v>23784.32</v>
      </c>
      <c r="F22" s="1419">
        <v>0</v>
      </c>
      <c r="G22" s="1420">
        <v>23784.32</v>
      </c>
    </row>
    <row r="23" spans="1:7" x14ac:dyDescent="0.3">
      <c r="A23" s="1415"/>
      <c r="B23" s="1417" t="s">
        <v>483</v>
      </c>
      <c r="C23" s="1415"/>
      <c r="D23" s="1415" t="s">
        <v>2006</v>
      </c>
      <c r="E23" s="1419">
        <v>928.16</v>
      </c>
      <c r="F23" s="1419">
        <v>0</v>
      </c>
      <c r="G23" s="1420">
        <v>928.16</v>
      </c>
    </row>
    <row r="24" spans="1:7" x14ac:dyDescent="0.3">
      <c r="A24" s="1415"/>
      <c r="B24" s="1417" t="s">
        <v>605</v>
      </c>
      <c r="C24" s="1415"/>
      <c r="D24" s="1415" t="s">
        <v>2006</v>
      </c>
      <c r="E24" s="1419">
        <v>0</v>
      </c>
      <c r="F24" s="1419">
        <v>11259.33</v>
      </c>
      <c r="G24" s="1420">
        <v>11259.33</v>
      </c>
    </row>
    <row r="25" spans="1:7" x14ac:dyDescent="0.3">
      <c r="A25" s="1415"/>
      <c r="B25" s="1417" t="s">
        <v>486</v>
      </c>
      <c r="C25" s="1415"/>
      <c r="D25" s="1415" t="s">
        <v>2006</v>
      </c>
      <c r="E25" s="1419">
        <v>0</v>
      </c>
      <c r="F25" s="1419">
        <v>20.99</v>
      </c>
      <c r="G25" s="1420">
        <v>20.99</v>
      </c>
    </row>
    <row r="26" spans="1:7" x14ac:dyDescent="0.3">
      <c r="A26" s="1415"/>
      <c r="B26" s="1417" t="s">
        <v>606</v>
      </c>
      <c r="C26" s="1415"/>
      <c r="D26" s="1415" t="s">
        <v>2006</v>
      </c>
      <c r="E26" s="1419">
        <v>0</v>
      </c>
      <c r="F26" s="1419">
        <v>1028.5899999999999</v>
      </c>
      <c r="G26" s="1420">
        <v>1028.5899999999999</v>
      </c>
    </row>
    <row r="27" spans="1:7" x14ac:dyDescent="0.3">
      <c r="A27" s="1415"/>
      <c r="B27" s="1417" t="s">
        <v>608</v>
      </c>
      <c r="C27" s="1415"/>
      <c r="D27" s="1415" t="s">
        <v>2006</v>
      </c>
      <c r="E27" s="1419">
        <v>0</v>
      </c>
      <c r="F27" s="1419">
        <v>2901.19</v>
      </c>
      <c r="G27" s="1420">
        <v>2901.19</v>
      </c>
    </row>
    <row r="28" spans="1:7" x14ac:dyDescent="0.3">
      <c r="A28" s="1415"/>
      <c r="B28" s="1417" t="s">
        <v>2167</v>
      </c>
      <c r="C28" s="1415"/>
      <c r="D28" s="1415" t="s">
        <v>2006</v>
      </c>
      <c r="E28" s="1419">
        <v>24938.14</v>
      </c>
      <c r="F28" s="1419">
        <v>0</v>
      </c>
      <c r="G28" s="1420">
        <v>24938.14</v>
      </c>
    </row>
    <row r="29" spans="1:7" x14ac:dyDescent="0.3">
      <c r="A29" s="1415"/>
      <c r="B29" s="1417" t="s">
        <v>1989</v>
      </c>
      <c r="C29" s="1415"/>
      <c r="D29" s="1415" t="s">
        <v>2006</v>
      </c>
      <c r="E29" s="1419">
        <v>0</v>
      </c>
      <c r="F29" s="1419">
        <v>3646.21</v>
      </c>
      <c r="G29" s="1420">
        <v>3646.21</v>
      </c>
    </row>
    <row r="30" spans="1:7" ht="15" thickBot="1" x14ac:dyDescent="0.35">
      <c r="A30" s="1415"/>
      <c r="B30" s="1417" t="s">
        <v>1990</v>
      </c>
      <c r="C30" s="1415"/>
      <c r="D30" s="1415" t="s">
        <v>2006</v>
      </c>
      <c r="E30" s="1419">
        <v>0</v>
      </c>
      <c r="F30" s="1419">
        <v>2024.57</v>
      </c>
      <c r="G30" s="1420">
        <v>2024.57</v>
      </c>
    </row>
    <row r="31" spans="1:7" x14ac:dyDescent="0.3">
      <c r="A31" s="1417" t="s">
        <v>382</v>
      </c>
      <c r="B31" s="1415"/>
      <c r="C31" s="1415"/>
      <c r="D31" s="1415" t="s">
        <v>2006</v>
      </c>
      <c r="E31" s="1490">
        <v>300911.65000000002</v>
      </c>
      <c r="F31" s="1490">
        <v>77707.33</v>
      </c>
      <c r="G31" s="1493">
        <v>378618.98</v>
      </c>
    </row>
    <row r="32" spans="1:7" x14ac:dyDescent="0.3">
      <c r="A32" s="1417" t="s">
        <v>720</v>
      </c>
      <c r="B32" s="1415"/>
      <c r="C32" s="1415"/>
      <c r="D32" s="1415" t="s">
        <v>2006</v>
      </c>
      <c r="E32" s="1489"/>
      <c r="F32" s="1419">
        <v>0</v>
      </c>
      <c r="G32" s="1420">
        <v>0</v>
      </c>
    </row>
    <row r="33" spans="1:7" ht="15" thickBot="1" x14ac:dyDescent="0.35">
      <c r="A33" s="1415"/>
      <c r="B33" s="1417" t="s">
        <v>490</v>
      </c>
      <c r="C33" s="1415"/>
      <c r="D33" s="1415" t="s">
        <v>2006</v>
      </c>
      <c r="E33" s="1419">
        <v>0</v>
      </c>
      <c r="F33" s="1419">
        <v>198.12</v>
      </c>
      <c r="G33" s="1420">
        <v>198.12</v>
      </c>
    </row>
    <row r="34" spans="1:7" x14ac:dyDescent="0.3">
      <c r="A34" s="1417" t="s">
        <v>721</v>
      </c>
      <c r="B34" s="1415"/>
      <c r="C34" s="1415"/>
      <c r="D34" s="1415" t="s">
        <v>2006</v>
      </c>
      <c r="E34" s="1491"/>
      <c r="F34" s="1490">
        <v>198.12</v>
      </c>
      <c r="G34" s="1493">
        <v>198.12</v>
      </c>
    </row>
    <row r="35" spans="1:7" x14ac:dyDescent="0.3">
      <c r="A35" s="1417" t="s">
        <v>383</v>
      </c>
      <c r="B35" s="1415"/>
      <c r="C35" s="1415"/>
      <c r="D35" s="1415" t="s">
        <v>2006</v>
      </c>
      <c r="E35" s="1419">
        <v>0</v>
      </c>
      <c r="F35" s="1419">
        <v>0</v>
      </c>
      <c r="G35" s="1420">
        <v>0</v>
      </c>
    </row>
    <row r="36" spans="1:7" x14ac:dyDescent="0.3">
      <c r="A36" s="1415"/>
      <c r="B36" s="1417" t="s">
        <v>610</v>
      </c>
      <c r="C36" s="1415"/>
      <c r="D36" s="1415" t="s">
        <v>2006</v>
      </c>
      <c r="E36" s="1419">
        <v>0</v>
      </c>
      <c r="F36" s="1419">
        <v>948.31</v>
      </c>
      <c r="G36" s="1420">
        <v>948.31</v>
      </c>
    </row>
    <row r="37" spans="1:7" x14ac:dyDescent="0.3">
      <c r="A37" s="1415"/>
      <c r="B37" s="1417" t="s">
        <v>2168</v>
      </c>
      <c r="C37" s="1415"/>
      <c r="D37" s="1415" t="s">
        <v>2006</v>
      </c>
      <c r="E37" s="1419">
        <v>-75000</v>
      </c>
      <c r="F37" s="1419">
        <v>0</v>
      </c>
      <c r="G37" s="1420">
        <v>-75000</v>
      </c>
    </row>
    <row r="38" spans="1:7" x14ac:dyDescent="0.3">
      <c r="A38" s="1415"/>
      <c r="B38" s="1417" t="s">
        <v>492</v>
      </c>
      <c r="C38" s="1415"/>
      <c r="D38" s="1415" t="s">
        <v>2006</v>
      </c>
      <c r="E38" s="1419">
        <v>0</v>
      </c>
      <c r="F38" s="1419">
        <v>214.77</v>
      </c>
      <c r="G38" s="1420">
        <v>214.77</v>
      </c>
    </row>
    <row r="39" spans="1:7" x14ac:dyDescent="0.3">
      <c r="A39" s="1415"/>
      <c r="B39" s="1417" t="s">
        <v>493</v>
      </c>
      <c r="C39" s="1415"/>
      <c r="D39" s="1415" t="s">
        <v>2006</v>
      </c>
      <c r="E39" s="1419">
        <v>0</v>
      </c>
      <c r="F39" s="1419">
        <v>-2769.58</v>
      </c>
      <c r="G39" s="1420">
        <v>-2769.58</v>
      </c>
    </row>
    <row r="40" spans="1:7" ht="15" thickBot="1" x14ac:dyDescent="0.35">
      <c r="A40" s="1415"/>
      <c r="B40" s="1417" t="s">
        <v>612</v>
      </c>
      <c r="C40" s="1415"/>
      <c r="D40" s="1415" t="s">
        <v>2006</v>
      </c>
      <c r="E40" s="1419">
        <v>0</v>
      </c>
      <c r="F40" s="1419">
        <v>201.26</v>
      </c>
      <c r="G40" s="1420">
        <v>201.26</v>
      </c>
    </row>
    <row r="41" spans="1:7" ht="15" thickBot="1" x14ac:dyDescent="0.35">
      <c r="A41" s="1417" t="s">
        <v>384</v>
      </c>
      <c r="B41" s="1415"/>
      <c r="C41" s="1415"/>
      <c r="D41" s="1415" t="s">
        <v>2006</v>
      </c>
      <c r="E41" s="1490">
        <v>-75000</v>
      </c>
      <c r="F41" s="1490">
        <v>-1405.24</v>
      </c>
      <c r="G41" s="1493">
        <v>-76405.240000000005</v>
      </c>
    </row>
    <row r="42" spans="1:7" x14ac:dyDescent="0.3">
      <c r="A42" s="1417" t="s">
        <v>385</v>
      </c>
      <c r="B42" s="1415"/>
      <c r="C42" s="1415"/>
      <c r="D42" s="1415" t="s">
        <v>2006</v>
      </c>
      <c r="E42" s="1490">
        <v>-225911.65</v>
      </c>
      <c r="F42" s="1490">
        <v>204746.49</v>
      </c>
      <c r="G42" s="1493">
        <v>-21165.16</v>
      </c>
    </row>
    <row r="43" spans="1:7" x14ac:dyDescent="0.3">
      <c r="A43" s="1417" t="s">
        <v>2153</v>
      </c>
      <c r="B43" s="1415"/>
      <c r="C43" s="1415"/>
      <c r="D43" s="1415" t="s">
        <v>2006</v>
      </c>
      <c r="E43" s="1489"/>
      <c r="F43" s="1419">
        <v>0</v>
      </c>
      <c r="G43" s="1420">
        <v>0</v>
      </c>
    </row>
    <row r="44" spans="1:7" ht="15" thickBot="1" x14ac:dyDescent="0.35">
      <c r="A44" s="1415"/>
      <c r="B44" s="1417" t="s">
        <v>572</v>
      </c>
      <c r="C44" s="1415"/>
      <c r="D44" s="1415" t="s">
        <v>2006</v>
      </c>
      <c r="E44" s="1419">
        <v>0</v>
      </c>
      <c r="F44" s="1419">
        <v>3150</v>
      </c>
      <c r="G44" s="1420">
        <v>3150</v>
      </c>
    </row>
    <row r="45" spans="1:7" x14ac:dyDescent="0.3">
      <c r="A45" s="1417" t="s">
        <v>2154</v>
      </c>
      <c r="B45" s="1415"/>
      <c r="C45" s="1415"/>
      <c r="D45" s="1415" t="s">
        <v>2006</v>
      </c>
      <c r="E45" s="1491"/>
      <c r="F45" s="1490">
        <v>3150</v>
      </c>
      <c r="G45" s="1493">
        <v>3150</v>
      </c>
    </row>
    <row r="46" spans="1:7" x14ac:dyDescent="0.3">
      <c r="A46" s="1417" t="s">
        <v>2155</v>
      </c>
      <c r="B46" s="1415"/>
      <c r="C46" s="1415"/>
      <c r="D46" s="1415" t="s">
        <v>2006</v>
      </c>
      <c r="E46" s="1489"/>
      <c r="F46" s="1419">
        <v>0</v>
      </c>
      <c r="G46" s="1420">
        <v>0</v>
      </c>
    </row>
    <row r="47" spans="1:7" x14ac:dyDescent="0.3">
      <c r="A47" s="1415"/>
      <c r="B47" s="1417" t="s">
        <v>575</v>
      </c>
      <c r="C47" s="1415"/>
      <c r="D47" s="1415" t="s">
        <v>2006</v>
      </c>
      <c r="E47" s="1489"/>
      <c r="F47" s="1419">
        <v>90</v>
      </c>
      <c r="G47" s="1420">
        <v>90</v>
      </c>
    </row>
    <row r="48" spans="1:7" x14ac:dyDescent="0.3">
      <c r="A48" s="1415"/>
      <c r="B48" s="1415"/>
      <c r="C48" s="1417" t="s">
        <v>2156</v>
      </c>
      <c r="D48" s="1415" t="s">
        <v>2006</v>
      </c>
      <c r="E48" s="1419">
        <v>0</v>
      </c>
      <c r="F48" s="1419">
        <v>-251333.95</v>
      </c>
      <c r="G48" s="1420">
        <v>-251333.95</v>
      </c>
    </row>
    <row r="49" spans="1:7" x14ac:dyDescent="0.3">
      <c r="A49" s="1415"/>
      <c r="B49" s="1415"/>
      <c r="C49" s="1417" t="s">
        <v>2169</v>
      </c>
      <c r="D49" s="1415" t="s">
        <v>2006</v>
      </c>
      <c r="E49" s="1419">
        <v>0</v>
      </c>
      <c r="F49" s="1419">
        <v>-15460.46</v>
      </c>
      <c r="G49" s="1420">
        <v>-15460.46</v>
      </c>
    </row>
    <row r="50" spans="1:7" ht="15" thickBot="1" x14ac:dyDescent="0.35">
      <c r="A50" s="1415"/>
      <c r="B50" s="1415"/>
      <c r="C50" s="1417" t="s">
        <v>2157</v>
      </c>
      <c r="D50" s="1415" t="s">
        <v>2006</v>
      </c>
      <c r="E50" s="1419">
        <v>0</v>
      </c>
      <c r="F50" s="1419">
        <v>-10833.14</v>
      </c>
      <c r="G50" s="1420">
        <v>-10833.14</v>
      </c>
    </row>
    <row r="51" spans="1:7" x14ac:dyDescent="0.3">
      <c r="A51" s="1415"/>
      <c r="B51" s="1417" t="s">
        <v>726</v>
      </c>
      <c r="C51" s="1415"/>
      <c r="D51" s="1415" t="s">
        <v>2006</v>
      </c>
      <c r="E51" s="1491"/>
      <c r="F51" s="1490">
        <v>-277537.55</v>
      </c>
      <c r="G51" s="1493">
        <v>-277537.55</v>
      </c>
    </row>
    <row r="52" spans="1:7" ht="15" thickBot="1" x14ac:dyDescent="0.35">
      <c r="A52" s="1415"/>
      <c r="B52" s="1417" t="s">
        <v>584</v>
      </c>
      <c r="C52" s="1415"/>
      <c r="D52" s="1415" t="s">
        <v>2006</v>
      </c>
      <c r="E52" s="1419">
        <v>0</v>
      </c>
      <c r="F52" s="1419">
        <v>-162.91</v>
      </c>
      <c r="G52" s="1420">
        <v>-162.91</v>
      </c>
    </row>
    <row r="53" spans="1:7" ht="15" thickBot="1" x14ac:dyDescent="0.35">
      <c r="A53" s="1417" t="s">
        <v>2158</v>
      </c>
      <c r="B53" s="1415"/>
      <c r="C53" s="1415"/>
      <c r="D53" s="1415" t="s">
        <v>2006</v>
      </c>
      <c r="E53" s="1492"/>
      <c r="F53" s="1486">
        <v>-277700.46000000002</v>
      </c>
      <c r="G53" s="1488">
        <v>-277700.46000000002</v>
      </c>
    </row>
    <row r="54" spans="1:7" ht="15" thickTop="1" x14ac:dyDescent="0.3">
      <c r="A54" s="1410"/>
      <c r="B54" s="1410"/>
      <c r="C54" s="1410"/>
      <c r="D54" s="1410"/>
      <c r="E54" s="1485"/>
      <c r="F54" s="1485"/>
      <c r="G54" s="1485"/>
    </row>
    <row r="55" spans="1:7" x14ac:dyDescent="0.3">
      <c r="A55" s="1410"/>
      <c r="B55" s="1410"/>
      <c r="C55" s="1410"/>
      <c r="D55" s="1410"/>
      <c r="E55" s="1485"/>
      <c r="F55" s="1485"/>
      <c r="G55" s="1485"/>
    </row>
    <row r="56" spans="1:7" x14ac:dyDescent="0.3">
      <c r="A56" s="1410"/>
      <c r="B56" s="1410"/>
      <c r="C56" s="1410"/>
      <c r="D56" s="1410"/>
      <c r="E56" s="1485"/>
      <c r="F56" s="1485"/>
      <c r="G56" s="1485"/>
    </row>
    <row r="57" spans="1:7" x14ac:dyDescent="0.3">
      <c r="A57" s="1410"/>
      <c r="B57" s="1410"/>
      <c r="C57" s="1410"/>
      <c r="D57" s="1410"/>
      <c r="E57" s="1485"/>
      <c r="F57" s="1485"/>
      <c r="G57" s="1485"/>
    </row>
    <row r="58" spans="1:7" x14ac:dyDescent="0.3">
      <c r="A58" s="1410"/>
      <c r="B58" s="1410"/>
      <c r="C58" s="1410"/>
      <c r="D58" s="1410"/>
      <c r="E58" s="1485"/>
      <c r="F58" s="1485"/>
      <c r="G58" s="1485"/>
    </row>
    <row r="59" spans="1:7" x14ac:dyDescent="0.3">
      <c r="A59" s="1410"/>
      <c r="B59" s="1410"/>
      <c r="C59" s="1410"/>
      <c r="D59" s="1410"/>
      <c r="E59" s="1485"/>
      <c r="F59" s="1485"/>
      <c r="G59" s="1485"/>
    </row>
    <row r="60" spans="1:7" x14ac:dyDescent="0.3">
      <c r="A60" s="1410"/>
      <c r="B60" s="1410"/>
      <c r="C60" s="1410"/>
      <c r="D60" s="1410"/>
      <c r="E60" s="1485"/>
      <c r="F60" s="1485"/>
      <c r="G60" s="1485"/>
    </row>
    <row r="61" spans="1:7" x14ac:dyDescent="0.3">
      <c r="A61" s="1410"/>
      <c r="B61" s="1410"/>
      <c r="C61" s="1410"/>
      <c r="D61" s="1410"/>
      <c r="E61" s="1485"/>
      <c r="F61" s="1485"/>
      <c r="G61" s="1485"/>
    </row>
    <row r="62" spans="1:7" x14ac:dyDescent="0.3">
      <c r="A62" s="1410"/>
      <c r="B62" s="1410"/>
      <c r="C62" s="1410"/>
      <c r="D62" s="1410"/>
      <c r="E62" s="1485"/>
      <c r="F62" s="1485"/>
      <c r="G62" s="1485"/>
    </row>
    <row r="63" spans="1:7" x14ac:dyDescent="0.3">
      <c r="A63" s="1410"/>
      <c r="B63" s="1410"/>
      <c r="C63" s="1410"/>
      <c r="D63" s="1410"/>
      <c r="E63" s="1485"/>
      <c r="F63" s="1485"/>
      <c r="G63" s="1485"/>
    </row>
    <row r="64" spans="1:7" x14ac:dyDescent="0.3">
      <c r="A64" s="1410"/>
      <c r="B64" s="1410"/>
      <c r="C64" s="1410"/>
      <c r="D64" s="1410"/>
      <c r="E64" s="1485"/>
      <c r="F64" s="1485"/>
      <c r="G64" s="1485"/>
    </row>
    <row r="65" spans="1:7" x14ac:dyDescent="0.3">
      <c r="A65" s="1410"/>
      <c r="B65" s="1410"/>
      <c r="C65" s="1410"/>
      <c r="D65" s="1410"/>
      <c r="E65" s="1485"/>
      <c r="F65" s="1485"/>
      <c r="G65" s="1485"/>
    </row>
    <row r="66" spans="1:7" x14ac:dyDescent="0.3">
      <c r="A66" s="1410"/>
      <c r="B66" s="1410"/>
      <c r="C66" s="1410"/>
      <c r="D66" s="1410"/>
      <c r="E66" s="1485"/>
      <c r="F66" s="1485"/>
      <c r="G66" s="1485"/>
    </row>
    <row r="67" spans="1:7" x14ac:dyDescent="0.3">
      <c r="A67" s="1410"/>
      <c r="B67" s="1410"/>
      <c r="C67" s="1410"/>
      <c r="D67" s="1410"/>
      <c r="E67" s="1485"/>
      <c r="F67" s="1485"/>
      <c r="G67" s="1485"/>
    </row>
    <row r="68" spans="1:7" x14ac:dyDescent="0.3">
      <c r="A68" s="1410"/>
      <c r="B68" s="1410"/>
      <c r="C68" s="1410"/>
      <c r="D68" s="1410"/>
      <c r="E68" s="1485"/>
      <c r="F68" s="1485"/>
      <c r="G68" s="1485"/>
    </row>
    <row r="69" spans="1:7" x14ac:dyDescent="0.3">
      <c r="A69" s="1410"/>
      <c r="B69" s="1410"/>
      <c r="C69" s="1410"/>
      <c r="D69" s="1410"/>
      <c r="E69" s="1485"/>
      <c r="F69" s="1485"/>
      <c r="G69" s="1485"/>
    </row>
    <row r="70" spans="1:7" x14ac:dyDescent="0.3">
      <c r="A70" s="1410"/>
      <c r="B70" s="1410"/>
      <c r="C70" s="1410"/>
      <c r="D70" s="1410"/>
      <c r="E70" s="1485"/>
      <c r="F70" s="1485"/>
      <c r="G70" s="1485"/>
    </row>
    <row r="71" spans="1:7" x14ac:dyDescent="0.3">
      <c r="A71" s="1410"/>
      <c r="B71" s="1410"/>
      <c r="C71" s="1410"/>
      <c r="D71" s="1410"/>
      <c r="E71" s="1485"/>
      <c r="F71" s="1485"/>
      <c r="G71" s="1485"/>
    </row>
    <row r="72" spans="1:7" x14ac:dyDescent="0.3">
      <c r="A72" s="1410"/>
      <c r="B72" s="1410"/>
      <c r="C72" s="1410"/>
      <c r="D72" s="1410"/>
      <c r="E72" s="1485"/>
      <c r="F72" s="1485"/>
      <c r="G72" s="1485"/>
    </row>
    <row r="73" spans="1:7" x14ac:dyDescent="0.3">
      <c r="A73" s="1410"/>
      <c r="B73" s="1410"/>
      <c r="C73" s="1410"/>
      <c r="D73" s="1410"/>
      <c r="E73" s="1485"/>
      <c r="F73" s="1485"/>
      <c r="G73" s="1485"/>
    </row>
    <row r="74" spans="1:7" x14ac:dyDescent="0.3">
      <c r="A74" s="1410"/>
      <c r="B74" s="1410"/>
      <c r="C74" s="1410"/>
      <c r="D74" s="1410"/>
      <c r="E74" s="1485"/>
      <c r="F74" s="1485"/>
      <c r="G74" s="1485"/>
    </row>
    <row r="75" spans="1:7" x14ac:dyDescent="0.3">
      <c r="A75" s="1410"/>
      <c r="B75" s="1410"/>
      <c r="C75" s="1410"/>
      <c r="D75" s="1410"/>
      <c r="E75" s="1485"/>
      <c r="F75" s="1485"/>
      <c r="G75" s="1485"/>
    </row>
    <row r="76" spans="1:7" x14ac:dyDescent="0.3">
      <c r="A76" s="1410"/>
      <c r="B76" s="1410"/>
      <c r="C76" s="1410"/>
      <c r="D76" s="1410"/>
      <c r="E76" s="1485"/>
      <c r="F76" s="1485"/>
      <c r="G76" s="1485"/>
    </row>
    <row r="77" spans="1:7" x14ac:dyDescent="0.3">
      <c r="A77" s="1410"/>
      <c r="B77" s="1410"/>
      <c r="C77" s="1410"/>
      <c r="D77" s="1410"/>
      <c r="E77" s="1485"/>
      <c r="F77" s="1485"/>
      <c r="G77" s="1485"/>
    </row>
    <row r="78" spans="1:7" x14ac:dyDescent="0.3">
      <c r="A78" s="1410"/>
      <c r="B78" s="1410"/>
      <c r="C78" s="1410"/>
      <c r="D78" s="1410"/>
      <c r="E78" s="1485"/>
      <c r="F78" s="1485"/>
      <c r="G78" s="1485"/>
    </row>
    <row r="79" spans="1:7" x14ac:dyDescent="0.3">
      <c r="A79" s="1410"/>
      <c r="B79" s="1410"/>
      <c r="C79" s="1410"/>
      <c r="D79" s="1410"/>
      <c r="E79" s="1485"/>
      <c r="F79" s="1485"/>
      <c r="G79" s="1485"/>
    </row>
    <row r="80" spans="1:7" x14ac:dyDescent="0.3">
      <c r="A80" s="1410"/>
      <c r="B80" s="1410"/>
      <c r="C80" s="1410"/>
      <c r="D80" s="1410"/>
      <c r="E80" s="1485"/>
      <c r="F80" s="1485"/>
      <c r="G80" s="1485"/>
    </row>
    <row r="81" spans="1:7" x14ac:dyDescent="0.3">
      <c r="A81" s="1410"/>
      <c r="B81" s="1410"/>
      <c r="C81" s="1410"/>
      <c r="D81" s="1410"/>
      <c r="E81" s="1485"/>
      <c r="F81" s="1485"/>
      <c r="G81" s="1485"/>
    </row>
    <row r="82" spans="1:7" x14ac:dyDescent="0.3">
      <c r="A82" s="1410"/>
      <c r="B82" s="1410"/>
      <c r="C82" s="1410"/>
      <c r="D82" s="1410"/>
      <c r="E82" s="1485"/>
      <c r="F82" s="1485"/>
      <c r="G82" s="1485"/>
    </row>
    <row r="83" spans="1:7" x14ac:dyDescent="0.3">
      <c r="A83" s="1410"/>
      <c r="B83" s="1410"/>
      <c r="C83" s="1410"/>
      <c r="D83" s="1410"/>
      <c r="E83" s="1485"/>
      <c r="F83" s="1485"/>
      <c r="G83" s="1485"/>
    </row>
    <row r="84" spans="1:7" x14ac:dyDescent="0.3">
      <c r="A84" s="1410"/>
      <c r="B84" s="1410"/>
      <c r="C84" s="1410"/>
      <c r="D84" s="1410"/>
      <c r="E84" s="1485"/>
      <c r="F84" s="1485"/>
      <c r="G84" s="1485"/>
    </row>
    <row r="85" spans="1:7" x14ac:dyDescent="0.3">
      <c r="A85" s="1410"/>
      <c r="B85" s="1410"/>
      <c r="C85" s="1410"/>
      <c r="D85" s="1410"/>
      <c r="E85" s="1485"/>
      <c r="F85" s="1485"/>
      <c r="G85" s="1485"/>
    </row>
    <row r="86" spans="1:7" x14ac:dyDescent="0.3">
      <c r="A86" s="1410"/>
      <c r="B86" s="1410"/>
      <c r="C86" s="1410"/>
      <c r="D86" s="1410"/>
      <c r="E86" s="1485"/>
      <c r="F86" s="1485"/>
      <c r="G86" s="1485"/>
    </row>
    <row r="87" spans="1:7" x14ac:dyDescent="0.3">
      <c r="A87" s="1410"/>
      <c r="B87" s="1410"/>
      <c r="C87" s="1410"/>
      <c r="D87" s="1410"/>
      <c r="E87" s="1485"/>
      <c r="F87" s="1485"/>
      <c r="G87" s="1485"/>
    </row>
    <row r="88" spans="1:7" x14ac:dyDescent="0.3">
      <c r="A88" s="1410"/>
      <c r="B88" s="1410"/>
      <c r="C88" s="1410"/>
      <c r="D88" s="1410"/>
      <c r="E88" s="1485"/>
      <c r="F88" s="1485"/>
      <c r="G88" s="1485"/>
    </row>
    <row r="89" spans="1:7" x14ac:dyDescent="0.3">
      <c r="A89" s="1410"/>
      <c r="B89" s="1410"/>
      <c r="C89" s="1410"/>
      <c r="D89" s="1410"/>
      <c r="E89" s="1485"/>
      <c r="F89" s="1485"/>
      <c r="G89" s="1485"/>
    </row>
    <row r="90" spans="1:7" x14ac:dyDescent="0.3">
      <c r="A90" s="1410"/>
      <c r="B90" s="1410"/>
      <c r="C90" s="1410"/>
      <c r="D90" s="1410"/>
      <c r="E90" s="1485"/>
      <c r="F90" s="1485"/>
      <c r="G90" s="1485"/>
    </row>
    <row r="91" spans="1:7" x14ac:dyDescent="0.3">
      <c r="A91" s="1410"/>
      <c r="B91" s="1410"/>
      <c r="C91" s="1410"/>
      <c r="D91" s="1410"/>
      <c r="E91" s="1485"/>
      <c r="F91" s="1485"/>
      <c r="G91" s="1485"/>
    </row>
    <row r="92" spans="1:7" x14ac:dyDescent="0.3">
      <c r="A92" s="1410"/>
      <c r="B92" s="1410"/>
      <c r="C92" s="1410"/>
      <c r="D92" s="1410"/>
      <c r="E92" s="1485"/>
      <c r="F92" s="1485"/>
      <c r="G92" s="1485"/>
    </row>
    <row r="93" spans="1:7" x14ac:dyDescent="0.3">
      <c r="A93" s="1410"/>
      <c r="B93" s="1410"/>
      <c r="C93" s="1410"/>
      <c r="D93" s="1410"/>
      <c r="E93" s="1485"/>
      <c r="F93" s="1485"/>
      <c r="G93" s="1485"/>
    </row>
    <row r="94" spans="1:7" x14ac:dyDescent="0.3">
      <c r="A94" s="1410"/>
      <c r="B94" s="1410"/>
      <c r="C94" s="1410"/>
      <c r="D94" s="1410"/>
      <c r="E94" s="1485"/>
      <c r="F94" s="1485"/>
      <c r="G94" s="1485"/>
    </row>
    <row r="95" spans="1:7" x14ac:dyDescent="0.3">
      <c r="A95" s="1410"/>
      <c r="B95" s="1410"/>
      <c r="C95" s="1410"/>
      <c r="D95" s="1410"/>
      <c r="E95" s="1485"/>
      <c r="F95" s="1485"/>
      <c r="G95" s="1485"/>
    </row>
    <row r="96" spans="1:7" x14ac:dyDescent="0.3">
      <c r="A96" s="1410"/>
      <c r="B96" s="1410"/>
      <c r="C96" s="1410"/>
      <c r="D96" s="1410"/>
      <c r="E96" s="1485"/>
      <c r="F96" s="1485"/>
      <c r="G96" s="1485"/>
    </row>
    <row r="97" spans="1:7" x14ac:dyDescent="0.3">
      <c r="A97" s="1410"/>
      <c r="B97" s="1410"/>
      <c r="C97" s="1410"/>
      <c r="D97" s="1410"/>
      <c r="E97" s="1485"/>
      <c r="F97" s="1485"/>
      <c r="G97" s="1485"/>
    </row>
    <row r="98" spans="1:7" x14ac:dyDescent="0.3">
      <c r="A98" s="1410"/>
      <c r="B98" s="1410"/>
      <c r="C98" s="1410"/>
      <c r="D98" s="1410"/>
      <c r="E98" s="1485"/>
      <c r="F98" s="1485"/>
      <c r="G98" s="1485"/>
    </row>
    <row r="99" spans="1:7" x14ac:dyDescent="0.3">
      <c r="A99" s="1410"/>
      <c r="B99" s="1410"/>
      <c r="C99" s="1410"/>
      <c r="D99" s="1410"/>
      <c r="E99" s="1485"/>
      <c r="F99" s="1485"/>
      <c r="G99" s="1485"/>
    </row>
    <row r="100" spans="1:7" x14ac:dyDescent="0.3">
      <c r="A100" s="1410"/>
      <c r="B100" s="1410"/>
      <c r="C100" s="1410"/>
      <c r="D100" s="1410"/>
      <c r="E100" s="1485"/>
      <c r="F100" s="1485"/>
      <c r="G100" s="1485"/>
    </row>
    <row r="101" spans="1:7" x14ac:dyDescent="0.3">
      <c r="A101" s="1410"/>
      <c r="B101" s="1410"/>
      <c r="C101" s="1410"/>
      <c r="D101" s="1410"/>
      <c r="E101" s="1485"/>
      <c r="F101" s="1485"/>
      <c r="G101" s="1485"/>
    </row>
    <row r="102" spans="1:7" x14ac:dyDescent="0.3">
      <c r="A102" s="1410"/>
      <c r="B102" s="1410"/>
      <c r="C102" s="1410"/>
      <c r="D102" s="1410"/>
      <c r="E102" s="1485"/>
      <c r="F102" s="1485"/>
      <c r="G102" s="1485"/>
    </row>
    <row r="103" spans="1:7" x14ac:dyDescent="0.3">
      <c r="A103" s="1410"/>
      <c r="B103" s="1410"/>
      <c r="C103" s="1410"/>
      <c r="D103" s="1410"/>
      <c r="E103" s="1485"/>
      <c r="F103" s="1485"/>
      <c r="G103" s="1485"/>
    </row>
    <row r="104" spans="1:7" x14ac:dyDescent="0.3">
      <c r="A104" s="1410"/>
      <c r="B104" s="1410"/>
      <c r="C104" s="1410"/>
      <c r="D104" s="1410"/>
      <c r="E104" s="1485"/>
      <c r="F104" s="1485"/>
      <c r="G104" s="1485"/>
    </row>
    <row r="105" spans="1:7" x14ac:dyDescent="0.3">
      <c r="A105" s="1410"/>
      <c r="B105" s="1410"/>
      <c r="C105" s="1410"/>
      <c r="D105" s="1410"/>
      <c r="E105" s="1485"/>
      <c r="F105" s="1485"/>
      <c r="G105" s="1485"/>
    </row>
    <row r="106" spans="1:7" x14ac:dyDescent="0.3">
      <c r="A106" s="1410"/>
      <c r="B106" s="1410"/>
      <c r="C106" s="1410"/>
      <c r="D106" s="1410"/>
      <c r="E106" s="1485"/>
      <c r="F106" s="1485"/>
      <c r="G106" s="1485"/>
    </row>
    <row r="107" spans="1:7" x14ac:dyDescent="0.3">
      <c r="A107" s="1410"/>
      <c r="B107" s="1410"/>
      <c r="C107" s="1410"/>
      <c r="D107" s="1410"/>
      <c r="E107" s="1485"/>
      <c r="F107" s="1485"/>
      <c r="G107" s="1485"/>
    </row>
    <row r="108" spans="1:7" x14ac:dyDescent="0.3">
      <c r="A108" s="1410"/>
      <c r="B108" s="1410"/>
      <c r="C108" s="1410"/>
      <c r="D108" s="1410"/>
      <c r="E108" s="1485"/>
      <c r="F108" s="1485"/>
      <c r="G108" s="1485"/>
    </row>
    <row r="109" spans="1:7" x14ac:dyDescent="0.3">
      <c r="A109" s="1410"/>
      <c r="B109" s="1410"/>
      <c r="C109" s="1410"/>
      <c r="D109" s="1410"/>
      <c r="E109" s="1485"/>
      <c r="F109" s="1485"/>
      <c r="G109" s="1485"/>
    </row>
    <row r="110" spans="1:7" x14ac:dyDescent="0.3">
      <c r="A110" s="1410"/>
      <c r="B110" s="1410"/>
      <c r="C110" s="1410"/>
      <c r="D110" s="1410"/>
      <c r="E110" s="1485"/>
      <c r="F110" s="1485"/>
      <c r="G110" s="1485"/>
    </row>
    <row r="111" spans="1:7" x14ac:dyDescent="0.3">
      <c r="A111" s="1410"/>
      <c r="B111" s="1410"/>
      <c r="C111" s="1410"/>
      <c r="D111" s="1410"/>
      <c r="E111" s="1485"/>
      <c r="F111" s="1485"/>
      <c r="G111" s="1485"/>
    </row>
    <row r="112" spans="1:7" x14ac:dyDescent="0.3">
      <c r="A112" s="1410"/>
      <c r="B112" s="1410"/>
      <c r="C112" s="1410"/>
      <c r="D112" s="1410"/>
      <c r="E112" s="1485"/>
      <c r="F112" s="1485"/>
      <c r="G112" s="1485"/>
    </row>
    <row r="113" spans="1:7" x14ac:dyDescent="0.3">
      <c r="A113" s="1410"/>
      <c r="B113" s="1410"/>
      <c r="C113" s="1410"/>
      <c r="D113" s="1410"/>
      <c r="E113" s="1485"/>
      <c r="F113" s="1485"/>
      <c r="G113" s="1485"/>
    </row>
    <row r="114" spans="1:7" x14ac:dyDescent="0.3">
      <c r="A114" s="1410"/>
      <c r="B114" s="1410"/>
      <c r="C114" s="1410"/>
      <c r="D114" s="1410"/>
      <c r="E114" s="1485"/>
      <c r="F114" s="1485"/>
      <c r="G114" s="1485"/>
    </row>
    <row r="115" spans="1:7" x14ac:dyDescent="0.3">
      <c r="A115" s="1410"/>
      <c r="B115" s="1410"/>
      <c r="C115" s="1410"/>
      <c r="D115" s="1410"/>
      <c r="E115" s="1485"/>
      <c r="F115" s="1485"/>
      <c r="G115" s="1485"/>
    </row>
    <row r="116" spans="1:7" x14ac:dyDescent="0.3">
      <c r="A116" s="1410"/>
      <c r="B116" s="1410"/>
      <c r="C116" s="1410"/>
      <c r="D116" s="1410"/>
      <c r="E116" s="1485"/>
      <c r="F116" s="1485"/>
      <c r="G116" s="1485"/>
    </row>
    <row r="117" spans="1:7" x14ac:dyDescent="0.3">
      <c r="A117" s="1410"/>
      <c r="B117" s="1410"/>
      <c r="C117" s="1410"/>
      <c r="D117" s="1410"/>
      <c r="E117" s="1485"/>
      <c r="F117" s="1485"/>
      <c r="G117" s="1485"/>
    </row>
    <row r="118" spans="1:7" x14ac:dyDescent="0.3">
      <c r="A118" s="1410"/>
      <c r="B118" s="1410"/>
      <c r="C118" s="1410"/>
      <c r="D118" s="1410"/>
      <c r="E118" s="1485"/>
      <c r="F118" s="1485"/>
      <c r="G118" s="1485"/>
    </row>
    <row r="119" spans="1:7" x14ac:dyDescent="0.3">
      <c r="A119" s="1410"/>
      <c r="B119" s="1410"/>
      <c r="C119" s="1410"/>
      <c r="D119" s="1410"/>
      <c r="E119" s="1485"/>
      <c r="F119" s="1485"/>
      <c r="G119" s="1485"/>
    </row>
    <row r="120" spans="1:7" x14ac:dyDescent="0.3">
      <c r="A120" s="1410"/>
      <c r="B120" s="1410"/>
      <c r="C120" s="1410"/>
      <c r="D120" s="1410"/>
      <c r="E120" s="1485"/>
      <c r="F120" s="1485"/>
      <c r="G120" s="1485"/>
    </row>
    <row r="121" spans="1:7" x14ac:dyDescent="0.3">
      <c r="A121" s="1410"/>
      <c r="B121" s="1410"/>
      <c r="C121" s="1410"/>
      <c r="D121" s="1410"/>
      <c r="E121" s="1485"/>
      <c r="F121" s="1485"/>
      <c r="G121" s="1485"/>
    </row>
    <row r="122" spans="1:7" x14ac:dyDescent="0.3">
      <c r="A122" s="1410"/>
      <c r="B122" s="1410"/>
      <c r="C122" s="1410"/>
      <c r="D122" s="1410"/>
      <c r="E122" s="1485"/>
      <c r="F122" s="1485"/>
      <c r="G122" s="1485"/>
    </row>
    <row r="123" spans="1:7" x14ac:dyDescent="0.3">
      <c r="A123" s="1410"/>
      <c r="B123" s="1410"/>
      <c r="C123" s="1410"/>
      <c r="D123" s="1410"/>
      <c r="E123" s="1485"/>
      <c r="F123" s="1485"/>
      <c r="G123" s="1485"/>
    </row>
    <row r="124" spans="1:7" x14ac:dyDescent="0.3">
      <c r="A124" s="1410"/>
      <c r="B124" s="1410"/>
      <c r="C124" s="1410"/>
      <c r="D124" s="1410"/>
      <c r="E124" s="1485"/>
      <c r="F124" s="1485"/>
      <c r="G124" s="1485"/>
    </row>
    <row r="125" spans="1:7" x14ac:dyDescent="0.3">
      <c r="A125" s="1410"/>
      <c r="B125" s="1410"/>
      <c r="C125" s="1410"/>
      <c r="D125" s="1410"/>
      <c r="E125" s="1485"/>
      <c r="F125" s="1485"/>
      <c r="G125" s="1485"/>
    </row>
    <row r="126" spans="1:7" x14ac:dyDescent="0.3">
      <c r="A126" s="1410"/>
      <c r="B126" s="1410"/>
      <c r="C126" s="1410"/>
      <c r="D126" s="1410"/>
      <c r="E126" s="1485"/>
      <c r="F126" s="1485"/>
      <c r="G126" s="1485"/>
    </row>
    <row r="127" spans="1:7" x14ac:dyDescent="0.3">
      <c r="A127" s="1410"/>
      <c r="B127" s="1410"/>
      <c r="C127" s="1410"/>
      <c r="D127" s="1410"/>
      <c r="E127" s="1485"/>
      <c r="F127" s="1485"/>
      <c r="G127" s="1485"/>
    </row>
    <row r="128" spans="1:7" x14ac:dyDescent="0.3">
      <c r="A128" s="1410"/>
      <c r="B128" s="1410"/>
      <c r="C128" s="1410"/>
      <c r="D128" s="1410"/>
      <c r="E128" s="1485"/>
      <c r="F128" s="1485"/>
      <c r="G128" s="1485"/>
    </row>
    <row r="129" spans="1:7" x14ac:dyDescent="0.3">
      <c r="A129" s="1410"/>
      <c r="B129" s="1410"/>
      <c r="C129" s="1410"/>
      <c r="D129" s="1410"/>
      <c r="E129" s="1485"/>
      <c r="F129" s="1485"/>
      <c r="G129" s="1485"/>
    </row>
    <row r="130" spans="1:7" x14ac:dyDescent="0.3">
      <c r="A130" s="1410"/>
      <c r="B130" s="1410"/>
      <c r="C130" s="1410"/>
      <c r="D130" s="1410"/>
      <c r="E130" s="1485"/>
      <c r="F130" s="1485"/>
      <c r="G130" s="1485"/>
    </row>
    <row r="131" spans="1:7" x14ac:dyDescent="0.3">
      <c r="A131" s="1410"/>
      <c r="B131" s="1410"/>
      <c r="C131" s="1410"/>
      <c r="D131" s="1410"/>
      <c r="E131" s="1485"/>
      <c r="F131" s="1485"/>
      <c r="G131" s="1485"/>
    </row>
    <row r="132" spans="1:7" x14ac:dyDescent="0.3">
      <c r="A132" s="1410"/>
      <c r="B132" s="1410"/>
      <c r="C132" s="1410"/>
      <c r="D132" s="1410"/>
      <c r="E132" s="1485"/>
      <c r="F132" s="1485"/>
      <c r="G132" s="1485"/>
    </row>
    <row r="133" spans="1:7" x14ac:dyDescent="0.3">
      <c r="A133" s="1410"/>
      <c r="B133" s="1410"/>
      <c r="C133" s="1410"/>
      <c r="D133" s="1410"/>
      <c r="E133" s="1485"/>
      <c r="F133" s="1485"/>
      <c r="G133" s="1485"/>
    </row>
    <row r="134" spans="1:7" x14ac:dyDescent="0.3">
      <c r="A134" s="1410"/>
      <c r="B134" s="1410"/>
      <c r="C134" s="1410"/>
      <c r="D134" s="1410"/>
      <c r="E134" s="1485"/>
      <c r="F134" s="1485"/>
      <c r="G134" s="1485"/>
    </row>
    <row r="135" spans="1:7" x14ac:dyDescent="0.3">
      <c r="A135" s="1410"/>
      <c r="B135" s="1410"/>
      <c r="C135" s="1410"/>
      <c r="D135" s="1410"/>
      <c r="E135" s="1485"/>
      <c r="F135" s="1485"/>
      <c r="G135" s="1485"/>
    </row>
    <row r="136" spans="1:7" x14ac:dyDescent="0.3">
      <c r="A136" s="1410"/>
      <c r="B136" s="1410"/>
      <c r="C136" s="1410"/>
      <c r="D136" s="1410"/>
      <c r="E136" s="1485"/>
      <c r="F136" s="1485"/>
      <c r="G136" s="1485"/>
    </row>
    <row r="137" spans="1:7" x14ac:dyDescent="0.3">
      <c r="A137" s="1410"/>
      <c r="B137" s="1410"/>
      <c r="C137" s="1410"/>
      <c r="D137" s="1410"/>
      <c r="E137" s="1485"/>
      <c r="F137" s="1485"/>
      <c r="G137" s="1485"/>
    </row>
    <row r="138" spans="1:7" x14ac:dyDescent="0.3">
      <c r="A138" s="1410"/>
      <c r="B138" s="1410"/>
      <c r="C138" s="1410"/>
      <c r="D138" s="1410"/>
      <c r="E138" s="1485"/>
      <c r="F138" s="1485"/>
      <c r="G138" s="1485"/>
    </row>
    <row r="139" spans="1:7" x14ac:dyDescent="0.3">
      <c r="A139" s="1410"/>
      <c r="B139" s="1410"/>
      <c r="C139" s="1410"/>
      <c r="D139" s="1410"/>
      <c r="E139" s="1485"/>
      <c r="F139" s="1485"/>
      <c r="G139" s="1485"/>
    </row>
    <row r="140" spans="1:7" x14ac:dyDescent="0.3">
      <c r="A140" s="1410"/>
      <c r="B140" s="1410"/>
      <c r="C140" s="1410"/>
      <c r="D140" s="1410"/>
      <c r="E140" s="1485"/>
      <c r="F140" s="1485"/>
      <c r="G140" s="1485"/>
    </row>
    <row r="141" spans="1:7" x14ac:dyDescent="0.3">
      <c r="A141" s="1410"/>
      <c r="B141" s="1410"/>
      <c r="C141" s="1410"/>
      <c r="D141" s="1410"/>
      <c r="E141" s="1485"/>
      <c r="F141" s="1485"/>
      <c r="G141" s="1485"/>
    </row>
    <row r="142" spans="1:7" x14ac:dyDescent="0.3">
      <c r="A142" s="1410"/>
      <c r="B142" s="1410"/>
      <c r="C142" s="1410"/>
      <c r="D142" s="1410"/>
      <c r="E142" s="1485"/>
      <c r="F142" s="1485"/>
      <c r="G142" s="1485"/>
    </row>
    <row r="143" spans="1:7" x14ac:dyDescent="0.3">
      <c r="A143" s="1410"/>
      <c r="B143" s="1410"/>
      <c r="C143" s="1410"/>
      <c r="D143" s="1410"/>
      <c r="E143" s="1485"/>
      <c r="F143" s="1485"/>
      <c r="G143" s="1485"/>
    </row>
    <row r="144" spans="1:7" x14ac:dyDescent="0.3">
      <c r="A144" s="1410"/>
      <c r="B144" s="1410"/>
      <c r="C144" s="1410"/>
      <c r="D144" s="1410"/>
      <c r="E144" s="1485"/>
      <c r="F144" s="1485"/>
      <c r="G144" s="1485"/>
    </row>
    <row r="145" spans="1:7" x14ac:dyDescent="0.3">
      <c r="A145" s="1410"/>
      <c r="B145" s="1410"/>
      <c r="C145" s="1410"/>
      <c r="D145" s="1410"/>
      <c r="E145" s="1485"/>
      <c r="F145" s="1485"/>
      <c r="G145" s="1485"/>
    </row>
    <row r="146" spans="1:7" x14ac:dyDescent="0.3">
      <c r="A146" s="1410"/>
      <c r="B146" s="1410"/>
      <c r="C146" s="1410"/>
      <c r="D146" s="1410"/>
      <c r="E146" s="1485"/>
      <c r="F146" s="1485"/>
      <c r="G146" s="1485"/>
    </row>
    <row r="147" spans="1:7" x14ac:dyDescent="0.3">
      <c r="A147" s="1410"/>
      <c r="B147" s="1410"/>
      <c r="C147" s="1410"/>
      <c r="D147" s="1410"/>
      <c r="E147" s="1485"/>
      <c r="F147" s="1485"/>
      <c r="G147" s="1485"/>
    </row>
    <row r="148" spans="1:7" x14ac:dyDescent="0.3">
      <c r="A148" s="1410"/>
      <c r="B148" s="1410"/>
      <c r="C148" s="1410"/>
      <c r="D148" s="1410"/>
      <c r="E148" s="1485"/>
      <c r="F148" s="1485"/>
      <c r="G148" s="1485"/>
    </row>
    <row r="149" spans="1:7" x14ac:dyDescent="0.3">
      <c r="A149" s="1410"/>
      <c r="B149" s="1410"/>
      <c r="C149" s="1410"/>
      <c r="D149" s="1410"/>
      <c r="E149" s="1485"/>
      <c r="F149" s="1485"/>
      <c r="G149" s="1485"/>
    </row>
    <row r="150" spans="1:7" x14ac:dyDescent="0.3">
      <c r="A150" s="1410"/>
      <c r="B150" s="1410"/>
      <c r="C150" s="1410"/>
      <c r="D150" s="1410"/>
      <c r="E150" s="1485"/>
      <c r="F150" s="1485"/>
      <c r="G150" s="1485"/>
    </row>
    <row r="151" spans="1:7" x14ac:dyDescent="0.3">
      <c r="A151" s="1410"/>
      <c r="B151" s="1410"/>
      <c r="C151" s="1410"/>
      <c r="D151" s="1410"/>
      <c r="E151" s="1485"/>
      <c r="F151" s="1485"/>
      <c r="G151" s="1485"/>
    </row>
    <row r="152" spans="1:7" x14ac:dyDescent="0.3">
      <c r="A152" s="1410"/>
      <c r="B152" s="1410"/>
      <c r="C152" s="1410"/>
      <c r="D152" s="1410"/>
      <c r="E152" s="1485"/>
      <c r="F152" s="1485"/>
      <c r="G152" s="1485"/>
    </row>
    <row r="153" spans="1:7" x14ac:dyDescent="0.3">
      <c r="A153" s="1410"/>
      <c r="B153" s="1410"/>
      <c r="C153" s="1410"/>
      <c r="D153" s="1410"/>
      <c r="E153" s="1485"/>
      <c r="F153" s="1485"/>
      <c r="G153" s="1485"/>
    </row>
    <row r="154" spans="1:7" x14ac:dyDescent="0.3">
      <c r="A154" s="1410"/>
      <c r="B154" s="1410"/>
      <c r="C154" s="1410"/>
      <c r="D154" s="1410"/>
      <c r="E154" s="1485"/>
      <c r="F154" s="1485"/>
      <c r="G154" s="1485"/>
    </row>
    <row r="155" spans="1:7" x14ac:dyDescent="0.3">
      <c r="A155" s="1410"/>
      <c r="B155" s="1410"/>
      <c r="C155" s="1410"/>
      <c r="D155" s="1410"/>
      <c r="E155" s="1485"/>
      <c r="F155" s="1485"/>
      <c r="G155" s="1485"/>
    </row>
    <row r="156" spans="1:7" x14ac:dyDescent="0.3">
      <c r="A156" s="1410"/>
      <c r="B156" s="1410"/>
      <c r="C156" s="1410"/>
      <c r="D156" s="1410"/>
      <c r="E156" s="1485"/>
      <c r="F156" s="1485"/>
      <c r="G156" s="1485"/>
    </row>
    <row r="157" spans="1:7" x14ac:dyDescent="0.3">
      <c r="A157" s="1410"/>
      <c r="B157" s="1410"/>
      <c r="C157" s="1410"/>
      <c r="D157" s="1410"/>
      <c r="E157" s="1485"/>
      <c r="F157" s="1485"/>
      <c r="G157" s="1485"/>
    </row>
    <row r="158" spans="1:7" x14ac:dyDescent="0.3">
      <c r="A158" s="1410"/>
      <c r="B158" s="1410"/>
      <c r="C158" s="1410"/>
      <c r="D158" s="1410"/>
      <c r="E158" s="1485"/>
      <c r="F158" s="1485"/>
      <c r="G158" s="1485"/>
    </row>
    <row r="159" spans="1:7" x14ac:dyDescent="0.3">
      <c r="A159" s="1410"/>
      <c r="B159" s="1410"/>
      <c r="C159" s="1410"/>
      <c r="D159" s="1410"/>
      <c r="E159" s="1485"/>
      <c r="F159" s="1485"/>
      <c r="G159" s="1485"/>
    </row>
    <row r="160" spans="1:7" x14ac:dyDescent="0.3">
      <c r="A160" s="1410"/>
      <c r="B160" s="1410"/>
      <c r="C160" s="1410"/>
      <c r="D160" s="1410"/>
      <c r="E160" s="1485"/>
      <c r="F160" s="1485"/>
      <c r="G160" s="1485"/>
    </row>
    <row r="161" spans="1:7" x14ac:dyDescent="0.3">
      <c r="A161" s="1410"/>
      <c r="B161" s="1410"/>
      <c r="C161" s="1410"/>
      <c r="D161" s="1410"/>
      <c r="E161" s="1485"/>
      <c r="F161" s="1485"/>
      <c r="G161" s="1485"/>
    </row>
    <row r="162" spans="1:7" x14ac:dyDescent="0.3">
      <c r="A162" s="1410"/>
      <c r="B162" s="1410"/>
      <c r="C162" s="1410"/>
      <c r="D162" s="1410"/>
      <c r="E162" s="1485"/>
      <c r="F162" s="1485"/>
      <c r="G162" s="1485"/>
    </row>
    <row r="163" spans="1:7" x14ac:dyDescent="0.3">
      <c r="A163" s="1410"/>
      <c r="B163" s="1410"/>
      <c r="C163" s="1410"/>
      <c r="D163" s="1410"/>
      <c r="E163" s="1485"/>
      <c r="F163" s="1485"/>
      <c r="G163" s="1485"/>
    </row>
    <row r="164" spans="1:7" x14ac:dyDescent="0.3">
      <c r="A164" s="1410"/>
      <c r="B164" s="1410"/>
      <c r="C164" s="1410"/>
      <c r="D164" s="1410"/>
      <c r="E164" s="1485"/>
      <c r="F164" s="1485"/>
      <c r="G164" s="1485"/>
    </row>
    <row r="165" spans="1:7" x14ac:dyDescent="0.3">
      <c r="A165" s="1410"/>
      <c r="B165" s="1410"/>
      <c r="C165" s="1410"/>
      <c r="D165" s="1410"/>
      <c r="E165" s="1485"/>
      <c r="F165" s="1485"/>
      <c r="G165" s="1485"/>
    </row>
    <row r="166" spans="1:7" x14ac:dyDescent="0.3">
      <c r="A166" s="1410"/>
      <c r="B166" s="1410"/>
      <c r="C166" s="1410"/>
      <c r="D166" s="1410"/>
      <c r="E166" s="1485"/>
      <c r="F166" s="1485"/>
      <c r="G166" s="1485"/>
    </row>
    <row r="167" spans="1:7" x14ac:dyDescent="0.3">
      <c r="A167" s="1410"/>
      <c r="B167" s="1410"/>
      <c r="C167" s="1410"/>
      <c r="D167" s="1410"/>
      <c r="E167" s="1485"/>
      <c r="F167" s="1485"/>
      <c r="G167" s="1485"/>
    </row>
    <row r="168" spans="1:7" x14ac:dyDescent="0.3">
      <c r="A168" s="1410"/>
      <c r="B168" s="1410"/>
      <c r="C168" s="1410"/>
      <c r="D168" s="1410"/>
      <c r="E168" s="1485"/>
      <c r="F168" s="1485"/>
      <c r="G168" s="1485"/>
    </row>
    <row r="169" spans="1:7" x14ac:dyDescent="0.3">
      <c r="A169" s="1410"/>
      <c r="B169" s="1410"/>
      <c r="C169" s="1410"/>
      <c r="D169" s="1410"/>
      <c r="E169" s="1485"/>
      <c r="F169" s="1485"/>
      <c r="G169" s="1485"/>
    </row>
    <row r="170" spans="1:7" x14ac:dyDescent="0.3">
      <c r="A170" s="1410"/>
      <c r="B170" s="1410"/>
      <c r="C170" s="1410"/>
      <c r="D170" s="1410"/>
      <c r="E170" s="1485"/>
      <c r="F170" s="1485"/>
      <c r="G170" s="1485"/>
    </row>
    <row r="171" spans="1:7" x14ac:dyDescent="0.3">
      <c r="A171" s="1410"/>
      <c r="B171" s="1410"/>
      <c r="C171" s="1410"/>
      <c r="D171" s="1410"/>
      <c r="E171" s="1485"/>
      <c r="F171" s="1485"/>
      <c r="G171" s="1485"/>
    </row>
    <row r="172" spans="1:7" x14ac:dyDescent="0.3">
      <c r="A172" s="1410"/>
      <c r="B172" s="1410"/>
      <c r="C172" s="1410"/>
      <c r="D172" s="1410"/>
      <c r="E172" s="1485"/>
      <c r="F172" s="1485"/>
      <c r="G172" s="1485"/>
    </row>
    <row r="173" spans="1:7" x14ac:dyDescent="0.3">
      <c r="A173" s="1410"/>
      <c r="B173" s="1410"/>
      <c r="C173" s="1410"/>
      <c r="D173" s="1410"/>
      <c r="E173" s="1485"/>
      <c r="F173" s="1485"/>
      <c r="G173" s="1485"/>
    </row>
    <row r="174" spans="1:7" x14ac:dyDescent="0.3">
      <c r="A174" s="1410"/>
      <c r="B174" s="1410"/>
      <c r="C174" s="1410"/>
      <c r="D174" s="1410"/>
      <c r="E174" s="1485"/>
      <c r="F174" s="1485"/>
      <c r="G174" s="1485"/>
    </row>
    <row r="175" spans="1:7" x14ac:dyDescent="0.3">
      <c r="A175" s="1410"/>
      <c r="B175" s="1410"/>
      <c r="C175" s="1410"/>
      <c r="D175" s="1410"/>
      <c r="E175" s="1485"/>
      <c r="F175" s="1485"/>
      <c r="G175" s="1485"/>
    </row>
    <row r="176" spans="1:7" x14ac:dyDescent="0.3">
      <c r="A176" s="1410"/>
      <c r="B176" s="1410"/>
      <c r="C176" s="1410"/>
      <c r="D176" s="1410"/>
      <c r="E176" s="1485"/>
      <c r="F176" s="1485"/>
      <c r="G176" s="1485"/>
    </row>
    <row r="177" spans="1:7" x14ac:dyDescent="0.3">
      <c r="A177" s="1410"/>
      <c r="B177" s="1410"/>
      <c r="C177" s="1410"/>
      <c r="D177" s="1410"/>
      <c r="E177" s="1485"/>
      <c r="F177" s="1485"/>
      <c r="G177" s="1485"/>
    </row>
    <row r="178" spans="1:7" x14ac:dyDescent="0.3">
      <c r="A178" s="1410"/>
      <c r="B178" s="1410"/>
      <c r="C178" s="1410"/>
      <c r="D178" s="1410"/>
      <c r="E178" s="1485"/>
      <c r="F178" s="1485"/>
      <c r="G178" s="1485"/>
    </row>
    <row r="179" spans="1:7" x14ac:dyDescent="0.3">
      <c r="A179" s="1410"/>
      <c r="B179" s="1410"/>
      <c r="C179" s="1410"/>
      <c r="D179" s="1410"/>
      <c r="E179" s="1485"/>
      <c r="F179" s="1485"/>
      <c r="G179" s="1485"/>
    </row>
    <row r="180" spans="1:7" x14ac:dyDescent="0.3">
      <c r="A180" s="1410"/>
      <c r="B180" s="1410"/>
      <c r="C180" s="1410"/>
      <c r="D180" s="1410"/>
      <c r="E180" s="1485"/>
      <c r="F180" s="1485"/>
      <c r="G180" s="1485"/>
    </row>
    <row r="181" spans="1:7" x14ac:dyDescent="0.3">
      <c r="A181" s="1410"/>
      <c r="B181" s="1410"/>
      <c r="C181" s="1410"/>
      <c r="D181" s="1410"/>
      <c r="E181" s="1485"/>
      <c r="F181" s="1485"/>
      <c r="G181" s="1485"/>
    </row>
    <row r="182" spans="1:7" x14ac:dyDescent="0.3">
      <c r="A182" s="1410"/>
      <c r="B182" s="1410"/>
      <c r="C182" s="1410"/>
      <c r="D182" s="1410"/>
      <c r="E182" s="1485"/>
      <c r="F182" s="1485"/>
      <c r="G182" s="1485"/>
    </row>
    <row r="183" spans="1:7" x14ac:dyDescent="0.3">
      <c r="A183" s="1410"/>
      <c r="B183" s="1410"/>
      <c r="C183" s="1410"/>
      <c r="D183" s="1410"/>
      <c r="E183" s="1485"/>
      <c r="F183" s="1485"/>
      <c r="G183" s="1485"/>
    </row>
    <row r="184" spans="1:7" x14ac:dyDescent="0.3">
      <c r="A184" s="1410"/>
      <c r="B184" s="1410"/>
      <c r="C184" s="1410"/>
      <c r="D184" s="1410"/>
      <c r="E184" s="1485"/>
      <c r="F184" s="1485"/>
      <c r="G184" s="1485"/>
    </row>
    <row r="185" spans="1:7" x14ac:dyDescent="0.3">
      <c r="A185" s="1410"/>
      <c r="B185" s="1410"/>
      <c r="C185" s="1410"/>
      <c r="D185" s="1410"/>
      <c r="E185" s="1485"/>
      <c r="F185" s="1485"/>
      <c r="G185" s="1485"/>
    </row>
    <row r="186" spans="1:7" x14ac:dyDescent="0.3">
      <c r="A186" s="1410"/>
      <c r="B186" s="1410"/>
      <c r="C186" s="1410"/>
      <c r="D186" s="1410"/>
      <c r="E186" s="1485"/>
      <c r="F186" s="1485"/>
      <c r="G186" s="1485"/>
    </row>
    <row r="187" spans="1:7" x14ac:dyDescent="0.3">
      <c r="A187" s="1410"/>
      <c r="B187" s="1410"/>
      <c r="C187" s="1410"/>
      <c r="D187" s="1410"/>
      <c r="E187" s="1485"/>
      <c r="F187" s="1485"/>
      <c r="G187" s="1485"/>
    </row>
    <row r="188" spans="1:7" x14ac:dyDescent="0.3">
      <c r="A188" s="1410"/>
      <c r="B188" s="1410"/>
      <c r="C188" s="1410"/>
      <c r="D188" s="1410"/>
      <c r="E188" s="1485"/>
      <c r="F188" s="1485"/>
      <c r="G188" s="1485"/>
    </row>
    <row r="189" spans="1:7" x14ac:dyDescent="0.3">
      <c r="A189" s="1410"/>
      <c r="B189" s="1410"/>
      <c r="C189" s="1410"/>
      <c r="D189" s="1410"/>
      <c r="E189" s="1485"/>
      <c r="F189" s="1485"/>
      <c r="G189" s="1485"/>
    </row>
    <row r="190" spans="1:7" x14ac:dyDescent="0.3">
      <c r="A190" s="1410"/>
      <c r="B190" s="1410"/>
      <c r="C190" s="1410"/>
      <c r="D190" s="1410"/>
      <c r="E190" s="1485"/>
      <c r="F190" s="1485"/>
      <c r="G190" s="1485"/>
    </row>
    <row r="191" spans="1:7" x14ac:dyDescent="0.3">
      <c r="A191" s="1410"/>
      <c r="B191" s="1410"/>
      <c r="C191" s="1410"/>
      <c r="D191" s="1410"/>
      <c r="E191" s="1485"/>
      <c r="F191" s="1485"/>
      <c r="G191" s="1485"/>
    </row>
    <row r="192" spans="1:7" x14ac:dyDescent="0.3">
      <c r="A192" s="1410"/>
      <c r="B192" s="1410"/>
      <c r="C192" s="1410"/>
      <c r="D192" s="1410"/>
      <c r="E192" s="1485"/>
      <c r="F192" s="1485"/>
      <c r="G192" s="1485"/>
    </row>
    <row r="193" spans="1:7" x14ac:dyDescent="0.3">
      <c r="A193" s="1410"/>
      <c r="B193" s="1410"/>
      <c r="C193" s="1410"/>
      <c r="D193" s="1410"/>
      <c r="E193" s="1485"/>
      <c r="F193" s="1485"/>
      <c r="G193" s="1485"/>
    </row>
    <row r="194" spans="1:7" x14ac:dyDescent="0.3">
      <c r="A194" s="1410"/>
      <c r="B194" s="1410"/>
      <c r="C194" s="1410"/>
      <c r="D194" s="1410"/>
      <c r="E194" s="1485"/>
      <c r="F194" s="1485"/>
      <c r="G194" s="1485"/>
    </row>
    <row r="195" spans="1:7" x14ac:dyDescent="0.3">
      <c r="A195" s="1410"/>
      <c r="B195" s="1410"/>
      <c r="C195" s="1410"/>
      <c r="D195" s="1410"/>
      <c r="E195" s="1485"/>
      <c r="F195" s="1485"/>
      <c r="G195" s="1485"/>
    </row>
    <row r="196" spans="1:7" x14ac:dyDescent="0.3">
      <c r="A196" s="1410"/>
      <c r="B196" s="1410"/>
      <c r="C196" s="1410"/>
      <c r="D196" s="1410"/>
      <c r="E196" s="1485"/>
      <c r="F196" s="1485"/>
      <c r="G196" s="1485"/>
    </row>
    <row r="197" spans="1:7" x14ac:dyDescent="0.3">
      <c r="A197" s="1410"/>
      <c r="B197" s="1410"/>
      <c r="C197" s="1410"/>
      <c r="D197" s="1410"/>
      <c r="E197" s="1485"/>
      <c r="F197" s="1485"/>
      <c r="G197" s="1485"/>
    </row>
    <row r="198" spans="1:7" x14ac:dyDescent="0.3">
      <c r="A198" s="1410"/>
      <c r="B198" s="1410"/>
      <c r="C198" s="1410"/>
      <c r="D198" s="1410"/>
      <c r="E198" s="1485"/>
      <c r="F198" s="1485"/>
      <c r="G198" s="1485"/>
    </row>
    <row r="199" spans="1:7" x14ac:dyDescent="0.3">
      <c r="A199" s="1410"/>
      <c r="B199" s="1410"/>
      <c r="C199" s="1410"/>
      <c r="D199" s="1410"/>
      <c r="E199" s="1485"/>
      <c r="F199" s="1485"/>
      <c r="G199" s="1485"/>
    </row>
    <row r="200" spans="1:7" x14ac:dyDescent="0.3">
      <c r="A200" s="1410"/>
      <c r="B200" s="1410"/>
      <c r="C200" s="1410"/>
      <c r="D200" s="1410"/>
      <c r="E200" s="1485"/>
      <c r="F200" s="1485"/>
      <c r="G200" s="1485"/>
    </row>
    <row r="201" spans="1:7" x14ac:dyDescent="0.3">
      <c r="A201" s="1410"/>
      <c r="B201" s="1410"/>
      <c r="C201" s="1410"/>
      <c r="D201" s="1410"/>
      <c r="E201" s="1485"/>
      <c r="F201" s="1485"/>
      <c r="G201" s="1485"/>
    </row>
    <row r="202" spans="1:7" x14ac:dyDescent="0.3">
      <c r="A202" s="1410"/>
      <c r="B202" s="1410"/>
      <c r="C202" s="1410"/>
      <c r="D202" s="1410"/>
      <c r="E202" s="1485"/>
      <c r="F202" s="1485"/>
      <c r="G202" s="1485"/>
    </row>
    <row r="203" spans="1:7" x14ac:dyDescent="0.3">
      <c r="A203" s="1410"/>
      <c r="B203" s="1410"/>
      <c r="C203" s="1410"/>
      <c r="D203" s="1410"/>
      <c r="E203" s="1485"/>
      <c r="F203" s="1485"/>
      <c r="G203" s="1485"/>
    </row>
    <row r="204" spans="1:7" x14ac:dyDescent="0.3">
      <c r="A204" s="1410"/>
      <c r="B204" s="1410"/>
      <c r="C204" s="1410"/>
      <c r="D204" s="1410"/>
      <c r="E204" s="1485"/>
      <c r="F204" s="1485"/>
      <c r="G204" s="1485"/>
    </row>
    <row r="205" spans="1:7" x14ac:dyDescent="0.3">
      <c r="A205" s="1410"/>
      <c r="B205" s="1410"/>
      <c r="C205" s="1410"/>
      <c r="D205" s="1410"/>
      <c r="E205" s="1485"/>
      <c r="F205" s="1485"/>
      <c r="G205" s="1485"/>
    </row>
    <row r="206" spans="1:7" x14ac:dyDescent="0.3">
      <c r="A206" s="1410"/>
      <c r="B206" s="1410"/>
      <c r="C206" s="1410"/>
      <c r="D206" s="1410"/>
      <c r="E206" s="1485"/>
      <c r="F206" s="1485"/>
      <c r="G206" s="1485"/>
    </row>
    <row r="207" spans="1:7" x14ac:dyDescent="0.3">
      <c r="A207" s="1410"/>
      <c r="B207" s="1410"/>
      <c r="C207" s="1410"/>
      <c r="D207" s="1410"/>
      <c r="E207" s="1485"/>
      <c r="F207" s="1485"/>
      <c r="G207" s="1485"/>
    </row>
    <row r="208" spans="1:7" x14ac:dyDescent="0.3">
      <c r="A208" s="1410"/>
      <c r="B208" s="1410"/>
      <c r="C208" s="1410"/>
      <c r="D208" s="1410"/>
      <c r="E208" s="1485"/>
      <c r="F208" s="1485"/>
      <c r="G208" s="1485"/>
    </row>
    <row r="209" spans="1:7" x14ac:dyDescent="0.3">
      <c r="A209" s="1410"/>
      <c r="B209" s="1410"/>
      <c r="C209" s="1410"/>
      <c r="D209" s="1410"/>
      <c r="E209" s="1485"/>
      <c r="F209" s="1485"/>
      <c r="G209" s="1485"/>
    </row>
    <row r="210" spans="1:7" x14ac:dyDescent="0.3">
      <c r="A210" s="1410"/>
      <c r="B210" s="1410"/>
      <c r="C210" s="1410"/>
      <c r="D210" s="1410"/>
      <c r="E210" s="1485"/>
      <c r="F210" s="1485"/>
      <c r="G210" s="1485"/>
    </row>
    <row r="211" spans="1:7" x14ac:dyDescent="0.3">
      <c r="A211" s="1410"/>
      <c r="B211" s="1410"/>
      <c r="C211" s="1410"/>
      <c r="D211" s="1410"/>
      <c r="E211" s="1485"/>
      <c r="F211" s="1485"/>
      <c r="G211" s="1485"/>
    </row>
    <row r="212" spans="1:7" x14ac:dyDescent="0.3">
      <c r="A212" s="1410"/>
      <c r="B212" s="1410"/>
      <c r="C212" s="1410"/>
      <c r="D212" s="1410"/>
      <c r="E212" s="1485"/>
      <c r="F212" s="1485"/>
      <c r="G212" s="1485"/>
    </row>
    <row r="213" spans="1:7" x14ac:dyDescent="0.3">
      <c r="A213" s="1410"/>
      <c r="B213" s="1410"/>
      <c r="C213" s="1410"/>
      <c r="D213" s="1410"/>
      <c r="E213" s="1485"/>
      <c r="F213" s="1485"/>
      <c r="G213" s="1485"/>
    </row>
    <row r="214" spans="1:7" x14ac:dyDescent="0.3">
      <c r="A214" s="1410"/>
      <c r="B214" s="1410"/>
      <c r="C214" s="1410"/>
      <c r="D214" s="1410"/>
      <c r="E214" s="1485"/>
      <c r="F214" s="1485"/>
      <c r="G214" s="1485"/>
    </row>
    <row r="215" spans="1:7" x14ac:dyDescent="0.3">
      <c r="A215" s="1410"/>
      <c r="B215" s="1410"/>
      <c r="C215" s="1410"/>
      <c r="D215" s="1410"/>
      <c r="E215" s="1485"/>
      <c r="F215" s="1485"/>
      <c r="G215" s="1485"/>
    </row>
    <row r="216" spans="1:7" x14ac:dyDescent="0.3">
      <c r="A216" s="1410"/>
      <c r="B216" s="1410"/>
      <c r="C216" s="1410"/>
      <c r="D216" s="1410"/>
      <c r="E216" s="1485"/>
      <c r="F216" s="1485"/>
      <c r="G216" s="1485"/>
    </row>
    <row r="217" spans="1:7" x14ac:dyDescent="0.3">
      <c r="A217" s="1410"/>
      <c r="B217" s="1410"/>
      <c r="C217" s="1410"/>
      <c r="D217" s="1410"/>
      <c r="E217" s="1485"/>
      <c r="F217" s="1485"/>
      <c r="G217" s="1485"/>
    </row>
    <row r="218" spans="1:7" x14ac:dyDescent="0.3">
      <c r="A218" s="1410"/>
      <c r="B218" s="1410"/>
      <c r="C218" s="1410"/>
      <c r="D218" s="1410"/>
      <c r="E218" s="1485"/>
      <c r="F218" s="1485"/>
      <c r="G218" s="1485"/>
    </row>
    <row r="219" spans="1:7" x14ac:dyDescent="0.3">
      <c r="A219" s="1410"/>
      <c r="B219" s="1410"/>
      <c r="C219" s="1410"/>
      <c r="D219" s="1410"/>
      <c r="E219" s="1485"/>
      <c r="F219" s="1485"/>
      <c r="G219" s="1485"/>
    </row>
    <row r="220" spans="1:7" x14ac:dyDescent="0.3">
      <c r="A220" s="1410"/>
      <c r="B220" s="1410"/>
      <c r="C220" s="1410"/>
      <c r="D220" s="1410"/>
      <c r="E220" s="1485"/>
      <c r="F220" s="1485"/>
      <c r="G220" s="1485"/>
    </row>
    <row r="221" spans="1:7" x14ac:dyDescent="0.3">
      <c r="A221" s="1410"/>
      <c r="B221" s="1410"/>
      <c r="C221" s="1410"/>
      <c r="D221" s="1410"/>
      <c r="E221" s="1485"/>
      <c r="F221" s="1485"/>
      <c r="G221" s="1485"/>
    </row>
    <row r="222" spans="1:7" x14ac:dyDescent="0.3">
      <c r="A222" s="1410"/>
      <c r="B222" s="1410"/>
      <c r="C222" s="1410"/>
      <c r="D222" s="1410"/>
      <c r="E222" s="1485"/>
      <c r="F222" s="1485"/>
      <c r="G222" s="1485"/>
    </row>
    <row r="223" spans="1:7" x14ac:dyDescent="0.3">
      <c r="A223" s="1410"/>
      <c r="B223" s="1410"/>
      <c r="C223" s="1410"/>
      <c r="D223" s="1410"/>
      <c r="E223" s="1485"/>
      <c r="F223" s="1485"/>
      <c r="G223" s="1485"/>
    </row>
    <row r="224" spans="1:7" x14ac:dyDescent="0.3">
      <c r="A224" s="1410"/>
      <c r="B224" s="1410"/>
      <c r="C224" s="1410"/>
      <c r="D224" s="1410"/>
      <c r="E224" s="1485"/>
      <c r="F224" s="1485"/>
      <c r="G224" s="1485"/>
    </row>
    <row r="225" spans="1:7" x14ac:dyDescent="0.3">
      <c r="A225" s="1410"/>
      <c r="B225" s="1410"/>
      <c r="C225" s="1410"/>
      <c r="D225" s="1410"/>
      <c r="E225" s="1485"/>
      <c r="F225" s="1485"/>
      <c r="G225" s="1485"/>
    </row>
    <row r="226" spans="1:7" x14ac:dyDescent="0.3">
      <c r="A226" s="1410"/>
      <c r="B226" s="1410"/>
      <c r="C226" s="1410"/>
      <c r="D226" s="1410"/>
      <c r="E226" s="1485"/>
      <c r="F226" s="1485"/>
      <c r="G226" s="1485"/>
    </row>
    <row r="227" spans="1:7" x14ac:dyDescent="0.3">
      <c r="A227" s="1410"/>
      <c r="B227" s="1410"/>
      <c r="C227" s="1410"/>
      <c r="D227" s="1410"/>
      <c r="E227" s="1485"/>
      <c r="F227" s="1485"/>
      <c r="G227" s="1485"/>
    </row>
    <row r="228" spans="1:7" x14ac:dyDescent="0.3">
      <c r="A228" s="1410"/>
      <c r="B228" s="1410"/>
      <c r="C228" s="1410"/>
      <c r="D228" s="1410"/>
      <c r="E228" s="1485"/>
      <c r="F228" s="1485"/>
      <c r="G228" s="1485"/>
    </row>
    <row r="229" spans="1:7" x14ac:dyDescent="0.3">
      <c r="A229" s="1410"/>
      <c r="B229" s="1410"/>
      <c r="C229" s="1410"/>
      <c r="D229" s="1410"/>
      <c r="E229" s="1485"/>
      <c r="F229" s="1485"/>
      <c r="G229" s="1485"/>
    </row>
    <row r="230" spans="1:7" x14ac:dyDescent="0.3">
      <c r="A230" s="1410"/>
      <c r="B230" s="1410"/>
      <c r="C230" s="1410"/>
      <c r="D230" s="1410"/>
      <c r="E230" s="1485"/>
      <c r="F230" s="1485"/>
      <c r="G230" s="1485"/>
    </row>
    <row r="231" spans="1:7" x14ac:dyDescent="0.3">
      <c r="A231" s="1410"/>
      <c r="B231" s="1410"/>
      <c r="C231" s="1410"/>
      <c r="D231" s="1410"/>
      <c r="E231" s="1485"/>
      <c r="F231" s="1485"/>
      <c r="G231" s="1485"/>
    </row>
    <row r="232" spans="1:7" x14ac:dyDescent="0.3">
      <c r="A232" s="1410"/>
      <c r="B232" s="1410"/>
      <c r="C232" s="1410"/>
      <c r="D232" s="1410"/>
      <c r="E232" s="1485"/>
      <c r="F232" s="1485"/>
      <c r="G232" s="1485"/>
    </row>
    <row r="233" spans="1:7" x14ac:dyDescent="0.3">
      <c r="A233" s="1410"/>
      <c r="B233" s="1410"/>
      <c r="C233" s="1410"/>
      <c r="D233" s="1410"/>
      <c r="E233" s="1485"/>
      <c r="F233" s="1485"/>
      <c r="G233" s="1485"/>
    </row>
    <row r="234" spans="1:7" x14ac:dyDescent="0.3">
      <c r="A234" s="1410"/>
      <c r="B234" s="1410"/>
      <c r="C234" s="1410"/>
      <c r="D234" s="1410"/>
      <c r="E234" s="1485"/>
      <c r="F234" s="1485"/>
      <c r="G234" s="1485"/>
    </row>
    <row r="235" spans="1:7" x14ac:dyDescent="0.3">
      <c r="A235" s="1410"/>
      <c r="B235" s="1410"/>
      <c r="C235" s="1410"/>
      <c r="D235" s="1410"/>
      <c r="E235" s="1485"/>
      <c r="F235" s="1485"/>
      <c r="G235" s="1485"/>
    </row>
    <row r="236" spans="1:7" x14ac:dyDescent="0.3">
      <c r="A236" s="1410"/>
      <c r="B236" s="1410"/>
      <c r="C236" s="1410"/>
      <c r="D236" s="1410"/>
      <c r="E236" s="1485"/>
      <c r="F236" s="1485"/>
      <c r="G236" s="1485"/>
    </row>
    <row r="237" spans="1:7" x14ac:dyDescent="0.3">
      <c r="A237" s="1410"/>
      <c r="B237" s="1410"/>
      <c r="C237" s="1410"/>
      <c r="D237" s="1410"/>
      <c r="E237" s="1485"/>
      <c r="F237" s="1485"/>
      <c r="G237" s="1485"/>
    </row>
    <row r="238" spans="1:7" x14ac:dyDescent="0.3">
      <c r="A238" s="1410"/>
      <c r="B238" s="1410"/>
      <c r="C238" s="1410"/>
      <c r="D238" s="1410"/>
      <c r="E238" s="1485"/>
      <c r="F238" s="1485"/>
      <c r="G238" s="1485"/>
    </row>
    <row r="239" spans="1:7" x14ac:dyDescent="0.3">
      <c r="A239" s="1410"/>
      <c r="B239" s="1410"/>
      <c r="C239" s="1410"/>
      <c r="D239" s="1410"/>
      <c r="E239" s="1485"/>
      <c r="F239" s="1485"/>
      <c r="G239" s="1485"/>
    </row>
    <row r="240" spans="1:7" x14ac:dyDescent="0.3">
      <c r="A240" s="1410"/>
      <c r="B240" s="1410"/>
      <c r="C240" s="1410"/>
      <c r="D240" s="1410"/>
      <c r="E240" s="1485"/>
      <c r="F240" s="1485"/>
      <c r="G240" s="1485"/>
    </row>
    <row r="241" spans="1:7" x14ac:dyDescent="0.3">
      <c r="A241" s="1410"/>
      <c r="B241" s="1410"/>
      <c r="C241" s="1410"/>
      <c r="D241" s="1410"/>
      <c r="E241" s="1485"/>
      <c r="F241" s="1485"/>
      <c r="G241" s="1485"/>
    </row>
    <row r="242" spans="1:7" x14ac:dyDescent="0.3">
      <c r="A242" s="1410"/>
      <c r="B242" s="1410"/>
      <c r="C242" s="1410"/>
      <c r="D242" s="1410"/>
      <c r="E242" s="1485"/>
      <c r="F242" s="1485"/>
      <c r="G242" s="1485"/>
    </row>
    <row r="243" spans="1:7" x14ac:dyDescent="0.3">
      <c r="A243" s="1410"/>
      <c r="B243" s="1410"/>
      <c r="C243" s="1410"/>
      <c r="D243" s="1410"/>
      <c r="E243" s="1485"/>
      <c r="F243" s="1485"/>
      <c r="G243" s="1485"/>
    </row>
    <row r="244" spans="1:7" x14ac:dyDescent="0.3">
      <c r="A244" s="1410"/>
      <c r="B244" s="1410"/>
      <c r="C244" s="1410"/>
      <c r="D244" s="1410"/>
      <c r="E244" s="1485"/>
      <c r="F244" s="1485"/>
      <c r="G244" s="1485"/>
    </row>
    <row r="245" spans="1:7" x14ac:dyDescent="0.3">
      <c r="A245" s="1410"/>
      <c r="B245" s="1410"/>
      <c r="C245" s="1410"/>
      <c r="D245" s="1410"/>
      <c r="E245" s="1485"/>
      <c r="F245" s="1485"/>
      <c r="G245" s="1485"/>
    </row>
    <row r="246" spans="1:7" x14ac:dyDescent="0.3">
      <c r="A246" s="1410"/>
      <c r="B246" s="1410"/>
      <c r="C246" s="1410"/>
      <c r="D246" s="1410"/>
      <c r="E246" s="1485"/>
      <c r="F246" s="1485"/>
      <c r="G246" s="1485"/>
    </row>
    <row r="247" spans="1:7" x14ac:dyDescent="0.3">
      <c r="A247" s="1410"/>
      <c r="B247" s="1410"/>
      <c r="C247" s="1410"/>
      <c r="D247" s="1410"/>
      <c r="E247" s="1485"/>
      <c r="F247" s="1485"/>
      <c r="G247" s="1485"/>
    </row>
    <row r="248" spans="1:7" x14ac:dyDescent="0.3">
      <c r="A248" s="1410"/>
      <c r="B248" s="1410"/>
      <c r="C248" s="1410"/>
      <c r="D248" s="1410"/>
      <c r="E248" s="1485"/>
      <c r="F248" s="1485"/>
      <c r="G248" s="1485"/>
    </row>
    <row r="249" spans="1:7" x14ac:dyDescent="0.3">
      <c r="A249" s="1410"/>
      <c r="B249" s="1410"/>
      <c r="C249" s="1410"/>
      <c r="D249" s="1410"/>
      <c r="E249" s="1485"/>
      <c r="F249" s="1485"/>
      <c r="G249" s="1485"/>
    </row>
    <row r="250" spans="1:7" x14ac:dyDescent="0.3">
      <c r="A250" s="1410"/>
      <c r="B250" s="1410"/>
      <c r="C250" s="1410"/>
      <c r="D250" s="1410"/>
      <c r="E250" s="1485"/>
      <c r="F250" s="1485"/>
      <c r="G250" s="1485"/>
    </row>
    <row r="251" spans="1:7" x14ac:dyDescent="0.3">
      <c r="A251" s="1410"/>
      <c r="B251" s="1410"/>
      <c r="C251" s="1410"/>
      <c r="D251" s="1410"/>
      <c r="E251" s="1485"/>
      <c r="F251" s="1485"/>
      <c r="G251" s="1485"/>
    </row>
    <row r="252" spans="1:7" x14ac:dyDescent="0.3">
      <c r="A252" s="1410"/>
      <c r="B252" s="1410"/>
      <c r="C252" s="1410"/>
      <c r="D252" s="1410"/>
      <c r="E252" s="1485"/>
      <c r="F252" s="1485"/>
      <c r="G252" s="1485"/>
    </row>
    <row r="253" spans="1:7" x14ac:dyDescent="0.3">
      <c r="A253" s="1410"/>
      <c r="B253" s="1410"/>
      <c r="C253" s="1410"/>
      <c r="D253" s="1410"/>
      <c r="E253" s="1485"/>
      <c r="F253" s="1485"/>
      <c r="G253" s="1485"/>
    </row>
    <row r="254" spans="1:7" x14ac:dyDescent="0.3">
      <c r="A254" s="1410"/>
      <c r="B254" s="1410"/>
      <c r="C254" s="1410"/>
      <c r="D254" s="1410"/>
      <c r="E254" s="1485"/>
      <c r="F254" s="1485"/>
      <c r="G254" s="1485"/>
    </row>
    <row r="255" spans="1:7" x14ac:dyDescent="0.3">
      <c r="A255" s="1410"/>
      <c r="B255" s="1410"/>
      <c r="C255" s="1410"/>
      <c r="D255" s="1410"/>
      <c r="E255" s="1485"/>
      <c r="F255" s="1485"/>
      <c r="G255" s="1485"/>
    </row>
    <row r="256" spans="1:7" x14ac:dyDescent="0.3">
      <c r="A256" s="1410"/>
      <c r="B256" s="1410"/>
      <c r="C256" s="1410"/>
      <c r="D256" s="1410"/>
      <c r="E256" s="1485"/>
      <c r="F256" s="1485"/>
      <c r="G256" s="1485"/>
    </row>
    <row r="257" spans="1:7" x14ac:dyDescent="0.3">
      <c r="A257" s="1410"/>
      <c r="B257" s="1410"/>
      <c r="C257" s="1410"/>
      <c r="D257" s="1410"/>
      <c r="E257" s="1485"/>
      <c r="F257" s="1485"/>
      <c r="G257" s="1485"/>
    </row>
    <row r="258" spans="1:7" x14ac:dyDescent="0.3">
      <c r="A258" s="1410"/>
      <c r="B258" s="1410"/>
      <c r="C258" s="1410"/>
      <c r="D258" s="1410"/>
      <c r="E258" s="1485"/>
      <c r="F258" s="1485"/>
      <c r="G258" s="1485"/>
    </row>
    <row r="259" spans="1:7" x14ac:dyDescent="0.3">
      <c r="A259" s="1410"/>
      <c r="B259" s="1410"/>
      <c r="C259" s="1410"/>
      <c r="D259" s="1410"/>
      <c r="E259" s="1485"/>
      <c r="F259" s="1485"/>
      <c r="G259" s="1485"/>
    </row>
    <row r="260" spans="1:7" x14ac:dyDescent="0.3">
      <c r="A260" s="1410"/>
      <c r="B260" s="1410"/>
      <c r="C260" s="1410"/>
      <c r="D260" s="1410"/>
      <c r="E260" s="1485"/>
      <c r="F260" s="1485"/>
      <c r="G260" s="1485"/>
    </row>
    <row r="261" spans="1:7" x14ac:dyDescent="0.3">
      <c r="A261" s="1410"/>
      <c r="B261" s="1410"/>
      <c r="C261" s="1410"/>
      <c r="D261" s="1410"/>
      <c r="E261" s="1485"/>
      <c r="F261" s="1485"/>
      <c r="G261" s="1485"/>
    </row>
    <row r="262" spans="1:7" x14ac:dyDescent="0.3">
      <c r="A262" s="1410"/>
      <c r="B262" s="1410"/>
      <c r="C262" s="1410"/>
      <c r="D262" s="1410"/>
      <c r="E262" s="1485"/>
      <c r="F262" s="1485"/>
      <c r="G262" s="1485"/>
    </row>
    <row r="263" spans="1:7" x14ac:dyDescent="0.3">
      <c r="A263" s="1410"/>
      <c r="B263" s="1410"/>
      <c r="C263" s="1410"/>
      <c r="D263" s="1410"/>
      <c r="E263" s="1485"/>
      <c r="F263" s="1485"/>
      <c r="G263" s="1485"/>
    </row>
    <row r="264" spans="1:7" x14ac:dyDescent="0.3">
      <c r="A264" s="1410"/>
      <c r="B264" s="1410"/>
      <c r="C264" s="1410"/>
      <c r="D264" s="1410"/>
      <c r="E264" s="1485"/>
      <c r="F264" s="1485"/>
      <c r="G264" s="1485"/>
    </row>
    <row r="265" spans="1:7" x14ac:dyDescent="0.3">
      <c r="A265" s="1410"/>
      <c r="B265" s="1410"/>
      <c r="C265" s="1410"/>
      <c r="D265" s="1410"/>
      <c r="E265" s="1485"/>
      <c r="F265" s="1485"/>
      <c r="G265" s="1485"/>
    </row>
    <row r="266" spans="1:7" x14ac:dyDescent="0.3">
      <c r="A266" s="1410"/>
      <c r="B266" s="1410"/>
      <c r="C266" s="1410"/>
      <c r="D266" s="1410"/>
      <c r="E266" s="1485"/>
      <c r="F266" s="1485"/>
      <c r="G266" s="1485"/>
    </row>
    <row r="267" spans="1:7" x14ac:dyDescent="0.3">
      <c r="A267" s="1410"/>
      <c r="B267" s="1410"/>
      <c r="C267" s="1410"/>
      <c r="D267" s="1410"/>
      <c r="E267" s="1485"/>
      <c r="F267" s="1485"/>
      <c r="G267" s="1485"/>
    </row>
    <row r="268" spans="1:7" x14ac:dyDescent="0.3">
      <c r="A268" s="1410"/>
      <c r="B268" s="1410"/>
      <c r="C268" s="1410"/>
      <c r="D268" s="1410"/>
      <c r="E268" s="1485"/>
      <c r="F268" s="1485"/>
      <c r="G268" s="1485"/>
    </row>
    <row r="269" spans="1:7" x14ac:dyDescent="0.3">
      <c r="A269" s="1410"/>
      <c r="B269" s="1410"/>
      <c r="C269" s="1410"/>
      <c r="D269" s="1410"/>
      <c r="E269" s="1485"/>
      <c r="F269" s="1485"/>
      <c r="G269" s="1485"/>
    </row>
    <row r="270" spans="1:7" x14ac:dyDescent="0.3">
      <c r="A270" s="1410"/>
      <c r="B270" s="1410"/>
      <c r="C270" s="1410"/>
      <c r="D270" s="1410"/>
      <c r="E270" s="1485"/>
      <c r="F270" s="1485"/>
      <c r="G270" s="1485"/>
    </row>
    <row r="271" spans="1:7" x14ac:dyDescent="0.3">
      <c r="A271" s="1410"/>
      <c r="B271" s="1410"/>
      <c r="C271" s="1410"/>
      <c r="D271" s="1410"/>
      <c r="E271" s="1485"/>
      <c r="F271" s="1485"/>
      <c r="G271" s="1485"/>
    </row>
    <row r="272" spans="1:7" x14ac:dyDescent="0.3">
      <c r="A272" s="1410"/>
      <c r="B272" s="1410"/>
      <c r="C272" s="1410"/>
      <c r="D272" s="1410"/>
      <c r="E272" s="1485"/>
      <c r="F272" s="1485"/>
      <c r="G272" s="1485"/>
    </row>
    <row r="273" spans="1:7" x14ac:dyDescent="0.3">
      <c r="A273" s="1410"/>
      <c r="B273" s="1410"/>
      <c r="C273" s="1410"/>
      <c r="D273" s="1410"/>
      <c r="E273" s="1485"/>
      <c r="F273" s="1485"/>
      <c r="G273" s="1485"/>
    </row>
    <row r="274" spans="1:7" x14ac:dyDescent="0.3">
      <c r="A274" s="1410"/>
      <c r="B274" s="1410"/>
      <c r="C274" s="1410"/>
      <c r="D274" s="1410"/>
      <c r="E274" s="1485"/>
      <c r="F274" s="1485"/>
      <c r="G274" s="1485"/>
    </row>
    <row r="275" spans="1:7" x14ac:dyDescent="0.3">
      <c r="A275" s="1410"/>
      <c r="B275" s="1410"/>
      <c r="C275" s="1410"/>
      <c r="D275" s="1410"/>
      <c r="E275" s="1485"/>
      <c r="F275" s="1485"/>
      <c r="G275" s="1485"/>
    </row>
    <row r="276" spans="1:7" x14ac:dyDescent="0.3">
      <c r="A276" s="1410"/>
      <c r="B276" s="1410"/>
      <c r="C276" s="1410"/>
      <c r="D276" s="1410"/>
      <c r="E276" s="1485"/>
      <c r="F276" s="1485"/>
      <c r="G276" s="1485"/>
    </row>
    <row r="277" spans="1:7" x14ac:dyDescent="0.3">
      <c r="A277" s="1410"/>
      <c r="B277" s="1410"/>
      <c r="C277" s="1410"/>
      <c r="D277" s="1410"/>
      <c r="E277" s="1485"/>
      <c r="F277" s="1485"/>
      <c r="G277" s="1485"/>
    </row>
    <row r="278" spans="1:7" x14ac:dyDescent="0.3">
      <c r="A278" s="1410"/>
      <c r="B278" s="1410"/>
      <c r="C278" s="1410"/>
      <c r="D278" s="1410"/>
      <c r="E278" s="1485"/>
      <c r="F278" s="1485"/>
      <c r="G278" s="1485"/>
    </row>
    <row r="279" spans="1:7" x14ac:dyDescent="0.3">
      <c r="A279" s="1410"/>
      <c r="B279" s="1410"/>
      <c r="C279" s="1410"/>
      <c r="D279" s="1410"/>
      <c r="E279" s="1485"/>
      <c r="F279" s="1485"/>
      <c r="G279" s="1485"/>
    </row>
    <row r="280" spans="1:7" x14ac:dyDescent="0.3">
      <c r="A280" s="1410"/>
      <c r="B280" s="1410"/>
      <c r="C280" s="1410"/>
      <c r="D280" s="1410"/>
      <c r="E280" s="1485"/>
      <c r="F280" s="1485"/>
      <c r="G280" s="1485"/>
    </row>
    <row r="281" spans="1:7" x14ac:dyDescent="0.3">
      <c r="A281" s="1410"/>
      <c r="B281" s="1410"/>
      <c r="C281" s="1410"/>
      <c r="D281" s="1410"/>
      <c r="E281" s="1485"/>
      <c r="F281" s="1485"/>
      <c r="G281" s="1485"/>
    </row>
    <row r="282" spans="1:7" x14ac:dyDescent="0.3">
      <c r="A282" s="1410"/>
      <c r="B282" s="1410"/>
      <c r="C282" s="1410"/>
      <c r="D282" s="1410"/>
      <c r="E282" s="1485"/>
      <c r="F282" s="1485"/>
      <c r="G282" s="1485"/>
    </row>
    <row r="283" spans="1:7" x14ac:dyDescent="0.3">
      <c r="A283" s="1410"/>
      <c r="B283" s="1410"/>
      <c r="C283" s="1410"/>
      <c r="D283" s="1410"/>
      <c r="E283" s="1485"/>
      <c r="F283" s="1485"/>
      <c r="G283" s="1485"/>
    </row>
    <row r="284" spans="1:7" x14ac:dyDescent="0.3">
      <c r="A284" s="1410"/>
      <c r="B284" s="1410"/>
      <c r="C284" s="1410"/>
      <c r="D284" s="1410"/>
      <c r="E284" s="1485"/>
      <c r="F284" s="1485"/>
      <c r="G284" s="1485"/>
    </row>
    <row r="285" spans="1:7" x14ac:dyDescent="0.3">
      <c r="A285" s="1410"/>
      <c r="B285" s="1410"/>
      <c r="C285" s="1410"/>
      <c r="D285" s="1410"/>
      <c r="E285" s="1485"/>
      <c r="F285" s="1485"/>
      <c r="G285" s="1485"/>
    </row>
    <row r="286" spans="1:7" x14ac:dyDescent="0.3">
      <c r="A286" s="1410"/>
      <c r="B286" s="1410"/>
      <c r="C286" s="1410"/>
      <c r="D286" s="1410"/>
      <c r="E286" s="1485"/>
      <c r="F286" s="1485"/>
      <c r="G286" s="1485"/>
    </row>
    <row r="287" spans="1:7" x14ac:dyDescent="0.3">
      <c r="A287" s="1410"/>
      <c r="B287" s="1410"/>
      <c r="C287" s="1410"/>
      <c r="D287" s="1410"/>
      <c r="E287" s="1485"/>
      <c r="F287" s="1485"/>
      <c r="G287" s="1485"/>
    </row>
    <row r="288" spans="1:7" x14ac:dyDescent="0.3">
      <c r="A288" s="1410"/>
      <c r="B288" s="1410"/>
      <c r="C288" s="1410"/>
      <c r="D288" s="1410"/>
      <c r="E288" s="1485"/>
      <c r="F288" s="1485"/>
      <c r="G288" s="1485"/>
    </row>
    <row r="289" spans="1:7" x14ac:dyDescent="0.3">
      <c r="A289" s="1410"/>
      <c r="B289" s="1410"/>
      <c r="C289" s="1410"/>
      <c r="D289" s="1410"/>
      <c r="E289" s="1485"/>
      <c r="F289" s="1485"/>
      <c r="G289" s="1485"/>
    </row>
    <row r="290" spans="1:7" x14ac:dyDescent="0.3">
      <c r="A290" s="1410"/>
      <c r="B290" s="1410"/>
      <c r="C290" s="1410"/>
      <c r="D290" s="1410"/>
      <c r="E290" s="1485"/>
      <c r="F290" s="1485"/>
      <c r="G290" s="1485"/>
    </row>
    <row r="291" spans="1:7" x14ac:dyDescent="0.3">
      <c r="A291" s="1410"/>
      <c r="B291" s="1410"/>
      <c r="C291" s="1410"/>
      <c r="D291" s="1410"/>
      <c r="E291" s="1485"/>
      <c r="F291" s="1485"/>
      <c r="G291" s="1485"/>
    </row>
    <row r="292" spans="1:7" x14ac:dyDescent="0.3">
      <c r="A292" s="1410"/>
      <c r="B292" s="1410"/>
      <c r="C292" s="1410"/>
      <c r="D292" s="1410"/>
      <c r="E292" s="1485"/>
      <c r="F292" s="1485"/>
      <c r="G292" s="1485"/>
    </row>
    <row r="293" spans="1:7" x14ac:dyDescent="0.3">
      <c r="A293" s="1410"/>
      <c r="B293" s="1410"/>
      <c r="C293" s="1410"/>
      <c r="D293" s="1410"/>
      <c r="E293" s="1485"/>
      <c r="F293" s="1485"/>
      <c r="G293" s="1485"/>
    </row>
    <row r="294" spans="1:7" x14ac:dyDescent="0.3">
      <c r="A294" s="1410"/>
      <c r="B294" s="1410"/>
      <c r="C294" s="1410"/>
      <c r="D294" s="1410"/>
      <c r="E294" s="1485"/>
      <c r="F294" s="1485"/>
      <c r="G294" s="1485"/>
    </row>
    <row r="295" spans="1:7" x14ac:dyDescent="0.3">
      <c r="A295" s="1410"/>
      <c r="B295" s="1410"/>
      <c r="C295" s="1410"/>
      <c r="D295" s="1410"/>
      <c r="E295" s="1485"/>
      <c r="F295" s="1485"/>
      <c r="G295" s="1485"/>
    </row>
    <row r="296" spans="1:7" x14ac:dyDescent="0.3">
      <c r="A296" s="1410"/>
      <c r="B296" s="1410"/>
      <c r="C296" s="1410"/>
      <c r="D296" s="1410"/>
      <c r="E296" s="1485"/>
      <c r="F296" s="1485"/>
      <c r="G296" s="1485"/>
    </row>
    <row r="297" spans="1:7" x14ac:dyDescent="0.3">
      <c r="A297" s="1410"/>
      <c r="B297" s="1410"/>
      <c r="C297" s="1410"/>
      <c r="D297" s="1410"/>
      <c r="E297" s="1485"/>
      <c r="F297" s="1485"/>
      <c r="G297" s="1485"/>
    </row>
    <row r="298" spans="1:7" x14ac:dyDescent="0.3">
      <c r="A298" s="1410"/>
      <c r="B298" s="1410"/>
      <c r="C298" s="1410"/>
      <c r="D298" s="1410"/>
      <c r="E298" s="1485"/>
      <c r="F298" s="1485"/>
      <c r="G298" s="1485"/>
    </row>
    <row r="299" spans="1:7" x14ac:dyDescent="0.3">
      <c r="A299" s="1410"/>
      <c r="B299" s="1410"/>
      <c r="C299" s="1410"/>
      <c r="D299" s="1410"/>
      <c r="E299" s="1485"/>
      <c r="F299" s="1485"/>
      <c r="G299" s="1485"/>
    </row>
    <row r="300" spans="1:7" x14ac:dyDescent="0.3">
      <c r="A300" s="1410"/>
      <c r="B300" s="1410"/>
      <c r="C300" s="1410"/>
      <c r="D300" s="1410"/>
      <c r="E300" s="1485"/>
      <c r="F300" s="1485"/>
      <c r="G300" s="1485"/>
    </row>
    <row r="301" spans="1:7" x14ac:dyDescent="0.3">
      <c r="A301" s="1410"/>
      <c r="B301" s="1410"/>
      <c r="C301" s="1410"/>
      <c r="D301" s="1410"/>
      <c r="E301" s="1485"/>
      <c r="F301" s="1485"/>
      <c r="G301" s="1485"/>
    </row>
    <row r="302" spans="1:7" x14ac:dyDescent="0.3">
      <c r="A302" s="1410"/>
      <c r="B302" s="1410"/>
      <c r="C302" s="1410"/>
      <c r="D302" s="1410"/>
      <c r="E302" s="1485"/>
      <c r="F302" s="1485"/>
      <c r="G302" s="1485"/>
    </row>
    <row r="303" spans="1:7" x14ac:dyDescent="0.3">
      <c r="A303" s="1410"/>
      <c r="B303" s="1410"/>
      <c r="C303" s="1410"/>
      <c r="D303" s="1410"/>
      <c r="E303" s="1485"/>
      <c r="F303" s="1485"/>
      <c r="G303" s="1485"/>
    </row>
    <row r="304" spans="1:7" x14ac:dyDescent="0.3">
      <c r="A304" s="1410"/>
      <c r="B304" s="1410"/>
      <c r="C304" s="1410"/>
      <c r="D304" s="1410"/>
      <c r="E304" s="1485"/>
      <c r="F304" s="1485"/>
      <c r="G304" s="1485"/>
    </row>
    <row r="305" spans="1:7" x14ac:dyDescent="0.3">
      <c r="A305" s="1410"/>
      <c r="B305" s="1410"/>
      <c r="C305" s="1410"/>
      <c r="D305" s="1410"/>
      <c r="E305" s="1485"/>
      <c r="F305" s="1485"/>
      <c r="G305" s="1485"/>
    </row>
    <row r="306" spans="1:7" x14ac:dyDescent="0.3">
      <c r="A306" s="1410"/>
      <c r="B306" s="1410"/>
      <c r="C306" s="1410"/>
      <c r="D306" s="1410"/>
      <c r="E306" s="1485"/>
      <c r="F306" s="1485"/>
      <c r="G306" s="1485"/>
    </row>
    <row r="307" spans="1:7" x14ac:dyDescent="0.3">
      <c r="A307" s="1410"/>
      <c r="B307" s="1410"/>
      <c r="C307" s="1410"/>
      <c r="D307" s="1410"/>
      <c r="E307" s="1485"/>
      <c r="F307" s="1485"/>
      <c r="G307" s="1485"/>
    </row>
    <row r="308" spans="1:7" x14ac:dyDescent="0.3">
      <c r="A308" s="1410"/>
      <c r="B308" s="1410"/>
      <c r="C308" s="1410"/>
      <c r="D308" s="1410"/>
      <c r="E308" s="1485"/>
      <c r="F308" s="1485"/>
      <c r="G308" s="1485"/>
    </row>
    <row r="309" spans="1:7" x14ac:dyDescent="0.3">
      <c r="A309" s="1410"/>
      <c r="B309" s="1410"/>
      <c r="C309" s="1410"/>
      <c r="D309" s="1410"/>
      <c r="E309" s="1485"/>
      <c r="F309" s="1485"/>
      <c r="G309" s="1485"/>
    </row>
    <row r="310" spans="1:7" x14ac:dyDescent="0.3">
      <c r="A310" s="1410"/>
      <c r="B310" s="1410"/>
      <c r="C310" s="1410"/>
      <c r="D310" s="1410"/>
      <c r="E310" s="1485"/>
      <c r="F310" s="1485"/>
      <c r="G310" s="1485"/>
    </row>
    <row r="311" spans="1:7" x14ac:dyDescent="0.3">
      <c r="A311" s="1410"/>
      <c r="B311" s="1410"/>
      <c r="C311" s="1410"/>
      <c r="D311" s="1410"/>
      <c r="E311" s="1485"/>
      <c r="F311" s="1485"/>
      <c r="G311" s="1485"/>
    </row>
    <row r="312" spans="1:7" x14ac:dyDescent="0.3">
      <c r="A312" s="1410"/>
      <c r="B312" s="1410"/>
      <c r="C312" s="1410"/>
      <c r="D312" s="1410"/>
      <c r="E312" s="1485"/>
      <c r="F312" s="1485"/>
      <c r="G312" s="1485"/>
    </row>
    <row r="313" spans="1:7" x14ac:dyDescent="0.3">
      <c r="A313" s="1410"/>
      <c r="B313" s="1410"/>
      <c r="C313" s="1410"/>
      <c r="D313" s="1410"/>
      <c r="E313" s="1485"/>
      <c r="F313" s="1485"/>
      <c r="G313" s="1485"/>
    </row>
    <row r="314" spans="1:7" x14ac:dyDescent="0.3">
      <c r="A314" s="1410"/>
      <c r="B314" s="1410"/>
      <c r="C314" s="1410"/>
      <c r="D314" s="1410"/>
      <c r="E314" s="1485"/>
      <c r="F314" s="1485"/>
      <c r="G314" s="1485"/>
    </row>
    <row r="315" spans="1:7" x14ac:dyDescent="0.3">
      <c r="A315" s="1410"/>
      <c r="B315" s="1410"/>
      <c r="C315" s="1410"/>
      <c r="D315" s="1410"/>
      <c r="E315" s="1485"/>
      <c r="F315" s="1485"/>
      <c r="G315" s="1485"/>
    </row>
    <row r="316" spans="1:7" x14ac:dyDescent="0.3">
      <c r="A316" s="1410"/>
      <c r="B316" s="1410"/>
      <c r="C316" s="1410"/>
      <c r="D316" s="1410"/>
      <c r="E316" s="1485"/>
      <c r="F316" s="1485"/>
      <c r="G316" s="1485"/>
    </row>
    <row r="317" spans="1:7" x14ac:dyDescent="0.3">
      <c r="A317" s="1410"/>
      <c r="B317" s="1410"/>
      <c r="C317" s="1410"/>
      <c r="D317" s="1410"/>
      <c r="E317" s="1485"/>
      <c r="F317" s="1485"/>
      <c r="G317" s="1485"/>
    </row>
    <row r="318" spans="1:7" x14ac:dyDescent="0.3">
      <c r="A318" s="1410"/>
      <c r="B318" s="1410"/>
      <c r="C318" s="1410"/>
      <c r="D318" s="1410"/>
      <c r="E318" s="1485"/>
      <c r="F318" s="1485"/>
      <c r="G318" s="1485"/>
    </row>
    <row r="319" spans="1:7" x14ac:dyDescent="0.3">
      <c r="A319" s="1410"/>
      <c r="B319" s="1410"/>
      <c r="C319" s="1410"/>
      <c r="D319" s="1410"/>
      <c r="E319" s="1485"/>
      <c r="F319" s="1485"/>
      <c r="G319" s="1485"/>
    </row>
    <row r="320" spans="1:7" x14ac:dyDescent="0.3">
      <c r="A320" s="1410"/>
      <c r="B320" s="1410"/>
      <c r="C320" s="1410"/>
      <c r="D320" s="1410"/>
      <c r="E320" s="1485"/>
      <c r="F320" s="1485"/>
      <c r="G320" s="1485"/>
    </row>
    <row r="321" spans="1:7" x14ac:dyDescent="0.3">
      <c r="A321" s="1410"/>
      <c r="B321" s="1410"/>
      <c r="C321" s="1410"/>
      <c r="D321" s="1410"/>
      <c r="E321" s="1485"/>
      <c r="F321" s="1485"/>
      <c r="G321" s="1485"/>
    </row>
    <row r="322" spans="1:7" x14ac:dyDescent="0.3">
      <c r="A322" s="1410"/>
      <c r="B322" s="1410"/>
      <c r="C322" s="1410"/>
      <c r="D322" s="1410"/>
      <c r="E322" s="1485"/>
      <c r="F322" s="1485"/>
      <c r="G322" s="1485"/>
    </row>
    <row r="323" spans="1:7" x14ac:dyDescent="0.3">
      <c r="A323" s="1410"/>
      <c r="B323" s="1410"/>
      <c r="C323" s="1410"/>
      <c r="D323" s="1410"/>
      <c r="E323" s="1485"/>
      <c r="F323" s="1485"/>
      <c r="G323" s="1485"/>
    </row>
    <row r="324" spans="1:7" x14ac:dyDescent="0.3">
      <c r="A324" s="1410"/>
      <c r="B324" s="1410"/>
      <c r="C324" s="1410"/>
      <c r="D324" s="1410"/>
      <c r="E324" s="1485"/>
      <c r="F324" s="1485"/>
      <c r="G324" s="1485"/>
    </row>
    <row r="325" spans="1:7" x14ac:dyDescent="0.3">
      <c r="A325" s="1410"/>
      <c r="B325" s="1410"/>
      <c r="C325" s="1410"/>
      <c r="D325" s="1410"/>
      <c r="E325" s="1485"/>
      <c r="F325" s="1485"/>
      <c r="G325" s="1485"/>
    </row>
    <row r="326" spans="1:7" x14ac:dyDescent="0.3">
      <c r="A326" s="1410"/>
      <c r="B326" s="1410"/>
      <c r="C326" s="1410"/>
      <c r="D326" s="1410"/>
      <c r="E326" s="1485"/>
      <c r="F326" s="1485"/>
      <c r="G326" s="1485"/>
    </row>
    <row r="327" spans="1:7" x14ac:dyDescent="0.3">
      <c r="A327" s="1410"/>
      <c r="B327" s="1410"/>
      <c r="C327" s="1410"/>
      <c r="D327" s="1410"/>
      <c r="E327" s="1485"/>
      <c r="F327" s="1485"/>
      <c r="G327" s="1485"/>
    </row>
    <row r="328" spans="1:7" x14ac:dyDescent="0.3">
      <c r="A328" s="1410"/>
      <c r="B328" s="1410"/>
      <c r="C328" s="1410"/>
      <c r="D328" s="1410"/>
      <c r="E328" s="1485"/>
      <c r="F328" s="1485"/>
      <c r="G328" s="1485"/>
    </row>
    <row r="329" spans="1:7" x14ac:dyDescent="0.3">
      <c r="A329" s="1410"/>
      <c r="B329" s="1410"/>
      <c r="C329" s="1410"/>
      <c r="D329" s="1410"/>
      <c r="E329" s="1485"/>
      <c r="F329" s="1485"/>
      <c r="G329" s="1485"/>
    </row>
    <row r="330" spans="1:7" x14ac:dyDescent="0.3">
      <c r="A330" s="1410"/>
      <c r="B330" s="1410"/>
      <c r="C330" s="1410"/>
      <c r="D330" s="1410"/>
      <c r="E330" s="1485"/>
      <c r="F330" s="1485"/>
      <c r="G330" s="1485"/>
    </row>
    <row r="331" spans="1:7" x14ac:dyDescent="0.3">
      <c r="A331" s="1410"/>
      <c r="B331" s="1410"/>
      <c r="C331" s="1410"/>
      <c r="D331" s="1410"/>
      <c r="E331" s="1485"/>
      <c r="F331" s="1485"/>
      <c r="G331" s="1485"/>
    </row>
    <row r="332" spans="1:7" x14ac:dyDescent="0.3">
      <c r="A332" s="1410"/>
      <c r="B332" s="1410"/>
      <c r="C332" s="1410"/>
      <c r="D332" s="1410"/>
      <c r="E332" s="1485"/>
      <c r="F332" s="1485"/>
      <c r="G332" s="1485"/>
    </row>
    <row r="333" spans="1:7" x14ac:dyDescent="0.3">
      <c r="A333" s="1410"/>
      <c r="B333" s="1410"/>
      <c r="C333" s="1410"/>
      <c r="D333" s="1410"/>
      <c r="E333" s="1485"/>
      <c r="F333" s="1485"/>
      <c r="G333" s="1485"/>
    </row>
    <row r="334" spans="1:7" x14ac:dyDescent="0.3">
      <c r="A334" s="1410"/>
      <c r="B334" s="1410"/>
      <c r="C334" s="1410"/>
      <c r="D334" s="1410"/>
      <c r="E334" s="1485"/>
      <c r="F334" s="1485"/>
      <c r="G334" s="1485"/>
    </row>
    <row r="335" spans="1:7" x14ac:dyDescent="0.3">
      <c r="A335" s="1410"/>
      <c r="B335" s="1410"/>
      <c r="C335" s="1410"/>
      <c r="D335" s="1410"/>
      <c r="E335" s="1485"/>
      <c r="F335" s="1485"/>
      <c r="G335" s="1485"/>
    </row>
    <row r="336" spans="1:7" x14ac:dyDescent="0.3">
      <c r="A336" s="1410"/>
      <c r="B336" s="1410"/>
      <c r="C336" s="1410"/>
      <c r="D336" s="1410"/>
      <c r="E336" s="1485"/>
      <c r="F336" s="1485"/>
      <c r="G336" s="1485"/>
    </row>
    <row r="337" spans="1:7" x14ac:dyDescent="0.3">
      <c r="A337" s="1410"/>
      <c r="B337" s="1410"/>
      <c r="C337" s="1410"/>
      <c r="D337" s="1410"/>
      <c r="E337" s="1485"/>
      <c r="F337" s="1485"/>
      <c r="G337" s="1485"/>
    </row>
    <row r="338" spans="1:7" x14ac:dyDescent="0.3">
      <c r="A338" s="1410"/>
      <c r="B338" s="1410"/>
      <c r="C338" s="1410"/>
      <c r="D338" s="1410"/>
      <c r="E338" s="1485"/>
      <c r="F338" s="1485"/>
      <c r="G338" s="1485"/>
    </row>
    <row r="339" spans="1:7" x14ac:dyDescent="0.3">
      <c r="A339" s="1410"/>
      <c r="B339" s="1410"/>
      <c r="C339" s="1410"/>
      <c r="D339" s="1410"/>
      <c r="E339" s="1485"/>
      <c r="F339" s="1485"/>
      <c r="G339" s="1485"/>
    </row>
    <row r="340" spans="1:7" x14ac:dyDescent="0.3">
      <c r="A340" s="1410"/>
      <c r="B340" s="1410"/>
      <c r="C340" s="1410"/>
      <c r="D340" s="1410"/>
      <c r="E340" s="1485"/>
      <c r="F340" s="1485"/>
      <c r="G340" s="1485"/>
    </row>
    <row r="341" spans="1:7" x14ac:dyDescent="0.3">
      <c r="A341" s="1410"/>
      <c r="B341" s="1410"/>
      <c r="C341" s="1410"/>
      <c r="D341" s="1410"/>
      <c r="E341" s="1485"/>
      <c r="F341" s="1485"/>
      <c r="G341" s="1485"/>
    </row>
    <row r="342" spans="1:7" x14ac:dyDescent="0.3">
      <c r="A342" s="1410"/>
      <c r="B342" s="1410"/>
      <c r="C342" s="1410"/>
      <c r="D342" s="1410"/>
      <c r="E342" s="1485"/>
      <c r="F342" s="1485"/>
      <c r="G342" s="1485"/>
    </row>
    <row r="343" spans="1:7" x14ac:dyDescent="0.3">
      <c r="A343" s="1410"/>
      <c r="B343" s="1410"/>
      <c r="C343" s="1410"/>
      <c r="D343" s="1410"/>
      <c r="E343" s="1485"/>
      <c r="F343" s="1485"/>
      <c r="G343" s="1485"/>
    </row>
    <row r="344" spans="1:7" x14ac:dyDescent="0.3">
      <c r="A344" s="1410"/>
      <c r="B344" s="1410"/>
      <c r="C344" s="1410"/>
      <c r="D344" s="1410"/>
      <c r="E344" s="1485"/>
      <c r="F344" s="1485"/>
      <c r="G344" s="1485"/>
    </row>
    <row r="345" spans="1:7" x14ac:dyDescent="0.3">
      <c r="A345" s="1410"/>
      <c r="B345" s="1410"/>
      <c r="C345" s="1410"/>
      <c r="D345" s="1410"/>
      <c r="E345" s="1485"/>
      <c r="F345" s="1485"/>
      <c r="G345" s="1485"/>
    </row>
    <row r="346" spans="1:7" x14ac:dyDescent="0.3">
      <c r="A346" s="1410"/>
      <c r="B346" s="1410"/>
      <c r="C346" s="1410"/>
      <c r="D346" s="1410"/>
      <c r="E346" s="1485"/>
      <c r="F346" s="1485"/>
      <c r="G346" s="1485"/>
    </row>
    <row r="347" spans="1:7" x14ac:dyDescent="0.3">
      <c r="A347" s="1410"/>
      <c r="B347" s="1410"/>
      <c r="C347" s="1410"/>
      <c r="D347" s="1410"/>
      <c r="E347" s="1485"/>
      <c r="F347" s="1485"/>
      <c r="G347" s="1485"/>
    </row>
    <row r="348" spans="1:7" x14ac:dyDescent="0.3">
      <c r="A348" s="1410"/>
      <c r="B348" s="1410"/>
      <c r="C348" s="1410"/>
      <c r="D348" s="1410"/>
      <c r="E348" s="1485"/>
      <c r="F348" s="1485"/>
      <c r="G348" s="1485"/>
    </row>
    <row r="349" spans="1:7" x14ac:dyDescent="0.3">
      <c r="A349" s="1410"/>
      <c r="B349" s="1410"/>
      <c r="C349" s="1410"/>
      <c r="D349" s="1410"/>
      <c r="E349" s="1485"/>
      <c r="F349" s="1485"/>
      <c r="G349" s="1485"/>
    </row>
    <row r="350" spans="1:7" x14ac:dyDescent="0.3">
      <c r="A350" s="1410"/>
      <c r="B350" s="1410"/>
      <c r="C350" s="1410"/>
      <c r="D350" s="1410"/>
      <c r="E350" s="1485"/>
      <c r="F350" s="1485"/>
      <c r="G350" s="1485"/>
    </row>
    <row r="351" spans="1:7" x14ac:dyDescent="0.3">
      <c r="A351" s="1410"/>
      <c r="B351" s="1410"/>
      <c r="C351" s="1410"/>
      <c r="D351" s="1410"/>
      <c r="E351" s="1485"/>
      <c r="F351" s="1485"/>
      <c r="G351" s="1485"/>
    </row>
    <row r="352" spans="1:7" x14ac:dyDescent="0.3">
      <c r="A352" s="1410"/>
      <c r="B352" s="1410"/>
      <c r="C352" s="1410"/>
      <c r="D352" s="1410"/>
      <c r="E352" s="1485"/>
      <c r="F352" s="1485"/>
      <c r="G352" s="1485"/>
    </row>
    <row r="353" spans="1:7" x14ac:dyDescent="0.3">
      <c r="A353" s="1410"/>
      <c r="B353" s="1410"/>
      <c r="C353" s="1410"/>
      <c r="D353" s="1410"/>
      <c r="E353" s="1485"/>
      <c r="F353" s="1485"/>
      <c r="G353" s="1485"/>
    </row>
    <row r="354" spans="1:7" x14ac:dyDescent="0.3">
      <c r="A354" s="1410"/>
      <c r="B354" s="1410"/>
      <c r="C354" s="1410"/>
      <c r="D354" s="1410"/>
      <c r="E354" s="1485"/>
      <c r="F354" s="1485"/>
      <c r="G354" s="1485"/>
    </row>
    <row r="355" spans="1:7" x14ac:dyDescent="0.3">
      <c r="A355" s="1410"/>
      <c r="B355" s="1410"/>
      <c r="C355" s="1410"/>
      <c r="D355" s="1410"/>
      <c r="E355" s="1485"/>
      <c r="F355" s="1485"/>
      <c r="G355" s="1485"/>
    </row>
    <row r="356" spans="1:7" x14ac:dyDescent="0.3">
      <c r="A356" s="1410"/>
      <c r="B356" s="1410"/>
      <c r="C356" s="1410"/>
      <c r="D356" s="1410"/>
      <c r="E356" s="1485"/>
      <c r="F356" s="1485"/>
      <c r="G356" s="1485"/>
    </row>
    <row r="357" spans="1:7" x14ac:dyDescent="0.3">
      <c r="A357" s="1410"/>
      <c r="B357" s="1410"/>
      <c r="C357" s="1410"/>
      <c r="D357" s="1410"/>
      <c r="E357" s="1485"/>
      <c r="F357" s="1485"/>
      <c r="G357" s="1485"/>
    </row>
    <row r="358" spans="1:7" x14ac:dyDescent="0.3">
      <c r="A358" s="1410"/>
      <c r="B358" s="1410"/>
      <c r="C358" s="1410"/>
      <c r="D358" s="1410"/>
      <c r="E358" s="1485"/>
      <c r="F358" s="1485"/>
      <c r="G358" s="1485"/>
    </row>
    <row r="359" spans="1:7" x14ac:dyDescent="0.3">
      <c r="A359" s="1410"/>
      <c r="B359" s="1410"/>
      <c r="C359" s="1410"/>
      <c r="D359" s="1410"/>
      <c r="E359" s="1485"/>
      <c r="F359" s="1485"/>
      <c r="G359" s="1485"/>
    </row>
    <row r="360" spans="1:7" x14ac:dyDescent="0.3">
      <c r="A360" s="1410"/>
      <c r="B360" s="1410"/>
      <c r="C360" s="1410"/>
      <c r="D360" s="1410"/>
      <c r="E360" s="1485"/>
      <c r="F360" s="1485"/>
      <c r="G360" s="1485"/>
    </row>
    <row r="361" spans="1:7" x14ac:dyDescent="0.3">
      <c r="A361" s="1410"/>
      <c r="B361" s="1410"/>
      <c r="C361" s="1410"/>
      <c r="D361" s="1410"/>
      <c r="E361" s="1485"/>
      <c r="F361" s="1485"/>
      <c r="G361" s="1485"/>
    </row>
    <row r="362" spans="1:7" x14ac:dyDescent="0.3">
      <c r="A362" s="1410"/>
      <c r="B362" s="1410"/>
      <c r="C362" s="1410"/>
      <c r="D362" s="1410"/>
      <c r="E362" s="1485"/>
      <c r="F362" s="1485"/>
      <c r="G362" s="1485"/>
    </row>
    <row r="363" spans="1:7" x14ac:dyDescent="0.3">
      <c r="A363" s="1410"/>
      <c r="B363" s="1410"/>
      <c r="C363" s="1410"/>
      <c r="D363" s="1410"/>
      <c r="E363" s="1485"/>
      <c r="F363" s="1485"/>
      <c r="G363" s="1485"/>
    </row>
    <row r="364" spans="1:7" x14ac:dyDescent="0.3">
      <c r="A364" s="1410"/>
      <c r="B364" s="1410"/>
      <c r="C364" s="1410"/>
      <c r="D364" s="1410"/>
      <c r="E364" s="1485"/>
      <c r="F364" s="1485"/>
      <c r="G364" s="1485"/>
    </row>
    <row r="365" spans="1:7" x14ac:dyDescent="0.3">
      <c r="A365" s="1410"/>
      <c r="B365" s="1410"/>
      <c r="C365" s="1410"/>
      <c r="D365" s="1410"/>
      <c r="E365" s="1485"/>
      <c r="F365" s="1485"/>
      <c r="G365" s="1485"/>
    </row>
    <row r="366" spans="1:7" x14ac:dyDescent="0.3">
      <c r="A366" s="1410"/>
      <c r="B366" s="1410"/>
      <c r="C366" s="1410"/>
      <c r="D366" s="1410"/>
      <c r="E366" s="1485"/>
      <c r="F366" s="1485"/>
      <c r="G366" s="1485"/>
    </row>
    <row r="367" spans="1:7" x14ac:dyDescent="0.3">
      <c r="A367" s="1410"/>
      <c r="B367" s="1410"/>
      <c r="C367" s="1410"/>
      <c r="D367" s="1410"/>
      <c r="E367" s="1485"/>
      <c r="F367" s="1485"/>
      <c r="G367" s="1485"/>
    </row>
    <row r="368" spans="1:7" x14ac:dyDescent="0.3">
      <c r="A368" s="1410"/>
      <c r="B368" s="1410"/>
      <c r="C368" s="1410"/>
      <c r="D368" s="1410"/>
      <c r="E368" s="1485"/>
      <c r="F368" s="1485"/>
      <c r="G368" s="1485"/>
    </row>
    <row r="369" spans="1:7" x14ac:dyDescent="0.3">
      <c r="A369" s="1410"/>
      <c r="B369" s="1410"/>
      <c r="C369" s="1410"/>
      <c r="D369" s="1410"/>
      <c r="E369" s="1485"/>
      <c r="F369" s="1485"/>
      <c r="G369" s="1485"/>
    </row>
    <row r="370" spans="1:7" x14ac:dyDescent="0.3">
      <c r="A370" s="1410"/>
      <c r="B370" s="1410"/>
      <c r="C370" s="1410"/>
      <c r="D370" s="1410"/>
      <c r="E370" s="1485"/>
      <c r="F370" s="1485"/>
      <c r="G370" s="1485"/>
    </row>
    <row r="371" spans="1:7" x14ac:dyDescent="0.3">
      <c r="A371" s="1410"/>
      <c r="B371" s="1410"/>
      <c r="C371" s="1410"/>
      <c r="D371" s="1410"/>
      <c r="E371" s="1485"/>
      <c r="F371" s="1485"/>
      <c r="G371" s="1485"/>
    </row>
    <row r="372" spans="1:7" x14ac:dyDescent="0.3">
      <c r="A372" s="1410"/>
      <c r="B372" s="1410"/>
      <c r="C372" s="1410"/>
      <c r="D372" s="1410"/>
      <c r="E372" s="1485"/>
      <c r="F372" s="1485"/>
      <c r="G372" s="1485"/>
    </row>
    <row r="373" spans="1:7" x14ac:dyDescent="0.3">
      <c r="A373" s="1410"/>
      <c r="B373" s="1410"/>
      <c r="C373" s="1410"/>
      <c r="D373" s="1410"/>
      <c r="E373" s="1485"/>
      <c r="F373" s="1485"/>
      <c r="G373" s="1485"/>
    </row>
    <row r="374" spans="1:7" x14ac:dyDescent="0.3">
      <c r="A374" s="1410"/>
      <c r="B374" s="1410"/>
      <c r="C374" s="1410"/>
      <c r="D374" s="1410"/>
      <c r="E374" s="1485"/>
      <c r="F374" s="1485"/>
      <c r="G374" s="1485"/>
    </row>
    <row r="375" spans="1:7" x14ac:dyDescent="0.3">
      <c r="A375" s="1410"/>
      <c r="B375" s="1410"/>
      <c r="C375" s="1410"/>
      <c r="D375" s="1410"/>
      <c r="E375" s="1485"/>
      <c r="F375" s="1485"/>
      <c r="G375" s="1485"/>
    </row>
    <row r="376" spans="1:7" x14ac:dyDescent="0.3">
      <c r="A376" s="1410"/>
      <c r="B376" s="1410"/>
      <c r="C376" s="1410"/>
      <c r="D376" s="1410"/>
      <c r="E376" s="1485"/>
      <c r="F376" s="1485"/>
      <c r="G376" s="1485"/>
    </row>
    <row r="377" spans="1:7" x14ac:dyDescent="0.3">
      <c r="A377" s="1410"/>
      <c r="B377" s="1410"/>
      <c r="C377" s="1410"/>
      <c r="D377" s="1410"/>
      <c r="E377" s="1485"/>
      <c r="F377" s="1485"/>
      <c r="G377" s="1485"/>
    </row>
    <row r="378" spans="1:7" x14ac:dyDescent="0.3">
      <c r="A378" s="1410"/>
      <c r="B378" s="1410"/>
      <c r="C378" s="1410"/>
      <c r="D378" s="1410"/>
      <c r="E378" s="1485"/>
      <c r="F378" s="1485"/>
      <c r="G378" s="1485"/>
    </row>
    <row r="379" spans="1:7" x14ac:dyDescent="0.3">
      <c r="A379" s="1410"/>
      <c r="B379" s="1410"/>
      <c r="C379" s="1410"/>
      <c r="D379" s="1410"/>
      <c r="E379" s="1485"/>
      <c r="F379" s="1485"/>
      <c r="G379" s="1485"/>
    </row>
    <row r="380" spans="1:7" x14ac:dyDescent="0.3">
      <c r="A380" s="1410"/>
      <c r="B380" s="1410"/>
      <c r="C380" s="1410"/>
      <c r="D380" s="1410"/>
      <c r="E380" s="1485"/>
      <c r="F380" s="1485"/>
      <c r="G380" s="1485"/>
    </row>
    <row r="381" spans="1:7" x14ac:dyDescent="0.3">
      <c r="A381" s="1410"/>
      <c r="B381" s="1410"/>
      <c r="C381" s="1410"/>
      <c r="D381" s="1410"/>
      <c r="E381" s="1485"/>
      <c r="F381" s="1485"/>
      <c r="G381" s="1485"/>
    </row>
    <row r="382" spans="1:7" x14ac:dyDescent="0.3">
      <c r="A382" s="1410"/>
      <c r="B382" s="1410"/>
      <c r="C382" s="1410"/>
      <c r="D382" s="1410"/>
      <c r="E382" s="1485"/>
      <c r="F382" s="1485"/>
      <c r="G382" s="1485"/>
    </row>
    <row r="383" spans="1:7" x14ac:dyDescent="0.3">
      <c r="A383" s="1410"/>
      <c r="B383" s="1410"/>
      <c r="C383" s="1410"/>
      <c r="D383" s="1410"/>
      <c r="E383" s="1485"/>
      <c r="F383" s="1485"/>
      <c r="G383" s="1485"/>
    </row>
    <row r="384" spans="1:7" x14ac:dyDescent="0.3">
      <c r="A384" s="1410"/>
      <c r="B384" s="1410"/>
      <c r="C384" s="1410"/>
      <c r="D384" s="1410"/>
      <c r="E384" s="1485"/>
      <c r="F384" s="1485"/>
      <c r="G384" s="1485"/>
    </row>
    <row r="385" spans="1:7" x14ac:dyDescent="0.3">
      <c r="A385" s="1410"/>
      <c r="B385" s="1410"/>
      <c r="C385" s="1410"/>
      <c r="D385" s="1410"/>
      <c r="E385" s="1485"/>
      <c r="F385" s="1485"/>
      <c r="G385" s="1485"/>
    </row>
    <row r="386" spans="1:7" x14ac:dyDescent="0.3">
      <c r="A386" s="1410"/>
      <c r="B386" s="1410"/>
      <c r="C386" s="1410"/>
      <c r="D386" s="1410"/>
      <c r="E386" s="1485"/>
      <c r="F386" s="1485"/>
      <c r="G386" s="1485"/>
    </row>
    <row r="387" spans="1:7" x14ac:dyDescent="0.3">
      <c r="A387" s="1410"/>
      <c r="B387" s="1410"/>
      <c r="C387" s="1410"/>
      <c r="D387" s="1410"/>
      <c r="E387" s="1485"/>
      <c r="F387" s="1485"/>
      <c r="G387" s="1485"/>
    </row>
    <row r="388" spans="1:7" x14ac:dyDescent="0.3">
      <c r="A388" s="1410"/>
      <c r="B388" s="1410"/>
      <c r="C388" s="1410"/>
      <c r="D388" s="1410"/>
      <c r="E388" s="1485"/>
      <c r="F388" s="1485"/>
      <c r="G388" s="1485"/>
    </row>
    <row r="389" spans="1:7" x14ac:dyDescent="0.3">
      <c r="A389" s="1410"/>
      <c r="B389" s="1410"/>
      <c r="C389" s="1410"/>
      <c r="D389" s="1410"/>
      <c r="E389" s="1485"/>
      <c r="F389" s="1485"/>
      <c r="G389" s="1485"/>
    </row>
    <row r="390" spans="1:7" x14ac:dyDescent="0.3">
      <c r="A390" s="1410"/>
      <c r="B390" s="1410"/>
      <c r="C390" s="1410"/>
      <c r="D390" s="1410"/>
      <c r="E390" s="1485"/>
      <c r="F390" s="1485"/>
      <c r="G390" s="1485"/>
    </row>
    <row r="391" spans="1:7" x14ac:dyDescent="0.3">
      <c r="A391" s="1410"/>
      <c r="B391" s="1410"/>
      <c r="C391" s="1410"/>
      <c r="D391" s="1410"/>
      <c r="E391" s="1485"/>
      <c r="F391" s="1485"/>
      <c r="G391" s="1485"/>
    </row>
    <row r="392" spans="1:7" x14ac:dyDescent="0.3">
      <c r="A392" s="1410"/>
      <c r="B392" s="1410"/>
      <c r="C392" s="1410"/>
      <c r="D392" s="1410"/>
      <c r="E392" s="1485"/>
      <c r="F392" s="1485"/>
      <c r="G392" s="1485"/>
    </row>
    <row r="393" spans="1:7" x14ac:dyDescent="0.3">
      <c r="A393" s="1410"/>
      <c r="B393" s="1410"/>
      <c r="C393" s="1410"/>
      <c r="D393" s="1410"/>
      <c r="E393" s="1485"/>
      <c r="F393" s="1485"/>
      <c r="G393" s="1485"/>
    </row>
    <row r="394" spans="1:7" x14ac:dyDescent="0.3">
      <c r="A394" s="1410"/>
      <c r="B394" s="1410"/>
      <c r="C394" s="1410"/>
      <c r="D394" s="1410"/>
      <c r="E394" s="1485"/>
      <c r="F394" s="1485"/>
      <c r="G394" s="1485"/>
    </row>
    <row r="395" spans="1:7" x14ac:dyDescent="0.3">
      <c r="A395" s="1410"/>
      <c r="B395" s="1410"/>
      <c r="C395" s="1410"/>
      <c r="D395" s="1410"/>
      <c r="E395" s="1485"/>
      <c r="F395" s="1485"/>
      <c r="G395" s="1485"/>
    </row>
    <row r="396" spans="1:7" x14ac:dyDescent="0.3">
      <c r="A396" s="1410"/>
      <c r="B396" s="1410"/>
      <c r="C396" s="1410"/>
      <c r="D396" s="1410"/>
      <c r="E396" s="1485"/>
      <c r="F396" s="1485"/>
      <c r="G396" s="1485"/>
    </row>
    <row r="397" spans="1:7" x14ac:dyDescent="0.3">
      <c r="A397" s="1410"/>
      <c r="B397" s="1410"/>
      <c r="C397" s="1410"/>
      <c r="D397" s="1410"/>
      <c r="E397" s="1485"/>
      <c r="F397" s="1485"/>
      <c r="G397" s="1485"/>
    </row>
    <row r="398" spans="1:7" x14ac:dyDescent="0.3">
      <c r="A398" s="1410"/>
      <c r="B398" s="1410"/>
      <c r="C398" s="1410"/>
      <c r="D398" s="1410"/>
      <c r="E398" s="1485"/>
      <c r="F398" s="1485"/>
      <c r="G398" s="1485"/>
    </row>
    <row r="399" spans="1:7" x14ac:dyDescent="0.3">
      <c r="A399" s="1410"/>
      <c r="B399" s="1410"/>
      <c r="C399" s="1410"/>
      <c r="D399" s="1410"/>
      <c r="E399" s="1485"/>
      <c r="F399" s="1485"/>
      <c r="G399" s="1485"/>
    </row>
    <row r="400" spans="1:7" x14ac:dyDescent="0.3">
      <c r="A400" s="1410"/>
      <c r="B400" s="1410"/>
      <c r="C400" s="1410"/>
      <c r="D400" s="1410"/>
      <c r="E400" s="1485"/>
      <c r="F400" s="1485"/>
      <c r="G400" s="1485"/>
    </row>
    <row r="401" spans="1:7" x14ac:dyDescent="0.3">
      <c r="A401" s="1410"/>
      <c r="B401" s="1410"/>
      <c r="C401" s="1410"/>
      <c r="D401" s="1410"/>
      <c r="E401" s="1485"/>
      <c r="F401" s="1485"/>
      <c r="G401" s="1485"/>
    </row>
    <row r="402" spans="1:7" x14ac:dyDescent="0.3">
      <c r="A402" s="1410"/>
      <c r="B402" s="1410"/>
      <c r="C402" s="1410"/>
      <c r="D402" s="1410"/>
      <c r="E402" s="1485"/>
      <c r="F402" s="1485"/>
      <c r="G402" s="1485"/>
    </row>
    <row r="403" spans="1:7" x14ac:dyDescent="0.3">
      <c r="A403" s="1410"/>
      <c r="B403" s="1410"/>
      <c r="C403" s="1410"/>
      <c r="D403" s="1410"/>
      <c r="E403" s="1485"/>
      <c r="F403" s="1485"/>
      <c r="G403" s="1485"/>
    </row>
    <row r="404" spans="1:7" x14ac:dyDescent="0.3">
      <c r="A404" s="1410"/>
      <c r="B404" s="1410"/>
      <c r="C404" s="1410"/>
      <c r="D404" s="1410"/>
      <c r="E404" s="1485"/>
      <c r="F404" s="1485"/>
      <c r="G404" s="1485"/>
    </row>
    <row r="405" spans="1:7" x14ac:dyDescent="0.3">
      <c r="A405" s="1410"/>
      <c r="B405" s="1410"/>
      <c r="C405" s="1410"/>
      <c r="D405" s="1410"/>
      <c r="E405" s="1485"/>
      <c r="F405" s="1485"/>
      <c r="G405" s="1485"/>
    </row>
    <row r="406" spans="1:7" x14ac:dyDescent="0.3">
      <c r="A406" s="1410"/>
      <c r="B406" s="1410"/>
      <c r="C406" s="1410"/>
      <c r="D406" s="1410"/>
      <c r="E406" s="1485"/>
      <c r="F406" s="1485"/>
      <c r="G406" s="1485"/>
    </row>
    <row r="407" spans="1:7" x14ac:dyDescent="0.3">
      <c r="A407" s="1410"/>
      <c r="B407" s="1410"/>
      <c r="C407" s="1410"/>
      <c r="D407" s="1410"/>
      <c r="E407" s="1485"/>
      <c r="F407" s="1485"/>
      <c r="G407" s="1485"/>
    </row>
    <row r="408" spans="1:7" x14ac:dyDescent="0.3">
      <c r="A408" s="1410"/>
      <c r="B408" s="1410"/>
      <c r="C408" s="1410"/>
      <c r="D408" s="1410"/>
      <c r="E408" s="1485"/>
      <c r="F408" s="1485"/>
      <c r="G408" s="1485"/>
    </row>
    <row r="409" spans="1:7" x14ac:dyDescent="0.3">
      <c r="A409" s="1410"/>
      <c r="B409" s="1410"/>
      <c r="C409" s="1410"/>
      <c r="D409" s="1410"/>
      <c r="E409" s="1485"/>
      <c r="F409" s="1485"/>
      <c r="G409" s="1485"/>
    </row>
    <row r="410" spans="1:7" x14ac:dyDescent="0.3">
      <c r="A410" s="1410"/>
      <c r="B410" s="1410"/>
      <c r="C410" s="1410"/>
      <c r="D410" s="1410"/>
      <c r="E410" s="1485"/>
      <c r="F410" s="1485"/>
      <c r="G410" s="1485"/>
    </row>
    <row r="411" spans="1:7" x14ac:dyDescent="0.3">
      <c r="A411" s="1410"/>
      <c r="B411" s="1410"/>
      <c r="C411" s="1410"/>
      <c r="D411" s="1410"/>
      <c r="E411" s="1485"/>
      <c r="F411" s="1485"/>
      <c r="G411" s="1485"/>
    </row>
    <row r="412" spans="1:7" x14ac:dyDescent="0.3">
      <c r="A412" s="1410"/>
      <c r="B412" s="1410"/>
      <c r="C412" s="1410"/>
      <c r="D412" s="1410"/>
      <c r="E412" s="1485"/>
      <c r="F412" s="1485"/>
      <c r="G412" s="1485"/>
    </row>
    <row r="413" spans="1:7" x14ac:dyDescent="0.3">
      <c r="A413" s="1410"/>
      <c r="B413" s="1410"/>
      <c r="C413" s="1410"/>
      <c r="D413" s="1410"/>
      <c r="E413" s="1485"/>
      <c r="F413" s="1485"/>
      <c r="G413" s="1485"/>
    </row>
    <row r="414" spans="1:7" x14ac:dyDescent="0.3">
      <c r="A414" s="1410"/>
      <c r="B414" s="1410"/>
      <c r="C414" s="1410"/>
      <c r="D414" s="1410"/>
      <c r="E414" s="1485"/>
      <c r="F414" s="1485"/>
      <c r="G414" s="1485"/>
    </row>
    <row r="415" spans="1:7" x14ac:dyDescent="0.3">
      <c r="A415" s="1410"/>
      <c r="B415" s="1410"/>
      <c r="C415" s="1410"/>
      <c r="D415" s="1410"/>
      <c r="E415" s="1485"/>
      <c r="F415" s="1485"/>
      <c r="G415" s="1485"/>
    </row>
    <row r="416" spans="1:7" x14ac:dyDescent="0.3">
      <c r="A416" s="1410"/>
      <c r="B416" s="1410"/>
      <c r="C416" s="1410"/>
      <c r="D416" s="1410"/>
      <c r="E416" s="1485"/>
      <c r="F416" s="1485"/>
      <c r="G416" s="1485"/>
    </row>
    <row r="417" spans="1:7" x14ac:dyDescent="0.3">
      <c r="A417" s="1410"/>
      <c r="B417" s="1410"/>
      <c r="C417" s="1410"/>
      <c r="D417" s="1410"/>
      <c r="E417" s="1485"/>
      <c r="F417" s="1485"/>
      <c r="G417" s="1485"/>
    </row>
    <row r="418" spans="1:7" x14ac:dyDescent="0.3">
      <c r="A418" s="1410"/>
      <c r="B418" s="1410"/>
      <c r="C418" s="1410"/>
      <c r="D418" s="1410"/>
      <c r="E418" s="1485"/>
      <c r="F418" s="1485"/>
      <c r="G418" s="1485"/>
    </row>
    <row r="419" spans="1:7" x14ac:dyDescent="0.3">
      <c r="A419" s="1410"/>
      <c r="B419" s="1410"/>
      <c r="C419" s="1410"/>
      <c r="D419" s="1410"/>
      <c r="E419" s="1485"/>
      <c r="F419" s="1485"/>
      <c r="G419" s="1485"/>
    </row>
    <row r="420" spans="1:7" x14ac:dyDescent="0.3">
      <c r="A420" s="1410"/>
      <c r="B420" s="1410"/>
      <c r="C420" s="1410"/>
      <c r="D420" s="1410"/>
      <c r="E420" s="1485"/>
      <c r="F420" s="1485"/>
      <c r="G420" s="1485"/>
    </row>
    <row r="421" spans="1:7" x14ac:dyDescent="0.3">
      <c r="A421" s="1410"/>
      <c r="B421" s="1410"/>
      <c r="C421" s="1410"/>
      <c r="D421" s="1410"/>
      <c r="E421" s="1485"/>
      <c r="F421" s="1485"/>
      <c r="G421" s="1485"/>
    </row>
    <row r="422" spans="1:7" x14ac:dyDescent="0.3">
      <c r="A422" s="1410"/>
      <c r="B422" s="1410"/>
      <c r="C422" s="1410"/>
      <c r="D422" s="1410"/>
      <c r="E422" s="1485"/>
      <c r="F422" s="1485"/>
      <c r="G422" s="1485"/>
    </row>
    <row r="423" spans="1:7" x14ac:dyDescent="0.3">
      <c r="A423" s="1410"/>
      <c r="B423" s="1410"/>
      <c r="C423" s="1410"/>
      <c r="D423" s="1410"/>
      <c r="E423" s="1485"/>
      <c r="F423" s="1485"/>
      <c r="G423" s="1485"/>
    </row>
    <row r="424" spans="1:7" x14ac:dyDescent="0.3">
      <c r="A424" s="1410"/>
      <c r="B424" s="1410"/>
      <c r="C424" s="1410"/>
      <c r="D424" s="1410"/>
      <c r="E424" s="1485"/>
      <c r="F424" s="1485"/>
      <c r="G424" s="1485"/>
    </row>
    <row r="425" spans="1:7" x14ac:dyDescent="0.3">
      <c r="A425" s="1410"/>
      <c r="B425" s="1410"/>
      <c r="C425" s="1410"/>
      <c r="D425" s="1410"/>
      <c r="E425" s="1485"/>
      <c r="F425" s="1485"/>
      <c r="G425" s="1485"/>
    </row>
    <row r="426" spans="1:7" x14ac:dyDescent="0.3">
      <c r="A426" s="1410"/>
      <c r="B426" s="1410"/>
      <c r="C426" s="1410"/>
      <c r="D426" s="1410"/>
      <c r="E426" s="1485"/>
      <c r="F426" s="1485"/>
      <c r="G426" s="1485"/>
    </row>
    <row r="427" spans="1:7" x14ac:dyDescent="0.3">
      <c r="A427" s="1410"/>
      <c r="B427" s="1410"/>
      <c r="C427" s="1410"/>
      <c r="D427" s="1410"/>
      <c r="E427" s="1485"/>
      <c r="F427" s="1485"/>
      <c r="G427" s="1485"/>
    </row>
    <row r="428" spans="1:7" x14ac:dyDescent="0.3">
      <c r="A428" s="1410"/>
      <c r="B428" s="1410"/>
      <c r="C428" s="1410"/>
      <c r="D428" s="1410"/>
      <c r="E428" s="1485"/>
      <c r="F428" s="1485"/>
      <c r="G428" s="1485"/>
    </row>
    <row r="429" spans="1:7" x14ac:dyDescent="0.3">
      <c r="A429" s="1410"/>
      <c r="B429" s="1410"/>
      <c r="C429" s="1410"/>
      <c r="D429" s="1410"/>
      <c r="E429" s="1485"/>
      <c r="F429" s="1485"/>
      <c r="G429" s="1485"/>
    </row>
    <row r="430" spans="1:7" x14ac:dyDescent="0.3">
      <c r="A430" s="1410"/>
      <c r="B430" s="1410"/>
      <c r="C430" s="1410"/>
      <c r="D430" s="1410"/>
      <c r="E430" s="1485"/>
      <c r="F430" s="1485"/>
      <c r="G430" s="1485"/>
    </row>
    <row r="431" spans="1:7" x14ac:dyDescent="0.3">
      <c r="A431" s="1410"/>
      <c r="B431" s="1410"/>
      <c r="C431" s="1410"/>
      <c r="D431" s="1410"/>
      <c r="E431" s="1485"/>
      <c r="F431" s="1485"/>
      <c r="G431" s="1485"/>
    </row>
    <row r="432" spans="1:7" x14ac:dyDescent="0.3">
      <c r="A432" s="1410"/>
      <c r="B432" s="1410"/>
      <c r="C432" s="1410"/>
      <c r="D432" s="1410"/>
      <c r="E432" s="1485"/>
      <c r="F432" s="1485"/>
      <c r="G432" s="1485"/>
    </row>
    <row r="433" spans="1:7" x14ac:dyDescent="0.3">
      <c r="A433" s="1410"/>
      <c r="B433" s="1410"/>
      <c r="C433" s="1410"/>
      <c r="D433" s="1410"/>
      <c r="E433" s="1485"/>
      <c r="F433" s="1485"/>
      <c r="G433" s="1485"/>
    </row>
    <row r="434" spans="1:7" x14ac:dyDescent="0.3">
      <c r="A434" s="1410"/>
      <c r="B434" s="1410"/>
      <c r="C434" s="1410"/>
      <c r="D434" s="1410"/>
      <c r="E434" s="1485"/>
      <c r="F434" s="1485"/>
      <c r="G434" s="1485"/>
    </row>
    <row r="435" spans="1:7" x14ac:dyDescent="0.3">
      <c r="A435" s="1410"/>
      <c r="B435" s="1410"/>
      <c r="C435" s="1410"/>
      <c r="D435" s="1410"/>
      <c r="E435" s="1485"/>
      <c r="F435" s="1485"/>
      <c r="G435" s="1485"/>
    </row>
    <row r="436" spans="1:7" x14ac:dyDescent="0.3">
      <c r="A436" s="1410"/>
      <c r="B436" s="1410"/>
      <c r="C436" s="1410"/>
      <c r="D436" s="1410"/>
      <c r="E436" s="1485"/>
      <c r="F436" s="1485"/>
      <c r="G436" s="1485"/>
    </row>
    <row r="437" spans="1:7" x14ac:dyDescent="0.3">
      <c r="A437" s="1410"/>
      <c r="B437" s="1410"/>
      <c r="C437" s="1410"/>
      <c r="D437" s="1410"/>
      <c r="E437" s="1485"/>
      <c r="F437" s="1485"/>
      <c r="G437" s="1485"/>
    </row>
    <row r="438" spans="1:7" x14ac:dyDescent="0.3">
      <c r="A438" s="1410"/>
      <c r="B438" s="1410"/>
      <c r="C438" s="1410"/>
      <c r="D438" s="1410"/>
      <c r="E438" s="1485"/>
      <c r="F438" s="1485"/>
      <c r="G438" s="1485"/>
    </row>
    <row r="439" spans="1:7" x14ac:dyDescent="0.3">
      <c r="A439" s="1410"/>
      <c r="B439" s="1410"/>
      <c r="C439" s="1410"/>
      <c r="D439" s="1410"/>
      <c r="E439" s="1485"/>
      <c r="F439" s="1485"/>
      <c r="G439" s="1485"/>
    </row>
    <row r="440" spans="1:7" x14ac:dyDescent="0.3">
      <c r="A440" s="1410"/>
      <c r="B440" s="1410"/>
      <c r="C440" s="1410"/>
      <c r="D440" s="1410"/>
      <c r="E440" s="1485"/>
      <c r="F440" s="1485"/>
      <c r="G440" s="1485"/>
    </row>
    <row r="441" spans="1:7" x14ac:dyDescent="0.3">
      <c r="A441" s="1410"/>
      <c r="B441" s="1410"/>
      <c r="C441" s="1410"/>
      <c r="D441" s="1410"/>
      <c r="E441" s="1485"/>
      <c r="F441" s="1485"/>
      <c r="G441" s="1485"/>
    </row>
    <row r="442" spans="1:7" x14ac:dyDescent="0.3">
      <c r="A442" s="1410"/>
      <c r="B442" s="1410"/>
      <c r="C442" s="1410"/>
      <c r="D442" s="1410"/>
      <c r="E442" s="1485"/>
      <c r="F442" s="1485"/>
      <c r="G442" s="1485"/>
    </row>
    <row r="443" spans="1:7" x14ac:dyDescent="0.3">
      <c r="A443" s="1410"/>
      <c r="B443" s="1410"/>
      <c r="C443" s="1410"/>
      <c r="D443" s="1410"/>
      <c r="E443" s="1485"/>
      <c r="F443" s="1485"/>
      <c r="G443" s="1485"/>
    </row>
    <row r="444" spans="1:7" x14ac:dyDescent="0.3">
      <c r="A444" s="1410"/>
      <c r="B444" s="1410"/>
      <c r="C444" s="1410"/>
      <c r="D444" s="1410"/>
      <c r="E444" s="1485"/>
      <c r="F444" s="1485"/>
      <c r="G444" s="1485"/>
    </row>
    <row r="445" spans="1:7" x14ac:dyDescent="0.3">
      <c r="A445" s="1410"/>
      <c r="B445" s="1410"/>
      <c r="C445" s="1410"/>
      <c r="D445" s="1410"/>
      <c r="E445" s="1485"/>
      <c r="F445" s="1485"/>
      <c r="G445" s="1485"/>
    </row>
    <row r="446" spans="1:7" x14ac:dyDescent="0.3">
      <c r="A446" s="1410"/>
      <c r="B446" s="1410"/>
      <c r="C446" s="1410"/>
      <c r="D446" s="1410"/>
      <c r="E446" s="1485"/>
      <c r="F446" s="1485"/>
      <c r="G446" s="1485"/>
    </row>
    <row r="447" spans="1:7" x14ac:dyDescent="0.3">
      <c r="A447" s="1410"/>
      <c r="B447" s="1410"/>
      <c r="C447" s="1410"/>
      <c r="D447" s="1410"/>
      <c r="E447" s="1485"/>
      <c r="F447" s="1485"/>
      <c r="G447" s="1485"/>
    </row>
    <row r="448" spans="1:7" x14ac:dyDescent="0.3">
      <c r="A448" s="1410"/>
      <c r="B448" s="1410"/>
      <c r="C448" s="1410"/>
      <c r="D448" s="1410"/>
      <c r="E448" s="1485"/>
      <c r="F448" s="1485"/>
      <c r="G448" s="1485"/>
    </row>
    <row r="449" spans="1:7" x14ac:dyDescent="0.3">
      <c r="A449" s="1410"/>
      <c r="B449" s="1410"/>
      <c r="C449" s="1410"/>
      <c r="D449" s="1410"/>
      <c r="E449" s="1485"/>
      <c r="F449" s="1485"/>
      <c r="G449" s="1485"/>
    </row>
    <row r="450" spans="1:7" x14ac:dyDescent="0.3">
      <c r="A450" s="1410"/>
      <c r="B450" s="1410"/>
      <c r="C450" s="1410"/>
      <c r="D450" s="1410"/>
      <c r="E450" s="1485"/>
      <c r="F450" s="1485"/>
      <c r="G450" s="1485"/>
    </row>
    <row r="451" spans="1:7" x14ac:dyDescent="0.3">
      <c r="A451" s="1410"/>
      <c r="B451" s="1410"/>
      <c r="C451" s="1410"/>
      <c r="D451" s="1410"/>
      <c r="E451" s="1485"/>
      <c r="F451" s="1485"/>
      <c r="G451" s="1485"/>
    </row>
    <row r="452" spans="1:7" x14ac:dyDescent="0.3">
      <c r="A452" s="1410"/>
      <c r="B452" s="1410"/>
      <c r="C452" s="1410"/>
      <c r="D452" s="1410"/>
      <c r="E452" s="1485"/>
      <c r="F452" s="1485"/>
      <c r="G452" s="1485"/>
    </row>
    <row r="453" spans="1:7" x14ac:dyDescent="0.3">
      <c r="A453" s="1410"/>
      <c r="B453" s="1410"/>
      <c r="C453" s="1410"/>
      <c r="D453" s="1410"/>
      <c r="E453" s="1485"/>
      <c r="F453" s="1485"/>
      <c r="G453" s="1485"/>
    </row>
    <row r="454" spans="1:7" x14ac:dyDescent="0.3">
      <c r="A454" s="1410"/>
      <c r="B454" s="1410"/>
      <c r="C454" s="1410"/>
      <c r="D454" s="1410"/>
      <c r="E454" s="1485"/>
      <c r="F454" s="1485"/>
      <c r="G454" s="1485"/>
    </row>
    <row r="455" spans="1:7" x14ac:dyDescent="0.3">
      <c r="A455" s="1410"/>
      <c r="B455" s="1410"/>
      <c r="C455" s="1410"/>
      <c r="D455" s="1410"/>
      <c r="E455" s="1485"/>
      <c r="F455" s="1485"/>
      <c r="G455" s="1485"/>
    </row>
    <row r="456" spans="1:7" x14ac:dyDescent="0.3">
      <c r="A456" s="1410"/>
      <c r="B456" s="1410"/>
      <c r="C456" s="1410"/>
      <c r="D456" s="1410"/>
      <c r="E456" s="1485"/>
      <c r="F456" s="1485"/>
      <c r="G456" s="1485"/>
    </row>
    <row r="457" spans="1:7" x14ac:dyDescent="0.3">
      <c r="A457" s="1410"/>
      <c r="B457" s="1410"/>
      <c r="C457" s="1410"/>
      <c r="D457" s="1410"/>
      <c r="E457" s="1485"/>
      <c r="F457" s="1485"/>
      <c r="G457" s="1485"/>
    </row>
    <row r="458" spans="1:7" x14ac:dyDescent="0.3">
      <c r="A458" s="1410"/>
      <c r="B458" s="1410"/>
      <c r="C458" s="1410"/>
      <c r="D458" s="1410"/>
      <c r="E458" s="1485"/>
      <c r="F458" s="1485"/>
      <c r="G458" s="1485"/>
    </row>
    <row r="459" spans="1:7" x14ac:dyDescent="0.3">
      <c r="A459" s="1410"/>
      <c r="B459" s="1410"/>
      <c r="C459" s="1410"/>
      <c r="D459" s="1410"/>
      <c r="E459" s="1485"/>
      <c r="F459" s="1485"/>
      <c r="G459" s="1485"/>
    </row>
    <row r="460" spans="1:7" x14ac:dyDescent="0.3">
      <c r="A460" s="1410"/>
      <c r="B460" s="1410"/>
      <c r="C460" s="1410"/>
      <c r="D460" s="1410"/>
      <c r="E460" s="1485"/>
      <c r="F460" s="1485"/>
      <c r="G460" s="1485"/>
    </row>
    <row r="461" spans="1:7" x14ac:dyDescent="0.3">
      <c r="A461" s="1410"/>
      <c r="B461" s="1410"/>
      <c r="C461" s="1410"/>
      <c r="D461" s="1410"/>
      <c r="E461" s="1485"/>
      <c r="F461" s="1485"/>
      <c r="G461" s="1485"/>
    </row>
    <row r="462" spans="1:7" x14ac:dyDescent="0.3">
      <c r="A462" s="1410"/>
      <c r="B462" s="1410"/>
      <c r="C462" s="1410"/>
      <c r="D462" s="1410"/>
      <c r="E462" s="1485"/>
      <c r="F462" s="1485"/>
      <c r="G462" s="1485"/>
    </row>
    <row r="463" spans="1:7" x14ac:dyDescent="0.3">
      <c r="A463" s="1410"/>
      <c r="B463" s="1410"/>
      <c r="C463" s="1410"/>
      <c r="D463" s="1410"/>
      <c r="E463" s="1485"/>
      <c r="F463" s="1485"/>
      <c r="G463" s="1485"/>
    </row>
    <row r="464" spans="1:7" x14ac:dyDescent="0.3">
      <c r="A464" s="1410"/>
      <c r="B464" s="1410"/>
      <c r="C464" s="1410"/>
      <c r="D464" s="1410"/>
      <c r="E464" s="1485"/>
      <c r="F464" s="1485"/>
      <c r="G464" s="1485"/>
    </row>
    <row r="465" spans="1:7" x14ac:dyDescent="0.3">
      <c r="A465" s="1410"/>
      <c r="B465" s="1410"/>
      <c r="C465" s="1410"/>
      <c r="D465" s="1410"/>
      <c r="E465" s="1485"/>
      <c r="F465" s="1485"/>
      <c r="G465" s="1485"/>
    </row>
    <row r="466" spans="1:7" x14ac:dyDescent="0.3">
      <c r="A466" s="1410"/>
      <c r="B466" s="1410"/>
      <c r="C466" s="1410"/>
      <c r="D466" s="1410"/>
      <c r="E466" s="1485"/>
      <c r="F466" s="1485"/>
      <c r="G466" s="1485"/>
    </row>
    <row r="467" spans="1:7" x14ac:dyDescent="0.3">
      <c r="A467" s="1410"/>
      <c r="B467" s="1410"/>
      <c r="C467" s="1410"/>
      <c r="D467" s="1410"/>
      <c r="E467" s="1485"/>
      <c r="F467" s="1485"/>
      <c r="G467" s="1485"/>
    </row>
    <row r="468" spans="1:7" x14ac:dyDescent="0.3">
      <c r="A468" s="1410"/>
      <c r="B468" s="1410"/>
      <c r="C468" s="1410"/>
      <c r="D468" s="1410"/>
      <c r="E468" s="1485"/>
      <c r="F468" s="1485"/>
      <c r="G468" s="1485"/>
    </row>
    <row r="469" spans="1:7" x14ac:dyDescent="0.3">
      <c r="A469" s="1410"/>
      <c r="B469" s="1410"/>
      <c r="C469" s="1410"/>
      <c r="D469" s="1410"/>
      <c r="E469" s="1485"/>
      <c r="F469" s="1485"/>
      <c r="G469" s="1485"/>
    </row>
    <row r="470" spans="1:7" x14ac:dyDescent="0.3">
      <c r="A470" s="1410"/>
      <c r="B470" s="1410"/>
      <c r="C470" s="1410"/>
      <c r="D470" s="1410"/>
      <c r="E470" s="1485"/>
      <c r="F470" s="1485"/>
      <c r="G470" s="1485"/>
    </row>
    <row r="471" spans="1:7" x14ac:dyDescent="0.3">
      <c r="A471" s="1410"/>
      <c r="B471" s="1410"/>
      <c r="C471" s="1410"/>
      <c r="D471" s="1410"/>
      <c r="E471" s="1485"/>
      <c r="F471" s="1485"/>
      <c r="G471" s="1485"/>
    </row>
    <row r="472" spans="1:7" x14ac:dyDescent="0.3">
      <c r="A472" s="1410"/>
      <c r="B472" s="1410"/>
      <c r="C472" s="1410"/>
      <c r="D472" s="1410"/>
      <c r="E472" s="1485"/>
      <c r="F472" s="1485"/>
      <c r="G472" s="1485"/>
    </row>
    <row r="473" spans="1:7" x14ac:dyDescent="0.3">
      <c r="A473" s="1410"/>
      <c r="B473" s="1410"/>
      <c r="C473" s="1410"/>
      <c r="D473" s="1410"/>
      <c r="E473" s="1485"/>
      <c r="F473" s="1485"/>
      <c r="G473" s="1485"/>
    </row>
    <row r="474" spans="1:7" x14ac:dyDescent="0.3">
      <c r="A474" s="1410"/>
      <c r="B474" s="1410"/>
      <c r="C474" s="1410"/>
      <c r="D474" s="1410"/>
      <c r="E474" s="1485"/>
      <c r="F474" s="1485"/>
      <c r="G474" s="1485"/>
    </row>
    <row r="475" spans="1:7" x14ac:dyDescent="0.3">
      <c r="A475" s="1410"/>
      <c r="B475" s="1410"/>
      <c r="C475" s="1410"/>
      <c r="D475" s="1410"/>
      <c r="E475" s="1485"/>
      <c r="F475" s="1485"/>
      <c r="G475" s="1485"/>
    </row>
    <row r="476" spans="1:7" x14ac:dyDescent="0.3">
      <c r="A476" s="1410"/>
      <c r="B476" s="1410"/>
      <c r="C476" s="1410"/>
      <c r="D476" s="1410"/>
      <c r="E476" s="1485"/>
      <c r="F476" s="1485"/>
      <c r="G476" s="1485"/>
    </row>
    <row r="477" spans="1:7" x14ac:dyDescent="0.3">
      <c r="A477" s="1410"/>
      <c r="B477" s="1410"/>
      <c r="C477" s="1410"/>
      <c r="D477" s="1410"/>
      <c r="E477" s="1485"/>
      <c r="F477" s="1485"/>
      <c r="G477" s="1485"/>
    </row>
    <row r="478" spans="1:7" x14ac:dyDescent="0.3">
      <c r="A478" s="1410"/>
      <c r="B478" s="1410"/>
      <c r="C478" s="1410"/>
      <c r="D478" s="1410"/>
      <c r="E478" s="1485"/>
      <c r="F478" s="1485"/>
      <c r="G478" s="1485"/>
    </row>
    <row r="479" spans="1:7" x14ac:dyDescent="0.3">
      <c r="A479" s="1410"/>
      <c r="B479" s="1410"/>
      <c r="C479" s="1410"/>
      <c r="D479" s="1410"/>
      <c r="E479" s="1485"/>
      <c r="F479" s="1485"/>
      <c r="G479" s="1485"/>
    </row>
    <row r="480" spans="1:7" x14ac:dyDescent="0.3">
      <c r="A480" s="1410"/>
      <c r="B480" s="1410"/>
      <c r="C480" s="1410"/>
      <c r="D480" s="1410"/>
      <c r="E480" s="1485"/>
      <c r="F480" s="1485"/>
      <c r="G480" s="1485"/>
    </row>
    <row r="481" spans="1:7" x14ac:dyDescent="0.3">
      <c r="A481" s="1410"/>
      <c r="B481" s="1410"/>
      <c r="C481" s="1410"/>
      <c r="D481" s="1410"/>
      <c r="E481" s="1485"/>
      <c r="F481" s="1485"/>
      <c r="G481" s="1485"/>
    </row>
    <row r="482" spans="1:7" x14ac:dyDescent="0.3">
      <c r="A482" s="1410"/>
      <c r="B482" s="1410"/>
      <c r="C482" s="1410"/>
      <c r="D482" s="1410"/>
      <c r="E482" s="1485"/>
      <c r="F482" s="1485"/>
      <c r="G482" s="1485"/>
    </row>
    <row r="483" spans="1:7" x14ac:dyDescent="0.3">
      <c r="A483" s="1410"/>
      <c r="B483" s="1410"/>
      <c r="C483" s="1410"/>
      <c r="D483" s="1410"/>
      <c r="E483" s="1485"/>
      <c r="F483" s="1485"/>
      <c r="G483" s="1485"/>
    </row>
    <row r="484" spans="1:7" x14ac:dyDescent="0.3">
      <c r="A484" s="1410"/>
      <c r="B484" s="1410"/>
      <c r="C484" s="1410"/>
      <c r="D484" s="1410"/>
      <c r="E484" s="1485"/>
      <c r="F484" s="1485"/>
      <c r="G484" s="1485"/>
    </row>
    <row r="485" spans="1:7" x14ac:dyDescent="0.3">
      <c r="A485" s="1410"/>
      <c r="B485" s="1410"/>
      <c r="C485" s="1410"/>
      <c r="D485" s="1410"/>
      <c r="E485" s="1485"/>
      <c r="F485" s="1485"/>
      <c r="G485" s="1485"/>
    </row>
    <row r="486" spans="1:7" x14ac:dyDescent="0.3">
      <c r="A486" s="1410"/>
      <c r="B486" s="1410"/>
      <c r="C486" s="1410"/>
      <c r="D486" s="1410"/>
      <c r="E486" s="1485"/>
      <c r="F486" s="1485"/>
      <c r="G486" s="1485"/>
    </row>
    <row r="487" spans="1:7" x14ac:dyDescent="0.3">
      <c r="A487" s="1410"/>
      <c r="B487" s="1410"/>
      <c r="C487" s="1410"/>
      <c r="D487" s="1410"/>
      <c r="E487" s="1485"/>
      <c r="F487" s="1485"/>
      <c r="G487" s="1485"/>
    </row>
    <row r="488" spans="1:7" x14ac:dyDescent="0.3">
      <c r="A488" s="1410"/>
      <c r="B488" s="1410"/>
      <c r="C488" s="1410"/>
      <c r="D488" s="1410"/>
      <c r="E488" s="1485"/>
      <c r="F488" s="1485"/>
      <c r="G488" s="1485"/>
    </row>
    <row r="489" spans="1:7" x14ac:dyDescent="0.3">
      <c r="A489" s="1410"/>
      <c r="B489" s="1410"/>
      <c r="C489" s="1410"/>
      <c r="D489" s="1410"/>
      <c r="E489" s="1485"/>
      <c r="F489" s="1485"/>
      <c r="G489" s="1485"/>
    </row>
    <row r="490" spans="1:7" x14ac:dyDescent="0.3">
      <c r="A490" s="1410"/>
      <c r="B490" s="1410"/>
      <c r="C490" s="1410"/>
      <c r="D490" s="1410"/>
      <c r="E490" s="1485"/>
      <c r="F490" s="1485"/>
      <c r="G490" s="1485"/>
    </row>
    <row r="491" spans="1:7" x14ac:dyDescent="0.3">
      <c r="A491" s="1410"/>
      <c r="B491" s="1410"/>
      <c r="C491" s="1410"/>
      <c r="D491" s="1410"/>
      <c r="E491" s="1485"/>
      <c r="F491" s="1485"/>
      <c r="G491" s="1485"/>
    </row>
    <row r="492" spans="1:7" x14ac:dyDescent="0.3">
      <c r="A492" s="1410"/>
      <c r="B492" s="1410"/>
      <c r="C492" s="1410"/>
      <c r="D492" s="1410"/>
      <c r="E492" s="1485"/>
      <c r="F492" s="1485"/>
      <c r="G492" s="1485"/>
    </row>
    <row r="493" spans="1:7" x14ac:dyDescent="0.3">
      <c r="A493" s="1410"/>
      <c r="B493" s="1410"/>
      <c r="C493" s="1410"/>
      <c r="D493" s="1410"/>
      <c r="E493" s="1485"/>
      <c r="F493" s="1485"/>
      <c r="G493" s="1485"/>
    </row>
    <row r="494" spans="1:7" x14ac:dyDescent="0.3">
      <c r="A494" s="1410"/>
      <c r="B494" s="1410"/>
      <c r="C494" s="1410"/>
      <c r="D494" s="1410"/>
      <c r="E494" s="1485"/>
      <c r="F494" s="1485"/>
      <c r="G494" s="1485"/>
    </row>
    <row r="495" spans="1:7" x14ac:dyDescent="0.3">
      <c r="A495" s="1410"/>
      <c r="B495" s="1410"/>
      <c r="C495" s="1410"/>
      <c r="D495" s="1410"/>
      <c r="E495" s="1485"/>
      <c r="F495" s="1485"/>
      <c r="G495" s="1485"/>
    </row>
    <row r="496" spans="1:7" x14ac:dyDescent="0.3">
      <c r="A496" s="1410"/>
      <c r="B496" s="1410"/>
      <c r="C496" s="1410"/>
      <c r="D496" s="1410"/>
      <c r="E496" s="1485"/>
      <c r="F496" s="1485"/>
      <c r="G496" s="1485"/>
    </row>
    <row r="497" spans="1:7" x14ac:dyDescent="0.3">
      <c r="A497" s="1410"/>
      <c r="B497" s="1410"/>
      <c r="C497" s="1410"/>
      <c r="D497" s="1410"/>
      <c r="E497" s="1485"/>
      <c r="F497" s="1485"/>
      <c r="G497" s="1485"/>
    </row>
    <row r="498" spans="1:7" x14ac:dyDescent="0.3">
      <c r="A498" s="1410"/>
      <c r="B498" s="1410"/>
      <c r="C498" s="1410"/>
      <c r="D498" s="1410"/>
      <c r="E498" s="1485"/>
      <c r="F498" s="1485"/>
      <c r="G498" s="1485"/>
    </row>
    <row r="499" spans="1:7" x14ac:dyDescent="0.3">
      <c r="A499" s="1410"/>
      <c r="B499" s="1410"/>
      <c r="C499" s="1410"/>
      <c r="D499" s="1410"/>
      <c r="E499" s="1485"/>
      <c r="F499" s="1485"/>
      <c r="G499" s="1485"/>
    </row>
    <row r="500" spans="1:7" x14ac:dyDescent="0.3">
      <c r="A500" s="1410"/>
      <c r="B500" s="1410"/>
      <c r="C500" s="1410"/>
      <c r="D500" s="1410"/>
      <c r="E500" s="1485"/>
      <c r="F500" s="1485"/>
      <c r="G500" s="1485"/>
    </row>
    <row r="501" spans="1:7" x14ac:dyDescent="0.3">
      <c r="A501" s="1410"/>
      <c r="B501" s="1410"/>
      <c r="C501" s="1410"/>
      <c r="D501" s="1410"/>
      <c r="E501" s="1485"/>
      <c r="F501" s="1485"/>
      <c r="G501" s="1485"/>
    </row>
    <row r="502" spans="1:7" x14ac:dyDescent="0.3">
      <c r="A502" s="1410"/>
      <c r="B502" s="1410"/>
      <c r="C502" s="1410"/>
      <c r="D502" s="1410"/>
      <c r="E502" s="1485"/>
      <c r="F502" s="1485"/>
      <c r="G502" s="1485"/>
    </row>
    <row r="503" spans="1:7" x14ac:dyDescent="0.3">
      <c r="A503" s="1410"/>
      <c r="B503" s="1410"/>
      <c r="C503" s="1410"/>
      <c r="D503" s="1410"/>
      <c r="E503" s="1485"/>
      <c r="F503" s="1485"/>
      <c r="G503" s="1485"/>
    </row>
    <row r="504" spans="1:7" x14ac:dyDescent="0.3">
      <c r="A504" s="1410"/>
      <c r="B504" s="1410"/>
      <c r="C504" s="1410"/>
      <c r="D504" s="1410"/>
      <c r="E504" s="1485"/>
      <c r="F504" s="1485"/>
      <c r="G504" s="1485"/>
    </row>
    <row r="505" spans="1:7" x14ac:dyDescent="0.3">
      <c r="A505" s="1410"/>
      <c r="B505" s="1410"/>
      <c r="C505" s="1410"/>
      <c r="D505" s="1410"/>
      <c r="E505" s="1485"/>
      <c r="F505" s="1485"/>
      <c r="G505" s="1485"/>
    </row>
    <row r="506" spans="1:7" x14ac:dyDescent="0.3">
      <c r="A506" s="1410"/>
      <c r="B506" s="1410"/>
      <c r="C506" s="1410"/>
      <c r="D506" s="1410"/>
      <c r="E506" s="1485"/>
      <c r="F506" s="1485"/>
      <c r="G506" s="1485"/>
    </row>
    <row r="507" spans="1:7" x14ac:dyDescent="0.3">
      <c r="A507" s="1410"/>
      <c r="B507" s="1410"/>
      <c r="C507" s="1410"/>
      <c r="D507" s="1410"/>
      <c r="E507" s="1485"/>
      <c r="F507" s="1485"/>
      <c r="G507" s="1485"/>
    </row>
    <row r="508" spans="1:7" x14ac:dyDescent="0.3">
      <c r="A508" s="1410"/>
      <c r="B508" s="1410"/>
      <c r="C508" s="1410"/>
      <c r="D508" s="1410"/>
      <c r="E508" s="1485"/>
      <c r="F508" s="1485"/>
      <c r="G508" s="1485"/>
    </row>
    <row r="509" spans="1:7" x14ac:dyDescent="0.3">
      <c r="A509" s="1410"/>
      <c r="B509" s="1410"/>
      <c r="C509" s="1410"/>
      <c r="D509" s="1410"/>
      <c r="E509" s="1485"/>
      <c r="F509" s="1485"/>
      <c r="G509" s="1485"/>
    </row>
    <row r="510" spans="1:7" x14ac:dyDescent="0.3">
      <c r="A510" s="1410"/>
      <c r="B510" s="1410"/>
      <c r="C510" s="1410"/>
      <c r="D510" s="1410"/>
      <c r="E510" s="1485"/>
      <c r="F510" s="1485"/>
      <c r="G510" s="1485"/>
    </row>
    <row r="511" spans="1:7" x14ac:dyDescent="0.3">
      <c r="A511" s="1410"/>
      <c r="B511" s="1410"/>
      <c r="C511" s="1410"/>
      <c r="D511" s="1410"/>
      <c r="E511" s="1485"/>
      <c r="F511" s="1485"/>
      <c r="G511" s="1485"/>
    </row>
    <row r="512" spans="1:7" x14ac:dyDescent="0.3">
      <c r="A512" s="1410"/>
      <c r="B512" s="1410"/>
      <c r="C512" s="1410"/>
      <c r="D512" s="1410"/>
      <c r="E512" s="1485"/>
      <c r="F512" s="1485"/>
      <c r="G512" s="1485"/>
    </row>
    <row r="513" spans="1:7" x14ac:dyDescent="0.3">
      <c r="A513" s="1410"/>
      <c r="B513" s="1410"/>
      <c r="C513" s="1410"/>
      <c r="D513" s="1410"/>
      <c r="E513" s="1485"/>
      <c r="F513" s="1485"/>
      <c r="G513" s="1485"/>
    </row>
    <row r="514" spans="1:7" x14ac:dyDescent="0.3">
      <c r="A514" s="1410"/>
      <c r="B514" s="1410"/>
      <c r="C514" s="1410"/>
      <c r="D514" s="1410"/>
      <c r="E514" s="1485"/>
      <c r="F514" s="1485"/>
      <c r="G514" s="1485"/>
    </row>
    <row r="515" spans="1:7" x14ac:dyDescent="0.3">
      <c r="A515" s="1410"/>
      <c r="B515" s="1410"/>
      <c r="C515" s="1410"/>
      <c r="D515" s="1410"/>
      <c r="E515" s="1485"/>
      <c r="F515" s="1485"/>
      <c r="G515" s="1485"/>
    </row>
    <row r="516" spans="1:7" x14ac:dyDescent="0.3">
      <c r="A516" s="1410"/>
      <c r="B516" s="1410"/>
      <c r="C516" s="1410"/>
      <c r="D516" s="1410"/>
      <c r="E516" s="1485"/>
      <c r="F516" s="1485"/>
      <c r="G516" s="1485"/>
    </row>
    <row r="517" spans="1:7" x14ac:dyDescent="0.3">
      <c r="A517" s="1410"/>
      <c r="B517" s="1410"/>
      <c r="C517" s="1410"/>
      <c r="D517" s="1410"/>
      <c r="E517" s="1485"/>
      <c r="F517" s="1485"/>
      <c r="G517" s="1485"/>
    </row>
    <row r="518" spans="1:7" x14ac:dyDescent="0.3">
      <c r="A518" s="1410"/>
      <c r="B518" s="1410"/>
      <c r="C518" s="1410"/>
      <c r="D518" s="1410"/>
      <c r="E518" s="1485"/>
      <c r="F518" s="1485"/>
      <c r="G518" s="1485"/>
    </row>
    <row r="519" spans="1:7" x14ac:dyDescent="0.3">
      <c r="A519" s="1410"/>
      <c r="B519" s="1410"/>
      <c r="C519" s="1410"/>
      <c r="D519" s="1410"/>
      <c r="E519" s="1485"/>
      <c r="F519" s="1485"/>
      <c r="G519" s="1485"/>
    </row>
    <row r="520" spans="1:7" x14ac:dyDescent="0.3">
      <c r="A520" s="1410"/>
      <c r="B520" s="1410"/>
      <c r="C520" s="1410"/>
      <c r="D520" s="1410"/>
      <c r="E520" s="1485"/>
      <c r="F520" s="1485"/>
      <c r="G520" s="1485"/>
    </row>
    <row r="521" spans="1:7" x14ac:dyDescent="0.3">
      <c r="A521" s="1410"/>
      <c r="B521" s="1410"/>
      <c r="C521" s="1410"/>
      <c r="D521" s="1410"/>
      <c r="E521" s="1485"/>
      <c r="F521" s="1485"/>
      <c r="G521" s="1485"/>
    </row>
    <row r="522" spans="1:7" x14ac:dyDescent="0.3">
      <c r="A522" s="1410"/>
      <c r="B522" s="1410"/>
      <c r="C522" s="1410"/>
      <c r="D522" s="1410"/>
      <c r="E522" s="1485"/>
      <c r="F522" s="1485"/>
      <c r="G522" s="1485"/>
    </row>
    <row r="523" spans="1:7" x14ac:dyDescent="0.3">
      <c r="A523" s="1410"/>
      <c r="B523" s="1410"/>
      <c r="C523" s="1410"/>
      <c r="D523" s="1410"/>
      <c r="E523" s="1485"/>
      <c r="F523" s="1485"/>
      <c r="G523" s="1485"/>
    </row>
    <row r="524" spans="1:7" x14ac:dyDescent="0.3">
      <c r="A524" s="1410"/>
      <c r="B524" s="1410"/>
      <c r="C524" s="1410"/>
      <c r="D524" s="1410"/>
      <c r="E524" s="1485"/>
      <c r="F524" s="1485"/>
      <c r="G524" s="1485"/>
    </row>
    <row r="525" spans="1:7" x14ac:dyDescent="0.3">
      <c r="A525" s="1410"/>
      <c r="B525" s="1410"/>
      <c r="C525" s="1410"/>
      <c r="D525" s="1410"/>
      <c r="E525" s="1485"/>
      <c r="F525" s="1485"/>
      <c r="G525" s="1485"/>
    </row>
    <row r="526" spans="1:7" x14ac:dyDescent="0.3">
      <c r="A526" s="1410"/>
      <c r="B526" s="1410"/>
      <c r="C526" s="1410"/>
      <c r="D526" s="1410"/>
      <c r="E526" s="1485"/>
      <c r="F526" s="1485"/>
      <c r="G526" s="1485"/>
    </row>
    <row r="527" spans="1:7" x14ac:dyDescent="0.3">
      <c r="A527" s="1410"/>
      <c r="B527" s="1410"/>
      <c r="C527" s="1410"/>
      <c r="D527" s="1410"/>
      <c r="E527" s="1485"/>
      <c r="F527" s="1485"/>
      <c r="G527" s="1485"/>
    </row>
    <row r="528" spans="1:7" x14ac:dyDescent="0.3">
      <c r="A528" s="1410"/>
      <c r="B528" s="1410"/>
      <c r="C528" s="1410"/>
      <c r="D528" s="1410"/>
      <c r="E528" s="1485"/>
      <c r="F528" s="1485"/>
      <c r="G528" s="1485"/>
    </row>
    <row r="529" spans="1:7" x14ac:dyDescent="0.3">
      <c r="A529" s="1410"/>
      <c r="B529" s="1410"/>
      <c r="C529" s="1410"/>
      <c r="D529" s="1410"/>
      <c r="E529" s="1485"/>
      <c r="F529" s="1485"/>
      <c r="G529" s="1485"/>
    </row>
    <row r="530" spans="1:7" x14ac:dyDescent="0.3">
      <c r="A530" s="1410"/>
      <c r="B530" s="1410"/>
      <c r="C530" s="1410"/>
      <c r="D530" s="1410"/>
      <c r="E530" s="1485"/>
      <c r="F530" s="1485"/>
      <c r="G530" s="1485"/>
    </row>
    <row r="531" spans="1:7" x14ac:dyDescent="0.3">
      <c r="A531" s="1410"/>
      <c r="B531" s="1410"/>
      <c r="C531" s="1410"/>
      <c r="D531" s="1410"/>
      <c r="E531" s="1485"/>
      <c r="F531" s="1485"/>
      <c r="G531" s="1485"/>
    </row>
  </sheetData>
  <pageMargins left="0.7" right="0.7" top="0.75" bottom="0.75" header="0.3" footer="0.3"/>
  <customProperties>
    <customPr name="SaaSBIProperties" r:id="rId1"/>
    <customPr name="SSCustomColumnsMapping" r:id="rId2"/>
  </customPropertie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99B3-64AB-4F01-A377-3F0C3DA311C0}">
  <sheetPr>
    <tabColor rgb="FF24A205"/>
  </sheetPr>
  <dimension ref="A1:H531"/>
  <sheetViews>
    <sheetView workbookViewId="0"/>
  </sheetViews>
  <sheetFormatPr defaultRowHeight="14.4" outlineLevelCol="1" x14ac:dyDescent="0.3"/>
  <cols>
    <col min="1" max="1" width="4.6640625" customWidth="1"/>
    <col min="2" max="2" width="33" bestFit="1" customWidth="1"/>
    <col min="3" max="3" width="25.33203125" bestFit="1" customWidth="1"/>
    <col min="4" max="4" width="7.109375" bestFit="1" customWidth="1"/>
    <col min="5" max="5" width="12.33203125" style="792" hidden="1" customWidth="1" outlineLevel="1"/>
    <col min="6" max="6" width="21.21875" style="792" bestFit="1" customWidth="1" collapsed="1"/>
    <col min="7" max="7" width="15.109375" style="792" hidden="1" customWidth="1" outlineLevel="1"/>
    <col min="8" max="8" width="8.88671875" collapsed="1"/>
  </cols>
  <sheetData>
    <row r="1" spans="1:7" ht="31.35" customHeight="1" x14ac:dyDescent="0.3">
      <c r="A1" s="1413" t="s">
        <v>2039</v>
      </c>
      <c r="B1" s="1414"/>
      <c r="C1" s="1414"/>
      <c r="D1" s="1414"/>
      <c r="E1" s="1424"/>
      <c r="F1" s="1424"/>
      <c r="G1" s="1424"/>
    </row>
    <row r="2" spans="1:7" s="1410" customFormat="1" ht="15" thickBot="1" x14ac:dyDescent="0.35">
      <c r="A2" s="1415" t="s">
        <v>643</v>
      </c>
      <c r="B2" s="1415" t="s">
        <v>643</v>
      </c>
      <c r="C2" s="1415" t="s">
        <v>643</v>
      </c>
      <c r="D2" s="1416" t="s">
        <v>2003</v>
      </c>
      <c r="E2" s="1425" t="s">
        <v>496</v>
      </c>
      <c r="F2" s="1425" t="s">
        <v>642</v>
      </c>
      <c r="G2" s="1426" t="s">
        <v>71</v>
      </c>
    </row>
    <row r="3" spans="1:7" s="1410" customFormat="1" ht="15" thickTop="1" x14ac:dyDescent="0.3">
      <c r="A3" s="1415"/>
      <c r="B3" s="1415"/>
      <c r="C3" s="1415"/>
      <c r="D3" s="1415"/>
      <c r="E3" s="1427" t="s">
        <v>2187</v>
      </c>
      <c r="F3" s="1427" t="s">
        <v>2187</v>
      </c>
      <c r="G3" s="1428" t="s">
        <v>2187</v>
      </c>
    </row>
    <row r="4" spans="1:7" x14ac:dyDescent="0.3">
      <c r="A4" s="1417" t="s">
        <v>378</v>
      </c>
      <c r="B4" s="1415"/>
      <c r="C4" s="1415"/>
      <c r="D4" s="1415" t="s">
        <v>2006</v>
      </c>
      <c r="E4" s="1424">
        <v>0</v>
      </c>
      <c r="F4" s="1424">
        <v>0</v>
      </c>
      <c r="G4" s="1429">
        <v>0</v>
      </c>
    </row>
    <row r="5" spans="1:7" x14ac:dyDescent="0.3">
      <c r="A5" s="1415"/>
      <c r="B5" s="1417" t="s">
        <v>472</v>
      </c>
      <c r="C5" s="1415"/>
      <c r="D5" s="1415" t="s">
        <v>2006</v>
      </c>
      <c r="E5" s="1424">
        <v>1600</v>
      </c>
      <c r="F5" s="1424">
        <v>682</v>
      </c>
      <c r="G5" s="1429">
        <v>2282</v>
      </c>
    </row>
    <row r="6" spans="1:7" x14ac:dyDescent="0.3">
      <c r="A6" s="1415"/>
      <c r="B6" s="1417" t="s">
        <v>474</v>
      </c>
      <c r="C6" s="1415"/>
      <c r="D6" s="1415" t="s">
        <v>2006</v>
      </c>
      <c r="E6" s="1424">
        <v>30799.73</v>
      </c>
      <c r="F6" s="1424">
        <v>-2212.62</v>
      </c>
      <c r="G6" s="1429">
        <v>28587.11</v>
      </c>
    </row>
    <row r="7" spans="1:7" x14ac:dyDescent="0.3">
      <c r="A7" s="1415"/>
      <c r="B7" s="1417" t="s">
        <v>594</v>
      </c>
      <c r="C7" s="1415"/>
      <c r="D7" s="1415" t="s">
        <v>2006</v>
      </c>
      <c r="E7" s="1424">
        <v>0</v>
      </c>
      <c r="F7" s="1424">
        <v>91764.9</v>
      </c>
      <c r="G7" s="1429">
        <v>91764.9</v>
      </c>
    </row>
    <row r="8" spans="1:7" x14ac:dyDescent="0.3">
      <c r="A8" s="1415"/>
      <c r="B8" s="1417" t="s">
        <v>475</v>
      </c>
      <c r="C8" s="1415"/>
      <c r="D8" s="1415" t="s">
        <v>2006</v>
      </c>
      <c r="E8" s="1424">
        <v>26980</v>
      </c>
      <c r="F8" s="1424">
        <v>0</v>
      </c>
      <c r="G8" s="1429">
        <v>26980</v>
      </c>
    </row>
    <row r="9" spans="1:7" x14ac:dyDescent="0.3">
      <c r="A9" s="1415"/>
      <c r="B9" s="1417" t="s">
        <v>595</v>
      </c>
      <c r="C9" s="1415"/>
      <c r="D9" s="1415" t="s">
        <v>2006</v>
      </c>
      <c r="E9" s="1424">
        <v>0</v>
      </c>
      <c r="F9" s="1424">
        <v>-60000</v>
      </c>
      <c r="G9" s="1429">
        <v>-60000</v>
      </c>
    </row>
    <row r="10" spans="1:7" x14ac:dyDescent="0.3">
      <c r="A10" s="1415"/>
      <c r="B10" s="1417" t="s">
        <v>476</v>
      </c>
      <c r="C10" s="1415"/>
      <c r="D10" s="1415" t="s">
        <v>2006</v>
      </c>
      <c r="E10" s="1424">
        <v>67520.070000000007</v>
      </c>
      <c r="F10" s="1424">
        <v>0</v>
      </c>
      <c r="G10" s="1429">
        <v>67520.070000000007</v>
      </c>
    </row>
    <row r="11" spans="1:7" x14ac:dyDescent="0.3">
      <c r="A11" s="1415"/>
      <c r="B11" s="1417" t="s">
        <v>477</v>
      </c>
      <c r="C11" s="1415"/>
      <c r="D11" s="1415" t="s">
        <v>2006</v>
      </c>
      <c r="E11" s="1424">
        <v>114140</v>
      </c>
      <c r="F11" s="1424">
        <v>0</v>
      </c>
      <c r="G11" s="1429">
        <v>114140</v>
      </c>
    </row>
    <row r="12" spans="1:7" x14ac:dyDescent="0.3">
      <c r="A12" s="1415"/>
      <c r="B12" s="1417" t="s">
        <v>1850</v>
      </c>
      <c r="C12" s="1415"/>
      <c r="D12" s="1415" t="s">
        <v>2006</v>
      </c>
      <c r="E12" s="1424">
        <v>0</v>
      </c>
      <c r="F12" s="1424">
        <v>-5.56</v>
      </c>
      <c r="G12" s="1429">
        <v>-5.56</v>
      </c>
    </row>
    <row r="13" spans="1:7" x14ac:dyDescent="0.3">
      <c r="A13" s="1415"/>
      <c r="B13" s="1417" t="s">
        <v>478</v>
      </c>
      <c r="C13" s="1415"/>
      <c r="D13" s="1415" t="s">
        <v>2006</v>
      </c>
      <c r="E13" s="1424">
        <v>10306.75</v>
      </c>
      <c r="F13" s="1424">
        <v>9487.5499999999993</v>
      </c>
      <c r="G13" s="1429">
        <v>19794.3</v>
      </c>
    </row>
    <row r="14" spans="1:7" x14ac:dyDescent="0.3">
      <c r="A14" s="1415"/>
      <c r="B14" s="1417" t="s">
        <v>596</v>
      </c>
      <c r="C14" s="1415"/>
      <c r="D14" s="1415" t="s">
        <v>2006</v>
      </c>
      <c r="E14" s="1424">
        <v>0</v>
      </c>
      <c r="F14" s="1424">
        <v>1615.8</v>
      </c>
      <c r="G14" s="1429">
        <v>1615.8</v>
      </c>
    </row>
    <row r="15" spans="1:7" x14ac:dyDescent="0.3">
      <c r="A15" s="1415"/>
      <c r="B15" s="1417" t="s">
        <v>479</v>
      </c>
      <c r="C15" s="1415"/>
      <c r="D15" s="1415" t="s">
        <v>2006</v>
      </c>
      <c r="E15" s="1424">
        <v>1259.25</v>
      </c>
      <c r="F15" s="1424">
        <v>0</v>
      </c>
      <c r="G15" s="1429">
        <v>1259.25</v>
      </c>
    </row>
    <row r="16" spans="1:7" x14ac:dyDescent="0.3">
      <c r="A16" s="1415"/>
      <c r="B16" s="1417" t="s">
        <v>598</v>
      </c>
      <c r="C16" s="1415"/>
      <c r="D16" s="1415" t="s">
        <v>2006</v>
      </c>
      <c r="E16" s="1424">
        <v>0</v>
      </c>
      <c r="F16" s="1424">
        <v>2619.4899999999998</v>
      </c>
      <c r="G16" s="1429">
        <v>2619.4899999999998</v>
      </c>
    </row>
    <row r="17" spans="1:7" x14ac:dyDescent="0.3">
      <c r="A17" s="1415"/>
      <c r="B17" s="1417" t="s">
        <v>600</v>
      </c>
      <c r="C17" s="1415"/>
      <c r="D17" s="1415" t="s">
        <v>2006</v>
      </c>
      <c r="E17" s="1424">
        <v>0</v>
      </c>
      <c r="F17" s="1424">
        <v>2195.9899999999998</v>
      </c>
      <c r="G17" s="1429">
        <v>2195.9899999999998</v>
      </c>
    </row>
    <row r="18" spans="1:7" x14ac:dyDescent="0.3">
      <c r="A18" s="1415"/>
      <c r="B18" s="1417" t="s">
        <v>480</v>
      </c>
      <c r="C18" s="1415"/>
      <c r="D18" s="1415" t="s">
        <v>2006</v>
      </c>
      <c r="E18" s="1424">
        <v>89.21</v>
      </c>
      <c r="F18" s="1424">
        <v>2773.69</v>
      </c>
      <c r="G18" s="1429">
        <v>2862.9</v>
      </c>
    </row>
    <row r="19" spans="1:7" x14ac:dyDescent="0.3">
      <c r="A19" s="1415"/>
      <c r="B19" s="1417" t="s">
        <v>602</v>
      </c>
      <c r="C19" s="1415"/>
      <c r="D19" s="1415" t="s">
        <v>2006</v>
      </c>
      <c r="E19" s="1424">
        <v>0</v>
      </c>
      <c r="F19" s="1424">
        <v>1422.04</v>
      </c>
      <c r="G19" s="1429">
        <v>1422.04</v>
      </c>
    </row>
    <row r="20" spans="1:7" x14ac:dyDescent="0.3">
      <c r="A20" s="1415"/>
      <c r="B20" s="1417" t="s">
        <v>481</v>
      </c>
      <c r="C20" s="1415"/>
      <c r="D20" s="1415" t="s">
        <v>2006</v>
      </c>
      <c r="E20" s="1424">
        <v>464.52</v>
      </c>
      <c r="F20" s="1424">
        <v>6332.37</v>
      </c>
      <c r="G20" s="1429">
        <v>6796.89</v>
      </c>
    </row>
    <row r="21" spans="1:7" x14ac:dyDescent="0.3">
      <c r="A21" s="1415"/>
      <c r="B21" s="1417" t="s">
        <v>812</v>
      </c>
      <c r="C21" s="1415"/>
      <c r="D21" s="1415" t="s">
        <v>2006</v>
      </c>
      <c r="E21" s="1424">
        <v>10700</v>
      </c>
      <c r="F21" s="1424">
        <v>0</v>
      </c>
      <c r="G21" s="1429">
        <v>10700</v>
      </c>
    </row>
    <row r="22" spans="1:7" x14ac:dyDescent="0.3">
      <c r="A22" s="1415"/>
      <c r="B22" s="1417" t="s">
        <v>482</v>
      </c>
      <c r="C22" s="1415"/>
      <c r="D22" s="1415" t="s">
        <v>2006</v>
      </c>
      <c r="E22" s="1424">
        <v>23784.32</v>
      </c>
      <c r="F22" s="1424">
        <v>0</v>
      </c>
      <c r="G22" s="1429">
        <v>23784.32</v>
      </c>
    </row>
    <row r="23" spans="1:7" x14ac:dyDescent="0.3">
      <c r="A23" s="1415"/>
      <c r="B23" s="1417" t="s">
        <v>483</v>
      </c>
      <c r="C23" s="1415"/>
      <c r="D23" s="1415" t="s">
        <v>2006</v>
      </c>
      <c r="E23" s="1424">
        <v>928.16</v>
      </c>
      <c r="F23" s="1424">
        <v>0</v>
      </c>
      <c r="G23" s="1429">
        <v>928.16</v>
      </c>
    </row>
    <row r="24" spans="1:7" x14ac:dyDescent="0.3">
      <c r="A24" s="1415"/>
      <c r="B24" s="1417" t="s">
        <v>605</v>
      </c>
      <c r="C24" s="1415"/>
      <c r="D24" s="1415" t="s">
        <v>2006</v>
      </c>
      <c r="E24" s="1424">
        <v>0</v>
      </c>
      <c r="F24" s="1424">
        <v>11259.33</v>
      </c>
      <c r="G24" s="1429">
        <v>11259.33</v>
      </c>
    </row>
    <row r="25" spans="1:7" x14ac:dyDescent="0.3">
      <c r="A25" s="1415"/>
      <c r="B25" s="1417" t="s">
        <v>486</v>
      </c>
      <c r="C25" s="1415"/>
      <c r="D25" s="1415" t="s">
        <v>2006</v>
      </c>
      <c r="E25" s="1424">
        <v>0</v>
      </c>
      <c r="F25" s="1424">
        <v>20.99</v>
      </c>
      <c r="G25" s="1429">
        <v>20.99</v>
      </c>
    </row>
    <row r="26" spans="1:7" x14ac:dyDescent="0.3">
      <c r="A26" s="1415"/>
      <c r="B26" s="1417" t="s">
        <v>606</v>
      </c>
      <c r="C26" s="1415"/>
      <c r="D26" s="1415" t="s">
        <v>2006</v>
      </c>
      <c r="E26" s="1424">
        <v>0</v>
      </c>
      <c r="F26" s="1424">
        <v>1028.5899999999999</v>
      </c>
      <c r="G26" s="1429">
        <v>1028.5899999999999</v>
      </c>
    </row>
    <row r="27" spans="1:7" x14ac:dyDescent="0.3">
      <c r="A27" s="1415"/>
      <c r="B27" s="1417" t="s">
        <v>608</v>
      </c>
      <c r="C27" s="1415"/>
      <c r="D27" s="1415" t="s">
        <v>2006</v>
      </c>
      <c r="E27" s="1424">
        <v>0</v>
      </c>
      <c r="F27" s="1424">
        <v>2901.19</v>
      </c>
      <c r="G27" s="1429">
        <v>2901.19</v>
      </c>
    </row>
    <row r="28" spans="1:7" x14ac:dyDescent="0.3">
      <c r="A28" s="1415"/>
      <c r="B28" s="1417" t="s">
        <v>2167</v>
      </c>
      <c r="C28" s="1415"/>
      <c r="D28" s="1415" t="s">
        <v>2006</v>
      </c>
      <c r="E28" s="1424">
        <v>24938.14</v>
      </c>
      <c r="F28" s="1424">
        <v>0</v>
      </c>
      <c r="G28" s="1429">
        <v>24938.14</v>
      </c>
    </row>
    <row r="29" spans="1:7" x14ac:dyDescent="0.3">
      <c r="A29" s="1415"/>
      <c r="B29" s="1417" t="s">
        <v>1989</v>
      </c>
      <c r="C29" s="1415"/>
      <c r="D29" s="1415" t="s">
        <v>2006</v>
      </c>
      <c r="E29" s="1424">
        <v>0</v>
      </c>
      <c r="F29" s="1424">
        <v>3646.21</v>
      </c>
      <c r="G29" s="1429">
        <v>3646.21</v>
      </c>
    </row>
    <row r="30" spans="1:7" ht="15" thickBot="1" x14ac:dyDescent="0.35">
      <c r="A30" s="1415"/>
      <c r="B30" s="1417" t="s">
        <v>1990</v>
      </c>
      <c r="C30" s="1415"/>
      <c r="D30" s="1415" t="s">
        <v>2006</v>
      </c>
      <c r="E30" s="1424">
        <v>0</v>
      </c>
      <c r="F30" s="1424">
        <v>2024.57</v>
      </c>
      <c r="G30" s="1429">
        <v>2024.57</v>
      </c>
    </row>
    <row r="31" spans="1:7" x14ac:dyDescent="0.3">
      <c r="A31" s="1417" t="s">
        <v>382</v>
      </c>
      <c r="B31" s="1415"/>
      <c r="C31" s="1415"/>
      <c r="D31" s="1415" t="s">
        <v>2006</v>
      </c>
      <c r="E31" s="1430">
        <v>313510.15000000002</v>
      </c>
      <c r="F31" s="1430">
        <v>77556.53</v>
      </c>
      <c r="G31" s="1431">
        <v>391066.68</v>
      </c>
    </row>
    <row r="32" spans="1:7" x14ac:dyDescent="0.3">
      <c r="A32" s="1417" t="s">
        <v>720</v>
      </c>
      <c r="B32" s="1415"/>
      <c r="C32" s="1415"/>
      <c r="D32" s="1415" t="s">
        <v>2006</v>
      </c>
      <c r="E32" s="1424"/>
      <c r="F32" s="1424">
        <v>0</v>
      </c>
      <c r="G32" s="1429">
        <v>0</v>
      </c>
    </row>
    <row r="33" spans="1:7" ht="15" thickBot="1" x14ac:dyDescent="0.35">
      <c r="A33" s="1415"/>
      <c r="B33" s="1417" t="s">
        <v>490</v>
      </c>
      <c r="C33" s="1415"/>
      <c r="D33" s="1415" t="s">
        <v>2006</v>
      </c>
      <c r="E33" s="1424">
        <v>0</v>
      </c>
      <c r="F33" s="1424">
        <v>198.12</v>
      </c>
      <c r="G33" s="1429">
        <v>198.12</v>
      </c>
    </row>
    <row r="34" spans="1:7" x14ac:dyDescent="0.3">
      <c r="A34" s="1417" t="s">
        <v>721</v>
      </c>
      <c r="B34" s="1415"/>
      <c r="C34" s="1415"/>
      <c r="D34" s="1415" t="s">
        <v>2006</v>
      </c>
      <c r="E34" s="1430"/>
      <c r="F34" s="1430">
        <v>198.12</v>
      </c>
      <c r="G34" s="1431">
        <v>198.12</v>
      </c>
    </row>
    <row r="35" spans="1:7" x14ac:dyDescent="0.3">
      <c r="A35" s="1417" t="s">
        <v>383</v>
      </c>
      <c r="B35" s="1415"/>
      <c r="C35" s="1415"/>
      <c r="D35" s="1415" t="s">
        <v>2006</v>
      </c>
      <c r="E35" s="1424">
        <v>0</v>
      </c>
      <c r="F35" s="1424">
        <v>0</v>
      </c>
      <c r="G35" s="1429">
        <v>0</v>
      </c>
    </row>
    <row r="36" spans="1:7" x14ac:dyDescent="0.3">
      <c r="A36" s="1415"/>
      <c r="B36" s="1417" t="s">
        <v>610</v>
      </c>
      <c r="C36" s="1415"/>
      <c r="D36" s="1415" t="s">
        <v>2006</v>
      </c>
      <c r="E36" s="1424">
        <v>0</v>
      </c>
      <c r="F36" s="1424">
        <v>948.31</v>
      </c>
      <c r="G36" s="1429">
        <v>948.31</v>
      </c>
    </row>
    <row r="37" spans="1:7" x14ac:dyDescent="0.3">
      <c r="A37" s="1415"/>
      <c r="B37" s="1417" t="s">
        <v>2168</v>
      </c>
      <c r="C37" s="1415"/>
      <c r="D37" s="1415" t="s">
        <v>2006</v>
      </c>
      <c r="E37" s="1424">
        <v>-75000</v>
      </c>
      <c r="F37" s="1424">
        <v>0</v>
      </c>
      <c r="G37" s="1429">
        <v>-75000</v>
      </c>
    </row>
    <row r="38" spans="1:7" x14ac:dyDescent="0.3">
      <c r="A38" s="1415"/>
      <c r="B38" s="1417" t="s">
        <v>492</v>
      </c>
      <c r="C38" s="1415"/>
      <c r="D38" s="1415" t="s">
        <v>2006</v>
      </c>
      <c r="E38" s="1424">
        <v>0</v>
      </c>
      <c r="F38" s="1424">
        <v>214.77</v>
      </c>
      <c r="G38" s="1429">
        <v>214.77</v>
      </c>
    </row>
    <row r="39" spans="1:7" x14ac:dyDescent="0.3">
      <c r="A39" s="1415"/>
      <c r="B39" s="1417" t="s">
        <v>493</v>
      </c>
      <c r="C39" s="1415"/>
      <c r="D39" s="1415" t="s">
        <v>2006</v>
      </c>
      <c r="E39" s="1424">
        <v>0</v>
      </c>
      <c r="F39" s="1424">
        <v>-2769.58</v>
      </c>
      <c r="G39" s="1429">
        <v>-2769.58</v>
      </c>
    </row>
    <row r="40" spans="1:7" ht="15" thickBot="1" x14ac:dyDescent="0.35">
      <c r="A40" s="1415"/>
      <c r="B40" s="1417" t="s">
        <v>612</v>
      </c>
      <c r="C40" s="1415"/>
      <c r="D40" s="1415" t="s">
        <v>2006</v>
      </c>
      <c r="E40" s="1424">
        <v>0</v>
      </c>
      <c r="F40" s="1424">
        <v>201.26</v>
      </c>
      <c r="G40" s="1429">
        <v>201.26</v>
      </c>
    </row>
    <row r="41" spans="1:7" ht="15" thickBot="1" x14ac:dyDescent="0.35">
      <c r="A41" s="1417" t="s">
        <v>384</v>
      </c>
      <c r="B41" s="1415"/>
      <c r="C41" s="1415"/>
      <c r="D41" s="1415" t="s">
        <v>2006</v>
      </c>
      <c r="E41" s="1430">
        <v>-75000</v>
      </c>
      <c r="F41" s="1430">
        <v>-1405.24</v>
      </c>
      <c r="G41" s="1431">
        <v>-76405.240000000005</v>
      </c>
    </row>
    <row r="42" spans="1:7" x14ac:dyDescent="0.3">
      <c r="A42" s="1417" t="s">
        <v>385</v>
      </c>
      <c r="B42" s="1415"/>
      <c r="C42" s="1415"/>
      <c r="D42" s="1415" t="s">
        <v>2006</v>
      </c>
      <c r="E42" s="1430">
        <v>-238510.15</v>
      </c>
      <c r="F42" s="1430">
        <v>147189.35999999999</v>
      </c>
      <c r="G42" s="1431">
        <v>-91320.79</v>
      </c>
    </row>
    <row r="43" spans="1:7" x14ac:dyDescent="0.3">
      <c r="A43" s="1417" t="s">
        <v>2153</v>
      </c>
      <c r="B43" s="1415"/>
      <c r="C43" s="1415"/>
      <c r="D43" s="1415" t="s">
        <v>2006</v>
      </c>
      <c r="E43" s="1424"/>
      <c r="F43" s="1424">
        <v>0</v>
      </c>
      <c r="G43" s="1429">
        <v>0</v>
      </c>
    </row>
    <row r="44" spans="1:7" ht="15" thickBot="1" x14ac:dyDescent="0.35">
      <c r="A44" s="1415"/>
      <c r="B44" s="1417" t="s">
        <v>572</v>
      </c>
      <c r="C44" s="1415"/>
      <c r="D44" s="1415" t="s">
        <v>2006</v>
      </c>
      <c r="E44" s="1424">
        <v>0</v>
      </c>
      <c r="F44" s="1424">
        <v>3150</v>
      </c>
      <c r="G44" s="1429">
        <v>3150</v>
      </c>
    </row>
    <row r="45" spans="1:7" x14ac:dyDescent="0.3">
      <c r="A45" s="1417" t="s">
        <v>2154</v>
      </c>
      <c r="B45" s="1415"/>
      <c r="C45" s="1415"/>
      <c r="D45" s="1415" t="s">
        <v>2006</v>
      </c>
      <c r="E45" s="1430"/>
      <c r="F45" s="1430">
        <v>3150</v>
      </c>
      <c r="G45" s="1431">
        <v>3150</v>
      </c>
    </row>
    <row r="46" spans="1:7" x14ac:dyDescent="0.3">
      <c r="A46" s="1417" t="s">
        <v>2155</v>
      </c>
      <c r="B46" s="1415"/>
      <c r="C46" s="1415"/>
      <c r="D46" s="1415" t="s">
        <v>2006</v>
      </c>
      <c r="E46" s="1424"/>
      <c r="F46" s="1424">
        <v>0</v>
      </c>
      <c r="G46" s="1429">
        <v>0</v>
      </c>
    </row>
    <row r="47" spans="1:7" x14ac:dyDescent="0.3">
      <c r="A47" s="1415"/>
      <c r="B47" s="1417" t="s">
        <v>575</v>
      </c>
      <c r="C47" s="1415"/>
      <c r="D47" s="1415" t="s">
        <v>2006</v>
      </c>
      <c r="E47" s="1424"/>
      <c r="F47" s="1424">
        <v>90</v>
      </c>
      <c r="G47" s="1429">
        <v>90</v>
      </c>
    </row>
    <row r="48" spans="1:7" x14ac:dyDescent="0.3">
      <c r="A48" s="1415"/>
      <c r="B48" s="1415"/>
      <c r="C48" s="1417" t="s">
        <v>2156</v>
      </c>
      <c r="D48" s="1415" t="s">
        <v>2006</v>
      </c>
      <c r="E48" s="1424">
        <v>0</v>
      </c>
      <c r="F48" s="1424">
        <v>-215143.15</v>
      </c>
      <c r="G48" s="1429">
        <v>-215143.15</v>
      </c>
    </row>
    <row r="49" spans="1:7" x14ac:dyDescent="0.3">
      <c r="A49" s="1415"/>
      <c r="B49" s="1415"/>
      <c r="C49" s="1417" t="s">
        <v>2169</v>
      </c>
      <c r="D49" s="1415" t="s">
        <v>2006</v>
      </c>
      <c r="E49" s="1424">
        <v>0</v>
      </c>
      <c r="F49" s="1424">
        <v>-637.28</v>
      </c>
      <c r="G49" s="1429">
        <v>-637.28</v>
      </c>
    </row>
    <row r="50" spans="1:7" ht="15" thickBot="1" x14ac:dyDescent="0.35">
      <c r="A50" s="1415"/>
      <c r="B50" s="1415"/>
      <c r="C50" s="1417" t="s">
        <v>2157</v>
      </c>
      <c r="D50" s="1415" t="s">
        <v>2006</v>
      </c>
      <c r="E50" s="1424">
        <v>0</v>
      </c>
      <c r="F50" s="1424">
        <v>-4139.1899999999996</v>
      </c>
      <c r="G50" s="1429">
        <v>-4139.1899999999996</v>
      </c>
    </row>
    <row r="51" spans="1:7" x14ac:dyDescent="0.3">
      <c r="A51" s="1415"/>
      <c r="B51" s="1417" t="s">
        <v>726</v>
      </c>
      <c r="C51" s="1415"/>
      <c r="D51" s="1415" t="s">
        <v>2006</v>
      </c>
      <c r="E51" s="1430"/>
      <c r="F51" s="1430">
        <v>-219829.62</v>
      </c>
      <c r="G51" s="1431">
        <v>-219829.62</v>
      </c>
    </row>
    <row r="52" spans="1:7" ht="15" thickBot="1" x14ac:dyDescent="0.35">
      <c r="A52" s="1415"/>
      <c r="B52" s="1417" t="s">
        <v>584</v>
      </c>
      <c r="C52" s="1415"/>
      <c r="D52" s="1415" t="s">
        <v>2006</v>
      </c>
      <c r="E52" s="1424">
        <v>0</v>
      </c>
      <c r="F52" s="1424">
        <v>-162.91</v>
      </c>
      <c r="G52" s="1429">
        <v>-162.91</v>
      </c>
    </row>
    <row r="53" spans="1:7" ht="15" thickBot="1" x14ac:dyDescent="0.35">
      <c r="A53" s="1417" t="s">
        <v>2158</v>
      </c>
      <c r="B53" s="1415"/>
      <c r="C53" s="1415"/>
      <c r="D53" s="1415" t="s">
        <v>2006</v>
      </c>
      <c r="E53" s="1432"/>
      <c r="F53" s="1432">
        <v>-219992.53</v>
      </c>
      <c r="G53" s="1433">
        <v>-219992.53</v>
      </c>
    </row>
    <row r="54" spans="1:7" ht="15" thickTop="1" x14ac:dyDescent="0.3">
      <c r="A54" s="1410"/>
      <c r="B54" s="1410"/>
      <c r="C54" s="1410"/>
      <c r="D54" s="1410"/>
    </row>
    <row r="55" spans="1:7" x14ac:dyDescent="0.3">
      <c r="A55" s="1410"/>
      <c r="B55" s="1410"/>
      <c r="C55" s="1410"/>
      <c r="D55" s="1410"/>
    </row>
    <row r="56" spans="1:7" x14ac:dyDescent="0.3">
      <c r="A56" s="1410"/>
      <c r="B56" s="1410"/>
      <c r="C56" s="1410"/>
      <c r="D56" s="1410"/>
    </row>
    <row r="57" spans="1:7" x14ac:dyDescent="0.3">
      <c r="A57" s="1410"/>
      <c r="B57" s="1410"/>
      <c r="C57" s="1410"/>
      <c r="D57" s="1410"/>
    </row>
    <row r="58" spans="1:7" x14ac:dyDescent="0.3">
      <c r="A58" s="1410"/>
      <c r="B58" s="1410"/>
      <c r="C58" s="1410"/>
      <c r="D58" s="1410"/>
    </row>
    <row r="59" spans="1:7" x14ac:dyDescent="0.3">
      <c r="A59" s="1410"/>
      <c r="B59" s="1410"/>
      <c r="C59" s="1410"/>
      <c r="D59" s="1410"/>
    </row>
    <row r="60" spans="1:7" x14ac:dyDescent="0.3">
      <c r="A60" s="1410"/>
      <c r="B60" s="1410"/>
      <c r="C60" s="1410"/>
      <c r="D60" s="1410"/>
    </row>
    <row r="61" spans="1:7" x14ac:dyDescent="0.3">
      <c r="A61" s="1410"/>
      <c r="B61" s="1410"/>
      <c r="C61" s="1410"/>
      <c r="D61" s="1410"/>
    </row>
    <row r="62" spans="1:7" x14ac:dyDescent="0.3">
      <c r="A62" s="1410"/>
      <c r="B62" s="1410"/>
      <c r="C62" s="1410"/>
      <c r="D62" s="1410"/>
    </row>
    <row r="63" spans="1:7" x14ac:dyDescent="0.3">
      <c r="A63" s="1410"/>
      <c r="B63" s="1410"/>
      <c r="C63" s="1410"/>
      <c r="D63" s="1410"/>
    </row>
    <row r="64" spans="1:7" x14ac:dyDescent="0.3">
      <c r="A64" s="1410"/>
      <c r="B64" s="1410"/>
      <c r="C64" s="1410"/>
      <c r="D64" s="1410"/>
    </row>
    <row r="65" spans="1:4" x14ac:dyDescent="0.3">
      <c r="A65" s="1410"/>
      <c r="B65" s="1410"/>
      <c r="C65" s="1410"/>
      <c r="D65" s="1410"/>
    </row>
    <row r="66" spans="1:4" x14ac:dyDescent="0.3">
      <c r="A66" s="1410"/>
      <c r="B66" s="1410"/>
      <c r="C66" s="1410"/>
      <c r="D66" s="1410"/>
    </row>
    <row r="67" spans="1:4" x14ac:dyDescent="0.3">
      <c r="A67" s="1410"/>
      <c r="B67" s="1410"/>
      <c r="C67" s="1410"/>
      <c r="D67" s="1410"/>
    </row>
    <row r="68" spans="1:4" x14ac:dyDescent="0.3">
      <c r="A68" s="1410"/>
      <c r="B68" s="1410"/>
      <c r="C68" s="1410"/>
      <c r="D68" s="1410"/>
    </row>
    <row r="69" spans="1:4" x14ac:dyDescent="0.3">
      <c r="A69" s="1410"/>
      <c r="B69" s="1410"/>
      <c r="C69" s="1410"/>
      <c r="D69" s="1410"/>
    </row>
    <row r="70" spans="1:4" x14ac:dyDescent="0.3">
      <c r="A70" s="1410"/>
      <c r="B70" s="1410"/>
      <c r="C70" s="1410"/>
      <c r="D70" s="1410"/>
    </row>
    <row r="71" spans="1:4" x14ac:dyDescent="0.3">
      <c r="A71" s="1410"/>
      <c r="B71" s="1410"/>
      <c r="C71" s="1410"/>
      <c r="D71" s="1410"/>
    </row>
    <row r="72" spans="1:4" x14ac:dyDescent="0.3">
      <c r="A72" s="1410"/>
      <c r="B72" s="1410"/>
      <c r="C72" s="1410"/>
      <c r="D72" s="1410"/>
    </row>
    <row r="73" spans="1:4" x14ac:dyDescent="0.3">
      <c r="A73" s="1410"/>
      <c r="B73" s="1410"/>
      <c r="C73" s="1410"/>
      <c r="D73" s="1410"/>
    </row>
    <row r="74" spans="1:4" x14ac:dyDescent="0.3">
      <c r="A74" s="1410"/>
      <c r="B74" s="1410"/>
      <c r="C74" s="1410"/>
      <c r="D74" s="1410"/>
    </row>
    <row r="75" spans="1:4" x14ac:dyDescent="0.3">
      <c r="A75" s="1410"/>
      <c r="B75" s="1410"/>
      <c r="C75" s="1410"/>
      <c r="D75" s="1410"/>
    </row>
    <row r="76" spans="1:4" x14ac:dyDescent="0.3">
      <c r="A76" s="1410"/>
      <c r="B76" s="1410"/>
      <c r="C76" s="1410"/>
      <c r="D76" s="1410"/>
    </row>
    <row r="77" spans="1:4" x14ac:dyDescent="0.3">
      <c r="A77" s="1410"/>
      <c r="B77" s="1410"/>
      <c r="C77" s="1410"/>
      <c r="D77" s="1410"/>
    </row>
    <row r="78" spans="1:4" x14ac:dyDescent="0.3">
      <c r="A78" s="1410"/>
      <c r="B78" s="1410"/>
      <c r="C78" s="1410"/>
      <c r="D78" s="1410"/>
    </row>
    <row r="79" spans="1:4" x14ac:dyDescent="0.3">
      <c r="A79" s="1410"/>
      <c r="B79" s="1410"/>
      <c r="C79" s="1410"/>
      <c r="D79" s="1410"/>
    </row>
    <row r="80" spans="1:4" x14ac:dyDescent="0.3">
      <c r="A80" s="1410"/>
      <c r="B80" s="1410"/>
      <c r="C80" s="1410"/>
      <c r="D80" s="1410"/>
    </row>
    <row r="81" spans="1:4" x14ac:dyDescent="0.3">
      <c r="A81" s="1410"/>
      <c r="B81" s="1410"/>
      <c r="C81" s="1410"/>
      <c r="D81" s="1410"/>
    </row>
    <row r="82" spans="1:4" x14ac:dyDescent="0.3">
      <c r="A82" s="1410"/>
      <c r="B82" s="1410"/>
      <c r="C82" s="1410"/>
      <c r="D82" s="1410"/>
    </row>
    <row r="83" spans="1:4" x14ac:dyDescent="0.3">
      <c r="A83" s="1410"/>
      <c r="B83" s="1410"/>
      <c r="C83" s="1410"/>
      <c r="D83" s="1410"/>
    </row>
    <row r="84" spans="1:4" x14ac:dyDescent="0.3">
      <c r="A84" s="1410"/>
      <c r="B84" s="1410"/>
      <c r="C84" s="1410"/>
      <c r="D84" s="1410"/>
    </row>
    <row r="85" spans="1:4" x14ac:dyDescent="0.3">
      <c r="A85" s="1410"/>
      <c r="B85" s="1410"/>
      <c r="C85" s="1410"/>
      <c r="D85" s="1410"/>
    </row>
    <row r="86" spans="1:4" x14ac:dyDescent="0.3">
      <c r="A86" s="1410"/>
      <c r="B86" s="1410"/>
      <c r="C86" s="1410"/>
      <c r="D86" s="1410"/>
    </row>
    <row r="87" spans="1:4" x14ac:dyDescent="0.3">
      <c r="A87" s="1410"/>
      <c r="B87" s="1410"/>
      <c r="C87" s="1410"/>
      <c r="D87" s="1410"/>
    </row>
    <row r="88" spans="1:4" x14ac:dyDescent="0.3">
      <c r="A88" s="1410"/>
      <c r="B88" s="1410"/>
      <c r="C88" s="1410"/>
      <c r="D88" s="1410"/>
    </row>
    <row r="89" spans="1:4" x14ac:dyDescent="0.3">
      <c r="A89" s="1410"/>
      <c r="B89" s="1410"/>
      <c r="C89" s="1410"/>
      <c r="D89" s="1410"/>
    </row>
    <row r="90" spans="1:4" x14ac:dyDescent="0.3">
      <c r="A90" s="1410"/>
      <c r="B90" s="1410"/>
      <c r="C90" s="1410"/>
      <c r="D90" s="1410"/>
    </row>
    <row r="91" spans="1:4" x14ac:dyDescent="0.3">
      <c r="A91" s="1410"/>
      <c r="B91" s="1410"/>
      <c r="C91" s="1410"/>
      <c r="D91" s="1410"/>
    </row>
    <row r="92" spans="1:4" x14ac:dyDescent="0.3">
      <c r="A92" s="1410"/>
      <c r="B92" s="1410"/>
      <c r="C92" s="1410"/>
      <c r="D92" s="1410"/>
    </row>
    <row r="93" spans="1:4" x14ac:dyDescent="0.3">
      <c r="A93" s="1410"/>
      <c r="B93" s="1410"/>
      <c r="C93" s="1410"/>
      <c r="D93" s="1410"/>
    </row>
    <row r="94" spans="1:4" x14ac:dyDescent="0.3">
      <c r="A94" s="1410"/>
      <c r="B94" s="1410"/>
      <c r="C94" s="1410"/>
      <c r="D94" s="1410"/>
    </row>
    <row r="95" spans="1:4" x14ac:dyDescent="0.3">
      <c r="A95" s="1410"/>
      <c r="B95" s="1410"/>
      <c r="C95" s="1410"/>
      <c r="D95" s="1410"/>
    </row>
    <row r="96" spans="1:4" x14ac:dyDescent="0.3">
      <c r="A96" s="1410"/>
      <c r="B96" s="1410"/>
      <c r="C96" s="1410"/>
      <c r="D96" s="1410"/>
    </row>
    <row r="97" spans="1:4" x14ac:dyDescent="0.3">
      <c r="A97" s="1410"/>
      <c r="B97" s="1410"/>
      <c r="C97" s="1410"/>
      <c r="D97" s="1410"/>
    </row>
    <row r="98" spans="1:4" x14ac:dyDescent="0.3">
      <c r="A98" s="1410"/>
      <c r="B98" s="1410"/>
      <c r="C98" s="1410"/>
      <c r="D98" s="1410"/>
    </row>
    <row r="99" spans="1:4" x14ac:dyDescent="0.3">
      <c r="A99" s="1410"/>
      <c r="B99" s="1410"/>
      <c r="C99" s="1410"/>
      <c r="D99" s="1410"/>
    </row>
    <row r="100" spans="1:4" x14ac:dyDescent="0.3">
      <c r="A100" s="1410"/>
      <c r="B100" s="1410"/>
      <c r="C100" s="1410"/>
      <c r="D100" s="1410"/>
    </row>
    <row r="101" spans="1:4" x14ac:dyDescent="0.3">
      <c r="A101" s="1410"/>
      <c r="B101" s="1410"/>
      <c r="C101" s="1410"/>
      <c r="D101" s="1410"/>
    </row>
    <row r="102" spans="1:4" x14ac:dyDescent="0.3">
      <c r="A102" s="1410"/>
      <c r="B102" s="1410"/>
      <c r="C102" s="1410"/>
      <c r="D102" s="1410"/>
    </row>
    <row r="103" spans="1:4" x14ac:dyDescent="0.3">
      <c r="A103" s="1410"/>
      <c r="B103" s="1410"/>
      <c r="C103" s="1410"/>
      <c r="D103" s="1410"/>
    </row>
    <row r="104" spans="1:4" x14ac:dyDescent="0.3">
      <c r="A104" s="1410"/>
      <c r="B104" s="1410"/>
      <c r="C104" s="1410"/>
      <c r="D104" s="1410"/>
    </row>
    <row r="105" spans="1:4" x14ac:dyDescent="0.3">
      <c r="A105" s="1410"/>
      <c r="B105" s="1410"/>
      <c r="C105" s="1410"/>
      <c r="D105" s="1410"/>
    </row>
    <row r="106" spans="1:4" x14ac:dyDescent="0.3">
      <c r="A106" s="1410"/>
      <c r="B106" s="1410"/>
      <c r="C106" s="1410"/>
      <c r="D106" s="1410"/>
    </row>
    <row r="107" spans="1:4" x14ac:dyDescent="0.3">
      <c r="A107" s="1410"/>
      <c r="B107" s="1410"/>
      <c r="C107" s="1410"/>
      <c r="D107" s="1410"/>
    </row>
    <row r="108" spans="1:4" x14ac:dyDescent="0.3">
      <c r="A108" s="1410"/>
      <c r="B108" s="1410"/>
      <c r="C108" s="1410"/>
      <c r="D108" s="1410"/>
    </row>
    <row r="109" spans="1:4" x14ac:dyDescent="0.3">
      <c r="A109" s="1410"/>
      <c r="B109" s="1410"/>
      <c r="C109" s="1410"/>
      <c r="D109" s="1410"/>
    </row>
    <row r="110" spans="1:4" x14ac:dyDescent="0.3">
      <c r="A110" s="1410"/>
      <c r="B110" s="1410"/>
      <c r="C110" s="1410"/>
      <c r="D110" s="1410"/>
    </row>
    <row r="111" spans="1:4" x14ac:dyDescent="0.3">
      <c r="A111" s="1410"/>
      <c r="B111" s="1410"/>
      <c r="C111" s="1410"/>
      <c r="D111" s="1410"/>
    </row>
    <row r="112" spans="1:4" x14ac:dyDescent="0.3">
      <c r="A112" s="1410"/>
      <c r="B112" s="1410"/>
      <c r="C112" s="1410"/>
      <c r="D112" s="1410"/>
    </row>
    <row r="113" spans="1:4" x14ac:dyDescent="0.3">
      <c r="A113" s="1410"/>
      <c r="B113" s="1410"/>
      <c r="C113" s="1410"/>
      <c r="D113" s="1410"/>
    </row>
    <row r="114" spans="1:4" x14ac:dyDescent="0.3">
      <c r="A114" s="1410"/>
      <c r="B114" s="1410"/>
      <c r="C114" s="1410"/>
      <c r="D114" s="1410"/>
    </row>
    <row r="115" spans="1:4" x14ac:dyDescent="0.3">
      <c r="A115" s="1410"/>
      <c r="B115" s="1410"/>
      <c r="C115" s="1410"/>
      <c r="D115" s="1410"/>
    </row>
    <row r="116" spans="1:4" x14ac:dyDescent="0.3">
      <c r="A116" s="1410"/>
      <c r="B116" s="1410"/>
      <c r="C116" s="1410"/>
      <c r="D116" s="1410"/>
    </row>
    <row r="117" spans="1:4" x14ac:dyDescent="0.3">
      <c r="A117" s="1410"/>
      <c r="B117" s="1410"/>
      <c r="C117" s="1410"/>
      <c r="D117" s="1410"/>
    </row>
    <row r="118" spans="1:4" x14ac:dyDescent="0.3">
      <c r="A118" s="1410"/>
      <c r="B118" s="1410"/>
      <c r="C118" s="1410"/>
      <c r="D118" s="1410"/>
    </row>
    <row r="119" spans="1:4" x14ac:dyDescent="0.3">
      <c r="A119" s="1410"/>
      <c r="B119" s="1410"/>
      <c r="C119" s="1410"/>
      <c r="D119" s="1410"/>
    </row>
    <row r="120" spans="1:4" x14ac:dyDescent="0.3">
      <c r="A120" s="1410"/>
      <c r="B120" s="1410"/>
      <c r="C120" s="1410"/>
      <c r="D120" s="1410"/>
    </row>
    <row r="121" spans="1:4" x14ac:dyDescent="0.3">
      <c r="A121" s="1410"/>
      <c r="B121" s="1410"/>
      <c r="C121" s="1410"/>
      <c r="D121" s="1410"/>
    </row>
    <row r="122" spans="1:4" x14ac:dyDescent="0.3">
      <c r="A122" s="1410"/>
      <c r="B122" s="1410"/>
      <c r="C122" s="1410"/>
      <c r="D122" s="1410"/>
    </row>
    <row r="123" spans="1:4" x14ac:dyDescent="0.3">
      <c r="A123" s="1410"/>
      <c r="B123" s="1410"/>
      <c r="C123" s="1410"/>
      <c r="D123" s="1410"/>
    </row>
    <row r="124" spans="1:4" x14ac:dyDescent="0.3">
      <c r="A124" s="1410"/>
      <c r="B124" s="1410"/>
      <c r="C124" s="1410"/>
      <c r="D124" s="1410"/>
    </row>
    <row r="125" spans="1:4" x14ac:dyDescent="0.3">
      <c r="A125" s="1410"/>
      <c r="B125" s="1410"/>
      <c r="C125" s="1410"/>
      <c r="D125" s="1410"/>
    </row>
    <row r="126" spans="1:4" x14ac:dyDescent="0.3">
      <c r="A126" s="1410"/>
      <c r="B126" s="1410"/>
      <c r="C126" s="1410"/>
      <c r="D126" s="1410"/>
    </row>
    <row r="127" spans="1:4" x14ac:dyDescent="0.3">
      <c r="A127" s="1410"/>
      <c r="B127" s="1410"/>
      <c r="C127" s="1410"/>
      <c r="D127" s="1410"/>
    </row>
    <row r="128" spans="1:4" x14ac:dyDescent="0.3">
      <c r="A128" s="1410"/>
      <c r="B128" s="1410"/>
      <c r="C128" s="1410"/>
      <c r="D128" s="1410"/>
    </row>
    <row r="129" spans="1:4" x14ac:dyDescent="0.3">
      <c r="A129" s="1410"/>
      <c r="B129" s="1410"/>
      <c r="C129" s="1410"/>
      <c r="D129" s="1410"/>
    </row>
    <row r="130" spans="1:4" x14ac:dyDescent="0.3">
      <c r="A130" s="1410"/>
      <c r="B130" s="1410"/>
      <c r="C130" s="1410"/>
      <c r="D130" s="1410"/>
    </row>
    <row r="131" spans="1:4" x14ac:dyDescent="0.3">
      <c r="A131" s="1410"/>
      <c r="B131" s="1410"/>
      <c r="C131" s="1410"/>
      <c r="D131" s="1410"/>
    </row>
    <row r="132" spans="1:4" x14ac:dyDescent="0.3">
      <c r="A132" s="1410"/>
      <c r="B132" s="1410"/>
      <c r="C132" s="1410"/>
      <c r="D132" s="1410"/>
    </row>
    <row r="133" spans="1:4" x14ac:dyDescent="0.3">
      <c r="A133" s="1410"/>
      <c r="B133" s="1410"/>
      <c r="C133" s="1410"/>
      <c r="D133" s="1410"/>
    </row>
    <row r="134" spans="1:4" x14ac:dyDescent="0.3">
      <c r="A134" s="1410"/>
      <c r="B134" s="1410"/>
      <c r="C134" s="1410"/>
      <c r="D134" s="1410"/>
    </row>
    <row r="135" spans="1:4" x14ac:dyDescent="0.3">
      <c r="A135" s="1410"/>
      <c r="B135" s="1410"/>
      <c r="C135" s="1410"/>
      <c r="D135" s="1410"/>
    </row>
    <row r="136" spans="1:4" x14ac:dyDescent="0.3">
      <c r="A136" s="1410"/>
      <c r="B136" s="1410"/>
      <c r="C136" s="1410"/>
      <c r="D136" s="1410"/>
    </row>
    <row r="137" spans="1:4" x14ac:dyDescent="0.3">
      <c r="A137" s="1410"/>
      <c r="B137" s="1410"/>
      <c r="C137" s="1410"/>
      <c r="D137" s="1410"/>
    </row>
    <row r="138" spans="1:4" x14ac:dyDescent="0.3">
      <c r="A138" s="1410"/>
      <c r="B138" s="1410"/>
      <c r="C138" s="1410"/>
      <c r="D138" s="1410"/>
    </row>
    <row r="139" spans="1:4" x14ac:dyDescent="0.3">
      <c r="A139" s="1410"/>
      <c r="B139" s="1410"/>
      <c r="C139" s="1410"/>
      <c r="D139" s="1410"/>
    </row>
    <row r="140" spans="1:4" x14ac:dyDescent="0.3">
      <c r="A140" s="1410"/>
      <c r="B140" s="1410"/>
      <c r="C140" s="1410"/>
      <c r="D140" s="1410"/>
    </row>
    <row r="141" spans="1:4" x14ac:dyDescent="0.3">
      <c r="A141" s="1410"/>
      <c r="B141" s="1410"/>
      <c r="C141" s="1410"/>
      <c r="D141" s="1410"/>
    </row>
    <row r="142" spans="1:4" x14ac:dyDescent="0.3">
      <c r="A142" s="1410"/>
      <c r="B142" s="1410"/>
      <c r="C142" s="1410"/>
      <c r="D142" s="1410"/>
    </row>
    <row r="143" spans="1:4" x14ac:dyDescent="0.3">
      <c r="A143" s="1410"/>
      <c r="B143" s="1410"/>
      <c r="C143" s="1410"/>
      <c r="D143" s="1410"/>
    </row>
    <row r="144" spans="1:4" x14ac:dyDescent="0.3">
      <c r="A144" s="1410"/>
      <c r="B144" s="1410"/>
      <c r="C144" s="1410"/>
      <c r="D144" s="1410"/>
    </row>
    <row r="145" spans="1:4" x14ac:dyDescent="0.3">
      <c r="A145" s="1410"/>
      <c r="B145" s="1410"/>
      <c r="C145" s="1410"/>
      <c r="D145" s="1410"/>
    </row>
    <row r="146" spans="1:4" x14ac:dyDescent="0.3">
      <c r="A146" s="1410"/>
      <c r="B146" s="1410"/>
      <c r="C146" s="1410"/>
      <c r="D146" s="1410"/>
    </row>
    <row r="147" spans="1:4" x14ac:dyDescent="0.3">
      <c r="A147" s="1410"/>
      <c r="B147" s="1410"/>
      <c r="C147" s="1410"/>
      <c r="D147" s="1410"/>
    </row>
    <row r="148" spans="1:4" x14ac:dyDescent="0.3">
      <c r="A148" s="1410"/>
      <c r="B148" s="1410"/>
      <c r="C148" s="1410"/>
      <c r="D148" s="1410"/>
    </row>
    <row r="149" spans="1:4" x14ac:dyDescent="0.3">
      <c r="A149" s="1410"/>
      <c r="B149" s="1410"/>
      <c r="C149" s="1410"/>
      <c r="D149" s="1410"/>
    </row>
    <row r="150" spans="1:4" x14ac:dyDescent="0.3">
      <c r="A150" s="1410"/>
      <c r="B150" s="1410"/>
      <c r="C150" s="1410"/>
      <c r="D150" s="1410"/>
    </row>
    <row r="151" spans="1:4" x14ac:dyDescent="0.3">
      <c r="A151" s="1410"/>
      <c r="B151" s="1410"/>
      <c r="C151" s="1410"/>
      <c r="D151" s="1410"/>
    </row>
    <row r="152" spans="1:4" x14ac:dyDescent="0.3">
      <c r="A152" s="1410"/>
      <c r="B152" s="1410"/>
      <c r="C152" s="1410"/>
      <c r="D152" s="1410"/>
    </row>
    <row r="153" spans="1:4" x14ac:dyDescent="0.3">
      <c r="A153" s="1410"/>
      <c r="B153" s="1410"/>
      <c r="C153" s="1410"/>
      <c r="D153" s="1410"/>
    </row>
    <row r="154" spans="1:4" x14ac:dyDescent="0.3">
      <c r="A154" s="1410"/>
      <c r="B154" s="1410"/>
      <c r="C154" s="1410"/>
      <c r="D154" s="1410"/>
    </row>
    <row r="155" spans="1:4" x14ac:dyDescent="0.3">
      <c r="A155" s="1410"/>
      <c r="B155" s="1410"/>
      <c r="C155" s="1410"/>
      <c r="D155" s="1410"/>
    </row>
    <row r="156" spans="1:4" x14ac:dyDescent="0.3">
      <c r="A156" s="1410"/>
      <c r="B156" s="1410"/>
      <c r="C156" s="1410"/>
      <c r="D156" s="1410"/>
    </row>
    <row r="157" spans="1:4" x14ac:dyDescent="0.3">
      <c r="A157" s="1410"/>
      <c r="B157" s="1410"/>
      <c r="C157" s="1410"/>
      <c r="D157" s="1410"/>
    </row>
    <row r="158" spans="1:4" x14ac:dyDescent="0.3">
      <c r="A158" s="1410"/>
      <c r="B158" s="1410"/>
      <c r="C158" s="1410"/>
      <c r="D158" s="1410"/>
    </row>
    <row r="159" spans="1:4" x14ac:dyDescent="0.3">
      <c r="A159" s="1410"/>
      <c r="B159" s="1410"/>
      <c r="C159" s="1410"/>
      <c r="D159" s="1410"/>
    </row>
    <row r="160" spans="1:4" x14ac:dyDescent="0.3">
      <c r="A160" s="1410"/>
      <c r="B160" s="1410"/>
      <c r="C160" s="1410"/>
      <c r="D160" s="1410"/>
    </row>
    <row r="161" spans="1:4" x14ac:dyDescent="0.3">
      <c r="A161" s="1410"/>
      <c r="B161" s="1410"/>
      <c r="C161" s="1410"/>
      <c r="D161" s="1410"/>
    </row>
    <row r="162" spans="1:4" x14ac:dyDescent="0.3">
      <c r="A162" s="1410"/>
      <c r="B162" s="1410"/>
      <c r="C162" s="1410"/>
      <c r="D162" s="1410"/>
    </row>
    <row r="163" spans="1:4" x14ac:dyDescent="0.3">
      <c r="A163" s="1410"/>
      <c r="B163" s="1410"/>
      <c r="C163" s="1410"/>
      <c r="D163" s="1410"/>
    </row>
    <row r="164" spans="1:4" x14ac:dyDescent="0.3">
      <c r="A164" s="1410"/>
      <c r="B164" s="1410"/>
      <c r="C164" s="1410"/>
      <c r="D164" s="1410"/>
    </row>
    <row r="165" spans="1:4" x14ac:dyDescent="0.3">
      <c r="A165" s="1410"/>
      <c r="B165" s="1410"/>
      <c r="C165" s="1410"/>
      <c r="D165" s="1410"/>
    </row>
    <row r="166" spans="1:4" x14ac:dyDescent="0.3">
      <c r="A166" s="1410"/>
      <c r="B166" s="1410"/>
      <c r="C166" s="1410"/>
      <c r="D166" s="1410"/>
    </row>
    <row r="167" spans="1:4" x14ac:dyDescent="0.3">
      <c r="A167" s="1410"/>
      <c r="B167" s="1410"/>
      <c r="C167" s="1410"/>
      <c r="D167" s="1410"/>
    </row>
    <row r="168" spans="1:4" x14ac:dyDescent="0.3">
      <c r="A168" s="1410"/>
      <c r="B168" s="1410"/>
      <c r="C168" s="1410"/>
      <c r="D168" s="1410"/>
    </row>
    <row r="169" spans="1:4" x14ac:dyDescent="0.3">
      <c r="A169" s="1410"/>
      <c r="B169" s="1410"/>
      <c r="C169" s="1410"/>
      <c r="D169" s="1410"/>
    </row>
    <row r="170" spans="1:4" x14ac:dyDescent="0.3">
      <c r="A170" s="1410"/>
      <c r="B170" s="1410"/>
      <c r="C170" s="1410"/>
      <c r="D170" s="1410"/>
    </row>
    <row r="171" spans="1:4" x14ac:dyDescent="0.3">
      <c r="A171" s="1410"/>
      <c r="B171" s="1410"/>
      <c r="C171" s="1410"/>
      <c r="D171" s="1410"/>
    </row>
    <row r="172" spans="1:4" x14ac:dyDescent="0.3">
      <c r="A172" s="1410"/>
      <c r="B172" s="1410"/>
      <c r="C172" s="1410"/>
      <c r="D172" s="1410"/>
    </row>
    <row r="173" spans="1:4" x14ac:dyDescent="0.3">
      <c r="A173" s="1410"/>
      <c r="B173" s="1410"/>
      <c r="C173" s="1410"/>
      <c r="D173" s="1410"/>
    </row>
    <row r="174" spans="1:4" x14ac:dyDescent="0.3">
      <c r="A174" s="1410"/>
      <c r="B174" s="1410"/>
      <c r="C174" s="1410"/>
      <c r="D174" s="1410"/>
    </row>
    <row r="175" spans="1:4" x14ac:dyDescent="0.3">
      <c r="A175" s="1410"/>
      <c r="B175" s="1410"/>
      <c r="C175" s="1410"/>
      <c r="D175" s="1410"/>
    </row>
    <row r="176" spans="1:4" x14ac:dyDescent="0.3">
      <c r="A176" s="1410"/>
      <c r="B176" s="1410"/>
      <c r="C176" s="1410"/>
      <c r="D176" s="1410"/>
    </row>
    <row r="177" spans="1:4" x14ac:dyDescent="0.3">
      <c r="A177" s="1410"/>
      <c r="B177" s="1410"/>
      <c r="C177" s="1410"/>
      <c r="D177" s="1410"/>
    </row>
    <row r="178" spans="1:4" x14ac:dyDescent="0.3">
      <c r="A178" s="1410"/>
      <c r="B178" s="1410"/>
      <c r="C178" s="1410"/>
      <c r="D178" s="1410"/>
    </row>
    <row r="179" spans="1:4" x14ac:dyDescent="0.3">
      <c r="A179" s="1410"/>
      <c r="B179" s="1410"/>
      <c r="C179" s="1410"/>
      <c r="D179" s="1410"/>
    </row>
    <row r="180" spans="1:4" x14ac:dyDescent="0.3">
      <c r="A180" s="1410"/>
      <c r="B180" s="1410"/>
      <c r="C180" s="1410"/>
      <c r="D180" s="1410"/>
    </row>
    <row r="181" spans="1:4" x14ac:dyDescent="0.3">
      <c r="A181" s="1410"/>
      <c r="B181" s="1410"/>
      <c r="C181" s="1410"/>
      <c r="D181" s="1410"/>
    </row>
    <row r="182" spans="1:4" x14ac:dyDescent="0.3">
      <c r="A182" s="1410"/>
      <c r="B182" s="1410"/>
      <c r="C182" s="1410"/>
      <c r="D182" s="1410"/>
    </row>
    <row r="183" spans="1:4" x14ac:dyDescent="0.3">
      <c r="A183" s="1410"/>
      <c r="B183" s="1410"/>
      <c r="C183" s="1410"/>
      <c r="D183" s="1410"/>
    </row>
    <row r="184" spans="1:4" x14ac:dyDescent="0.3">
      <c r="A184" s="1410"/>
      <c r="B184" s="1410"/>
      <c r="C184" s="1410"/>
      <c r="D184" s="1410"/>
    </row>
    <row r="185" spans="1:4" x14ac:dyDescent="0.3">
      <c r="A185" s="1410"/>
      <c r="B185" s="1410"/>
      <c r="C185" s="1410"/>
      <c r="D185" s="1410"/>
    </row>
    <row r="186" spans="1:4" x14ac:dyDescent="0.3">
      <c r="A186" s="1410"/>
      <c r="B186" s="1410"/>
      <c r="C186" s="1410"/>
      <c r="D186" s="1410"/>
    </row>
    <row r="187" spans="1:4" x14ac:dyDescent="0.3">
      <c r="A187" s="1410"/>
      <c r="B187" s="1410"/>
      <c r="C187" s="1410"/>
      <c r="D187" s="1410"/>
    </row>
    <row r="188" spans="1:4" x14ac:dyDescent="0.3">
      <c r="A188" s="1410"/>
      <c r="B188" s="1410"/>
      <c r="C188" s="1410"/>
      <c r="D188" s="1410"/>
    </row>
    <row r="189" spans="1:4" x14ac:dyDescent="0.3">
      <c r="A189" s="1410"/>
      <c r="B189" s="1410"/>
      <c r="C189" s="1410"/>
      <c r="D189" s="1410"/>
    </row>
    <row r="190" spans="1:4" x14ac:dyDescent="0.3">
      <c r="A190" s="1410"/>
      <c r="B190" s="1410"/>
      <c r="C190" s="1410"/>
      <c r="D190" s="1410"/>
    </row>
    <row r="191" spans="1:4" x14ac:dyDescent="0.3">
      <c r="A191" s="1410"/>
      <c r="B191" s="1410"/>
      <c r="C191" s="1410"/>
      <c r="D191" s="1410"/>
    </row>
    <row r="192" spans="1:4" x14ac:dyDescent="0.3">
      <c r="A192" s="1410"/>
      <c r="B192" s="1410"/>
      <c r="C192" s="1410"/>
      <c r="D192" s="1410"/>
    </row>
    <row r="193" spans="1:4" x14ac:dyDescent="0.3">
      <c r="A193" s="1410"/>
      <c r="B193" s="1410"/>
      <c r="C193" s="1410"/>
      <c r="D193" s="1410"/>
    </row>
    <row r="194" spans="1:4" x14ac:dyDescent="0.3">
      <c r="A194" s="1410"/>
      <c r="B194" s="1410"/>
      <c r="C194" s="1410"/>
      <c r="D194" s="1410"/>
    </row>
    <row r="195" spans="1:4" x14ac:dyDescent="0.3">
      <c r="A195" s="1410"/>
      <c r="B195" s="1410"/>
      <c r="C195" s="1410"/>
      <c r="D195" s="1410"/>
    </row>
    <row r="196" spans="1:4" x14ac:dyDescent="0.3">
      <c r="A196" s="1410"/>
      <c r="B196" s="1410"/>
      <c r="C196" s="1410"/>
      <c r="D196" s="1410"/>
    </row>
    <row r="197" spans="1:4" x14ac:dyDescent="0.3">
      <c r="A197" s="1410"/>
      <c r="B197" s="1410"/>
      <c r="C197" s="1410"/>
      <c r="D197" s="1410"/>
    </row>
    <row r="198" spans="1:4" x14ac:dyDescent="0.3">
      <c r="A198" s="1410"/>
      <c r="B198" s="1410"/>
      <c r="C198" s="1410"/>
      <c r="D198" s="1410"/>
    </row>
    <row r="199" spans="1:4" x14ac:dyDescent="0.3">
      <c r="A199" s="1410"/>
      <c r="B199" s="1410"/>
      <c r="C199" s="1410"/>
      <c r="D199" s="1410"/>
    </row>
    <row r="200" spans="1:4" x14ac:dyDescent="0.3">
      <c r="A200" s="1410"/>
      <c r="B200" s="1410"/>
      <c r="C200" s="1410"/>
      <c r="D200" s="1410"/>
    </row>
    <row r="201" spans="1:4" x14ac:dyDescent="0.3">
      <c r="A201" s="1410"/>
      <c r="B201" s="1410"/>
      <c r="C201" s="1410"/>
      <c r="D201" s="1410"/>
    </row>
    <row r="202" spans="1:4" x14ac:dyDescent="0.3">
      <c r="A202" s="1410"/>
      <c r="B202" s="1410"/>
      <c r="C202" s="1410"/>
      <c r="D202" s="1410"/>
    </row>
    <row r="203" spans="1:4" x14ac:dyDescent="0.3">
      <c r="A203" s="1410"/>
      <c r="B203" s="1410"/>
      <c r="C203" s="1410"/>
      <c r="D203" s="1410"/>
    </row>
    <row r="204" spans="1:4" x14ac:dyDescent="0.3">
      <c r="A204" s="1410"/>
      <c r="B204" s="1410"/>
      <c r="C204" s="1410"/>
      <c r="D204" s="1410"/>
    </row>
    <row r="205" spans="1:4" x14ac:dyDescent="0.3">
      <c r="A205" s="1410"/>
      <c r="B205" s="1410"/>
      <c r="C205" s="1410"/>
      <c r="D205" s="1410"/>
    </row>
    <row r="206" spans="1:4" x14ac:dyDescent="0.3">
      <c r="A206" s="1410"/>
      <c r="B206" s="1410"/>
      <c r="C206" s="1410"/>
      <c r="D206" s="1410"/>
    </row>
    <row r="207" spans="1:4" x14ac:dyDescent="0.3">
      <c r="A207" s="1410"/>
      <c r="B207" s="1410"/>
      <c r="C207" s="1410"/>
      <c r="D207" s="1410"/>
    </row>
    <row r="208" spans="1:4" x14ac:dyDescent="0.3">
      <c r="A208" s="1410"/>
      <c r="B208" s="1410"/>
      <c r="C208" s="1410"/>
      <c r="D208" s="1410"/>
    </row>
    <row r="209" spans="1:4" x14ac:dyDescent="0.3">
      <c r="A209" s="1410"/>
      <c r="B209" s="1410"/>
      <c r="C209" s="1410"/>
      <c r="D209" s="1410"/>
    </row>
    <row r="210" spans="1:4" x14ac:dyDescent="0.3">
      <c r="A210" s="1410"/>
      <c r="B210" s="1410"/>
      <c r="C210" s="1410"/>
      <c r="D210" s="1410"/>
    </row>
    <row r="211" spans="1:4" x14ac:dyDescent="0.3">
      <c r="A211" s="1410"/>
      <c r="B211" s="1410"/>
      <c r="C211" s="1410"/>
      <c r="D211" s="1410"/>
    </row>
    <row r="212" spans="1:4" x14ac:dyDescent="0.3">
      <c r="A212" s="1410"/>
      <c r="B212" s="1410"/>
      <c r="C212" s="1410"/>
      <c r="D212" s="1410"/>
    </row>
    <row r="213" spans="1:4" x14ac:dyDescent="0.3">
      <c r="A213" s="1410"/>
      <c r="B213" s="1410"/>
      <c r="C213" s="1410"/>
      <c r="D213" s="1410"/>
    </row>
    <row r="214" spans="1:4" x14ac:dyDescent="0.3">
      <c r="A214" s="1410"/>
      <c r="B214" s="1410"/>
      <c r="C214" s="1410"/>
      <c r="D214" s="1410"/>
    </row>
    <row r="215" spans="1:4" x14ac:dyDescent="0.3">
      <c r="A215" s="1410"/>
      <c r="B215" s="1410"/>
      <c r="C215" s="1410"/>
      <c r="D215" s="1410"/>
    </row>
    <row r="216" spans="1:4" x14ac:dyDescent="0.3">
      <c r="A216" s="1410"/>
      <c r="B216" s="1410"/>
      <c r="C216" s="1410"/>
      <c r="D216" s="1410"/>
    </row>
    <row r="217" spans="1:4" x14ac:dyDescent="0.3">
      <c r="A217" s="1410"/>
      <c r="B217" s="1410"/>
      <c r="C217" s="1410"/>
      <c r="D217" s="1410"/>
    </row>
    <row r="218" spans="1:4" x14ac:dyDescent="0.3">
      <c r="A218" s="1410"/>
      <c r="B218" s="1410"/>
      <c r="C218" s="1410"/>
      <c r="D218" s="1410"/>
    </row>
    <row r="219" spans="1:4" x14ac:dyDescent="0.3">
      <c r="A219" s="1410"/>
      <c r="B219" s="1410"/>
      <c r="C219" s="1410"/>
      <c r="D219" s="1410"/>
    </row>
    <row r="220" spans="1:4" x14ac:dyDescent="0.3">
      <c r="A220" s="1410"/>
      <c r="B220" s="1410"/>
      <c r="C220" s="1410"/>
      <c r="D220" s="1410"/>
    </row>
    <row r="221" spans="1:4" x14ac:dyDescent="0.3">
      <c r="A221" s="1410"/>
      <c r="B221" s="1410"/>
      <c r="C221" s="1410"/>
      <c r="D221" s="1410"/>
    </row>
    <row r="222" spans="1:4" x14ac:dyDescent="0.3">
      <c r="A222" s="1410"/>
      <c r="B222" s="1410"/>
      <c r="C222" s="1410"/>
      <c r="D222" s="1410"/>
    </row>
    <row r="223" spans="1:4" x14ac:dyDescent="0.3">
      <c r="A223" s="1410"/>
      <c r="B223" s="1410"/>
      <c r="C223" s="1410"/>
      <c r="D223" s="1410"/>
    </row>
    <row r="224" spans="1:4" x14ac:dyDescent="0.3">
      <c r="A224" s="1410"/>
      <c r="B224" s="1410"/>
      <c r="C224" s="1410"/>
      <c r="D224" s="1410"/>
    </row>
    <row r="225" spans="1:4" x14ac:dyDescent="0.3">
      <c r="A225" s="1410"/>
      <c r="B225" s="1410"/>
      <c r="C225" s="1410"/>
      <c r="D225" s="1410"/>
    </row>
    <row r="226" spans="1:4" x14ac:dyDescent="0.3">
      <c r="A226" s="1410"/>
      <c r="B226" s="1410"/>
      <c r="C226" s="1410"/>
      <c r="D226" s="1410"/>
    </row>
    <row r="227" spans="1:4" x14ac:dyDescent="0.3">
      <c r="A227" s="1410"/>
      <c r="B227" s="1410"/>
      <c r="C227" s="1410"/>
      <c r="D227" s="1410"/>
    </row>
    <row r="228" spans="1:4" x14ac:dyDescent="0.3">
      <c r="A228" s="1410"/>
      <c r="B228" s="1410"/>
      <c r="C228" s="1410"/>
      <c r="D228" s="1410"/>
    </row>
    <row r="229" spans="1:4" x14ac:dyDescent="0.3">
      <c r="A229" s="1410"/>
      <c r="B229" s="1410"/>
      <c r="C229" s="1410"/>
      <c r="D229" s="1410"/>
    </row>
    <row r="230" spans="1:4" x14ac:dyDescent="0.3">
      <c r="A230" s="1410"/>
      <c r="B230" s="1410"/>
      <c r="C230" s="1410"/>
      <c r="D230" s="1410"/>
    </row>
    <row r="231" spans="1:4" x14ac:dyDescent="0.3">
      <c r="A231" s="1410"/>
      <c r="B231" s="1410"/>
      <c r="C231" s="1410"/>
      <c r="D231" s="1410"/>
    </row>
    <row r="232" spans="1:4" x14ac:dyDescent="0.3">
      <c r="A232" s="1410"/>
      <c r="B232" s="1410"/>
      <c r="C232" s="1410"/>
      <c r="D232" s="1410"/>
    </row>
    <row r="233" spans="1:4" x14ac:dyDescent="0.3">
      <c r="A233" s="1410"/>
      <c r="B233" s="1410"/>
      <c r="C233" s="1410"/>
      <c r="D233" s="1410"/>
    </row>
    <row r="234" spans="1:4" x14ac:dyDescent="0.3">
      <c r="A234" s="1410"/>
      <c r="B234" s="1410"/>
      <c r="C234" s="1410"/>
      <c r="D234" s="1410"/>
    </row>
    <row r="235" spans="1:4" x14ac:dyDescent="0.3">
      <c r="A235" s="1410"/>
      <c r="B235" s="1410"/>
      <c r="C235" s="1410"/>
      <c r="D235" s="1410"/>
    </row>
    <row r="236" spans="1:4" x14ac:dyDescent="0.3">
      <c r="A236" s="1410"/>
      <c r="B236" s="1410"/>
      <c r="C236" s="1410"/>
      <c r="D236" s="1410"/>
    </row>
    <row r="237" spans="1:4" x14ac:dyDescent="0.3">
      <c r="A237" s="1410"/>
      <c r="B237" s="1410"/>
      <c r="C237" s="1410"/>
      <c r="D237" s="1410"/>
    </row>
    <row r="238" spans="1:4" x14ac:dyDescent="0.3">
      <c r="A238" s="1410"/>
      <c r="B238" s="1410"/>
      <c r="C238" s="1410"/>
      <c r="D238" s="1410"/>
    </row>
    <row r="239" spans="1:4" x14ac:dyDescent="0.3">
      <c r="A239" s="1410"/>
      <c r="B239" s="1410"/>
      <c r="C239" s="1410"/>
      <c r="D239" s="1410"/>
    </row>
    <row r="240" spans="1:4" x14ac:dyDescent="0.3">
      <c r="A240" s="1410"/>
      <c r="B240" s="1410"/>
      <c r="C240" s="1410"/>
      <c r="D240" s="1410"/>
    </row>
    <row r="241" spans="1:4" x14ac:dyDescent="0.3">
      <c r="A241" s="1410"/>
      <c r="B241" s="1410"/>
      <c r="C241" s="1410"/>
      <c r="D241" s="1410"/>
    </row>
    <row r="242" spans="1:4" x14ac:dyDescent="0.3">
      <c r="A242" s="1410"/>
      <c r="B242" s="1410"/>
      <c r="C242" s="1410"/>
      <c r="D242" s="1410"/>
    </row>
    <row r="243" spans="1:4" x14ac:dyDescent="0.3">
      <c r="A243" s="1410"/>
      <c r="B243" s="1410"/>
      <c r="C243" s="1410"/>
      <c r="D243" s="1410"/>
    </row>
    <row r="244" spans="1:4" x14ac:dyDescent="0.3">
      <c r="A244" s="1410"/>
      <c r="B244" s="1410"/>
      <c r="C244" s="1410"/>
      <c r="D244" s="1410"/>
    </row>
    <row r="245" spans="1:4" x14ac:dyDescent="0.3">
      <c r="A245" s="1410"/>
      <c r="B245" s="1410"/>
      <c r="C245" s="1410"/>
      <c r="D245" s="1410"/>
    </row>
    <row r="246" spans="1:4" x14ac:dyDescent="0.3">
      <c r="A246" s="1410"/>
      <c r="B246" s="1410"/>
      <c r="C246" s="1410"/>
      <c r="D246" s="1410"/>
    </row>
    <row r="247" spans="1:4" x14ac:dyDescent="0.3">
      <c r="A247" s="1410"/>
      <c r="B247" s="1410"/>
      <c r="C247" s="1410"/>
      <c r="D247" s="1410"/>
    </row>
    <row r="248" spans="1:4" x14ac:dyDescent="0.3">
      <c r="A248" s="1410"/>
      <c r="B248" s="1410"/>
      <c r="C248" s="1410"/>
      <c r="D248" s="1410"/>
    </row>
    <row r="249" spans="1:4" x14ac:dyDescent="0.3">
      <c r="A249" s="1410"/>
      <c r="B249" s="1410"/>
      <c r="C249" s="1410"/>
      <c r="D249" s="1410"/>
    </row>
    <row r="250" spans="1:4" x14ac:dyDescent="0.3">
      <c r="A250" s="1410"/>
      <c r="B250" s="1410"/>
      <c r="C250" s="1410"/>
      <c r="D250" s="1410"/>
    </row>
    <row r="251" spans="1:4" x14ac:dyDescent="0.3">
      <c r="A251" s="1410"/>
      <c r="B251" s="1410"/>
      <c r="C251" s="1410"/>
      <c r="D251" s="1410"/>
    </row>
    <row r="252" spans="1:4" x14ac:dyDescent="0.3">
      <c r="A252" s="1410"/>
      <c r="B252" s="1410"/>
      <c r="C252" s="1410"/>
      <c r="D252" s="1410"/>
    </row>
    <row r="253" spans="1:4" x14ac:dyDescent="0.3">
      <c r="A253" s="1410"/>
      <c r="B253" s="1410"/>
      <c r="C253" s="1410"/>
      <c r="D253" s="1410"/>
    </row>
    <row r="254" spans="1:4" x14ac:dyDescent="0.3">
      <c r="A254" s="1410"/>
      <c r="B254" s="1410"/>
      <c r="C254" s="1410"/>
      <c r="D254" s="1410"/>
    </row>
    <row r="255" spans="1:4" x14ac:dyDescent="0.3">
      <c r="A255" s="1410"/>
      <c r="B255" s="1410"/>
      <c r="C255" s="1410"/>
      <c r="D255" s="1410"/>
    </row>
    <row r="256" spans="1:4" x14ac:dyDescent="0.3">
      <c r="A256" s="1410"/>
      <c r="B256" s="1410"/>
      <c r="C256" s="1410"/>
      <c r="D256" s="1410"/>
    </row>
    <row r="257" spans="1:4" x14ac:dyDescent="0.3">
      <c r="A257" s="1410"/>
      <c r="B257" s="1410"/>
      <c r="C257" s="1410"/>
      <c r="D257" s="1410"/>
    </row>
    <row r="258" spans="1:4" x14ac:dyDescent="0.3">
      <c r="A258" s="1410"/>
      <c r="B258" s="1410"/>
      <c r="C258" s="1410"/>
      <c r="D258" s="1410"/>
    </row>
    <row r="259" spans="1:4" x14ac:dyDescent="0.3">
      <c r="A259" s="1410"/>
      <c r="B259" s="1410"/>
      <c r="C259" s="1410"/>
      <c r="D259" s="1410"/>
    </row>
    <row r="260" spans="1:4" x14ac:dyDescent="0.3">
      <c r="A260" s="1410"/>
      <c r="B260" s="1410"/>
      <c r="C260" s="1410"/>
      <c r="D260" s="1410"/>
    </row>
    <row r="261" spans="1:4" x14ac:dyDescent="0.3">
      <c r="A261" s="1410"/>
      <c r="B261" s="1410"/>
      <c r="C261" s="1410"/>
      <c r="D261" s="1410"/>
    </row>
    <row r="262" spans="1:4" x14ac:dyDescent="0.3">
      <c r="A262" s="1410"/>
      <c r="B262" s="1410"/>
      <c r="C262" s="1410"/>
      <c r="D262" s="1410"/>
    </row>
    <row r="263" spans="1:4" x14ac:dyDescent="0.3">
      <c r="A263" s="1410"/>
      <c r="B263" s="1410"/>
      <c r="C263" s="1410"/>
      <c r="D263" s="1410"/>
    </row>
    <row r="264" spans="1:4" x14ac:dyDescent="0.3">
      <c r="A264" s="1410"/>
      <c r="B264" s="1410"/>
      <c r="C264" s="1410"/>
      <c r="D264" s="1410"/>
    </row>
    <row r="265" spans="1:4" x14ac:dyDescent="0.3">
      <c r="A265" s="1410"/>
      <c r="B265" s="1410"/>
      <c r="C265" s="1410"/>
      <c r="D265" s="1410"/>
    </row>
    <row r="266" spans="1:4" x14ac:dyDescent="0.3">
      <c r="A266" s="1410"/>
      <c r="B266" s="1410"/>
      <c r="C266" s="1410"/>
      <c r="D266" s="1410"/>
    </row>
    <row r="267" spans="1:4" x14ac:dyDescent="0.3">
      <c r="A267" s="1410"/>
      <c r="B267" s="1410"/>
      <c r="C267" s="1410"/>
      <c r="D267" s="1410"/>
    </row>
    <row r="268" spans="1:4" x14ac:dyDescent="0.3">
      <c r="A268" s="1410"/>
      <c r="B268" s="1410"/>
      <c r="C268" s="1410"/>
      <c r="D268" s="1410"/>
    </row>
    <row r="269" spans="1:4" x14ac:dyDescent="0.3">
      <c r="A269" s="1410"/>
      <c r="B269" s="1410"/>
      <c r="C269" s="1410"/>
      <c r="D269" s="1410"/>
    </row>
    <row r="270" spans="1:4" x14ac:dyDescent="0.3">
      <c r="A270" s="1410"/>
      <c r="B270" s="1410"/>
      <c r="C270" s="1410"/>
      <c r="D270" s="1410"/>
    </row>
    <row r="271" spans="1:4" x14ac:dyDescent="0.3">
      <c r="A271" s="1410"/>
      <c r="B271" s="1410"/>
      <c r="C271" s="1410"/>
      <c r="D271" s="1410"/>
    </row>
    <row r="272" spans="1:4" x14ac:dyDescent="0.3">
      <c r="A272" s="1410"/>
      <c r="B272" s="1410"/>
      <c r="C272" s="1410"/>
      <c r="D272" s="1410"/>
    </row>
    <row r="273" spans="1:4" x14ac:dyDescent="0.3">
      <c r="A273" s="1410"/>
      <c r="B273" s="1410"/>
      <c r="C273" s="1410"/>
      <c r="D273" s="1410"/>
    </row>
    <row r="274" spans="1:4" x14ac:dyDescent="0.3">
      <c r="A274" s="1410"/>
      <c r="B274" s="1410"/>
      <c r="C274" s="1410"/>
      <c r="D274" s="1410"/>
    </row>
    <row r="275" spans="1:4" x14ac:dyDescent="0.3">
      <c r="A275" s="1410"/>
      <c r="B275" s="1410"/>
      <c r="C275" s="1410"/>
      <c r="D275" s="1410"/>
    </row>
    <row r="276" spans="1:4" x14ac:dyDescent="0.3">
      <c r="A276" s="1410"/>
      <c r="B276" s="1410"/>
      <c r="C276" s="1410"/>
      <c r="D276" s="1410"/>
    </row>
    <row r="277" spans="1:4" x14ac:dyDescent="0.3">
      <c r="A277" s="1410"/>
      <c r="B277" s="1410"/>
      <c r="C277" s="1410"/>
      <c r="D277" s="1410"/>
    </row>
    <row r="278" spans="1:4" x14ac:dyDescent="0.3">
      <c r="A278" s="1410"/>
      <c r="B278" s="1410"/>
      <c r="C278" s="1410"/>
      <c r="D278" s="1410"/>
    </row>
    <row r="279" spans="1:4" x14ac:dyDescent="0.3">
      <c r="A279" s="1410"/>
      <c r="B279" s="1410"/>
      <c r="C279" s="1410"/>
      <c r="D279" s="1410"/>
    </row>
    <row r="280" spans="1:4" x14ac:dyDescent="0.3">
      <c r="A280" s="1410"/>
      <c r="B280" s="1410"/>
      <c r="C280" s="1410"/>
      <c r="D280" s="1410"/>
    </row>
    <row r="281" spans="1:4" x14ac:dyDescent="0.3">
      <c r="A281" s="1410"/>
      <c r="B281" s="1410"/>
      <c r="C281" s="1410"/>
      <c r="D281" s="1410"/>
    </row>
    <row r="282" spans="1:4" x14ac:dyDescent="0.3">
      <c r="A282" s="1410"/>
      <c r="B282" s="1410"/>
      <c r="C282" s="1410"/>
      <c r="D282" s="1410"/>
    </row>
    <row r="283" spans="1:4" x14ac:dyDescent="0.3">
      <c r="A283" s="1410"/>
      <c r="B283" s="1410"/>
      <c r="C283" s="1410"/>
      <c r="D283" s="1410"/>
    </row>
    <row r="284" spans="1:4" x14ac:dyDescent="0.3">
      <c r="A284" s="1410"/>
      <c r="B284" s="1410"/>
      <c r="C284" s="1410"/>
      <c r="D284" s="1410"/>
    </row>
    <row r="285" spans="1:4" x14ac:dyDescent="0.3">
      <c r="A285" s="1410"/>
      <c r="B285" s="1410"/>
      <c r="C285" s="1410"/>
      <c r="D285" s="1410"/>
    </row>
    <row r="286" spans="1:4" x14ac:dyDescent="0.3">
      <c r="A286" s="1410"/>
      <c r="B286" s="1410"/>
      <c r="C286" s="1410"/>
      <c r="D286" s="1410"/>
    </row>
    <row r="287" spans="1:4" x14ac:dyDescent="0.3">
      <c r="A287" s="1410"/>
      <c r="B287" s="1410"/>
      <c r="C287" s="1410"/>
      <c r="D287" s="1410"/>
    </row>
    <row r="288" spans="1:4" x14ac:dyDescent="0.3">
      <c r="A288" s="1410"/>
      <c r="B288" s="1410"/>
      <c r="C288" s="1410"/>
      <c r="D288" s="1410"/>
    </row>
    <row r="289" spans="1:4" x14ac:dyDescent="0.3">
      <c r="A289" s="1410"/>
      <c r="B289" s="1410"/>
      <c r="C289" s="1410"/>
      <c r="D289" s="1410"/>
    </row>
    <row r="290" spans="1:4" x14ac:dyDescent="0.3">
      <c r="A290" s="1410"/>
      <c r="B290" s="1410"/>
      <c r="C290" s="1410"/>
      <c r="D290" s="1410"/>
    </row>
    <row r="291" spans="1:4" x14ac:dyDescent="0.3">
      <c r="A291" s="1410"/>
      <c r="B291" s="1410"/>
      <c r="C291" s="1410"/>
      <c r="D291" s="1410"/>
    </row>
    <row r="292" spans="1:4" x14ac:dyDescent="0.3">
      <c r="A292" s="1410"/>
      <c r="B292" s="1410"/>
      <c r="C292" s="1410"/>
      <c r="D292" s="1410"/>
    </row>
    <row r="293" spans="1:4" x14ac:dyDescent="0.3">
      <c r="A293" s="1410"/>
      <c r="B293" s="1410"/>
      <c r="C293" s="1410"/>
      <c r="D293" s="1410"/>
    </row>
    <row r="294" spans="1:4" x14ac:dyDescent="0.3">
      <c r="A294" s="1410"/>
      <c r="B294" s="1410"/>
      <c r="C294" s="1410"/>
      <c r="D294" s="1410"/>
    </row>
    <row r="295" spans="1:4" x14ac:dyDescent="0.3">
      <c r="A295" s="1410"/>
      <c r="B295" s="1410"/>
      <c r="C295" s="1410"/>
      <c r="D295" s="1410"/>
    </row>
    <row r="296" spans="1:4" x14ac:dyDescent="0.3">
      <c r="A296" s="1410"/>
      <c r="B296" s="1410"/>
      <c r="C296" s="1410"/>
      <c r="D296" s="1410"/>
    </row>
    <row r="297" spans="1:4" x14ac:dyDescent="0.3">
      <c r="A297" s="1410"/>
      <c r="B297" s="1410"/>
      <c r="C297" s="1410"/>
      <c r="D297" s="1410"/>
    </row>
    <row r="298" spans="1:4" x14ac:dyDescent="0.3">
      <c r="A298" s="1410"/>
      <c r="B298" s="1410"/>
      <c r="C298" s="1410"/>
      <c r="D298" s="1410"/>
    </row>
    <row r="299" spans="1:4" x14ac:dyDescent="0.3">
      <c r="A299" s="1410"/>
      <c r="B299" s="1410"/>
      <c r="C299" s="1410"/>
      <c r="D299" s="1410"/>
    </row>
    <row r="300" spans="1:4" x14ac:dyDescent="0.3">
      <c r="A300" s="1410"/>
      <c r="B300" s="1410"/>
      <c r="C300" s="1410"/>
      <c r="D300" s="1410"/>
    </row>
    <row r="301" spans="1:4" x14ac:dyDescent="0.3">
      <c r="A301" s="1410"/>
      <c r="B301" s="1410"/>
      <c r="C301" s="1410"/>
      <c r="D301" s="1410"/>
    </row>
    <row r="302" spans="1:4" x14ac:dyDescent="0.3">
      <c r="A302" s="1410"/>
      <c r="B302" s="1410"/>
      <c r="C302" s="1410"/>
      <c r="D302" s="1410"/>
    </row>
    <row r="303" spans="1:4" x14ac:dyDescent="0.3">
      <c r="A303" s="1410"/>
      <c r="B303" s="1410"/>
      <c r="C303" s="1410"/>
      <c r="D303" s="1410"/>
    </row>
    <row r="304" spans="1:4" x14ac:dyDescent="0.3">
      <c r="A304" s="1410"/>
      <c r="B304" s="1410"/>
      <c r="C304" s="1410"/>
      <c r="D304" s="1410"/>
    </row>
    <row r="305" spans="1:4" x14ac:dyDescent="0.3">
      <c r="A305" s="1410"/>
      <c r="B305" s="1410"/>
      <c r="C305" s="1410"/>
      <c r="D305" s="1410"/>
    </row>
    <row r="306" spans="1:4" x14ac:dyDescent="0.3">
      <c r="A306" s="1410"/>
      <c r="B306" s="1410"/>
      <c r="C306" s="1410"/>
      <c r="D306" s="1410"/>
    </row>
    <row r="307" spans="1:4" x14ac:dyDescent="0.3">
      <c r="A307" s="1410"/>
      <c r="B307" s="1410"/>
      <c r="C307" s="1410"/>
      <c r="D307" s="1410"/>
    </row>
    <row r="308" spans="1:4" x14ac:dyDescent="0.3">
      <c r="A308" s="1410"/>
      <c r="B308" s="1410"/>
      <c r="C308" s="1410"/>
      <c r="D308" s="1410"/>
    </row>
    <row r="309" spans="1:4" x14ac:dyDescent="0.3">
      <c r="A309" s="1410"/>
      <c r="B309" s="1410"/>
      <c r="C309" s="1410"/>
      <c r="D309" s="1410"/>
    </row>
    <row r="310" spans="1:4" x14ac:dyDescent="0.3">
      <c r="A310" s="1410"/>
      <c r="B310" s="1410"/>
      <c r="C310" s="1410"/>
      <c r="D310" s="1410"/>
    </row>
    <row r="311" spans="1:4" x14ac:dyDescent="0.3">
      <c r="A311" s="1410"/>
      <c r="B311" s="1410"/>
      <c r="C311" s="1410"/>
      <c r="D311" s="1410"/>
    </row>
    <row r="312" spans="1:4" x14ac:dyDescent="0.3">
      <c r="A312" s="1410"/>
      <c r="B312" s="1410"/>
      <c r="C312" s="1410"/>
      <c r="D312" s="1410"/>
    </row>
    <row r="313" spans="1:4" x14ac:dyDescent="0.3">
      <c r="A313" s="1410"/>
      <c r="B313" s="1410"/>
      <c r="C313" s="1410"/>
      <c r="D313" s="1410"/>
    </row>
    <row r="314" spans="1:4" x14ac:dyDescent="0.3">
      <c r="A314" s="1410"/>
      <c r="B314" s="1410"/>
      <c r="C314" s="1410"/>
      <c r="D314" s="1410"/>
    </row>
    <row r="315" spans="1:4" x14ac:dyDescent="0.3">
      <c r="A315" s="1410"/>
      <c r="B315" s="1410"/>
      <c r="C315" s="1410"/>
      <c r="D315" s="1410"/>
    </row>
    <row r="316" spans="1:4" x14ac:dyDescent="0.3">
      <c r="A316" s="1410"/>
      <c r="B316" s="1410"/>
      <c r="C316" s="1410"/>
      <c r="D316" s="1410"/>
    </row>
    <row r="317" spans="1:4" x14ac:dyDescent="0.3">
      <c r="A317" s="1410"/>
      <c r="B317" s="1410"/>
      <c r="C317" s="1410"/>
      <c r="D317" s="1410"/>
    </row>
    <row r="318" spans="1:4" x14ac:dyDescent="0.3">
      <c r="A318" s="1410"/>
      <c r="B318" s="1410"/>
      <c r="C318" s="1410"/>
      <c r="D318" s="1410"/>
    </row>
    <row r="319" spans="1:4" x14ac:dyDescent="0.3">
      <c r="A319" s="1410"/>
      <c r="B319" s="1410"/>
      <c r="C319" s="1410"/>
      <c r="D319" s="1410"/>
    </row>
    <row r="320" spans="1:4" x14ac:dyDescent="0.3">
      <c r="A320" s="1410"/>
      <c r="B320" s="1410"/>
      <c r="C320" s="1410"/>
      <c r="D320" s="1410"/>
    </row>
    <row r="321" spans="1:4" x14ac:dyDescent="0.3">
      <c r="A321" s="1410"/>
      <c r="B321" s="1410"/>
      <c r="C321" s="1410"/>
      <c r="D321" s="1410"/>
    </row>
    <row r="322" spans="1:4" x14ac:dyDescent="0.3">
      <c r="A322" s="1410"/>
      <c r="B322" s="1410"/>
      <c r="C322" s="1410"/>
      <c r="D322" s="1410"/>
    </row>
    <row r="323" spans="1:4" x14ac:dyDescent="0.3">
      <c r="A323" s="1410"/>
      <c r="B323" s="1410"/>
      <c r="C323" s="1410"/>
      <c r="D323" s="1410"/>
    </row>
    <row r="324" spans="1:4" x14ac:dyDescent="0.3">
      <c r="A324" s="1410"/>
      <c r="B324" s="1410"/>
      <c r="C324" s="1410"/>
      <c r="D324" s="1410"/>
    </row>
    <row r="325" spans="1:4" x14ac:dyDescent="0.3">
      <c r="A325" s="1410"/>
      <c r="B325" s="1410"/>
      <c r="C325" s="1410"/>
      <c r="D325" s="1410"/>
    </row>
    <row r="326" spans="1:4" x14ac:dyDescent="0.3">
      <c r="A326" s="1410"/>
      <c r="B326" s="1410"/>
      <c r="C326" s="1410"/>
      <c r="D326" s="1410"/>
    </row>
    <row r="327" spans="1:4" x14ac:dyDescent="0.3">
      <c r="A327" s="1410"/>
      <c r="B327" s="1410"/>
      <c r="C327" s="1410"/>
      <c r="D327" s="1410"/>
    </row>
    <row r="328" spans="1:4" x14ac:dyDescent="0.3">
      <c r="A328" s="1410"/>
      <c r="B328" s="1410"/>
      <c r="C328" s="1410"/>
      <c r="D328" s="1410"/>
    </row>
    <row r="329" spans="1:4" x14ac:dyDescent="0.3">
      <c r="A329" s="1410"/>
      <c r="B329" s="1410"/>
      <c r="C329" s="1410"/>
      <c r="D329" s="1410"/>
    </row>
    <row r="330" spans="1:4" x14ac:dyDescent="0.3">
      <c r="A330" s="1410"/>
      <c r="B330" s="1410"/>
      <c r="C330" s="1410"/>
      <c r="D330" s="1410"/>
    </row>
    <row r="331" spans="1:4" x14ac:dyDescent="0.3">
      <c r="A331" s="1410"/>
      <c r="B331" s="1410"/>
      <c r="C331" s="1410"/>
      <c r="D331" s="1410"/>
    </row>
    <row r="332" spans="1:4" x14ac:dyDescent="0.3">
      <c r="A332" s="1410"/>
      <c r="B332" s="1410"/>
      <c r="C332" s="1410"/>
      <c r="D332" s="1410"/>
    </row>
    <row r="333" spans="1:4" x14ac:dyDescent="0.3">
      <c r="A333" s="1410"/>
      <c r="B333" s="1410"/>
      <c r="C333" s="1410"/>
      <c r="D333" s="1410"/>
    </row>
    <row r="334" spans="1:4" x14ac:dyDescent="0.3">
      <c r="A334" s="1410"/>
      <c r="B334" s="1410"/>
      <c r="C334" s="1410"/>
      <c r="D334" s="1410"/>
    </row>
    <row r="335" spans="1:4" x14ac:dyDescent="0.3">
      <c r="A335" s="1410"/>
      <c r="B335" s="1410"/>
      <c r="C335" s="1410"/>
      <c r="D335" s="1410"/>
    </row>
    <row r="336" spans="1:4" x14ac:dyDescent="0.3">
      <c r="A336" s="1410"/>
      <c r="B336" s="1410"/>
      <c r="C336" s="1410"/>
      <c r="D336" s="1410"/>
    </row>
    <row r="337" spans="1:4" x14ac:dyDescent="0.3">
      <c r="A337" s="1410"/>
      <c r="B337" s="1410"/>
      <c r="C337" s="1410"/>
      <c r="D337" s="1410"/>
    </row>
    <row r="338" spans="1:4" x14ac:dyDescent="0.3">
      <c r="A338" s="1410"/>
      <c r="B338" s="1410"/>
      <c r="C338" s="1410"/>
      <c r="D338" s="1410"/>
    </row>
    <row r="339" spans="1:4" x14ac:dyDescent="0.3">
      <c r="A339" s="1410"/>
      <c r="B339" s="1410"/>
      <c r="C339" s="1410"/>
      <c r="D339" s="1410"/>
    </row>
    <row r="340" spans="1:4" x14ac:dyDescent="0.3">
      <c r="A340" s="1410"/>
      <c r="B340" s="1410"/>
      <c r="C340" s="1410"/>
      <c r="D340" s="1410"/>
    </row>
    <row r="341" spans="1:4" x14ac:dyDescent="0.3">
      <c r="A341" s="1410"/>
      <c r="B341" s="1410"/>
      <c r="C341" s="1410"/>
      <c r="D341" s="1410"/>
    </row>
    <row r="342" spans="1:4" x14ac:dyDescent="0.3">
      <c r="A342" s="1410"/>
      <c r="B342" s="1410"/>
      <c r="C342" s="1410"/>
      <c r="D342" s="1410"/>
    </row>
    <row r="343" spans="1:4" x14ac:dyDescent="0.3">
      <c r="A343" s="1410"/>
      <c r="B343" s="1410"/>
      <c r="C343" s="1410"/>
      <c r="D343" s="1410"/>
    </row>
    <row r="344" spans="1:4" x14ac:dyDescent="0.3">
      <c r="A344" s="1410"/>
      <c r="B344" s="1410"/>
      <c r="C344" s="1410"/>
      <c r="D344" s="1410"/>
    </row>
    <row r="345" spans="1:4" x14ac:dyDescent="0.3">
      <c r="A345" s="1410"/>
      <c r="B345" s="1410"/>
      <c r="C345" s="1410"/>
      <c r="D345" s="1410"/>
    </row>
    <row r="346" spans="1:4" x14ac:dyDescent="0.3">
      <c r="A346" s="1410"/>
      <c r="B346" s="1410"/>
      <c r="C346" s="1410"/>
      <c r="D346" s="1410"/>
    </row>
    <row r="347" spans="1:4" x14ac:dyDescent="0.3">
      <c r="A347" s="1410"/>
      <c r="B347" s="1410"/>
      <c r="C347" s="1410"/>
      <c r="D347" s="1410"/>
    </row>
    <row r="348" spans="1:4" x14ac:dyDescent="0.3">
      <c r="A348" s="1410"/>
      <c r="B348" s="1410"/>
      <c r="C348" s="1410"/>
      <c r="D348" s="1410"/>
    </row>
    <row r="349" spans="1:4" x14ac:dyDescent="0.3">
      <c r="A349" s="1410"/>
      <c r="B349" s="1410"/>
      <c r="C349" s="1410"/>
      <c r="D349" s="1410"/>
    </row>
    <row r="350" spans="1:4" x14ac:dyDescent="0.3">
      <c r="A350" s="1410"/>
      <c r="B350" s="1410"/>
      <c r="C350" s="1410"/>
      <c r="D350" s="1410"/>
    </row>
    <row r="351" spans="1:4" x14ac:dyDescent="0.3">
      <c r="A351" s="1410"/>
      <c r="B351" s="1410"/>
      <c r="C351" s="1410"/>
      <c r="D351" s="1410"/>
    </row>
    <row r="352" spans="1:4" x14ac:dyDescent="0.3">
      <c r="A352" s="1410"/>
      <c r="B352" s="1410"/>
      <c r="C352" s="1410"/>
      <c r="D352" s="1410"/>
    </row>
    <row r="353" spans="1:4" x14ac:dyDescent="0.3">
      <c r="A353" s="1410"/>
      <c r="B353" s="1410"/>
      <c r="C353" s="1410"/>
      <c r="D353" s="1410"/>
    </row>
    <row r="354" spans="1:4" x14ac:dyDescent="0.3">
      <c r="A354" s="1410"/>
      <c r="B354" s="1410"/>
      <c r="C354" s="1410"/>
      <c r="D354" s="1410"/>
    </row>
    <row r="355" spans="1:4" x14ac:dyDescent="0.3">
      <c r="A355" s="1410"/>
      <c r="B355" s="1410"/>
      <c r="C355" s="1410"/>
      <c r="D355" s="1410"/>
    </row>
    <row r="356" spans="1:4" x14ac:dyDescent="0.3">
      <c r="A356" s="1410"/>
      <c r="B356" s="1410"/>
      <c r="C356" s="1410"/>
      <c r="D356" s="1410"/>
    </row>
    <row r="357" spans="1:4" x14ac:dyDescent="0.3">
      <c r="A357" s="1410"/>
      <c r="B357" s="1410"/>
      <c r="C357" s="1410"/>
      <c r="D357" s="1410"/>
    </row>
    <row r="358" spans="1:4" x14ac:dyDescent="0.3">
      <c r="A358" s="1410"/>
      <c r="B358" s="1410"/>
      <c r="C358" s="1410"/>
      <c r="D358" s="1410"/>
    </row>
    <row r="359" spans="1:4" x14ac:dyDescent="0.3">
      <c r="A359" s="1410"/>
      <c r="B359" s="1410"/>
      <c r="C359" s="1410"/>
      <c r="D359" s="1410"/>
    </row>
    <row r="360" spans="1:4" x14ac:dyDescent="0.3">
      <c r="A360" s="1410"/>
      <c r="B360" s="1410"/>
      <c r="C360" s="1410"/>
      <c r="D360" s="1410"/>
    </row>
    <row r="361" spans="1:4" x14ac:dyDescent="0.3">
      <c r="A361" s="1410"/>
      <c r="B361" s="1410"/>
      <c r="C361" s="1410"/>
      <c r="D361" s="1410"/>
    </row>
    <row r="362" spans="1:4" x14ac:dyDescent="0.3">
      <c r="A362" s="1410"/>
      <c r="B362" s="1410"/>
      <c r="C362" s="1410"/>
      <c r="D362" s="1410"/>
    </row>
    <row r="363" spans="1:4" x14ac:dyDescent="0.3">
      <c r="A363" s="1410"/>
      <c r="B363" s="1410"/>
      <c r="C363" s="1410"/>
      <c r="D363" s="1410"/>
    </row>
    <row r="364" spans="1:4" x14ac:dyDescent="0.3">
      <c r="A364" s="1410"/>
      <c r="B364" s="1410"/>
      <c r="C364" s="1410"/>
      <c r="D364" s="1410"/>
    </row>
    <row r="365" spans="1:4" x14ac:dyDescent="0.3">
      <c r="A365" s="1410"/>
      <c r="B365" s="1410"/>
      <c r="C365" s="1410"/>
      <c r="D365" s="1410"/>
    </row>
    <row r="366" spans="1:4" x14ac:dyDescent="0.3">
      <c r="A366" s="1410"/>
      <c r="B366" s="1410"/>
      <c r="C366" s="1410"/>
      <c r="D366" s="1410"/>
    </row>
    <row r="367" spans="1:4" x14ac:dyDescent="0.3">
      <c r="A367" s="1410"/>
      <c r="B367" s="1410"/>
      <c r="C367" s="1410"/>
      <c r="D367" s="1410"/>
    </row>
    <row r="368" spans="1:4" x14ac:dyDescent="0.3">
      <c r="A368" s="1410"/>
      <c r="B368" s="1410"/>
      <c r="C368" s="1410"/>
      <c r="D368" s="1410"/>
    </row>
    <row r="369" spans="1:4" x14ac:dyDescent="0.3">
      <c r="A369" s="1410"/>
      <c r="B369" s="1410"/>
      <c r="C369" s="1410"/>
      <c r="D369" s="1410"/>
    </row>
    <row r="370" spans="1:4" x14ac:dyDescent="0.3">
      <c r="A370" s="1410"/>
      <c r="B370" s="1410"/>
      <c r="C370" s="1410"/>
      <c r="D370" s="1410"/>
    </row>
    <row r="371" spans="1:4" x14ac:dyDescent="0.3">
      <c r="A371" s="1410"/>
      <c r="B371" s="1410"/>
      <c r="C371" s="1410"/>
      <c r="D371" s="1410"/>
    </row>
    <row r="372" spans="1:4" x14ac:dyDescent="0.3">
      <c r="A372" s="1410"/>
      <c r="B372" s="1410"/>
      <c r="C372" s="1410"/>
      <c r="D372" s="1410"/>
    </row>
    <row r="373" spans="1:4" x14ac:dyDescent="0.3">
      <c r="A373" s="1410"/>
      <c r="B373" s="1410"/>
      <c r="C373" s="1410"/>
      <c r="D373" s="1410"/>
    </row>
    <row r="374" spans="1:4" x14ac:dyDescent="0.3">
      <c r="A374" s="1410"/>
      <c r="B374" s="1410"/>
      <c r="C374" s="1410"/>
      <c r="D374" s="1410"/>
    </row>
    <row r="375" spans="1:4" x14ac:dyDescent="0.3">
      <c r="A375" s="1410"/>
      <c r="B375" s="1410"/>
      <c r="C375" s="1410"/>
      <c r="D375" s="1410"/>
    </row>
    <row r="376" spans="1:4" x14ac:dyDescent="0.3">
      <c r="A376" s="1410"/>
      <c r="B376" s="1410"/>
      <c r="C376" s="1410"/>
      <c r="D376" s="1410"/>
    </row>
    <row r="377" spans="1:4" x14ac:dyDescent="0.3">
      <c r="A377" s="1410"/>
      <c r="B377" s="1410"/>
      <c r="C377" s="1410"/>
      <c r="D377" s="1410"/>
    </row>
    <row r="378" spans="1:4" x14ac:dyDescent="0.3">
      <c r="A378" s="1410"/>
      <c r="B378" s="1410"/>
      <c r="C378" s="1410"/>
      <c r="D378" s="1410"/>
    </row>
    <row r="379" spans="1:4" x14ac:dyDescent="0.3">
      <c r="A379" s="1410"/>
      <c r="B379" s="1410"/>
      <c r="C379" s="1410"/>
      <c r="D379" s="1410"/>
    </row>
    <row r="380" spans="1:4" x14ac:dyDescent="0.3">
      <c r="A380" s="1410"/>
      <c r="B380" s="1410"/>
      <c r="C380" s="1410"/>
      <c r="D380" s="1410"/>
    </row>
    <row r="381" spans="1:4" x14ac:dyDescent="0.3">
      <c r="A381" s="1410"/>
      <c r="B381" s="1410"/>
      <c r="C381" s="1410"/>
      <c r="D381" s="1410"/>
    </row>
    <row r="382" spans="1:4" x14ac:dyDescent="0.3">
      <c r="A382" s="1410"/>
      <c r="B382" s="1410"/>
      <c r="C382" s="1410"/>
      <c r="D382" s="1410"/>
    </row>
    <row r="383" spans="1:4" x14ac:dyDescent="0.3">
      <c r="A383" s="1410"/>
      <c r="B383" s="1410"/>
      <c r="C383" s="1410"/>
      <c r="D383" s="1410"/>
    </row>
    <row r="384" spans="1:4" x14ac:dyDescent="0.3">
      <c r="A384" s="1410"/>
      <c r="B384" s="1410"/>
      <c r="C384" s="1410"/>
      <c r="D384" s="1410"/>
    </row>
    <row r="385" spans="1:4" x14ac:dyDescent="0.3">
      <c r="A385" s="1410"/>
      <c r="B385" s="1410"/>
      <c r="C385" s="1410"/>
      <c r="D385" s="1410"/>
    </row>
    <row r="386" spans="1:4" x14ac:dyDescent="0.3">
      <c r="A386" s="1410"/>
      <c r="B386" s="1410"/>
      <c r="C386" s="1410"/>
      <c r="D386" s="1410"/>
    </row>
    <row r="387" spans="1:4" x14ac:dyDescent="0.3">
      <c r="A387" s="1410"/>
      <c r="B387" s="1410"/>
      <c r="C387" s="1410"/>
      <c r="D387" s="1410"/>
    </row>
    <row r="388" spans="1:4" x14ac:dyDescent="0.3">
      <c r="A388" s="1410"/>
      <c r="B388" s="1410"/>
      <c r="C388" s="1410"/>
      <c r="D388" s="1410"/>
    </row>
    <row r="389" spans="1:4" x14ac:dyDescent="0.3">
      <c r="A389" s="1410"/>
      <c r="B389" s="1410"/>
      <c r="C389" s="1410"/>
      <c r="D389" s="1410"/>
    </row>
    <row r="390" spans="1:4" x14ac:dyDescent="0.3">
      <c r="A390" s="1410"/>
      <c r="B390" s="1410"/>
      <c r="C390" s="1410"/>
      <c r="D390" s="1410"/>
    </row>
    <row r="391" spans="1:4" x14ac:dyDescent="0.3">
      <c r="A391" s="1410"/>
      <c r="B391" s="1410"/>
      <c r="C391" s="1410"/>
      <c r="D391" s="1410"/>
    </row>
    <row r="392" spans="1:4" x14ac:dyDescent="0.3">
      <c r="A392" s="1410"/>
      <c r="B392" s="1410"/>
      <c r="C392" s="1410"/>
      <c r="D392" s="1410"/>
    </row>
    <row r="393" spans="1:4" x14ac:dyDescent="0.3">
      <c r="A393" s="1410"/>
      <c r="B393" s="1410"/>
      <c r="C393" s="1410"/>
      <c r="D393" s="1410"/>
    </row>
    <row r="394" spans="1:4" x14ac:dyDescent="0.3">
      <c r="A394" s="1410"/>
      <c r="B394" s="1410"/>
      <c r="C394" s="1410"/>
      <c r="D394" s="1410"/>
    </row>
    <row r="395" spans="1:4" x14ac:dyDescent="0.3">
      <c r="A395" s="1410"/>
      <c r="B395" s="1410"/>
      <c r="C395" s="1410"/>
      <c r="D395" s="1410"/>
    </row>
    <row r="396" spans="1:4" x14ac:dyDescent="0.3">
      <c r="A396" s="1410"/>
      <c r="B396" s="1410"/>
      <c r="C396" s="1410"/>
      <c r="D396" s="1410"/>
    </row>
    <row r="397" spans="1:4" x14ac:dyDescent="0.3">
      <c r="A397" s="1410"/>
      <c r="B397" s="1410"/>
      <c r="C397" s="1410"/>
      <c r="D397" s="1410"/>
    </row>
    <row r="398" spans="1:4" x14ac:dyDescent="0.3">
      <c r="A398" s="1410"/>
      <c r="B398" s="1410"/>
      <c r="C398" s="1410"/>
      <c r="D398" s="1410"/>
    </row>
    <row r="399" spans="1:4" x14ac:dyDescent="0.3">
      <c r="A399" s="1410"/>
      <c r="B399" s="1410"/>
      <c r="C399" s="1410"/>
      <c r="D399" s="1410"/>
    </row>
    <row r="400" spans="1:4" x14ac:dyDescent="0.3">
      <c r="A400" s="1410"/>
      <c r="B400" s="1410"/>
      <c r="C400" s="1410"/>
      <c r="D400" s="1410"/>
    </row>
    <row r="401" spans="1:4" x14ac:dyDescent="0.3">
      <c r="A401" s="1410"/>
      <c r="B401" s="1410"/>
      <c r="C401" s="1410"/>
      <c r="D401" s="1410"/>
    </row>
    <row r="402" spans="1:4" x14ac:dyDescent="0.3">
      <c r="A402" s="1410"/>
      <c r="B402" s="1410"/>
      <c r="C402" s="1410"/>
      <c r="D402" s="1410"/>
    </row>
    <row r="403" spans="1:4" x14ac:dyDescent="0.3">
      <c r="A403" s="1410"/>
      <c r="B403" s="1410"/>
      <c r="C403" s="1410"/>
      <c r="D403" s="1410"/>
    </row>
    <row r="404" spans="1:4" x14ac:dyDescent="0.3">
      <c r="A404" s="1410"/>
      <c r="B404" s="1410"/>
      <c r="C404" s="1410"/>
      <c r="D404" s="1410"/>
    </row>
    <row r="405" spans="1:4" x14ac:dyDescent="0.3">
      <c r="A405" s="1410"/>
      <c r="B405" s="1410"/>
      <c r="C405" s="1410"/>
      <c r="D405" s="1410"/>
    </row>
    <row r="406" spans="1:4" x14ac:dyDescent="0.3">
      <c r="A406" s="1410"/>
      <c r="B406" s="1410"/>
      <c r="C406" s="1410"/>
      <c r="D406" s="1410"/>
    </row>
    <row r="407" spans="1:4" x14ac:dyDescent="0.3">
      <c r="A407" s="1410"/>
      <c r="B407" s="1410"/>
      <c r="C407" s="1410"/>
      <c r="D407" s="1410"/>
    </row>
    <row r="408" spans="1:4" x14ac:dyDescent="0.3">
      <c r="A408" s="1410"/>
      <c r="B408" s="1410"/>
      <c r="C408" s="1410"/>
      <c r="D408" s="1410"/>
    </row>
    <row r="409" spans="1:4" x14ac:dyDescent="0.3">
      <c r="A409" s="1410"/>
      <c r="B409" s="1410"/>
      <c r="C409" s="1410"/>
      <c r="D409" s="1410"/>
    </row>
    <row r="410" spans="1:4" x14ac:dyDescent="0.3">
      <c r="A410" s="1410"/>
      <c r="B410" s="1410"/>
      <c r="C410" s="1410"/>
      <c r="D410" s="1410"/>
    </row>
    <row r="411" spans="1:4" x14ac:dyDescent="0.3">
      <c r="A411" s="1410"/>
      <c r="B411" s="1410"/>
      <c r="C411" s="1410"/>
      <c r="D411" s="1410"/>
    </row>
    <row r="412" spans="1:4" x14ac:dyDescent="0.3">
      <c r="A412" s="1410"/>
      <c r="B412" s="1410"/>
      <c r="C412" s="1410"/>
      <c r="D412" s="1410"/>
    </row>
    <row r="413" spans="1:4" x14ac:dyDescent="0.3">
      <c r="A413" s="1410"/>
      <c r="B413" s="1410"/>
      <c r="C413" s="1410"/>
      <c r="D413" s="1410"/>
    </row>
    <row r="414" spans="1:4" x14ac:dyDescent="0.3">
      <c r="A414" s="1410"/>
      <c r="B414" s="1410"/>
      <c r="C414" s="1410"/>
      <c r="D414" s="1410"/>
    </row>
    <row r="415" spans="1:4" x14ac:dyDescent="0.3">
      <c r="A415" s="1410"/>
      <c r="B415" s="1410"/>
      <c r="C415" s="1410"/>
      <c r="D415" s="1410"/>
    </row>
    <row r="416" spans="1:4" x14ac:dyDescent="0.3">
      <c r="A416" s="1410"/>
      <c r="B416" s="1410"/>
      <c r="C416" s="1410"/>
      <c r="D416" s="1410"/>
    </row>
    <row r="417" spans="1:4" x14ac:dyDescent="0.3">
      <c r="A417" s="1410"/>
      <c r="B417" s="1410"/>
      <c r="C417" s="1410"/>
      <c r="D417" s="1410"/>
    </row>
    <row r="418" spans="1:4" x14ac:dyDescent="0.3">
      <c r="A418" s="1410"/>
      <c r="B418" s="1410"/>
      <c r="C418" s="1410"/>
      <c r="D418" s="1410"/>
    </row>
    <row r="419" spans="1:4" x14ac:dyDescent="0.3">
      <c r="A419" s="1410"/>
      <c r="B419" s="1410"/>
      <c r="C419" s="1410"/>
      <c r="D419" s="1410"/>
    </row>
    <row r="420" spans="1:4" x14ac:dyDescent="0.3">
      <c r="A420" s="1410"/>
      <c r="B420" s="1410"/>
      <c r="C420" s="1410"/>
      <c r="D420" s="1410"/>
    </row>
    <row r="421" spans="1:4" x14ac:dyDescent="0.3">
      <c r="A421" s="1410"/>
      <c r="B421" s="1410"/>
      <c r="C421" s="1410"/>
      <c r="D421" s="1410"/>
    </row>
    <row r="422" spans="1:4" x14ac:dyDescent="0.3">
      <c r="A422" s="1410"/>
      <c r="B422" s="1410"/>
      <c r="C422" s="1410"/>
      <c r="D422" s="1410"/>
    </row>
    <row r="423" spans="1:4" x14ac:dyDescent="0.3">
      <c r="A423" s="1410"/>
      <c r="B423" s="1410"/>
      <c r="C423" s="1410"/>
      <c r="D423" s="1410"/>
    </row>
    <row r="424" spans="1:4" x14ac:dyDescent="0.3">
      <c r="A424" s="1410"/>
      <c r="B424" s="1410"/>
      <c r="C424" s="1410"/>
      <c r="D424" s="1410"/>
    </row>
    <row r="425" spans="1:4" x14ac:dyDescent="0.3">
      <c r="A425" s="1410"/>
      <c r="B425" s="1410"/>
      <c r="C425" s="1410"/>
      <c r="D425" s="1410"/>
    </row>
    <row r="426" spans="1:4" x14ac:dyDescent="0.3">
      <c r="A426" s="1410"/>
      <c r="B426" s="1410"/>
      <c r="C426" s="1410"/>
      <c r="D426" s="1410"/>
    </row>
    <row r="427" spans="1:4" x14ac:dyDescent="0.3">
      <c r="A427" s="1410"/>
      <c r="B427" s="1410"/>
      <c r="C427" s="1410"/>
      <c r="D427" s="1410"/>
    </row>
    <row r="428" spans="1:4" x14ac:dyDescent="0.3">
      <c r="A428" s="1410"/>
      <c r="B428" s="1410"/>
      <c r="C428" s="1410"/>
      <c r="D428" s="1410"/>
    </row>
    <row r="429" spans="1:4" x14ac:dyDescent="0.3">
      <c r="A429" s="1410"/>
      <c r="B429" s="1410"/>
      <c r="C429" s="1410"/>
      <c r="D429" s="1410"/>
    </row>
    <row r="430" spans="1:4" x14ac:dyDescent="0.3">
      <c r="A430" s="1410"/>
      <c r="B430" s="1410"/>
      <c r="C430" s="1410"/>
      <c r="D430" s="1410"/>
    </row>
    <row r="431" spans="1:4" x14ac:dyDescent="0.3">
      <c r="A431" s="1410"/>
      <c r="B431" s="1410"/>
      <c r="C431" s="1410"/>
      <c r="D431" s="1410"/>
    </row>
    <row r="432" spans="1:4" x14ac:dyDescent="0.3">
      <c r="A432" s="1410"/>
      <c r="B432" s="1410"/>
      <c r="C432" s="1410"/>
      <c r="D432" s="1410"/>
    </row>
    <row r="433" spans="1:4" x14ac:dyDescent="0.3">
      <c r="A433" s="1410"/>
      <c r="B433" s="1410"/>
      <c r="C433" s="1410"/>
      <c r="D433" s="1410"/>
    </row>
    <row r="434" spans="1:4" x14ac:dyDescent="0.3">
      <c r="A434" s="1410"/>
      <c r="B434" s="1410"/>
      <c r="C434" s="1410"/>
      <c r="D434" s="1410"/>
    </row>
    <row r="435" spans="1:4" x14ac:dyDescent="0.3">
      <c r="A435" s="1410"/>
      <c r="B435" s="1410"/>
      <c r="C435" s="1410"/>
      <c r="D435" s="1410"/>
    </row>
    <row r="436" spans="1:4" x14ac:dyDescent="0.3">
      <c r="A436" s="1410"/>
      <c r="B436" s="1410"/>
      <c r="C436" s="1410"/>
      <c r="D436" s="1410"/>
    </row>
    <row r="437" spans="1:4" x14ac:dyDescent="0.3">
      <c r="A437" s="1410"/>
      <c r="B437" s="1410"/>
      <c r="C437" s="1410"/>
      <c r="D437" s="1410"/>
    </row>
    <row r="438" spans="1:4" x14ac:dyDescent="0.3">
      <c r="A438" s="1410"/>
      <c r="B438" s="1410"/>
      <c r="C438" s="1410"/>
      <c r="D438" s="1410"/>
    </row>
    <row r="439" spans="1:4" x14ac:dyDescent="0.3">
      <c r="A439" s="1410"/>
      <c r="B439" s="1410"/>
      <c r="C439" s="1410"/>
      <c r="D439" s="1410"/>
    </row>
    <row r="440" spans="1:4" x14ac:dyDescent="0.3">
      <c r="A440" s="1410"/>
      <c r="B440" s="1410"/>
      <c r="C440" s="1410"/>
      <c r="D440" s="1410"/>
    </row>
    <row r="441" spans="1:4" x14ac:dyDescent="0.3">
      <c r="A441" s="1410"/>
      <c r="B441" s="1410"/>
      <c r="C441" s="1410"/>
      <c r="D441" s="1410"/>
    </row>
    <row r="442" spans="1:4" x14ac:dyDescent="0.3">
      <c r="A442" s="1410"/>
      <c r="B442" s="1410"/>
      <c r="C442" s="1410"/>
      <c r="D442" s="1410"/>
    </row>
    <row r="443" spans="1:4" x14ac:dyDescent="0.3">
      <c r="A443" s="1410"/>
      <c r="B443" s="1410"/>
      <c r="C443" s="1410"/>
      <c r="D443" s="1410"/>
    </row>
    <row r="444" spans="1:4" x14ac:dyDescent="0.3">
      <c r="A444" s="1410"/>
      <c r="B444" s="1410"/>
      <c r="C444" s="1410"/>
      <c r="D444" s="1410"/>
    </row>
    <row r="445" spans="1:4" x14ac:dyDescent="0.3">
      <c r="A445" s="1410"/>
      <c r="B445" s="1410"/>
      <c r="C445" s="1410"/>
      <c r="D445" s="1410"/>
    </row>
    <row r="446" spans="1:4" x14ac:dyDescent="0.3">
      <c r="A446" s="1410"/>
      <c r="B446" s="1410"/>
      <c r="C446" s="1410"/>
      <c r="D446" s="1410"/>
    </row>
    <row r="447" spans="1:4" x14ac:dyDescent="0.3">
      <c r="A447" s="1410"/>
      <c r="B447" s="1410"/>
      <c r="C447" s="1410"/>
      <c r="D447" s="1410"/>
    </row>
    <row r="448" spans="1:4" x14ac:dyDescent="0.3">
      <c r="A448" s="1410"/>
      <c r="B448" s="1410"/>
      <c r="C448" s="1410"/>
      <c r="D448" s="1410"/>
    </row>
    <row r="449" spans="1:4" x14ac:dyDescent="0.3">
      <c r="A449" s="1410"/>
      <c r="B449" s="1410"/>
      <c r="C449" s="1410"/>
      <c r="D449" s="1410"/>
    </row>
    <row r="450" spans="1:4" x14ac:dyDescent="0.3">
      <c r="A450" s="1410"/>
      <c r="B450" s="1410"/>
      <c r="C450" s="1410"/>
      <c r="D450" s="1410"/>
    </row>
    <row r="451" spans="1:4" x14ac:dyDescent="0.3">
      <c r="A451" s="1410"/>
      <c r="B451" s="1410"/>
      <c r="C451" s="1410"/>
      <c r="D451" s="1410"/>
    </row>
    <row r="452" spans="1:4" x14ac:dyDescent="0.3">
      <c r="A452" s="1410"/>
      <c r="B452" s="1410"/>
      <c r="C452" s="1410"/>
      <c r="D452" s="1410"/>
    </row>
    <row r="453" spans="1:4" x14ac:dyDescent="0.3">
      <c r="A453" s="1410"/>
      <c r="B453" s="1410"/>
      <c r="C453" s="1410"/>
      <c r="D453" s="1410"/>
    </row>
    <row r="454" spans="1:4" x14ac:dyDescent="0.3">
      <c r="A454" s="1410"/>
      <c r="B454" s="1410"/>
      <c r="C454" s="1410"/>
      <c r="D454" s="1410"/>
    </row>
    <row r="455" spans="1:4" x14ac:dyDescent="0.3">
      <c r="A455" s="1410"/>
      <c r="B455" s="1410"/>
      <c r="C455" s="1410"/>
      <c r="D455" s="1410"/>
    </row>
    <row r="456" spans="1:4" x14ac:dyDescent="0.3">
      <c r="A456" s="1410"/>
      <c r="B456" s="1410"/>
      <c r="C456" s="1410"/>
      <c r="D456" s="1410"/>
    </row>
    <row r="457" spans="1:4" x14ac:dyDescent="0.3">
      <c r="A457" s="1410"/>
      <c r="B457" s="1410"/>
      <c r="C457" s="1410"/>
      <c r="D457" s="1410"/>
    </row>
    <row r="458" spans="1:4" x14ac:dyDescent="0.3">
      <c r="A458" s="1410"/>
      <c r="B458" s="1410"/>
      <c r="C458" s="1410"/>
      <c r="D458" s="1410"/>
    </row>
    <row r="459" spans="1:4" x14ac:dyDescent="0.3">
      <c r="A459" s="1410"/>
      <c r="B459" s="1410"/>
      <c r="C459" s="1410"/>
      <c r="D459" s="1410"/>
    </row>
    <row r="460" spans="1:4" x14ac:dyDescent="0.3">
      <c r="A460" s="1410"/>
      <c r="B460" s="1410"/>
      <c r="C460" s="1410"/>
      <c r="D460" s="1410"/>
    </row>
    <row r="461" spans="1:4" x14ac:dyDescent="0.3">
      <c r="A461" s="1410"/>
      <c r="B461" s="1410"/>
      <c r="C461" s="1410"/>
      <c r="D461" s="1410"/>
    </row>
    <row r="462" spans="1:4" x14ac:dyDescent="0.3">
      <c r="A462" s="1410"/>
      <c r="B462" s="1410"/>
      <c r="C462" s="1410"/>
      <c r="D462" s="1410"/>
    </row>
    <row r="463" spans="1:4" x14ac:dyDescent="0.3">
      <c r="A463" s="1410"/>
      <c r="B463" s="1410"/>
      <c r="C463" s="1410"/>
      <c r="D463" s="1410"/>
    </row>
    <row r="464" spans="1:4" x14ac:dyDescent="0.3">
      <c r="A464" s="1410"/>
      <c r="B464" s="1410"/>
      <c r="C464" s="1410"/>
      <c r="D464" s="1410"/>
    </row>
    <row r="465" spans="1:4" x14ac:dyDescent="0.3">
      <c r="A465" s="1410"/>
      <c r="B465" s="1410"/>
      <c r="C465" s="1410"/>
      <c r="D465" s="1410"/>
    </row>
    <row r="466" spans="1:4" x14ac:dyDescent="0.3">
      <c r="A466" s="1410"/>
      <c r="B466" s="1410"/>
      <c r="C466" s="1410"/>
      <c r="D466" s="1410"/>
    </row>
    <row r="467" spans="1:4" x14ac:dyDescent="0.3">
      <c r="A467" s="1410"/>
      <c r="B467" s="1410"/>
      <c r="C467" s="1410"/>
      <c r="D467" s="1410"/>
    </row>
    <row r="468" spans="1:4" x14ac:dyDescent="0.3">
      <c r="A468" s="1410"/>
      <c r="B468" s="1410"/>
      <c r="C468" s="1410"/>
      <c r="D468" s="1410"/>
    </row>
    <row r="469" spans="1:4" x14ac:dyDescent="0.3">
      <c r="A469" s="1410"/>
      <c r="B469" s="1410"/>
      <c r="C469" s="1410"/>
      <c r="D469" s="1410"/>
    </row>
    <row r="470" spans="1:4" x14ac:dyDescent="0.3">
      <c r="A470" s="1410"/>
      <c r="B470" s="1410"/>
      <c r="C470" s="1410"/>
      <c r="D470" s="1410"/>
    </row>
    <row r="471" spans="1:4" x14ac:dyDescent="0.3">
      <c r="A471" s="1410"/>
      <c r="B471" s="1410"/>
      <c r="C471" s="1410"/>
      <c r="D471" s="1410"/>
    </row>
    <row r="472" spans="1:4" x14ac:dyDescent="0.3">
      <c r="A472" s="1410"/>
      <c r="B472" s="1410"/>
      <c r="C472" s="1410"/>
      <c r="D472" s="1410"/>
    </row>
    <row r="473" spans="1:4" x14ac:dyDescent="0.3">
      <c r="A473" s="1410"/>
      <c r="B473" s="1410"/>
      <c r="C473" s="1410"/>
      <c r="D473" s="1410"/>
    </row>
    <row r="474" spans="1:4" x14ac:dyDescent="0.3">
      <c r="A474" s="1410"/>
      <c r="B474" s="1410"/>
      <c r="C474" s="1410"/>
      <c r="D474" s="1410"/>
    </row>
    <row r="475" spans="1:4" x14ac:dyDescent="0.3">
      <c r="A475" s="1410"/>
      <c r="B475" s="1410"/>
      <c r="C475" s="1410"/>
      <c r="D475" s="1410"/>
    </row>
    <row r="476" spans="1:4" x14ac:dyDescent="0.3">
      <c r="A476" s="1410"/>
      <c r="B476" s="1410"/>
      <c r="C476" s="1410"/>
      <c r="D476" s="1410"/>
    </row>
    <row r="477" spans="1:4" x14ac:dyDescent="0.3">
      <c r="A477" s="1410"/>
      <c r="B477" s="1410"/>
      <c r="C477" s="1410"/>
      <c r="D477" s="1410"/>
    </row>
    <row r="478" spans="1:4" x14ac:dyDescent="0.3">
      <c r="A478" s="1410"/>
      <c r="B478" s="1410"/>
      <c r="C478" s="1410"/>
      <c r="D478" s="1410"/>
    </row>
    <row r="479" spans="1:4" x14ac:dyDescent="0.3">
      <c r="A479" s="1410"/>
      <c r="B479" s="1410"/>
      <c r="C479" s="1410"/>
      <c r="D479" s="1410"/>
    </row>
    <row r="480" spans="1:4" x14ac:dyDescent="0.3">
      <c r="A480" s="1410"/>
      <c r="B480" s="1410"/>
      <c r="C480" s="1410"/>
      <c r="D480" s="1410"/>
    </row>
    <row r="481" spans="1:4" x14ac:dyDescent="0.3">
      <c r="A481" s="1410"/>
      <c r="B481" s="1410"/>
      <c r="C481" s="1410"/>
      <c r="D481" s="1410"/>
    </row>
    <row r="482" spans="1:4" x14ac:dyDescent="0.3">
      <c r="A482" s="1410"/>
      <c r="B482" s="1410"/>
      <c r="C482" s="1410"/>
      <c r="D482" s="1410"/>
    </row>
    <row r="483" spans="1:4" x14ac:dyDescent="0.3">
      <c r="A483" s="1410"/>
      <c r="B483" s="1410"/>
      <c r="C483" s="1410"/>
      <c r="D483" s="1410"/>
    </row>
    <row r="484" spans="1:4" x14ac:dyDescent="0.3">
      <c r="A484" s="1410"/>
      <c r="B484" s="1410"/>
      <c r="C484" s="1410"/>
      <c r="D484" s="1410"/>
    </row>
    <row r="485" spans="1:4" x14ac:dyDescent="0.3">
      <c r="A485" s="1410"/>
      <c r="B485" s="1410"/>
      <c r="C485" s="1410"/>
      <c r="D485" s="1410"/>
    </row>
    <row r="486" spans="1:4" x14ac:dyDescent="0.3">
      <c r="A486" s="1410"/>
      <c r="B486" s="1410"/>
      <c r="C486" s="1410"/>
      <c r="D486" s="1410"/>
    </row>
    <row r="487" spans="1:4" x14ac:dyDescent="0.3">
      <c r="A487" s="1410"/>
      <c r="B487" s="1410"/>
      <c r="C487" s="1410"/>
      <c r="D487" s="1410"/>
    </row>
    <row r="488" spans="1:4" x14ac:dyDescent="0.3">
      <c r="A488" s="1410"/>
      <c r="B488" s="1410"/>
      <c r="C488" s="1410"/>
      <c r="D488" s="1410"/>
    </row>
    <row r="489" spans="1:4" x14ac:dyDescent="0.3">
      <c r="A489" s="1410"/>
      <c r="B489" s="1410"/>
      <c r="C489" s="1410"/>
      <c r="D489" s="1410"/>
    </row>
    <row r="490" spans="1:4" x14ac:dyDescent="0.3">
      <c r="A490" s="1410"/>
      <c r="B490" s="1410"/>
      <c r="C490" s="1410"/>
      <c r="D490" s="1410"/>
    </row>
    <row r="491" spans="1:4" x14ac:dyDescent="0.3">
      <c r="A491" s="1410"/>
      <c r="B491" s="1410"/>
      <c r="C491" s="1410"/>
      <c r="D491" s="1410"/>
    </row>
    <row r="492" spans="1:4" x14ac:dyDescent="0.3">
      <c r="A492" s="1410"/>
      <c r="B492" s="1410"/>
      <c r="C492" s="1410"/>
      <c r="D492" s="1410"/>
    </row>
    <row r="493" spans="1:4" x14ac:dyDescent="0.3">
      <c r="A493" s="1410"/>
      <c r="B493" s="1410"/>
      <c r="C493" s="1410"/>
      <c r="D493" s="1410"/>
    </row>
    <row r="494" spans="1:4" x14ac:dyDescent="0.3">
      <c r="A494" s="1410"/>
      <c r="B494" s="1410"/>
      <c r="C494" s="1410"/>
      <c r="D494" s="1410"/>
    </row>
    <row r="495" spans="1:4" x14ac:dyDescent="0.3">
      <c r="A495" s="1410"/>
      <c r="B495" s="1410"/>
      <c r="C495" s="1410"/>
      <c r="D495" s="1410"/>
    </row>
    <row r="496" spans="1:4" x14ac:dyDescent="0.3">
      <c r="A496" s="1410"/>
      <c r="B496" s="1410"/>
      <c r="C496" s="1410"/>
      <c r="D496" s="1410"/>
    </row>
    <row r="497" spans="1:4" x14ac:dyDescent="0.3">
      <c r="A497" s="1410"/>
      <c r="B497" s="1410"/>
      <c r="C497" s="1410"/>
      <c r="D497" s="1410"/>
    </row>
    <row r="498" spans="1:4" x14ac:dyDescent="0.3">
      <c r="A498" s="1410"/>
      <c r="B498" s="1410"/>
      <c r="C498" s="1410"/>
      <c r="D498" s="1410"/>
    </row>
    <row r="499" spans="1:4" x14ac:dyDescent="0.3">
      <c r="A499" s="1410"/>
      <c r="B499" s="1410"/>
      <c r="C499" s="1410"/>
      <c r="D499" s="1410"/>
    </row>
    <row r="500" spans="1:4" x14ac:dyDescent="0.3">
      <c r="A500" s="1410"/>
      <c r="B500" s="1410"/>
      <c r="C500" s="1410"/>
      <c r="D500" s="1410"/>
    </row>
    <row r="501" spans="1:4" x14ac:dyDescent="0.3">
      <c r="A501" s="1410"/>
      <c r="B501" s="1410"/>
      <c r="C501" s="1410"/>
      <c r="D501" s="1410"/>
    </row>
    <row r="502" spans="1:4" x14ac:dyDescent="0.3">
      <c r="A502" s="1410"/>
      <c r="B502" s="1410"/>
      <c r="C502" s="1410"/>
      <c r="D502" s="1410"/>
    </row>
    <row r="503" spans="1:4" x14ac:dyDescent="0.3">
      <c r="A503" s="1410"/>
      <c r="B503" s="1410"/>
      <c r="C503" s="1410"/>
      <c r="D503" s="1410"/>
    </row>
    <row r="504" spans="1:4" x14ac:dyDescent="0.3">
      <c r="A504" s="1410"/>
      <c r="B504" s="1410"/>
      <c r="C504" s="1410"/>
      <c r="D504" s="1410"/>
    </row>
    <row r="505" spans="1:4" x14ac:dyDescent="0.3">
      <c r="A505" s="1410"/>
      <c r="B505" s="1410"/>
      <c r="C505" s="1410"/>
      <c r="D505" s="1410"/>
    </row>
    <row r="506" spans="1:4" x14ac:dyDescent="0.3">
      <c r="A506" s="1410"/>
      <c r="B506" s="1410"/>
      <c r="C506" s="1410"/>
      <c r="D506" s="1410"/>
    </row>
    <row r="507" spans="1:4" x14ac:dyDescent="0.3">
      <c r="A507" s="1410"/>
      <c r="B507" s="1410"/>
      <c r="C507" s="1410"/>
      <c r="D507" s="1410"/>
    </row>
    <row r="508" spans="1:4" x14ac:dyDescent="0.3">
      <c r="A508" s="1410"/>
      <c r="B508" s="1410"/>
      <c r="C508" s="1410"/>
      <c r="D508" s="1410"/>
    </row>
    <row r="509" spans="1:4" x14ac:dyDescent="0.3">
      <c r="A509" s="1410"/>
      <c r="B509" s="1410"/>
      <c r="C509" s="1410"/>
      <c r="D509" s="1410"/>
    </row>
    <row r="510" spans="1:4" x14ac:dyDescent="0.3">
      <c r="A510" s="1410"/>
      <c r="B510" s="1410"/>
      <c r="C510" s="1410"/>
      <c r="D510" s="1410"/>
    </row>
    <row r="511" spans="1:4" x14ac:dyDescent="0.3">
      <c r="A511" s="1410"/>
      <c r="B511" s="1410"/>
      <c r="C511" s="1410"/>
      <c r="D511" s="1410"/>
    </row>
    <row r="512" spans="1:4" x14ac:dyDescent="0.3">
      <c r="A512" s="1410"/>
      <c r="B512" s="1410"/>
      <c r="C512" s="1410"/>
      <c r="D512" s="1410"/>
    </row>
    <row r="513" spans="1:4" x14ac:dyDescent="0.3">
      <c r="A513" s="1410"/>
      <c r="B513" s="1410"/>
      <c r="C513" s="1410"/>
      <c r="D513" s="1410"/>
    </row>
    <row r="514" spans="1:4" x14ac:dyDescent="0.3">
      <c r="A514" s="1410"/>
      <c r="B514" s="1410"/>
      <c r="C514" s="1410"/>
      <c r="D514" s="1410"/>
    </row>
    <row r="515" spans="1:4" x14ac:dyDescent="0.3">
      <c r="A515" s="1410"/>
      <c r="B515" s="1410"/>
      <c r="C515" s="1410"/>
      <c r="D515" s="1410"/>
    </row>
    <row r="516" spans="1:4" x14ac:dyDescent="0.3">
      <c r="A516" s="1410"/>
      <c r="B516" s="1410"/>
      <c r="C516" s="1410"/>
      <c r="D516" s="1410"/>
    </row>
    <row r="517" spans="1:4" x14ac:dyDescent="0.3">
      <c r="A517" s="1410"/>
      <c r="B517" s="1410"/>
      <c r="C517" s="1410"/>
      <c r="D517" s="1410"/>
    </row>
    <row r="518" spans="1:4" x14ac:dyDescent="0.3">
      <c r="A518" s="1410"/>
      <c r="B518" s="1410"/>
      <c r="C518" s="1410"/>
      <c r="D518" s="1410"/>
    </row>
    <row r="519" spans="1:4" x14ac:dyDescent="0.3">
      <c r="A519" s="1410"/>
      <c r="B519" s="1410"/>
      <c r="C519" s="1410"/>
      <c r="D519" s="1410"/>
    </row>
    <row r="520" spans="1:4" x14ac:dyDescent="0.3">
      <c r="A520" s="1410"/>
      <c r="B520" s="1410"/>
      <c r="C520" s="1410"/>
      <c r="D520" s="1410"/>
    </row>
    <row r="521" spans="1:4" x14ac:dyDescent="0.3">
      <c r="A521" s="1410"/>
      <c r="B521" s="1410"/>
      <c r="C521" s="1410"/>
      <c r="D521" s="1410"/>
    </row>
    <row r="522" spans="1:4" x14ac:dyDescent="0.3">
      <c r="A522" s="1410"/>
      <c r="B522" s="1410"/>
      <c r="C522" s="1410"/>
      <c r="D522" s="1410"/>
    </row>
    <row r="523" spans="1:4" x14ac:dyDescent="0.3">
      <c r="A523" s="1410"/>
      <c r="B523" s="1410"/>
      <c r="C523" s="1410"/>
      <c r="D523" s="1410"/>
    </row>
    <row r="524" spans="1:4" x14ac:dyDescent="0.3">
      <c r="A524" s="1410"/>
      <c r="B524" s="1410"/>
      <c r="C524" s="1410"/>
      <c r="D524" s="1410"/>
    </row>
    <row r="525" spans="1:4" x14ac:dyDescent="0.3">
      <c r="A525" s="1410"/>
      <c r="B525" s="1410"/>
      <c r="C525" s="1410"/>
      <c r="D525" s="1410"/>
    </row>
    <row r="526" spans="1:4" x14ac:dyDescent="0.3">
      <c r="A526" s="1410"/>
      <c r="B526" s="1410"/>
      <c r="C526" s="1410"/>
      <c r="D526" s="1410"/>
    </row>
    <row r="527" spans="1:4" x14ac:dyDescent="0.3">
      <c r="A527" s="1410"/>
      <c r="B527" s="1410"/>
      <c r="C527" s="1410"/>
      <c r="D527" s="1410"/>
    </row>
    <row r="528" spans="1:4" x14ac:dyDescent="0.3">
      <c r="A528" s="1410"/>
      <c r="B528" s="1410"/>
      <c r="C528" s="1410"/>
      <c r="D528" s="1410"/>
    </row>
    <row r="529" spans="1:4" x14ac:dyDescent="0.3">
      <c r="A529" s="1410"/>
      <c r="B529" s="1410"/>
      <c r="C529" s="1410"/>
      <c r="D529" s="1410"/>
    </row>
    <row r="530" spans="1:4" x14ac:dyDescent="0.3">
      <c r="A530" s="1410"/>
      <c r="B530" s="1410"/>
      <c r="C530" s="1410"/>
      <c r="D530" s="1410"/>
    </row>
    <row r="531" spans="1:4" x14ac:dyDescent="0.3">
      <c r="A531" s="1410"/>
      <c r="B531" s="1410"/>
      <c r="C531" s="1410"/>
      <c r="D531" s="1410"/>
    </row>
  </sheetData>
  <autoFilter ref="D3:G55" xr:uid="{772699B3-64AB-4F01-A377-3F0C3DA311C0}"/>
  <pageMargins left="0.7" right="0.7" top="0.75" bottom="0.75" header="0.3" footer="0.3"/>
  <customProperties>
    <customPr name="SaaSBIProperties" r:id="rId1"/>
    <customPr name="SSCustomColumnsMapping" r:id="rId2"/>
  </customPropertie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B21D-B03D-46C7-B76D-6D741670B802}">
  <sheetPr>
    <tabColor theme="1"/>
  </sheetPr>
  <dimension ref="B2"/>
  <sheetViews>
    <sheetView workbookViewId="0"/>
  </sheetViews>
  <sheetFormatPr defaultColWidth="9.109375" defaultRowHeight="14.4" x14ac:dyDescent="0.3"/>
  <cols>
    <col min="1" max="16384" width="9.109375" style="1"/>
  </cols>
  <sheetData>
    <row r="2" spans="2:2" x14ac:dyDescent="0.3">
      <c r="B2" s="2"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d76a42-3470-42f3-b9c4-a03c5e805c3b" xsi:nil="true"/>
    <lcf76f155ced4ddcb4097134ff3c332f xmlns="5253caa1-6961-4110-af5b-114bc0bf4de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2C554BBAC70A42AB91603B1393FE1E" ma:contentTypeVersion="18" ma:contentTypeDescription="Create a new document." ma:contentTypeScope="" ma:versionID="1f7c0c43d83b14f1bcb6911e94575202">
  <xsd:schema xmlns:xsd="http://www.w3.org/2001/XMLSchema" xmlns:xs="http://www.w3.org/2001/XMLSchema" xmlns:p="http://schemas.microsoft.com/office/2006/metadata/properties" xmlns:ns2="5253caa1-6961-4110-af5b-114bc0bf4def" xmlns:ns3="d2d76a42-3470-42f3-b9c4-a03c5e805c3b" targetNamespace="http://schemas.microsoft.com/office/2006/metadata/properties" ma:root="true" ma:fieldsID="18e214937c746b568a8162c118c99e5a" ns2:_="" ns3:_="">
    <xsd:import namespace="5253caa1-6961-4110-af5b-114bc0bf4def"/>
    <xsd:import namespace="d2d76a42-3470-42f3-b9c4-a03c5e805c3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53caa1-6961-4110-af5b-114bc0bf4d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f0e1fcb-4d1e-41b6-8df0-69b2d522377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d76a42-3470-42f3-b9c4-a03c5e805c3b"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403194-03e4-49dc-a781-ea3643cab5a2}" ma:internalName="TaxCatchAll" ma:showField="CatchAllData" ma:web="d2d76a42-3470-42f3-b9c4-a03c5e805c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C31014-2B2A-4E2E-AE6C-35A7CF4A1B3F}">
  <ds:schemaRefs>
    <ds:schemaRef ds:uri="d2d76a42-3470-42f3-b9c4-a03c5e805c3b"/>
    <ds:schemaRef ds:uri="http://purl.org/dc/term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purl.org/dc/dcmitype/"/>
    <ds:schemaRef ds:uri="http://schemas.microsoft.com/office/2006/documentManagement/types"/>
    <ds:schemaRef ds:uri="5253caa1-6961-4110-af5b-114bc0bf4def"/>
    <ds:schemaRef ds:uri="http://www.w3.org/XML/1998/namespace"/>
  </ds:schemaRefs>
</ds:datastoreItem>
</file>

<file path=customXml/itemProps2.xml><?xml version="1.0" encoding="utf-8"?>
<ds:datastoreItem xmlns:ds="http://schemas.openxmlformats.org/officeDocument/2006/customXml" ds:itemID="{EDD8C8F0-F9A6-4FA2-BCD8-3D216D90EE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53caa1-6961-4110-af5b-114bc0bf4def"/>
    <ds:schemaRef ds:uri="d2d76a42-3470-42f3-b9c4-a03c5e805c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87E5D9-90C3-4059-BB1C-9E8C51E417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16</vt:i4>
      </vt:variant>
    </vt:vector>
  </HeadingPairs>
  <TitlesOfParts>
    <vt:vector size="90" baseType="lpstr">
      <vt:lpstr>Dashboard</vt:lpstr>
      <vt:lpstr>FS.PRO</vt:lpstr>
      <vt:lpstr>FS.1</vt:lpstr>
      <vt:lpstr>Note Disclosures</vt:lpstr>
      <vt:lpstr>Cash Flow Proof</vt:lpstr>
      <vt:lpstr>WASO - 2022</vt:lpstr>
      <vt:lpstr>Prospectus Table</vt:lpstr>
      <vt:lpstr>Assumptions</vt:lpstr>
      <vt:lpstr>EXPORT &gt;&gt;</vt:lpstr>
      <vt:lpstr>PROFORMA</vt:lpstr>
      <vt:lpstr>BS &amp; IS</vt:lpstr>
      <vt:lpstr>SOCE</vt:lpstr>
      <vt:lpstr>SCF</vt:lpstr>
      <vt:lpstr>NOTES - TABLE</vt:lpstr>
      <vt:lpstr>NOTES - TEXT</vt:lpstr>
      <vt:lpstr>MDA</vt:lpstr>
      <vt:lpstr>FIN &gt;&gt;</vt:lpstr>
      <vt:lpstr>BS.PRO</vt:lpstr>
      <vt:lpstr>BS.1 - F25</vt:lpstr>
      <vt:lpstr>IS - F25</vt:lpstr>
      <vt:lpstr>BS.2 - F24</vt:lpstr>
      <vt:lpstr>IS - F24</vt:lpstr>
      <vt:lpstr>IS &gt;&gt;</vt:lpstr>
      <vt:lpstr>FY Current</vt:lpstr>
      <vt:lpstr>COMP SCF - FY21</vt:lpstr>
      <vt:lpstr>SCF &gt;&gt;</vt:lpstr>
      <vt:lpstr>SCF.1 - Dec 31, 2022</vt:lpstr>
      <vt:lpstr>TB.3 - Dec 31, 2022</vt:lpstr>
      <vt:lpstr>Erik - GL June - Dec 2022</vt:lpstr>
      <vt:lpstr>GL Jan - Jun 2023</vt:lpstr>
      <vt:lpstr>AJE - Dec 30, 2022</vt:lpstr>
      <vt:lpstr>Topside AJE's &gt;&gt;</vt:lpstr>
      <vt:lpstr>AJE.1 - F25</vt:lpstr>
      <vt:lpstr>AJE.1B - F25</vt:lpstr>
      <vt:lpstr>AJE.2 - F24</vt:lpstr>
      <vt:lpstr>AJE.2B - F24</vt:lpstr>
      <vt:lpstr>FS Input &gt;&gt; </vt:lpstr>
      <vt:lpstr>TB.PRO</vt:lpstr>
      <vt:lpstr>TB.1 - F25</vt:lpstr>
      <vt:lpstr>TB.2 - F24</vt:lpstr>
      <vt:lpstr>PL.1 - FY24</vt:lpstr>
      <vt:lpstr>TB.2 - FY23</vt:lpstr>
      <vt:lpstr>PL inputs &gt;&gt;</vt:lpstr>
      <vt:lpstr>P&amp;L &gt;&gt;</vt:lpstr>
      <vt:lpstr>Hallor Indus - P&amp;L - July 31</vt:lpstr>
      <vt:lpstr>PL.2 - FY23</vt:lpstr>
      <vt:lpstr>PL.1 - Q3'22</vt:lpstr>
      <vt:lpstr>TB.3 - Acq TB</vt:lpstr>
      <vt:lpstr>ADJ SUPPORT &gt;&gt;</vt:lpstr>
      <vt:lpstr>Asset Acquisition</vt:lpstr>
      <vt:lpstr>DER.V</vt:lpstr>
      <vt:lpstr>O&amp;W.V</vt:lpstr>
      <vt:lpstr>COV.DEBT</vt:lpstr>
      <vt:lpstr>IA.1 - Intangible</vt:lpstr>
      <vt:lpstr>GLs &gt;&gt;</vt:lpstr>
      <vt:lpstr>GL 5510</vt:lpstr>
      <vt:lpstr>GL 5511</vt:lpstr>
      <vt:lpstr>GL 5515</vt:lpstr>
      <vt:lpstr>GL 5520</vt:lpstr>
      <vt:lpstr>GL 6016</vt:lpstr>
      <vt:lpstr>GL 1120</vt:lpstr>
      <vt:lpstr>GL 6013</vt:lpstr>
      <vt:lpstr>Workbook INPUTS &gt;&gt;</vt:lpstr>
      <vt:lpstr>INPUTS</vt:lpstr>
      <vt:lpstr>COA</vt:lpstr>
      <vt:lpstr>TB FORMATTED</vt:lpstr>
      <vt:lpstr>PL FORMATTED</vt:lpstr>
      <vt:lpstr>QBO.S-TB26</vt:lpstr>
      <vt:lpstr>QBO.S-TB25</vt:lpstr>
      <vt:lpstr>QBO.S-TB24</vt:lpstr>
      <vt:lpstr>QBO.S-PL25</vt:lpstr>
      <vt:lpstr>QBO.S-PL24</vt:lpstr>
      <vt:lpstr>QBO.S - PL post acq</vt:lpstr>
      <vt:lpstr>FS NOTES &gt;&gt;</vt:lpstr>
      <vt:lpstr>averageFX_period</vt:lpstr>
      <vt:lpstr>BS_descr</vt:lpstr>
      <vt:lpstr>CFS_Descr</vt:lpstr>
      <vt:lpstr>comp_period_1</vt:lpstr>
      <vt:lpstr>comp_period_2</vt:lpstr>
      <vt:lpstr>company_name</vt:lpstr>
      <vt:lpstr>currentperiod_end_date</vt:lpstr>
      <vt:lpstr>currentperiod_year</vt:lpstr>
      <vt:lpstr>IFRS_adopt</vt:lpstr>
      <vt:lpstr>IFRS_adoptdate</vt:lpstr>
      <vt:lpstr>IS_Descr</vt:lpstr>
      <vt:lpstr>period</vt:lpstr>
      <vt:lpstr>periodend_spotFX</vt:lpstr>
      <vt:lpstr>priorperiod_end_date</vt:lpstr>
      <vt:lpstr>proforma_date</vt:lpstr>
      <vt:lpstr>SOCE_descr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Inar Kamaletdinov</dc:creator>
  <cp:lastModifiedBy>Terence Lee</cp:lastModifiedBy>
  <cp:lastPrinted>2022-02-22T16:25:41Z</cp:lastPrinted>
  <dcterms:created xsi:type="dcterms:W3CDTF">2019-02-23T22:00:54Z</dcterms:created>
  <dcterms:modified xsi:type="dcterms:W3CDTF">2026-01-08T03:30:40Z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0x0101009F2C554BBAC70A42AB91603B1393FE1E</vt:lpwstr>
  </property>
  <property fmtid="{D5CDD505-2E9C-101B-9397-08002B2CF9AE}" pid="3" name="MediaServiceImageTags">
    <vt:lpwstr/>
  </property>
  <property fmtid="{D5CDD505-2E9C-101B-9397-08002B2CF9AE}" pid="4" name="workbookId">
    <vt:lpwstr>c966fb7b-14e5-40c3-84aa-b3ed825c080d</vt:lpwstr>
  </property>
  <property fmtid="{D5CDD505-2E9C-101B-9397-08002B2CF9AE}" pid="5" name="1" linkTarget="prop_1">
    <vt:r8>0</vt:r8>
  </property>
  <property fmtid="{D5CDD505-2E9C-101B-9397-08002B2CF9AE}" pid="6" name="2" linkTarget="prop_2">
    <vt:r8>0</vt:r8>
  </property>
  <property fmtid="{D5CDD505-2E9C-101B-9397-08002B2CF9AE}" pid="7" name="3" linkTarget="prop_3">
    <vt:r8>0</vt:r8>
  </property>
  <property fmtid="{D5CDD505-2E9C-101B-9397-08002B2CF9AE}" pid="8" name="4" linkTarget="prop_4">
    <vt:r8>0</vt:r8>
  </property>
  <property fmtid="{D5CDD505-2E9C-101B-9397-08002B2CF9AE}" pid="9" name="5" linkTarget="prop_5">
    <vt:r8>0</vt:r8>
  </property>
  <property fmtid="{D5CDD505-2E9C-101B-9397-08002B2CF9AE}" pid="10" name="6" linkTarget="prop_6">
    <vt:r8>0</vt:r8>
  </property>
</Properties>
</file>